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fileSharing readOnlyRecommended="1"/>
  <workbookPr showInkAnnotation="0" codeName="ThisWorkbook" defaultThemeVersion="124226"/>
  <bookViews>
    <workbookView xWindow="120" yWindow="135" windowWidth="9420" windowHeight="4500" tabRatio="851" firstSheet="12" activeTab="17"/>
  </bookViews>
  <sheets>
    <sheet name="Parameters" sheetId="14" r:id="rId1"/>
    <sheet name="Voorblad" sheetId="2" r:id="rId2"/>
    <sheet name="Richtlijnen en instructie" sheetId="37" r:id="rId3"/>
    <sheet name="TAR_Tab_1_Adresgegevens" sheetId="39" r:id="rId4"/>
    <sheet name="TAR_Tab 2_Volumina" sheetId="24" r:id="rId5"/>
    <sheet name="TAR_Tab_3_Tariefaanpassing" sheetId="21" r:id="rId6"/>
    <sheet name="OPSLAGEN EN NACALCULATIES --&gt;" sheetId="45" r:id="rId7"/>
    <sheet name="TAR_Tab_4_BESeF" sheetId="13" r:id="rId8"/>
    <sheet name="TAR_Tab 5_UI" sheetId="10" r:id="rId9"/>
    <sheet name="TAR_Tab 6_NPD" sheetId="26" r:id="rId10"/>
    <sheet name="TAR_Tab 7_MFA " sheetId="28" r:id="rId11"/>
    <sheet name="TAR-Tab_8_Nacalculaties 14-16" sheetId="20" r:id="rId12"/>
    <sheet name="TAR-Tab 9_incidenteel" sheetId="17" r:id="rId13"/>
    <sheet name="TARIEFBEREKENING --&gt;" sheetId="46" r:id="rId14"/>
    <sheet name="TAR_Tab 10_Entrytarieven" sheetId="5" r:id="rId15"/>
    <sheet name="TAR_Tab 11_Exittarieven" sheetId="4" r:id="rId16"/>
    <sheet name="TAR_Tab 12_Connectiontarieven" sheetId="6" r:id="rId17"/>
    <sheet name="TAR_Tab 13_Overige tarieven" sheetId="7" r:id="rId18"/>
    <sheet name="CONTROLE TOEGESTANE INKOMSTEN-&gt;" sheetId="47" r:id="rId19"/>
    <sheet name="TAR_Tab 14_Controle" sheetId="18" r:id="rId20"/>
    <sheet name="TAR_TAB_15_Toelichting" sheetId="51" r:id="rId21"/>
    <sheet name="TAR_TAB_16_Berek_Dtoets_Hlee" sheetId="52" r:id="rId22"/>
    <sheet name="TAR_TAB_17_Verwijderde MPs" sheetId="53"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cpi2000">#REF!</definedName>
    <definedName name="_cpi2001">#REF!</definedName>
    <definedName name="_cpi2002">#REF!</definedName>
    <definedName name="_cpi2003">#REF!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xlnm._FilterDatabase" localSheetId="16" hidden="1">'TAR_Tab 12_Connectiontarieven'!$A$7:$F$570</definedName>
    <definedName name="_xlnm._FilterDatabase" localSheetId="4" hidden="1">'TAR_Tab 2_Volumina'!$T$10:$AA$84</definedName>
    <definedName name="_xlnm._FilterDatabase" localSheetId="8" hidden="1">'TAR_Tab 5_UI'!$A$77:$AT$159</definedName>
    <definedName name="_xlnm._FilterDatabase" localSheetId="22" hidden="1">'TAR_TAB_17_Verwijderde MPs'!$A$5:$C$48</definedName>
    <definedName name="AF" localSheetId="10">[1]ORI!#REF!</definedName>
    <definedName name="AF">[1]ORI!#REF!</definedName>
    <definedName name="afd">'[2]PwC - Afdelingen'!$A$2:$B$109</definedName>
    <definedName name="_xlnm.Print_Area" localSheetId="0">Parameters!$A$1:$S$97</definedName>
    <definedName name="_xlnm.Print_Area" localSheetId="2">'Richtlijnen en instructie'!$A$1:$F$46</definedName>
    <definedName name="_xlnm.Print_Area" localSheetId="14">'TAR_Tab 10_Entrytarieven'!$A$1:$Z$80</definedName>
    <definedName name="_xlnm.Print_Area" localSheetId="15">'TAR_Tab 11_Exittarieven'!$A$1:$Z$579</definedName>
    <definedName name="_xlnm.Print_Area" localSheetId="16">'TAR_Tab 12_Connectiontarieven'!$A$1:$W$570</definedName>
    <definedName name="_xlnm.Print_Area" localSheetId="17">'TAR_Tab 13_Overige tarieven'!$A$1:$U$24</definedName>
    <definedName name="_xlnm.Print_Area" localSheetId="19">'TAR_Tab 14_Controle'!$A$1:$C$34</definedName>
    <definedName name="_xlnm.Print_Area" localSheetId="4">'TAR_Tab 2_Volumina'!$A$1:$AN$574</definedName>
    <definedName name="_xlnm.Print_Area" localSheetId="8">'TAR_Tab 5_UI'!$A$1:$AT$202</definedName>
    <definedName name="_xlnm.Print_Area" localSheetId="9">'TAR_Tab 6_NPD'!$A$1:$U$61</definedName>
    <definedName name="_xlnm.Print_Area" localSheetId="10">'TAR_Tab 7_MFA '!$A$1:$Q$136</definedName>
    <definedName name="_xlnm.Print_Area" localSheetId="3">TAR_Tab_1_Adresgegevens!$A$1:$I$29</definedName>
    <definedName name="_xlnm.Print_Area" localSheetId="7">TAR_Tab_4_BESeF!$A$1:$J$24</definedName>
    <definedName name="_xlnm.Print_Area" localSheetId="12">'TAR-Tab 9_incidenteel'!$A$1:$I$45</definedName>
    <definedName name="afdtennet">'[2]TenneT - Afdelingen'!$D$3:$E$70</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F_GRID_3" localSheetId="4">[1]ORI!#REF!</definedName>
    <definedName name="DF_GRID_3" localSheetId="9">[1]ORI!#REF!</definedName>
    <definedName name="DF_GRID_3" localSheetId="10">[1]ORI!#REF!</definedName>
    <definedName name="DF_GRID_3">[1]ORI!#REF!</definedName>
    <definedName name="Eigenaar">[3]Lijsten!$G$2:$G$11</definedName>
    <definedName name="eur">#REF!</definedName>
    <definedName name="factor">#REF!</definedName>
    <definedName name="fik">[7]cockpit!$B$9</definedName>
    <definedName name="Financiering">[3]Lijsten!$P$2:$P$9</definedName>
    <definedName name="Jaar">[3]Lijsten!$A$2:$A$19</definedName>
    <definedName name="Kwartaal">[3]Lijsten!$B$2:$B$5</definedName>
    <definedName name="METHODE">#REF!</definedName>
    <definedName name="Naam">[8]Lijsten!$B$3:$B$10</definedName>
    <definedName name="NAAM_NE">'[9]Toegestane Omzet'!$M$1</definedName>
    <definedName name="NAAM_VOL">[4]Adresgegevens!$D$8</definedName>
    <definedName name="omzet_2000_aanpas_kolom">#REF!</definedName>
    <definedName name="omzet_2000_kolom">#REF!</definedName>
    <definedName name="omzet_2001_kolom">#REF!</definedName>
    <definedName name="PB">[4]Adresgegevens!$D$9</definedName>
    <definedName name="PC">[4]Adresgegevens!$D$10</definedName>
    <definedName name="PGcode">[3]Lijsten!$L$2:$L$26</definedName>
    <definedName name="PLAATS">[4]Adresgegevens!$D$11</definedName>
    <definedName name="PR_ME_2000">'[9]Toegestane Omzet'!#REF!</definedName>
    <definedName name="Projecteigenaar">[3]Lijsten!$H$2:$H$25</definedName>
    <definedName name="Projectleider">[3]Lijsten!$J$2:$J$15</definedName>
    <definedName name="Regio">[3]Lijsten!$F$2:$F$7</definedName>
    <definedName name="required_x">#REF!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#REF!</definedName>
    <definedName name="test">#REF!</definedName>
    <definedName name="TEST0">#REF!</definedName>
    <definedName name="TESTHKEY">#REF!</definedName>
    <definedName name="TESTKEYS">#REF!</definedName>
    <definedName name="TESTVKEY">#REF!</definedName>
    <definedName name="TIPROJ">'[2]PwC - TI-projecten'!$B$1:$E$303</definedName>
    <definedName name="TTTI">'[2]TenneT - Projecten TI'!$B$2:$G$221</definedName>
    <definedName name="VerbruikstarRC">[11]Tarievenvoorstel!#REF!</definedName>
    <definedName name="wac">[10]Data!#REF!</definedName>
    <definedName name="wacc">[10]Data!#REF!</definedName>
    <definedName name="wacc_exc_tax">[10]constants!$E$3</definedName>
    <definedName name="wacc_inc_tax">[10]constants!$E$4</definedName>
    <definedName name="WvD">'[2]TenneT - WvD'!$A$2:$A$274</definedName>
  </definedNames>
  <calcPr calcId="145621" concurrentCalc="0" concurrentManualCount="2"/>
</workbook>
</file>

<file path=xl/calcChain.xml><?xml version="1.0" encoding="utf-8"?>
<calcChain xmlns="http://schemas.openxmlformats.org/spreadsheetml/2006/main">
  <c r="AJ17" i="24" l="1"/>
  <c r="H37" i="17"/>
  <c r="N16" i="7"/>
  <c r="N8" i="7"/>
  <c r="N9" i="7"/>
  <c r="N17" i="7"/>
  <c r="F43" i="17"/>
  <c r="AP80" i="10"/>
  <c r="AP81" i="10"/>
  <c r="AP82" i="10"/>
  <c r="AP83" i="10"/>
  <c r="AP84" i="10"/>
  <c r="AP85" i="10"/>
  <c r="I86" i="10"/>
  <c r="W86" i="10"/>
  <c r="M86" i="10"/>
  <c r="AA86" i="10"/>
  <c r="AF86" i="10"/>
  <c r="AJ86" i="10"/>
  <c r="X86" i="10"/>
  <c r="N86" i="10"/>
  <c r="AB86" i="10"/>
  <c r="AG86" i="10"/>
  <c r="AK86" i="10"/>
  <c r="Y86" i="10"/>
  <c r="O86" i="10"/>
  <c r="AC86" i="10"/>
  <c r="AH86" i="10"/>
  <c r="AL86" i="10"/>
  <c r="AN86" i="10"/>
  <c r="Q86" i="10"/>
  <c r="R86" i="10"/>
  <c r="S86" i="10"/>
  <c r="T86" i="10"/>
  <c r="V86" i="10"/>
  <c r="AO86" i="10"/>
  <c r="J86" i="10"/>
  <c r="AP86" i="10"/>
  <c r="AP87" i="10"/>
  <c r="AP88" i="10"/>
  <c r="AP89" i="10"/>
  <c r="AP90" i="10"/>
  <c r="AP91" i="10"/>
  <c r="AP92" i="10"/>
  <c r="AP93" i="10"/>
  <c r="AP94" i="10"/>
  <c r="I95" i="10"/>
  <c r="W95" i="10"/>
  <c r="M95" i="10"/>
  <c r="AA95" i="10"/>
  <c r="AF95" i="10"/>
  <c r="X95" i="10"/>
  <c r="N95" i="10"/>
  <c r="AB95" i="10"/>
  <c r="AG95" i="10"/>
  <c r="AK95" i="10"/>
  <c r="Y95" i="10"/>
  <c r="O95" i="10"/>
  <c r="AC95" i="10"/>
  <c r="AH95" i="10"/>
  <c r="AL95" i="10"/>
  <c r="AN95" i="10"/>
  <c r="Q95" i="10"/>
  <c r="S95" i="10"/>
  <c r="T95" i="10"/>
  <c r="V95" i="10"/>
  <c r="AO95" i="10"/>
  <c r="J95" i="10"/>
  <c r="AP95" i="10"/>
  <c r="AP96" i="10"/>
  <c r="AP97" i="10"/>
  <c r="I98" i="10"/>
  <c r="W98" i="10"/>
  <c r="M98" i="10"/>
  <c r="AA98" i="10"/>
  <c r="AF98" i="10"/>
  <c r="X98" i="10"/>
  <c r="N98" i="10"/>
  <c r="AB98" i="10"/>
  <c r="AG98" i="10"/>
  <c r="AK98" i="10"/>
  <c r="Y98" i="10"/>
  <c r="O98" i="10"/>
  <c r="AC98" i="10"/>
  <c r="AH98" i="10"/>
  <c r="AL98" i="10"/>
  <c r="AN98" i="10"/>
  <c r="Q98" i="10"/>
  <c r="S98" i="10"/>
  <c r="T98" i="10"/>
  <c r="V98" i="10"/>
  <c r="AO98" i="10"/>
  <c r="J98" i="10"/>
  <c r="AP98" i="10"/>
  <c r="I99" i="10"/>
  <c r="W99" i="10"/>
  <c r="M99" i="10"/>
  <c r="AA99" i="10"/>
  <c r="AF99" i="10"/>
  <c r="X99" i="10"/>
  <c r="N99" i="10"/>
  <c r="AB99" i="10"/>
  <c r="AG99" i="10"/>
  <c r="AK99" i="10"/>
  <c r="Y99" i="10"/>
  <c r="O99" i="10"/>
  <c r="AC99" i="10"/>
  <c r="AH99" i="10"/>
  <c r="AL99" i="10"/>
  <c r="AN99" i="10"/>
  <c r="Q99" i="10"/>
  <c r="S99" i="10"/>
  <c r="T99" i="10"/>
  <c r="V99" i="10"/>
  <c r="AO99" i="10"/>
  <c r="J99" i="10"/>
  <c r="AP99" i="10"/>
  <c r="I100" i="10"/>
  <c r="W100" i="10"/>
  <c r="M100" i="10"/>
  <c r="AA100" i="10"/>
  <c r="AF100" i="10"/>
  <c r="X100" i="10"/>
  <c r="N100" i="10"/>
  <c r="AB100" i="10"/>
  <c r="AG100" i="10"/>
  <c r="AK100" i="10"/>
  <c r="Y100" i="10"/>
  <c r="O100" i="10"/>
  <c r="AC100" i="10"/>
  <c r="AH100" i="10"/>
  <c r="AL100" i="10"/>
  <c r="AN100" i="10"/>
  <c r="Q100" i="10"/>
  <c r="S100" i="10"/>
  <c r="T100" i="10"/>
  <c r="V100" i="10"/>
  <c r="AO100" i="10"/>
  <c r="J100" i="10"/>
  <c r="AP100" i="10"/>
  <c r="I101" i="10"/>
  <c r="W101" i="10"/>
  <c r="M101" i="10"/>
  <c r="AA101" i="10"/>
  <c r="AF101" i="10"/>
  <c r="X101" i="10"/>
  <c r="N101" i="10"/>
  <c r="AB101" i="10"/>
  <c r="AG101" i="10"/>
  <c r="AK101" i="10"/>
  <c r="Y101" i="10"/>
  <c r="O101" i="10"/>
  <c r="AC101" i="10"/>
  <c r="AH101" i="10"/>
  <c r="AL101" i="10"/>
  <c r="AN101" i="10"/>
  <c r="Q101" i="10"/>
  <c r="S101" i="10"/>
  <c r="T101" i="10"/>
  <c r="V101" i="10"/>
  <c r="AO101" i="10"/>
  <c r="J101" i="10"/>
  <c r="AP101" i="10"/>
  <c r="AP102" i="10"/>
  <c r="AP103" i="10"/>
  <c r="AP104" i="10"/>
  <c r="AP105" i="10"/>
  <c r="I106" i="10"/>
  <c r="W106" i="10"/>
  <c r="M106" i="10"/>
  <c r="AA106" i="10"/>
  <c r="AF106" i="10"/>
  <c r="X106" i="10"/>
  <c r="N106" i="10"/>
  <c r="AB106" i="10"/>
  <c r="AG106" i="10"/>
  <c r="Y106" i="10"/>
  <c r="O106" i="10"/>
  <c r="AC106" i="10"/>
  <c r="AH106" i="10"/>
  <c r="AL106" i="10"/>
  <c r="AN106" i="10"/>
  <c r="Q106" i="10"/>
  <c r="T106" i="10"/>
  <c r="V106" i="10"/>
  <c r="AO106" i="10"/>
  <c r="J106" i="10"/>
  <c r="AP106" i="10"/>
  <c r="I107" i="10"/>
  <c r="W107" i="10"/>
  <c r="M107" i="10"/>
  <c r="AA107" i="10"/>
  <c r="AF107" i="10"/>
  <c r="X107" i="10"/>
  <c r="N107" i="10"/>
  <c r="AB107" i="10"/>
  <c r="AG107" i="10"/>
  <c r="Y107" i="10"/>
  <c r="O107" i="10"/>
  <c r="AC107" i="10"/>
  <c r="AH107" i="10"/>
  <c r="AL107" i="10"/>
  <c r="AN107" i="10"/>
  <c r="Q107" i="10"/>
  <c r="T107" i="10"/>
  <c r="V107" i="10"/>
  <c r="AO107" i="10"/>
  <c r="J107" i="10"/>
  <c r="AP107" i="10"/>
  <c r="I108" i="10"/>
  <c r="W108" i="10"/>
  <c r="M108" i="10"/>
  <c r="AA108" i="10"/>
  <c r="AF108" i="10"/>
  <c r="X108" i="10"/>
  <c r="N108" i="10"/>
  <c r="AB108" i="10"/>
  <c r="AG108" i="10"/>
  <c r="Y108" i="10"/>
  <c r="O108" i="10"/>
  <c r="AC108" i="10"/>
  <c r="AH108" i="10"/>
  <c r="AL108" i="10"/>
  <c r="AN108" i="10"/>
  <c r="Q108" i="10"/>
  <c r="T108" i="10"/>
  <c r="V108" i="10"/>
  <c r="AO108" i="10"/>
  <c r="J108" i="10"/>
  <c r="AP108" i="10"/>
  <c r="I109" i="10"/>
  <c r="W109" i="10"/>
  <c r="M109" i="10"/>
  <c r="AA109" i="10"/>
  <c r="AF109" i="10"/>
  <c r="X109" i="10"/>
  <c r="N109" i="10"/>
  <c r="AB109" i="10"/>
  <c r="AG109" i="10"/>
  <c r="Y109" i="10"/>
  <c r="O109" i="10"/>
  <c r="AC109" i="10"/>
  <c r="AH109" i="10"/>
  <c r="AL109" i="10"/>
  <c r="AN109" i="10"/>
  <c r="Q109" i="10"/>
  <c r="T109" i="10"/>
  <c r="V109" i="10"/>
  <c r="AO109" i="10"/>
  <c r="J109" i="10"/>
  <c r="AP109" i="10"/>
  <c r="I110" i="10"/>
  <c r="W110" i="10"/>
  <c r="M110" i="10"/>
  <c r="AA110" i="10"/>
  <c r="AF110" i="10"/>
  <c r="X110" i="10"/>
  <c r="N110" i="10"/>
  <c r="AB110" i="10"/>
  <c r="AG110" i="10"/>
  <c r="Y110" i="10"/>
  <c r="O110" i="10"/>
  <c r="AC110" i="10"/>
  <c r="AH110" i="10"/>
  <c r="AL110" i="10"/>
  <c r="AN110" i="10"/>
  <c r="Q110" i="10"/>
  <c r="T110" i="10"/>
  <c r="V110" i="10"/>
  <c r="AO110" i="10"/>
  <c r="J110" i="10"/>
  <c r="AP110" i="10"/>
  <c r="I111" i="10"/>
  <c r="W111" i="10"/>
  <c r="M111" i="10"/>
  <c r="AA111" i="10"/>
  <c r="AF111" i="10"/>
  <c r="X111" i="10"/>
  <c r="N111" i="10"/>
  <c r="AB111" i="10"/>
  <c r="AG111" i="10"/>
  <c r="Y111" i="10"/>
  <c r="O111" i="10"/>
  <c r="AC111" i="10"/>
  <c r="AH111" i="10"/>
  <c r="AL111" i="10"/>
  <c r="AN111" i="10"/>
  <c r="Q111" i="10"/>
  <c r="T111" i="10"/>
  <c r="V111" i="10"/>
  <c r="AO111" i="10"/>
  <c r="J111" i="10"/>
  <c r="AP111" i="10"/>
  <c r="I112" i="10"/>
  <c r="W112" i="10"/>
  <c r="M112" i="10"/>
  <c r="AA112" i="10"/>
  <c r="AF112" i="10"/>
  <c r="X112" i="10"/>
  <c r="N112" i="10"/>
  <c r="AB112" i="10"/>
  <c r="AG112" i="10"/>
  <c r="Y112" i="10"/>
  <c r="O112" i="10"/>
  <c r="AC112" i="10"/>
  <c r="AH112" i="10"/>
  <c r="AL112" i="10"/>
  <c r="AN112" i="10"/>
  <c r="Q112" i="10"/>
  <c r="T112" i="10"/>
  <c r="V112" i="10"/>
  <c r="AO112" i="10"/>
  <c r="J112" i="10"/>
  <c r="AP112" i="10"/>
  <c r="I113" i="10"/>
  <c r="W113" i="10"/>
  <c r="M113" i="10"/>
  <c r="AA113" i="10"/>
  <c r="AF113" i="10"/>
  <c r="X113" i="10"/>
  <c r="N113" i="10"/>
  <c r="AB113" i="10"/>
  <c r="AG113" i="10"/>
  <c r="AK113" i="10"/>
  <c r="Y113" i="10"/>
  <c r="O113" i="10"/>
  <c r="AC113" i="10"/>
  <c r="AH113" i="10"/>
  <c r="AL113" i="10"/>
  <c r="AN113" i="10"/>
  <c r="Q113" i="10"/>
  <c r="S113" i="10"/>
  <c r="T113" i="10"/>
  <c r="V113" i="10"/>
  <c r="AO113" i="10"/>
  <c r="J113" i="10"/>
  <c r="AP113" i="10"/>
  <c r="AP114" i="10"/>
  <c r="I115" i="10"/>
  <c r="W115" i="10"/>
  <c r="M115" i="10"/>
  <c r="AA115" i="10"/>
  <c r="AF115" i="10"/>
  <c r="X115" i="10"/>
  <c r="N115" i="10"/>
  <c r="AB115" i="10"/>
  <c r="AG115" i="10"/>
  <c r="AK115" i="10"/>
  <c r="Y115" i="10"/>
  <c r="O115" i="10"/>
  <c r="AC115" i="10"/>
  <c r="AH115" i="10"/>
  <c r="AL115" i="10"/>
  <c r="AN115" i="10"/>
  <c r="Q115" i="10"/>
  <c r="S115" i="10"/>
  <c r="T115" i="10"/>
  <c r="V115" i="10"/>
  <c r="AO115" i="10"/>
  <c r="J115" i="10"/>
  <c r="AP115" i="10"/>
  <c r="I116" i="10"/>
  <c r="W116" i="10"/>
  <c r="M116" i="10"/>
  <c r="AA116" i="10"/>
  <c r="AF116" i="10"/>
  <c r="X116" i="10"/>
  <c r="N116" i="10"/>
  <c r="AB116" i="10"/>
  <c r="AG116" i="10"/>
  <c r="AK116" i="10"/>
  <c r="Y116" i="10"/>
  <c r="O116" i="10"/>
  <c r="AC116" i="10"/>
  <c r="AH116" i="10"/>
  <c r="AL116" i="10"/>
  <c r="AN116" i="10"/>
  <c r="Q116" i="10"/>
  <c r="S116" i="10"/>
  <c r="T116" i="10"/>
  <c r="V116" i="10"/>
  <c r="AO116" i="10"/>
  <c r="J116" i="10"/>
  <c r="AP116" i="10"/>
  <c r="I117" i="10"/>
  <c r="W117" i="10"/>
  <c r="M117" i="10"/>
  <c r="AA117" i="10"/>
  <c r="AF117" i="10"/>
  <c r="X117" i="10"/>
  <c r="N117" i="10"/>
  <c r="AB117" i="10"/>
  <c r="AG117" i="10"/>
  <c r="AK117" i="10"/>
  <c r="Y117" i="10"/>
  <c r="O117" i="10"/>
  <c r="AC117" i="10"/>
  <c r="AH117" i="10"/>
  <c r="AL117" i="10"/>
  <c r="AN117" i="10"/>
  <c r="Q117" i="10"/>
  <c r="S117" i="10"/>
  <c r="T117" i="10"/>
  <c r="V117" i="10"/>
  <c r="AO117" i="10"/>
  <c r="J117" i="10"/>
  <c r="AP117" i="10"/>
  <c r="I118" i="10"/>
  <c r="W118" i="10"/>
  <c r="M118" i="10"/>
  <c r="AA118" i="10"/>
  <c r="AF118" i="10"/>
  <c r="X118" i="10"/>
  <c r="N118" i="10"/>
  <c r="AB118" i="10"/>
  <c r="AG118" i="10"/>
  <c r="AK118" i="10"/>
  <c r="Y118" i="10"/>
  <c r="O118" i="10"/>
  <c r="AC118" i="10"/>
  <c r="AH118" i="10"/>
  <c r="AL118" i="10"/>
  <c r="AN118" i="10"/>
  <c r="Q118" i="10"/>
  <c r="S118" i="10"/>
  <c r="T118" i="10"/>
  <c r="V118" i="10"/>
  <c r="AO118" i="10"/>
  <c r="J118" i="10"/>
  <c r="AP118" i="10"/>
  <c r="I119" i="10"/>
  <c r="W119" i="10"/>
  <c r="M119" i="10"/>
  <c r="AA119" i="10"/>
  <c r="AF119" i="10"/>
  <c r="X119" i="10"/>
  <c r="N119" i="10"/>
  <c r="AB119" i="10"/>
  <c r="AG119" i="10"/>
  <c r="AK119" i="10"/>
  <c r="Y119" i="10"/>
  <c r="O119" i="10"/>
  <c r="AC119" i="10"/>
  <c r="AH119" i="10"/>
  <c r="AL119" i="10"/>
  <c r="AN119" i="10"/>
  <c r="Q119" i="10"/>
  <c r="S119" i="10"/>
  <c r="T119" i="10"/>
  <c r="V119" i="10"/>
  <c r="AO119" i="10"/>
  <c r="J119" i="10"/>
  <c r="AP119" i="10"/>
  <c r="AP120" i="10"/>
  <c r="AP121" i="10"/>
  <c r="AP122" i="10"/>
  <c r="I123" i="10"/>
  <c r="W123" i="10"/>
  <c r="M123" i="10"/>
  <c r="AA123" i="10"/>
  <c r="AF123" i="10"/>
  <c r="X123" i="10"/>
  <c r="N123" i="10"/>
  <c r="AB123" i="10"/>
  <c r="AG123" i="10"/>
  <c r="AK123" i="10"/>
  <c r="Y123" i="10"/>
  <c r="O123" i="10"/>
  <c r="AC123" i="10"/>
  <c r="AH123" i="10"/>
  <c r="AL123" i="10"/>
  <c r="AN123" i="10"/>
  <c r="Q123" i="10"/>
  <c r="S123" i="10"/>
  <c r="T123" i="10"/>
  <c r="V123" i="10"/>
  <c r="AO123" i="10"/>
  <c r="J123" i="10"/>
  <c r="AP123" i="10"/>
  <c r="AP124" i="10"/>
  <c r="I125" i="10"/>
  <c r="W125" i="10"/>
  <c r="M125" i="10"/>
  <c r="AA125" i="10"/>
  <c r="AF125" i="10"/>
  <c r="X125" i="10"/>
  <c r="N125" i="10"/>
  <c r="AB125" i="10"/>
  <c r="AG125" i="10"/>
  <c r="Y125" i="10"/>
  <c r="O125" i="10"/>
  <c r="AC125" i="10"/>
  <c r="AH125" i="10"/>
  <c r="AL125" i="10"/>
  <c r="AN125" i="10"/>
  <c r="Q125" i="10"/>
  <c r="T125" i="10"/>
  <c r="V125" i="10"/>
  <c r="AO125" i="10"/>
  <c r="J125" i="10"/>
  <c r="AP125" i="10"/>
  <c r="I126" i="10"/>
  <c r="W126" i="10"/>
  <c r="M126" i="10"/>
  <c r="AA126" i="10"/>
  <c r="AF126" i="10"/>
  <c r="X126" i="10"/>
  <c r="N126" i="10"/>
  <c r="AB126" i="10"/>
  <c r="AG126" i="10"/>
  <c r="Y126" i="10"/>
  <c r="O126" i="10"/>
  <c r="AC126" i="10"/>
  <c r="AH126" i="10"/>
  <c r="AL126" i="10"/>
  <c r="AN126" i="10"/>
  <c r="Q126" i="10"/>
  <c r="T126" i="10"/>
  <c r="V126" i="10"/>
  <c r="AO126" i="10"/>
  <c r="J126" i="10"/>
  <c r="AP126" i="10"/>
  <c r="I127" i="10"/>
  <c r="W127" i="10"/>
  <c r="M127" i="10"/>
  <c r="AA127" i="10"/>
  <c r="AF127" i="10"/>
  <c r="X127" i="10"/>
  <c r="N127" i="10"/>
  <c r="AB127" i="10"/>
  <c r="AG127" i="10"/>
  <c r="Y127" i="10"/>
  <c r="O127" i="10"/>
  <c r="AC127" i="10"/>
  <c r="AH127" i="10"/>
  <c r="AL127" i="10"/>
  <c r="AN127" i="10"/>
  <c r="Q127" i="10"/>
  <c r="T127" i="10"/>
  <c r="V127" i="10"/>
  <c r="AO127" i="10"/>
  <c r="J127" i="10"/>
  <c r="AP127" i="10"/>
  <c r="I128" i="10"/>
  <c r="W128" i="10"/>
  <c r="M128" i="10"/>
  <c r="AA128" i="10"/>
  <c r="AF128" i="10"/>
  <c r="AJ128" i="10"/>
  <c r="X128" i="10"/>
  <c r="N128" i="10"/>
  <c r="AB128" i="10"/>
  <c r="AG128" i="10"/>
  <c r="AK128" i="10"/>
  <c r="Y128" i="10"/>
  <c r="O128" i="10"/>
  <c r="AC128" i="10"/>
  <c r="AH128" i="10"/>
  <c r="AL128" i="10"/>
  <c r="AN128" i="10"/>
  <c r="Q128" i="10"/>
  <c r="R128" i="10"/>
  <c r="S128" i="10"/>
  <c r="T128" i="10"/>
  <c r="V128" i="10"/>
  <c r="AO128" i="10"/>
  <c r="J128" i="10"/>
  <c r="AP128" i="10"/>
  <c r="I129" i="10"/>
  <c r="W129" i="10"/>
  <c r="M129" i="10"/>
  <c r="AA129" i="10"/>
  <c r="AF129" i="10"/>
  <c r="AJ129" i="10"/>
  <c r="X129" i="10"/>
  <c r="N129" i="10"/>
  <c r="AB129" i="10"/>
  <c r="AG129" i="10"/>
  <c r="AK129" i="10"/>
  <c r="Y129" i="10"/>
  <c r="O129" i="10"/>
  <c r="AC129" i="10"/>
  <c r="AH129" i="10"/>
  <c r="AL129" i="10"/>
  <c r="AN129" i="10"/>
  <c r="Q129" i="10"/>
  <c r="R129" i="10"/>
  <c r="S129" i="10"/>
  <c r="T129" i="10"/>
  <c r="V129" i="10"/>
  <c r="AO129" i="10"/>
  <c r="J129" i="10"/>
  <c r="AP129" i="10"/>
  <c r="I130" i="10"/>
  <c r="W130" i="10"/>
  <c r="M130" i="10"/>
  <c r="AA130" i="10"/>
  <c r="AF130" i="10"/>
  <c r="AJ130" i="10"/>
  <c r="X130" i="10"/>
  <c r="N130" i="10"/>
  <c r="AB130" i="10"/>
  <c r="AG130" i="10"/>
  <c r="AK130" i="10"/>
  <c r="Y130" i="10"/>
  <c r="O130" i="10"/>
  <c r="AC130" i="10"/>
  <c r="AH130" i="10"/>
  <c r="AL130" i="10"/>
  <c r="AN130" i="10"/>
  <c r="Q130" i="10"/>
  <c r="R130" i="10"/>
  <c r="S130" i="10"/>
  <c r="T130" i="10"/>
  <c r="V130" i="10"/>
  <c r="AO130" i="10"/>
  <c r="J130" i="10"/>
  <c r="AP130" i="10"/>
  <c r="AP131" i="10"/>
  <c r="AP132" i="10"/>
  <c r="AP133" i="10"/>
  <c r="I134" i="10"/>
  <c r="W134" i="10"/>
  <c r="M134" i="10"/>
  <c r="AA134" i="10"/>
  <c r="AF134" i="10"/>
  <c r="X134" i="10"/>
  <c r="N134" i="10"/>
  <c r="AB134" i="10"/>
  <c r="AG134" i="10"/>
  <c r="Y134" i="10"/>
  <c r="O134" i="10"/>
  <c r="AC134" i="10"/>
  <c r="AH134" i="10"/>
  <c r="AL134" i="10"/>
  <c r="AN134" i="10"/>
  <c r="Q134" i="10"/>
  <c r="T134" i="10"/>
  <c r="V134" i="10"/>
  <c r="AO134" i="10"/>
  <c r="J134" i="10"/>
  <c r="AP134" i="10"/>
  <c r="I135" i="10"/>
  <c r="W135" i="10"/>
  <c r="M135" i="10"/>
  <c r="AA135" i="10"/>
  <c r="AF135" i="10"/>
  <c r="X135" i="10"/>
  <c r="N135" i="10"/>
  <c r="AB135" i="10"/>
  <c r="AG135" i="10"/>
  <c r="Y135" i="10"/>
  <c r="O135" i="10"/>
  <c r="AC135" i="10"/>
  <c r="AH135" i="10"/>
  <c r="AL135" i="10"/>
  <c r="AN135" i="10"/>
  <c r="Q135" i="10"/>
  <c r="T135" i="10"/>
  <c r="V135" i="10"/>
  <c r="AO135" i="10"/>
  <c r="J135" i="10"/>
  <c r="AP135" i="10"/>
  <c r="AP136" i="10"/>
  <c r="AP137" i="10"/>
  <c r="I138" i="10"/>
  <c r="W138" i="10"/>
  <c r="M138" i="10"/>
  <c r="AA138" i="10"/>
  <c r="AF138" i="10"/>
  <c r="X138" i="10"/>
  <c r="N138" i="10"/>
  <c r="AB138" i="10"/>
  <c r="AG138" i="10"/>
  <c r="Y138" i="10"/>
  <c r="O138" i="10"/>
  <c r="AC138" i="10"/>
  <c r="AH138" i="10"/>
  <c r="AL138" i="10"/>
  <c r="AN138" i="10"/>
  <c r="Q138" i="10"/>
  <c r="T138" i="10"/>
  <c r="V138" i="10"/>
  <c r="AO138" i="10"/>
  <c r="J138" i="10"/>
  <c r="AP138" i="10"/>
  <c r="I139" i="10"/>
  <c r="W139" i="10"/>
  <c r="M139" i="10"/>
  <c r="AA139" i="10"/>
  <c r="AF139" i="10"/>
  <c r="AJ139" i="10"/>
  <c r="X139" i="10"/>
  <c r="N139" i="10"/>
  <c r="AB139" i="10"/>
  <c r="AG139" i="10"/>
  <c r="AK139" i="10"/>
  <c r="Y139" i="10"/>
  <c r="O139" i="10"/>
  <c r="AC139" i="10"/>
  <c r="AH139" i="10"/>
  <c r="AL139" i="10"/>
  <c r="AN139" i="10"/>
  <c r="Q139" i="10"/>
  <c r="R139" i="10"/>
  <c r="S139" i="10"/>
  <c r="T139" i="10"/>
  <c r="V139" i="10"/>
  <c r="AO139" i="10"/>
  <c r="J139" i="10"/>
  <c r="AP139" i="10"/>
  <c r="AP140" i="10"/>
  <c r="I141" i="10"/>
  <c r="W141" i="10"/>
  <c r="M141" i="10"/>
  <c r="AA141" i="10"/>
  <c r="AF141" i="10"/>
  <c r="X141" i="10"/>
  <c r="N141" i="10"/>
  <c r="AB141" i="10"/>
  <c r="AG141" i="10"/>
  <c r="Y141" i="10"/>
  <c r="O141" i="10"/>
  <c r="AC141" i="10"/>
  <c r="AH141" i="10"/>
  <c r="AL141" i="10"/>
  <c r="AN141" i="10"/>
  <c r="Q141" i="10"/>
  <c r="T141" i="10"/>
  <c r="V141" i="10"/>
  <c r="AO141" i="10"/>
  <c r="J141" i="10"/>
  <c r="AP141" i="10"/>
  <c r="I142" i="10"/>
  <c r="W142" i="10"/>
  <c r="M142" i="10"/>
  <c r="AA142" i="10"/>
  <c r="AF142" i="10"/>
  <c r="AJ142" i="10"/>
  <c r="X142" i="10"/>
  <c r="N142" i="10"/>
  <c r="AB142" i="10"/>
  <c r="AG142" i="10"/>
  <c r="AK142" i="10"/>
  <c r="Y142" i="10"/>
  <c r="O142" i="10"/>
  <c r="AC142" i="10"/>
  <c r="AH142" i="10"/>
  <c r="AL142" i="10"/>
  <c r="AN142" i="10"/>
  <c r="Q142" i="10"/>
  <c r="R142" i="10"/>
  <c r="S142" i="10"/>
  <c r="T142" i="10"/>
  <c r="V142" i="10"/>
  <c r="AO142" i="10"/>
  <c r="J142" i="10"/>
  <c r="AP142" i="10"/>
  <c r="I143" i="10"/>
  <c r="W143" i="10"/>
  <c r="M143" i="10"/>
  <c r="AA143" i="10"/>
  <c r="AF143" i="10"/>
  <c r="X143" i="10"/>
  <c r="N143" i="10"/>
  <c r="AB143" i="10"/>
  <c r="AG143" i="10"/>
  <c r="Y143" i="10"/>
  <c r="O143" i="10"/>
  <c r="AC143" i="10"/>
  <c r="AH143" i="10"/>
  <c r="AL143" i="10"/>
  <c r="AN143" i="10"/>
  <c r="Q143" i="10"/>
  <c r="T143" i="10"/>
  <c r="V143" i="10"/>
  <c r="AO143" i="10"/>
  <c r="J143" i="10"/>
  <c r="AP143" i="10"/>
  <c r="I144" i="10"/>
  <c r="W144" i="10"/>
  <c r="M144" i="10"/>
  <c r="AA144" i="10"/>
  <c r="AF144" i="10"/>
  <c r="AJ144" i="10"/>
  <c r="X144" i="10"/>
  <c r="N144" i="10"/>
  <c r="AB144" i="10"/>
  <c r="AG144" i="10"/>
  <c r="AK144" i="10"/>
  <c r="Y144" i="10"/>
  <c r="O144" i="10"/>
  <c r="AC144" i="10"/>
  <c r="AH144" i="10"/>
  <c r="AL144" i="10"/>
  <c r="AN144" i="10"/>
  <c r="Q144" i="10"/>
  <c r="R144" i="10"/>
  <c r="S144" i="10"/>
  <c r="T144" i="10"/>
  <c r="V144" i="10"/>
  <c r="AO144" i="10"/>
  <c r="J144" i="10"/>
  <c r="AP144" i="10"/>
  <c r="AP145" i="10"/>
  <c r="I146" i="10"/>
  <c r="W146" i="10"/>
  <c r="M146" i="10"/>
  <c r="AA146" i="10"/>
  <c r="AF146" i="10"/>
  <c r="X146" i="10"/>
  <c r="N146" i="10"/>
  <c r="AB146" i="10"/>
  <c r="AG146" i="10"/>
  <c r="Y146" i="10"/>
  <c r="O146" i="10"/>
  <c r="AC146" i="10"/>
  <c r="AH146" i="10"/>
  <c r="AL146" i="10"/>
  <c r="AN146" i="10"/>
  <c r="Q146" i="10"/>
  <c r="T146" i="10"/>
  <c r="V146" i="10"/>
  <c r="AO146" i="10"/>
  <c r="J146" i="10"/>
  <c r="AP146" i="10"/>
  <c r="I147" i="10"/>
  <c r="W147" i="10"/>
  <c r="M147" i="10"/>
  <c r="AA147" i="10"/>
  <c r="AF147" i="10"/>
  <c r="AJ147" i="10"/>
  <c r="X147" i="10"/>
  <c r="N147" i="10"/>
  <c r="AB147" i="10"/>
  <c r="AG147" i="10"/>
  <c r="AK147" i="10"/>
  <c r="Y147" i="10"/>
  <c r="O147" i="10"/>
  <c r="AC147" i="10"/>
  <c r="AH147" i="10"/>
  <c r="AL147" i="10"/>
  <c r="AN147" i="10"/>
  <c r="Q147" i="10"/>
  <c r="R147" i="10"/>
  <c r="S147" i="10"/>
  <c r="T147" i="10"/>
  <c r="V147" i="10"/>
  <c r="AO147" i="10"/>
  <c r="J147" i="10"/>
  <c r="AP147" i="10"/>
  <c r="AP148" i="10"/>
  <c r="I149" i="10"/>
  <c r="W149" i="10"/>
  <c r="M149" i="10"/>
  <c r="AA149" i="10"/>
  <c r="AF149" i="10"/>
  <c r="X149" i="10"/>
  <c r="N149" i="10"/>
  <c r="AB149" i="10"/>
  <c r="AG149" i="10"/>
  <c r="Y149" i="10"/>
  <c r="O149" i="10"/>
  <c r="AC149" i="10"/>
  <c r="AH149" i="10"/>
  <c r="AL149" i="10"/>
  <c r="AN149" i="10"/>
  <c r="Q149" i="10"/>
  <c r="T149" i="10"/>
  <c r="V149" i="10"/>
  <c r="AO149" i="10"/>
  <c r="J149" i="10"/>
  <c r="AP149" i="10"/>
  <c r="I150" i="10"/>
  <c r="W150" i="10"/>
  <c r="M150" i="10"/>
  <c r="AA150" i="10"/>
  <c r="AF150" i="10"/>
  <c r="X150" i="10"/>
  <c r="N150" i="10"/>
  <c r="AB150" i="10"/>
  <c r="AG150" i="10"/>
  <c r="Y150" i="10"/>
  <c r="O150" i="10"/>
  <c r="AC150" i="10"/>
  <c r="AH150" i="10"/>
  <c r="AL150" i="10"/>
  <c r="AN150" i="10"/>
  <c r="Q150" i="10"/>
  <c r="T150" i="10"/>
  <c r="V150" i="10"/>
  <c r="AO150" i="10"/>
  <c r="J150" i="10"/>
  <c r="AP150" i="10"/>
  <c r="I151" i="10"/>
  <c r="W151" i="10"/>
  <c r="M151" i="10"/>
  <c r="AA151" i="10"/>
  <c r="AF151" i="10"/>
  <c r="X151" i="10"/>
  <c r="N151" i="10"/>
  <c r="AB151" i="10"/>
  <c r="AG151" i="10"/>
  <c r="Y151" i="10"/>
  <c r="O151" i="10"/>
  <c r="AC151" i="10"/>
  <c r="AH151" i="10"/>
  <c r="AL151" i="10"/>
  <c r="AN151" i="10"/>
  <c r="Q151" i="10"/>
  <c r="T151" i="10"/>
  <c r="V151" i="10"/>
  <c r="AO151" i="10"/>
  <c r="J151" i="10"/>
  <c r="AP151" i="10"/>
  <c r="I152" i="10"/>
  <c r="W152" i="10"/>
  <c r="M152" i="10"/>
  <c r="AA152" i="10"/>
  <c r="AF152" i="10"/>
  <c r="X152" i="10"/>
  <c r="N152" i="10"/>
  <c r="AB152" i="10"/>
  <c r="AG152" i="10"/>
  <c r="Y152" i="10"/>
  <c r="O152" i="10"/>
  <c r="AC152" i="10"/>
  <c r="AH152" i="10"/>
  <c r="AL152" i="10"/>
  <c r="AN152" i="10"/>
  <c r="Q152" i="10"/>
  <c r="T152" i="10"/>
  <c r="V152" i="10"/>
  <c r="AO152" i="10"/>
  <c r="J152" i="10"/>
  <c r="AP152" i="10"/>
  <c r="I153" i="10"/>
  <c r="W153" i="10"/>
  <c r="M153" i="10"/>
  <c r="AA153" i="10"/>
  <c r="AF153" i="10"/>
  <c r="X153" i="10"/>
  <c r="N153" i="10"/>
  <c r="AB153" i="10"/>
  <c r="AG153" i="10"/>
  <c r="Y153" i="10"/>
  <c r="O153" i="10"/>
  <c r="AC153" i="10"/>
  <c r="AH153" i="10"/>
  <c r="AL153" i="10"/>
  <c r="AN153" i="10"/>
  <c r="Q153" i="10"/>
  <c r="T153" i="10"/>
  <c r="V153" i="10"/>
  <c r="AO153" i="10"/>
  <c r="J153" i="10"/>
  <c r="AP153" i="10"/>
  <c r="I154" i="10"/>
  <c r="W154" i="10"/>
  <c r="M154" i="10"/>
  <c r="AA154" i="10"/>
  <c r="AF154" i="10"/>
  <c r="X154" i="10"/>
  <c r="N154" i="10"/>
  <c r="AB154" i="10"/>
  <c r="AG154" i="10"/>
  <c r="Y154" i="10"/>
  <c r="O154" i="10"/>
  <c r="AC154" i="10"/>
  <c r="AH154" i="10"/>
  <c r="AL154" i="10"/>
  <c r="AN154" i="10"/>
  <c r="Q154" i="10"/>
  <c r="T154" i="10"/>
  <c r="V154" i="10"/>
  <c r="AO154" i="10"/>
  <c r="J154" i="10"/>
  <c r="AP154" i="10"/>
  <c r="I155" i="10"/>
  <c r="W155" i="10"/>
  <c r="M155" i="10"/>
  <c r="AA155" i="10"/>
  <c r="AF155" i="10"/>
  <c r="X155" i="10"/>
  <c r="N155" i="10"/>
  <c r="AB155" i="10"/>
  <c r="AG155" i="10"/>
  <c r="AK155" i="10"/>
  <c r="Y155" i="10"/>
  <c r="O155" i="10"/>
  <c r="AC155" i="10"/>
  <c r="AH155" i="10"/>
  <c r="AL155" i="10"/>
  <c r="AN155" i="10"/>
  <c r="Q155" i="10"/>
  <c r="S155" i="10"/>
  <c r="T155" i="10"/>
  <c r="V155" i="10"/>
  <c r="AO155" i="10"/>
  <c r="J155" i="10"/>
  <c r="AP155" i="10"/>
  <c r="I156" i="10"/>
  <c r="W156" i="10"/>
  <c r="M156" i="10"/>
  <c r="AA156" i="10"/>
  <c r="AF156" i="10"/>
  <c r="X156" i="10"/>
  <c r="N156" i="10"/>
  <c r="AB156" i="10"/>
  <c r="AG156" i="10"/>
  <c r="AK156" i="10"/>
  <c r="Y156" i="10"/>
  <c r="O156" i="10"/>
  <c r="AC156" i="10"/>
  <c r="AH156" i="10"/>
  <c r="AL156" i="10"/>
  <c r="AN156" i="10"/>
  <c r="Q156" i="10"/>
  <c r="S156" i="10"/>
  <c r="T156" i="10"/>
  <c r="V156" i="10"/>
  <c r="AO156" i="10"/>
  <c r="J156" i="10"/>
  <c r="AP156" i="10"/>
  <c r="AP157" i="10"/>
  <c r="AP158" i="10"/>
  <c r="AP159" i="10"/>
  <c r="B171" i="10"/>
  <c r="B176" i="10"/>
  <c r="B180" i="10"/>
  <c r="B184" i="10"/>
  <c r="AF80" i="10"/>
  <c r="W80" i="10"/>
  <c r="M80" i="10"/>
  <c r="AA80" i="10"/>
  <c r="AJ80" i="10"/>
  <c r="I80" i="10"/>
  <c r="X80" i="10"/>
  <c r="N80" i="10"/>
  <c r="AB80" i="10"/>
  <c r="AG80" i="10"/>
  <c r="AK80" i="10"/>
  <c r="Y80" i="10"/>
  <c r="O80" i="10"/>
  <c r="AC80" i="10"/>
  <c r="AH80" i="10"/>
  <c r="AL80" i="10"/>
  <c r="AN80" i="10"/>
  <c r="Q80" i="10"/>
  <c r="R80" i="10"/>
  <c r="S80" i="10"/>
  <c r="T80" i="10"/>
  <c r="V80" i="10"/>
  <c r="AO80" i="10"/>
  <c r="J80" i="10"/>
  <c r="AQ80" i="10"/>
  <c r="AF81" i="10"/>
  <c r="W81" i="10"/>
  <c r="M81" i="10"/>
  <c r="AA81" i="10"/>
  <c r="AJ81" i="10"/>
  <c r="I81" i="10"/>
  <c r="X81" i="10"/>
  <c r="N81" i="10"/>
  <c r="AB81" i="10"/>
  <c r="AG81" i="10"/>
  <c r="AK81" i="10"/>
  <c r="Y81" i="10"/>
  <c r="O81" i="10"/>
  <c r="AC81" i="10"/>
  <c r="AH81" i="10"/>
  <c r="AL81" i="10"/>
  <c r="AN81" i="10"/>
  <c r="Q81" i="10"/>
  <c r="R81" i="10"/>
  <c r="S81" i="10"/>
  <c r="T81" i="10"/>
  <c r="V81" i="10"/>
  <c r="AO81" i="10"/>
  <c r="J81" i="10"/>
  <c r="AQ81" i="10"/>
  <c r="AF82" i="10"/>
  <c r="W82" i="10"/>
  <c r="M82" i="10"/>
  <c r="AA82" i="10"/>
  <c r="AJ82" i="10"/>
  <c r="I82" i="10"/>
  <c r="X82" i="10"/>
  <c r="N82" i="10"/>
  <c r="AB82" i="10"/>
  <c r="AG82" i="10"/>
  <c r="AK82" i="10"/>
  <c r="Y82" i="10"/>
  <c r="O82" i="10"/>
  <c r="AC82" i="10"/>
  <c r="AH82" i="10"/>
  <c r="AL82" i="10"/>
  <c r="AN82" i="10"/>
  <c r="Q82" i="10"/>
  <c r="R82" i="10"/>
  <c r="S82" i="10"/>
  <c r="T82" i="10"/>
  <c r="V82" i="10"/>
  <c r="AO82" i="10"/>
  <c r="J82" i="10"/>
  <c r="AQ82" i="10"/>
  <c r="AF83" i="10"/>
  <c r="W83" i="10"/>
  <c r="M83" i="10"/>
  <c r="AA83" i="10"/>
  <c r="AJ83" i="10"/>
  <c r="I83" i="10"/>
  <c r="X83" i="10"/>
  <c r="N83" i="10"/>
  <c r="AB83" i="10"/>
  <c r="AG83" i="10"/>
  <c r="AK83" i="10"/>
  <c r="Y83" i="10"/>
  <c r="O83" i="10"/>
  <c r="AC83" i="10"/>
  <c r="AH83" i="10"/>
  <c r="AL83" i="10"/>
  <c r="AN83" i="10"/>
  <c r="Q83" i="10"/>
  <c r="R83" i="10"/>
  <c r="S83" i="10"/>
  <c r="T83" i="10"/>
  <c r="V83" i="10"/>
  <c r="AO83" i="10"/>
  <c r="J83" i="10"/>
  <c r="AQ83" i="10"/>
  <c r="AF84" i="10"/>
  <c r="W84" i="10"/>
  <c r="M84" i="10"/>
  <c r="AA84" i="10"/>
  <c r="AJ84" i="10"/>
  <c r="I84" i="10"/>
  <c r="X84" i="10"/>
  <c r="N84" i="10"/>
  <c r="AB84" i="10"/>
  <c r="AG84" i="10"/>
  <c r="AK84" i="10"/>
  <c r="Y84" i="10"/>
  <c r="O84" i="10"/>
  <c r="AC84" i="10"/>
  <c r="AH84" i="10"/>
  <c r="AL84" i="10"/>
  <c r="AN84" i="10"/>
  <c r="Q84" i="10"/>
  <c r="R84" i="10"/>
  <c r="S84" i="10"/>
  <c r="T84" i="10"/>
  <c r="V84" i="10"/>
  <c r="AO84" i="10"/>
  <c r="J84" i="10"/>
  <c r="AQ84" i="10"/>
  <c r="AF85" i="10"/>
  <c r="W85" i="10"/>
  <c r="M85" i="10"/>
  <c r="AA85" i="10"/>
  <c r="AJ85" i="10"/>
  <c r="I85" i="10"/>
  <c r="X85" i="10"/>
  <c r="N85" i="10"/>
  <c r="AB85" i="10"/>
  <c r="AG85" i="10"/>
  <c r="AK85" i="10"/>
  <c r="Y85" i="10"/>
  <c r="O85" i="10"/>
  <c r="AC85" i="10"/>
  <c r="AH85" i="10"/>
  <c r="AL85" i="10"/>
  <c r="AN85" i="10"/>
  <c r="Q85" i="10"/>
  <c r="R85" i="10"/>
  <c r="S85" i="10"/>
  <c r="T85" i="10"/>
  <c r="V85" i="10"/>
  <c r="AO85" i="10"/>
  <c r="J85" i="10"/>
  <c r="AQ85" i="10"/>
  <c r="AQ86" i="10"/>
  <c r="AF87" i="10"/>
  <c r="W87" i="10"/>
  <c r="M87" i="10"/>
  <c r="AA87" i="10"/>
  <c r="AJ87" i="10"/>
  <c r="I87" i="10"/>
  <c r="X87" i="10"/>
  <c r="N87" i="10"/>
  <c r="AB87" i="10"/>
  <c r="AG87" i="10"/>
  <c r="AK87" i="10"/>
  <c r="Y87" i="10"/>
  <c r="O87" i="10"/>
  <c r="AC87" i="10"/>
  <c r="AH87" i="10"/>
  <c r="AL87" i="10"/>
  <c r="AN87" i="10"/>
  <c r="Q87" i="10"/>
  <c r="R87" i="10"/>
  <c r="S87" i="10"/>
  <c r="T87" i="10"/>
  <c r="V87" i="10"/>
  <c r="AO87" i="10"/>
  <c r="J87" i="10"/>
  <c r="AQ87" i="10"/>
  <c r="AF88" i="10"/>
  <c r="W88" i="10"/>
  <c r="M88" i="10"/>
  <c r="AA88" i="10"/>
  <c r="AJ88" i="10"/>
  <c r="I88" i="10"/>
  <c r="X88" i="10"/>
  <c r="N88" i="10"/>
  <c r="AB88" i="10"/>
  <c r="AG88" i="10"/>
  <c r="AK88" i="10"/>
  <c r="Y88" i="10"/>
  <c r="O88" i="10"/>
  <c r="AC88" i="10"/>
  <c r="AH88" i="10"/>
  <c r="AL88" i="10"/>
  <c r="AN88" i="10"/>
  <c r="Q88" i="10"/>
  <c r="R88" i="10"/>
  <c r="S88" i="10"/>
  <c r="T88" i="10"/>
  <c r="V88" i="10"/>
  <c r="AO88" i="10"/>
  <c r="J88" i="10"/>
  <c r="AQ88" i="10"/>
  <c r="AF89" i="10"/>
  <c r="W89" i="10"/>
  <c r="M89" i="10"/>
  <c r="AA89" i="10"/>
  <c r="AJ89" i="10"/>
  <c r="I89" i="10"/>
  <c r="X89" i="10"/>
  <c r="N89" i="10"/>
  <c r="AB89" i="10"/>
  <c r="AG89" i="10"/>
  <c r="AK89" i="10"/>
  <c r="Y89" i="10"/>
  <c r="O89" i="10"/>
  <c r="AC89" i="10"/>
  <c r="AH89" i="10"/>
  <c r="AL89" i="10"/>
  <c r="AN89" i="10"/>
  <c r="Q89" i="10"/>
  <c r="R89" i="10"/>
  <c r="S89" i="10"/>
  <c r="T89" i="10"/>
  <c r="V89" i="10"/>
  <c r="AO89" i="10"/>
  <c r="J89" i="10"/>
  <c r="AQ89" i="10"/>
  <c r="AF90" i="10"/>
  <c r="W90" i="10"/>
  <c r="M90" i="10"/>
  <c r="AA90" i="10"/>
  <c r="AJ90" i="10"/>
  <c r="I90" i="10"/>
  <c r="X90" i="10"/>
  <c r="N90" i="10"/>
  <c r="AB90" i="10"/>
  <c r="AG90" i="10"/>
  <c r="AK90" i="10"/>
  <c r="Y90" i="10"/>
  <c r="O90" i="10"/>
  <c r="AC90" i="10"/>
  <c r="AH90" i="10"/>
  <c r="AL90" i="10"/>
  <c r="AN90" i="10"/>
  <c r="Q90" i="10"/>
  <c r="R90" i="10"/>
  <c r="S90" i="10"/>
  <c r="T90" i="10"/>
  <c r="V90" i="10"/>
  <c r="AO90" i="10"/>
  <c r="J90" i="10"/>
  <c r="AQ90" i="10"/>
  <c r="AF91" i="10"/>
  <c r="W91" i="10"/>
  <c r="M91" i="10"/>
  <c r="AA91" i="10"/>
  <c r="AJ91" i="10"/>
  <c r="I91" i="10"/>
  <c r="X91" i="10"/>
  <c r="N91" i="10"/>
  <c r="AB91" i="10"/>
  <c r="AG91" i="10"/>
  <c r="AK91" i="10"/>
  <c r="Y91" i="10"/>
  <c r="O91" i="10"/>
  <c r="AC91" i="10"/>
  <c r="AH91" i="10"/>
  <c r="AL91" i="10"/>
  <c r="AN91" i="10"/>
  <c r="Q91" i="10"/>
  <c r="R91" i="10"/>
  <c r="S91" i="10"/>
  <c r="T91" i="10"/>
  <c r="V91" i="10"/>
  <c r="AO91" i="10"/>
  <c r="J91" i="10"/>
  <c r="AQ91" i="10"/>
  <c r="AF92" i="10"/>
  <c r="W92" i="10"/>
  <c r="M92" i="10"/>
  <c r="AA92" i="10"/>
  <c r="AJ92" i="10"/>
  <c r="I92" i="10"/>
  <c r="X92" i="10"/>
  <c r="N92" i="10"/>
  <c r="AB92" i="10"/>
  <c r="AG92" i="10"/>
  <c r="AK92" i="10"/>
  <c r="Y92" i="10"/>
  <c r="O92" i="10"/>
  <c r="AC92" i="10"/>
  <c r="AH92" i="10"/>
  <c r="AL92" i="10"/>
  <c r="AN92" i="10"/>
  <c r="Q92" i="10"/>
  <c r="R92" i="10"/>
  <c r="S92" i="10"/>
  <c r="T92" i="10"/>
  <c r="V92" i="10"/>
  <c r="AO92" i="10"/>
  <c r="J92" i="10"/>
  <c r="AQ92" i="10"/>
  <c r="AF93" i="10"/>
  <c r="W93" i="10"/>
  <c r="M93" i="10"/>
  <c r="AA93" i="10"/>
  <c r="AJ93" i="10"/>
  <c r="I93" i="10"/>
  <c r="X93" i="10"/>
  <c r="N93" i="10"/>
  <c r="AB93" i="10"/>
  <c r="AG93" i="10"/>
  <c r="AK93" i="10"/>
  <c r="Y93" i="10"/>
  <c r="O93" i="10"/>
  <c r="AC93" i="10"/>
  <c r="AH93" i="10"/>
  <c r="AL93" i="10"/>
  <c r="AN93" i="10"/>
  <c r="Q93" i="10"/>
  <c r="R93" i="10"/>
  <c r="S93" i="10"/>
  <c r="T93" i="10"/>
  <c r="V93" i="10"/>
  <c r="AO93" i="10"/>
  <c r="J93" i="10"/>
  <c r="AQ93" i="10"/>
  <c r="AF94" i="10"/>
  <c r="W94" i="10"/>
  <c r="M94" i="10"/>
  <c r="AA94" i="10"/>
  <c r="AJ94" i="10"/>
  <c r="I94" i="10"/>
  <c r="X94" i="10"/>
  <c r="N94" i="10"/>
  <c r="AB94" i="10"/>
  <c r="AG94" i="10"/>
  <c r="AK94" i="10"/>
  <c r="Y94" i="10"/>
  <c r="O94" i="10"/>
  <c r="AC94" i="10"/>
  <c r="AH94" i="10"/>
  <c r="AL94" i="10"/>
  <c r="AN94" i="10"/>
  <c r="Q94" i="10"/>
  <c r="R94" i="10"/>
  <c r="S94" i="10"/>
  <c r="T94" i="10"/>
  <c r="V94" i="10"/>
  <c r="AO94" i="10"/>
  <c r="J94" i="10"/>
  <c r="AQ94" i="10"/>
  <c r="AQ95" i="10"/>
  <c r="AF96" i="10"/>
  <c r="W96" i="10"/>
  <c r="M96" i="10"/>
  <c r="AA96" i="10"/>
  <c r="AJ96" i="10"/>
  <c r="I96" i="10"/>
  <c r="X96" i="10"/>
  <c r="N96" i="10"/>
  <c r="AB96" i="10"/>
  <c r="AG96" i="10"/>
  <c r="AK96" i="10"/>
  <c r="Y96" i="10"/>
  <c r="O96" i="10"/>
  <c r="AC96" i="10"/>
  <c r="AH96" i="10"/>
  <c r="AL96" i="10"/>
  <c r="AN96" i="10"/>
  <c r="Q96" i="10"/>
  <c r="R96" i="10"/>
  <c r="S96" i="10"/>
  <c r="T96" i="10"/>
  <c r="V96" i="10"/>
  <c r="AO96" i="10"/>
  <c r="J96" i="10"/>
  <c r="AQ96" i="10"/>
  <c r="AF97" i="10"/>
  <c r="W97" i="10"/>
  <c r="M97" i="10"/>
  <c r="AA97" i="10"/>
  <c r="AJ97" i="10"/>
  <c r="I97" i="10"/>
  <c r="X97" i="10"/>
  <c r="N97" i="10"/>
  <c r="AB97" i="10"/>
  <c r="AG97" i="10"/>
  <c r="AK97" i="10"/>
  <c r="Y97" i="10"/>
  <c r="O97" i="10"/>
  <c r="AC97" i="10"/>
  <c r="AH97" i="10"/>
  <c r="AL97" i="10"/>
  <c r="AN97" i="10"/>
  <c r="Q97" i="10"/>
  <c r="R97" i="10"/>
  <c r="S97" i="10"/>
  <c r="T97" i="10"/>
  <c r="V97" i="10"/>
  <c r="AO97" i="10"/>
  <c r="J97" i="10"/>
  <c r="AQ97" i="10"/>
  <c r="AQ98" i="10"/>
  <c r="AQ99" i="10"/>
  <c r="AQ100" i="10"/>
  <c r="AQ101" i="10"/>
  <c r="AF102" i="10"/>
  <c r="W102" i="10"/>
  <c r="M102" i="10"/>
  <c r="AA102" i="10"/>
  <c r="AJ102" i="10"/>
  <c r="I102" i="10"/>
  <c r="X102" i="10"/>
  <c r="N102" i="10"/>
  <c r="AB102" i="10"/>
  <c r="AG102" i="10"/>
  <c r="AK102" i="10"/>
  <c r="Y102" i="10"/>
  <c r="O102" i="10"/>
  <c r="AC102" i="10"/>
  <c r="AH102" i="10"/>
  <c r="AL102" i="10"/>
  <c r="AN102" i="10"/>
  <c r="Q102" i="10"/>
  <c r="R102" i="10"/>
  <c r="S102" i="10"/>
  <c r="T102" i="10"/>
  <c r="V102" i="10"/>
  <c r="AO102" i="10"/>
  <c r="J102" i="10"/>
  <c r="AQ102" i="10"/>
  <c r="AF103" i="10"/>
  <c r="W103" i="10"/>
  <c r="M103" i="10"/>
  <c r="AA103" i="10"/>
  <c r="AJ103" i="10"/>
  <c r="I103" i="10"/>
  <c r="X103" i="10"/>
  <c r="N103" i="10"/>
  <c r="AB103" i="10"/>
  <c r="AG103" i="10"/>
  <c r="AK103" i="10"/>
  <c r="Y103" i="10"/>
  <c r="O103" i="10"/>
  <c r="AC103" i="10"/>
  <c r="AH103" i="10"/>
  <c r="AL103" i="10"/>
  <c r="AN103" i="10"/>
  <c r="Q103" i="10"/>
  <c r="R103" i="10"/>
  <c r="S103" i="10"/>
  <c r="T103" i="10"/>
  <c r="V103" i="10"/>
  <c r="AO103" i="10"/>
  <c r="J103" i="10"/>
  <c r="AQ103" i="10"/>
  <c r="AF104" i="10"/>
  <c r="W104" i="10"/>
  <c r="M104" i="10"/>
  <c r="AA104" i="10"/>
  <c r="AJ104" i="10"/>
  <c r="I104" i="10"/>
  <c r="X104" i="10"/>
  <c r="N104" i="10"/>
  <c r="AB104" i="10"/>
  <c r="AG104" i="10"/>
  <c r="AK104" i="10"/>
  <c r="Y104" i="10"/>
  <c r="O104" i="10"/>
  <c r="AC104" i="10"/>
  <c r="AH104" i="10"/>
  <c r="AL104" i="10"/>
  <c r="AN104" i="10"/>
  <c r="Q104" i="10"/>
  <c r="R104" i="10"/>
  <c r="S104" i="10"/>
  <c r="T104" i="10"/>
  <c r="V104" i="10"/>
  <c r="AO104" i="10"/>
  <c r="J104" i="10"/>
  <c r="AQ104" i="10"/>
  <c r="AF105" i="10"/>
  <c r="W105" i="10"/>
  <c r="M105" i="10"/>
  <c r="AA105" i="10"/>
  <c r="AJ105" i="10"/>
  <c r="I105" i="10"/>
  <c r="X105" i="10"/>
  <c r="N105" i="10"/>
  <c r="AB105" i="10"/>
  <c r="AG105" i="10"/>
  <c r="AK105" i="10"/>
  <c r="Y105" i="10"/>
  <c r="O105" i="10"/>
  <c r="AC105" i="10"/>
  <c r="AH105" i="10"/>
  <c r="AL105" i="10"/>
  <c r="AN105" i="10"/>
  <c r="Q105" i="10"/>
  <c r="R105" i="10"/>
  <c r="S105" i="10"/>
  <c r="T105" i="10"/>
  <c r="V105" i="10"/>
  <c r="AO105" i="10"/>
  <c r="J105" i="10"/>
  <c r="AQ105" i="10"/>
  <c r="AQ106" i="10"/>
  <c r="AQ107" i="10"/>
  <c r="AQ108" i="10"/>
  <c r="AQ109" i="10"/>
  <c r="AQ110" i="10"/>
  <c r="AQ111" i="10"/>
  <c r="AQ112" i="10"/>
  <c r="AQ113" i="10"/>
  <c r="AF114" i="10"/>
  <c r="W114" i="10"/>
  <c r="M114" i="10"/>
  <c r="AA114" i="10"/>
  <c r="AJ114" i="10"/>
  <c r="I114" i="10"/>
  <c r="X114" i="10"/>
  <c r="N114" i="10"/>
  <c r="AB114" i="10"/>
  <c r="AG114" i="10"/>
  <c r="AK114" i="10"/>
  <c r="Y114" i="10"/>
  <c r="O114" i="10"/>
  <c r="AC114" i="10"/>
  <c r="AH114" i="10"/>
  <c r="AL114" i="10"/>
  <c r="AN114" i="10"/>
  <c r="Q114" i="10"/>
  <c r="R114" i="10"/>
  <c r="S114" i="10"/>
  <c r="T114" i="10"/>
  <c r="V114" i="10"/>
  <c r="AO114" i="10"/>
  <c r="J114" i="10"/>
  <c r="AQ114" i="10"/>
  <c r="AQ115" i="10"/>
  <c r="AQ116" i="10"/>
  <c r="AQ117" i="10"/>
  <c r="AQ118" i="10"/>
  <c r="AQ119" i="10"/>
  <c r="AF120" i="10"/>
  <c r="W120" i="10"/>
  <c r="M120" i="10"/>
  <c r="AA120" i="10"/>
  <c r="AJ120" i="10"/>
  <c r="I120" i="10"/>
  <c r="X120" i="10"/>
  <c r="N120" i="10"/>
  <c r="AB120" i="10"/>
  <c r="AG120" i="10"/>
  <c r="AK120" i="10"/>
  <c r="Y120" i="10"/>
  <c r="O120" i="10"/>
  <c r="AC120" i="10"/>
  <c r="AH120" i="10"/>
  <c r="AL120" i="10"/>
  <c r="AN120" i="10"/>
  <c r="Q120" i="10"/>
  <c r="R120" i="10"/>
  <c r="S120" i="10"/>
  <c r="T120" i="10"/>
  <c r="V120" i="10"/>
  <c r="AO120" i="10"/>
  <c r="J120" i="10"/>
  <c r="AQ120" i="10"/>
  <c r="AF121" i="10"/>
  <c r="W121" i="10"/>
  <c r="M121" i="10"/>
  <c r="AA121" i="10"/>
  <c r="AJ121" i="10"/>
  <c r="I121" i="10"/>
  <c r="X121" i="10"/>
  <c r="N121" i="10"/>
  <c r="AB121" i="10"/>
  <c r="AG121" i="10"/>
  <c r="AK121" i="10"/>
  <c r="Y121" i="10"/>
  <c r="O121" i="10"/>
  <c r="AC121" i="10"/>
  <c r="AH121" i="10"/>
  <c r="AL121" i="10"/>
  <c r="AN121" i="10"/>
  <c r="Q121" i="10"/>
  <c r="R121" i="10"/>
  <c r="S121" i="10"/>
  <c r="T121" i="10"/>
  <c r="V121" i="10"/>
  <c r="AO121" i="10"/>
  <c r="J121" i="10"/>
  <c r="AQ121" i="10"/>
  <c r="AF122" i="10"/>
  <c r="W122" i="10"/>
  <c r="M122" i="10"/>
  <c r="AA122" i="10"/>
  <c r="AJ122" i="10"/>
  <c r="I122" i="10"/>
  <c r="X122" i="10"/>
  <c r="N122" i="10"/>
  <c r="AB122" i="10"/>
  <c r="AG122" i="10"/>
  <c r="AK122" i="10"/>
  <c r="Y122" i="10"/>
  <c r="O122" i="10"/>
  <c r="AC122" i="10"/>
  <c r="AH122" i="10"/>
  <c r="AL122" i="10"/>
  <c r="AN122" i="10"/>
  <c r="Q122" i="10"/>
  <c r="R122" i="10"/>
  <c r="S122" i="10"/>
  <c r="T122" i="10"/>
  <c r="V122" i="10"/>
  <c r="AO122" i="10"/>
  <c r="J122" i="10"/>
  <c r="AQ122" i="10"/>
  <c r="AQ123" i="10"/>
  <c r="AF124" i="10"/>
  <c r="W124" i="10"/>
  <c r="M124" i="10"/>
  <c r="AA124" i="10"/>
  <c r="AJ124" i="10"/>
  <c r="I124" i="10"/>
  <c r="X124" i="10"/>
  <c r="N124" i="10"/>
  <c r="AB124" i="10"/>
  <c r="AG124" i="10"/>
  <c r="AK124" i="10"/>
  <c r="Y124" i="10"/>
  <c r="O124" i="10"/>
  <c r="AC124" i="10"/>
  <c r="AH124" i="10"/>
  <c r="AL124" i="10"/>
  <c r="AN124" i="10"/>
  <c r="Q124" i="10"/>
  <c r="R124" i="10"/>
  <c r="S124" i="10"/>
  <c r="T124" i="10"/>
  <c r="V124" i="10"/>
  <c r="AO124" i="10"/>
  <c r="J124" i="10"/>
  <c r="AQ124" i="10"/>
  <c r="AQ125" i="10"/>
  <c r="AQ126" i="10"/>
  <c r="AQ127" i="10"/>
  <c r="AQ128" i="10"/>
  <c r="AQ129" i="10"/>
  <c r="AQ130" i="10"/>
  <c r="AF131" i="10"/>
  <c r="W131" i="10"/>
  <c r="M131" i="10"/>
  <c r="AA131" i="10"/>
  <c r="AJ131" i="10"/>
  <c r="I131" i="10"/>
  <c r="X131" i="10"/>
  <c r="N131" i="10"/>
  <c r="AB131" i="10"/>
  <c r="AG131" i="10"/>
  <c r="AK131" i="10"/>
  <c r="Y131" i="10"/>
  <c r="O131" i="10"/>
  <c r="AC131" i="10"/>
  <c r="AH131" i="10"/>
  <c r="AL131" i="10"/>
  <c r="AN131" i="10"/>
  <c r="Q131" i="10"/>
  <c r="R131" i="10"/>
  <c r="S131" i="10"/>
  <c r="T131" i="10"/>
  <c r="V131" i="10"/>
  <c r="AO131" i="10"/>
  <c r="J131" i="10"/>
  <c r="AQ131" i="10"/>
  <c r="AF132" i="10"/>
  <c r="W132" i="10"/>
  <c r="M132" i="10"/>
  <c r="AA132" i="10"/>
  <c r="AJ132" i="10"/>
  <c r="I132" i="10"/>
  <c r="X132" i="10"/>
  <c r="N132" i="10"/>
  <c r="AB132" i="10"/>
  <c r="AG132" i="10"/>
  <c r="AK132" i="10"/>
  <c r="Y132" i="10"/>
  <c r="O132" i="10"/>
  <c r="AC132" i="10"/>
  <c r="AH132" i="10"/>
  <c r="AL132" i="10"/>
  <c r="AN132" i="10"/>
  <c r="Q132" i="10"/>
  <c r="R132" i="10"/>
  <c r="S132" i="10"/>
  <c r="T132" i="10"/>
  <c r="V132" i="10"/>
  <c r="AO132" i="10"/>
  <c r="J132" i="10"/>
  <c r="AQ132" i="10"/>
  <c r="AF133" i="10"/>
  <c r="W133" i="10"/>
  <c r="M133" i="10"/>
  <c r="AA133" i="10"/>
  <c r="AJ133" i="10"/>
  <c r="I133" i="10"/>
  <c r="X133" i="10"/>
  <c r="N133" i="10"/>
  <c r="AB133" i="10"/>
  <c r="AG133" i="10"/>
  <c r="AK133" i="10"/>
  <c r="Y133" i="10"/>
  <c r="O133" i="10"/>
  <c r="AC133" i="10"/>
  <c r="AH133" i="10"/>
  <c r="AL133" i="10"/>
  <c r="AN133" i="10"/>
  <c r="Q133" i="10"/>
  <c r="R133" i="10"/>
  <c r="S133" i="10"/>
  <c r="T133" i="10"/>
  <c r="V133" i="10"/>
  <c r="AO133" i="10"/>
  <c r="J133" i="10"/>
  <c r="AQ133" i="10"/>
  <c r="AQ134" i="10"/>
  <c r="AQ135" i="10"/>
  <c r="AF136" i="10"/>
  <c r="W136" i="10"/>
  <c r="M136" i="10"/>
  <c r="AA136" i="10"/>
  <c r="AJ136" i="10"/>
  <c r="I136" i="10"/>
  <c r="X136" i="10"/>
  <c r="N136" i="10"/>
  <c r="AB136" i="10"/>
  <c r="AG136" i="10"/>
  <c r="AK136" i="10"/>
  <c r="Y136" i="10"/>
  <c r="O136" i="10"/>
  <c r="AC136" i="10"/>
  <c r="AH136" i="10"/>
  <c r="AL136" i="10"/>
  <c r="AN136" i="10"/>
  <c r="Q136" i="10"/>
  <c r="R136" i="10"/>
  <c r="S136" i="10"/>
  <c r="T136" i="10"/>
  <c r="V136" i="10"/>
  <c r="AO136" i="10"/>
  <c r="J136" i="10"/>
  <c r="AQ136" i="10"/>
  <c r="AF137" i="10"/>
  <c r="W137" i="10"/>
  <c r="M137" i="10"/>
  <c r="AA137" i="10"/>
  <c r="AJ137" i="10"/>
  <c r="I137" i="10"/>
  <c r="X137" i="10"/>
  <c r="N137" i="10"/>
  <c r="AB137" i="10"/>
  <c r="AG137" i="10"/>
  <c r="AK137" i="10"/>
  <c r="Y137" i="10"/>
  <c r="O137" i="10"/>
  <c r="AC137" i="10"/>
  <c r="AH137" i="10"/>
  <c r="AL137" i="10"/>
  <c r="AN137" i="10"/>
  <c r="Q137" i="10"/>
  <c r="R137" i="10"/>
  <c r="S137" i="10"/>
  <c r="T137" i="10"/>
  <c r="V137" i="10"/>
  <c r="AO137" i="10"/>
  <c r="J137" i="10"/>
  <c r="AQ137" i="10"/>
  <c r="AQ138" i="10"/>
  <c r="AQ139" i="10"/>
  <c r="AF140" i="10"/>
  <c r="W140" i="10"/>
  <c r="M140" i="10"/>
  <c r="AA140" i="10"/>
  <c r="AJ140" i="10"/>
  <c r="I140" i="10"/>
  <c r="X140" i="10"/>
  <c r="N140" i="10"/>
  <c r="AB140" i="10"/>
  <c r="AG140" i="10"/>
  <c r="AK140" i="10"/>
  <c r="Y140" i="10"/>
  <c r="O140" i="10"/>
  <c r="AC140" i="10"/>
  <c r="AH140" i="10"/>
  <c r="AL140" i="10"/>
  <c r="AN140" i="10"/>
  <c r="Q140" i="10"/>
  <c r="R140" i="10"/>
  <c r="S140" i="10"/>
  <c r="T140" i="10"/>
  <c r="V140" i="10"/>
  <c r="AO140" i="10"/>
  <c r="J140" i="10"/>
  <c r="AQ140" i="10"/>
  <c r="AQ141" i="10"/>
  <c r="AQ142" i="10"/>
  <c r="AQ143" i="10"/>
  <c r="AQ144" i="10"/>
  <c r="AF145" i="10"/>
  <c r="W145" i="10"/>
  <c r="M145" i="10"/>
  <c r="AA145" i="10"/>
  <c r="AJ145" i="10"/>
  <c r="I145" i="10"/>
  <c r="X145" i="10"/>
  <c r="N145" i="10"/>
  <c r="AB145" i="10"/>
  <c r="AG145" i="10"/>
  <c r="AK145" i="10"/>
  <c r="Y145" i="10"/>
  <c r="O145" i="10"/>
  <c r="AC145" i="10"/>
  <c r="AH145" i="10"/>
  <c r="AL145" i="10"/>
  <c r="AN145" i="10"/>
  <c r="Q145" i="10"/>
  <c r="R145" i="10"/>
  <c r="S145" i="10"/>
  <c r="T145" i="10"/>
  <c r="V145" i="10"/>
  <c r="AO145" i="10"/>
  <c r="J145" i="10"/>
  <c r="AQ145" i="10"/>
  <c r="AQ146" i="10"/>
  <c r="AQ147" i="10"/>
  <c r="AF148" i="10"/>
  <c r="W148" i="10"/>
  <c r="M148" i="10"/>
  <c r="AA148" i="10"/>
  <c r="AJ148" i="10"/>
  <c r="I148" i="10"/>
  <c r="X148" i="10"/>
  <c r="N148" i="10"/>
  <c r="AB148" i="10"/>
  <c r="AG148" i="10"/>
  <c r="AK148" i="10"/>
  <c r="Y148" i="10"/>
  <c r="O148" i="10"/>
  <c r="AC148" i="10"/>
  <c r="AH148" i="10"/>
  <c r="AL148" i="10"/>
  <c r="AN148" i="10"/>
  <c r="Q148" i="10"/>
  <c r="R148" i="10"/>
  <c r="S148" i="10"/>
  <c r="T148" i="10"/>
  <c r="V148" i="10"/>
  <c r="AO148" i="10"/>
  <c r="J148" i="10"/>
  <c r="AQ148" i="10"/>
  <c r="AQ149" i="10"/>
  <c r="AQ150" i="10"/>
  <c r="AQ151" i="10"/>
  <c r="AQ152" i="10"/>
  <c r="AQ153" i="10"/>
  <c r="AQ154" i="10"/>
  <c r="AQ155" i="10"/>
  <c r="AQ156" i="10"/>
  <c r="AF157" i="10"/>
  <c r="W157" i="10"/>
  <c r="M157" i="10"/>
  <c r="AA157" i="10"/>
  <c r="AJ157" i="10"/>
  <c r="I157" i="10"/>
  <c r="X157" i="10"/>
  <c r="N157" i="10"/>
  <c r="AB157" i="10"/>
  <c r="AG157" i="10"/>
  <c r="AK157" i="10"/>
  <c r="Y157" i="10"/>
  <c r="O157" i="10"/>
  <c r="AC157" i="10"/>
  <c r="AH157" i="10"/>
  <c r="AL157" i="10"/>
  <c r="AN157" i="10"/>
  <c r="Q157" i="10"/>
  <c r="R157" i="10"/>
  <c r="S157" i="10"/>
  <c r="T157" i="10"/>
  <c r="V157" i="10"/>
  <c r="AO157" i="10"/>
  <c r="J157" i="10"/>
  <c r="AQ157" i="10"/>
  <c r="AF158" i="10"/>
  <c r="W158" i="10"/>
  <c r="M158" i="10"/>
  <c r="AA158" i="10"/>
  <c r="AJ158" i="10"/>
  <c r="I158" i="10"/>
  <c r="X158" i="10"/>
  <c r="N158" i="10"/>
  <c r="AB158" i="10"/>
  <c r="AG158" i="10"/>
  <c r="AK158" i="10"/>
  <c r="Y158" i="10"/>
  <c r="O158" i="10"/>
  <c r="AC158" i="10"/>
  <c r="AH158" i="10"/>
  <c r="AL158" i="10"/>
  <c r="AN158" i="10"/>
  <c r="Q158" i="10"/>
  <c r="R158" i="10"/>
  <c r="S158" i="10"/>
  <c r="T158" i="10"/>
  <c r="V158" i="10"/>
  <c r="AO158" i="10"/>
  <c r="J158" i="10"/>
  <c r="AQ158" i="10"/>
  <c r="AQ159" i="10"/>
  <c r="C171" i="10"/>
  <c r="C176" i="10"/>
  <c r="C180" i="10"/>
  <c r="C184" i="10"/>
  <c r="B188" i="10"/>
  <c r="K80" i="10"/>
  <c r="AR80" i="10"/>
  <c r="K81" i="10"/>
  <c r="AR81" i="10"/>
  <c r="K82" i="10"/>
  <c r="AR82" i="10"/>
  <c r="K83" i="10"/>
  <c r="AR83" i="10"/>
  <c r="K84" i="10"/>
  <c r="AR84" i="10"/>
  <c r="K85" i="10"/>
  <c r="AR85" i="10"/>
  <c r="K86" i="10"/>
  <c r="AR86" i="10"/>
  <c r="K87" i="10"/>
  <c r="AR87" i="10"/>
  <c r="K88" i="10"/>
  <c r="AR88" i="10"/>
  <c r="K89" i="10"/>
  <c r="AR89" i="10"/>
  <c r="K90" i="10"/>
  <c r="AR90" i="10"/>
  <c r="K91" i="10"/>
  <c r="AR91" i="10"/>
  <c r="K92" i="10"/>
  <c r="AR92" i="10"/>
  <c r="K93" i="10"/>
  <c r="AR93" i="10"/>
  <c r="K94" i="10"/>
  <c r="AR94" i="10"/>
  <c r="K95" i="10"/>
  <c r="AR95" i="10"/>
  <c r="K96" i="10"/>
  <c r="AR96" i="10"/>
  <c r="K97" i="10"/>
  <c r="AR97" i="10"/>
  <c r="K98" i="10"/>
  <c r="AR98" i="10"/>
  <c r="K99" i="10"/>
  <c r="AR99" i="10"/>
  <c r="K100" i="10"/>
  <c r="AR100" i="10"/>
  <c r="K101" i="10"/>
  <c r="AR101" i="10"/>
  <c r="K102" i="10"/>
  <c r="AR102" i="10"/>
  <c r="K103" i="10"/>
  <c r="AR103" i="10"/>
  <c r="K104" i="10"/>
  <c r="AR104" i="10"/>
  <c r="K105" i="10"/>
  <c r="AR105" i="10"/>
  <c r="K106" i="10"/>
  <c r="AR106" i="10"/>
  <c r="K107" i="10"/>
  <c r="AR107" i="10"/>
  <c r="K108" i="10"/>
  <c r="AR108" i="10"/>
  <c r="K109" i="10"/>
  <c r="AR109" i="10"/>
  <c r="K110" i="10"/>
  <c r="AR110" i="10"/>
  <c r="K111" i="10"/>
  <c r="AR111" i="10"/>
  <c r="K112" i="10"/>
  <c r="AR112" i="10"/>
  <c r="K113" i="10"/>
  <c r="AR113" i="10"/>
  <c r="K114" i="10"/>
  <c r="AR114" i="10"/>
  <c r="K115" i="10"/>
  <c r="AR115" i="10"/>
  <c r="K116" i="10"/>
  <c r="AR116" i="10"/>
  <c r="K117" i="10"/>
  <c r="AR117" i="10"/>
  <c r="K118" i="10"/>
  <c r="AR118" i="10"/>
  <c r="K119" i="10"/>
  <c r="AR119" i="10"/>
  <c r="K120" i="10"/>
  <c r="AR120" i="10"/>
  <c r="K121" i="10"/>
  <c r="AR121" i="10"/>
  <c r="K122" i="10"/>
  <c r="AR122" i="10"/>
  <c r="K123" i="10"/>
  <c r="AR123" i="10"/>
  <c r="K124" i="10"/>
  <c r="AR124" i="10"/>
  <c r="K125" i="10"/>
  <c r="AR125" i="10"/>
  <c r="K126" i="10"/>
  <c r="AR126" i="10"/>
  <c r="K127" i="10"/>
  <c r="AR127" i="10"/>
  <c r="K128" i="10"/>
  <c r="AR128" i="10"/>
  <c r="K129" i="10"/>
  <c r="AR129" i="10"/>
  <c r="K130" i="10"/>
  <c r="AR130" i="10"/>
  <c r="K131" i="10"/>
  <c r="AR131" i="10"/>
  <c r="K132" i="10"/>
  <c r="AR132" i="10"/>
  <c r="K133" i="10"/>
  <c r="AR133" i="10"/>
  <c r="K134" i="10"/>
  <c r="AR134" i="10"/>
  <c r="K135" i="10"/>
  <c r="AR135" i="10"/>
  <c r="K136" i="10"/>
  <c r="AR136" i="10"/>
  <c r="K137" i="10"/>
  <c r="AR137" i="10"/>
  <c r="K138" i="10"/>
  <c r="AR138" i="10"/>
  <c r="K139" i="10"/>
  <c r="AR139" i="10"/>
  <c r="K140" i="10"/>
  <c r="AR140" i="10"/>
  <c r="K141" i="10"/>
  <c r="AR141" i="10"/>
  <c r="K142" i="10"/>
  <c r="AR142" i="10"/>
  <c r="K143" i="10"/>
  <c r="AR143" i="10"/>
  <c r="K144" i="10"/>
  <c r="AR144" i="10"/>
  <c r="K145" i="10"/>
  <c r="AR145" i="10"/>
  <c r="K146" i="10"/>
  <c r="AR146" i="10"/>
  <c r="K147" i="10"/>
  <c r="AR147" i="10"/>
  <c r="K148" i="10"/>
  <c r="AR148" i="10"/>
  <c r="K149" i="10"/>
  <c r="AR149" i="10"/>
  <c r="K150" i="10"/>
  <c r="AR150" i="10"/>
  <c r="K151" i="10"/>
  <c r="AR151" i="10"/>
  <c r="K152" i="10"/>
  <c r="AR152" i="10"/>
  <c r="K153" i="10"/>
  <c r="AR153" i="10"/>
  <c r="K154" i="10"/>
  <c r="AR154" i="10"/>
  <c r="K155" i="10"/>
  <c r="AR155" i="10"/>
  <c r="K156" i="10"/>
  <c r="AR156" i="10"/>
  <c r="K157" i="10"/>
  <c r="AR157" i="10"/>
  <c r="K158" i="10"/>
  <c r="AR158" i="10"/>
  <c r="AR159" i="10"/>
  <c r="D171" i="10"/>
  <c r="D176" i="10"/>
  <c r="B30" i="18"/>
  <c r="L80" i="10"/>
  <c r="AS80" i="10"/>
  <c r="L81" i="10"/>
  <c r="AS81" i="10"/>
  <c r="L82" i="10"/>
  <c r="AS82" i="10"/>
  <c r="L83" i="10"/>
  <c r="AS83" i="10"/>
  <c r="L84" i="10"/>
  <c r="AS84" i="10"/>
  <c r="L85" i="10"/>
  <c r="AS85" i="10"/>
  <c r="L86" i="10"/>
  <c r="AS86" i="10"/>
  <c r="L87" i="10"/>
  <c r="AS87" i="10"/>
  <c r="L88" i="10"/>
  <c r="AS88" i="10"/>
  <c r="L89" i="10"/>
  <c r="AS89" i="10"/>
  <c r="L90" i="10"/>
  <c r="AS90" i="10"/>
  <c r="L91" i="10"/>
  <c r="AS91" i="10"/>
  <c r="L92" i="10"/>
  <c r="AS92" i="10"/>
  <c r="L93" i="10"/>
  <c r="AS93" i="10"/>
  <c r="L94" i="10"/>
  <c r="AS94" i="10"/>
  <c r="L95" i="10"/>
  <c r="AS95" i="10"/>
  <c r="L96" i="10"/>
  <c r="AS96" i="10"/>
  <c r="L97" i="10"/>
  <c r="AS97" i="10"/>
  <c r="L98" i="10"/>
  <c r="AS98" i="10"/>
  <c r="L99" i="10"/>
  <c r="AS99" i="10"/>
  <c r="L100" i="10"/>
  <c r="AS100" i="10"/>
  <c r="L101" i="10"/>
  <c r="AS101" i="10"/>
  <c r="L102" i="10"/>
  <c r="AS102" i="10"/>
  <c r="L103" i="10"/>
  <c r="AS103" i="10"/>
  <c r="L104" i="10"/>
  <c r="AS104" i="10"/>
  <c r="L105" i="10"/>
  <c r="AS105" i="10"/>
  <c r="L106" i="10"/>
  <c r="AS106" i="10"/>
  <c r="L107" i="10"/>
  <c r="AS107" i="10"/>
  <c r="L108" i="10"/>
  <c r="AS108" i="10"/>
  <c r="L109" i="10"/>
  <c r="AS109" i="10"/>
  <c r="L110" i="10"/>
  <c r="AS110" i="10"/>
  <c r="L111" i="10"/>
  <c r="AS111" i="10"/>
  <c r="L112" i="10"/>
  <c r="AS112" i="10"/>
  <c r="L113" i="10"/>
  <c r="AS113" i="10"/>
  <c r="L114" i="10"/>
  <c r="AS114" i="10"/>
  <c r="L115" i="10"/>
  <c r="AS115" i="10"/>
  <c r="L116" i="10"/>
  <c r="AS116" i="10"/>
  <c r="L117" i="10"/>
  <c r="AS117" i="10"/>
  <c r="L118" i="10"/>
  <c r="AS118" i="10"/>
  <c r="L119" i="10"/>
  <c r="AS119" i="10"/>
  <c r="L120" i="10"/>
  <c r="AS120" i="10"/>
  <c r="L121" i="10"/>
  <c r="AS121" i="10"/>
  <c r="L122" i="10"/>
  <c r="AS122" i="10"/>
  <c r="L123" i="10"/>
  <c r="AS123" i="10"/>
  <c r="L124" i="10"/>
  <c r="AS124" i="10"/>
  <c r="L125" i="10"/>
  <c r="AS125" i="10"/>
  <c r="L126" i="10"/>
  <c r="AS126" i="10"/>
  <c r="L127" i="10"/>
  <c r="AS127" i="10"/>
  <c r="L128" i="10"/>
  <c r="AS128" i="10"/>
  <c r="L129" i="10"/>
  <c r="AS129" i="10"/>
  <c r="L130" i="10"/>
  <c r="AS130" i="10"/>
  <c r="L131" i="10"/>
  <c r="AS131" i="10"/>
  <c r="L132" i="10"/>
  <c r="AS132" i="10"/>
  <c r="L133" i="10"/>
  <c r="AS133" i="10"/>
  <c r="L134" i="10"/>
  <c r="AS134" i="10"/>
  <c r="L135" i="10"/>
  <c r="AS135" i="10"/>
  <c r="L136" i="10"/>
  <c r="AS136" i="10"/>
  <c r="L137" i="10"/>
  <c r="AS137" i="10"/>
  <c r="L138" i="10"/>
  <c r="AS138" i="10"/>
  <c r="L139" i="10"/>
  <c r="AS139" i="10"/>
  <c r="L140" i="10"/>
  <c r="AS140" i="10"/>
  <c r="L141" i="10"/>
  <c r="AS141" i="10"/>
  <c r="L142" i="10"/>
  <c r="AS142" i="10"/>
  <c r="L143" i="10"/>
  <c r="AS143" i="10"/>
  <c r="L144" i="10"/>
  <c r="AS144" i="10"/>
  <c r="L145" i="10"/>
  <c r="AS145" i="10"/>
  <c r="L146" i="10"/>
  <c r="AS146" i="10"/>
  <c r="L147" i="10"/>
  <c r="AS147" i="10"/>
  <c r="L148" i="10"/>
  <c r="AS148" i="10"/>
  <c r="L149" i="10"/>
  <c r="AS149" i="10"/>
  <c r="L150" i="10"/>
  <c r="AS150" i="10"/>
  <c r="L151" i="10"/>
  <c r="AS151" i="10"/>
  <c r="L152" i="10"/>
  <c r="AS152" i="10"/>
  <c r="L153" i="10"/>
  <c r="AS153" i="10"/>
  <c r="L154" i="10"/>
  <c r="AS154" i="10"/>
  <c r="L155" i="10"/>
  <c r="AS155" i="10"/>
  <c r="L156" i="10"/>
  <c r="AS156" i="10"/>
  <c r="L157" i="10"/>
  <c r="AS157" i="10"/>
  <c r="L158" i="10"/>
  <c r="AS158" i="10"/>
  <c r="AS159" i="10"/>
  <c r="E171" i="10"/>
  <c r="E176" i="10"/>
  <c r="B29" i="18"/>
  <c r="N15" i="7"/>
  <c r="N7" i="7"/>
  <c r="G54" i="52"/>
  <c r="F54" i="52"/>
  <c r="K54" i="52"/>
  <c r="N54" i="52"/>
  <c r="P54" i="52"/>
  <c r="C64" i="52"/>
  <c r="Y54" i="52"/>
  <c r="AG54" i="52"/>
  <c r="AO54" i="52"/>
  <c r="AL54" i="52"/>
  <c r="AH54" i="52"/>
  <c r="AP54" i="52"/>
  <c r="AX54" i="52"/>
  <c r="C65" i="52"/>
  <c r="C66" i="52"/>
  <c r="C70" i="52"/>
  <c r="C72" i="52"/>
  <c r="H54" i="52"/>
  <c r="L54" i="52"/>
  <c r="R54" i="52"/>
  <c r="D64" i="52"/>
  <c r="W54" i="52"/>
  <c r="V54" i="52"/>
  <c r="I54" i="52"/>
  <c r="AA54" i="52"/>
  <c r="AI54" i="52"/>
  <c r="AQ54" i="52"/>
  <c r="AY54" i="52"/>
  <c r="D65" i="52"/>
  <c r="D66" i="52"/>
  <c r="D70" i="52"/>
  <c r="D72" i="52"/>
  <c r="T54" i="52"/>
  <c r="E64" i="52"/>
  <c r="AN54" i="52"/>
  <c r="X54" i="52"/>
  <c r="AB54" i="52"/>
  <c r="AJ54" i="52"/>
  <c r="AR54" i="52"/>
  <c r="AZ54" i="52"/>
  <c r="E65" i="52"/>
  <c r="E66" i="52"/>
  <c r="E68" i="52"/>
  <c r="E70" i="52"/>
  <c r="E72" i="52"/>
  <c r="B64" i="52"/>
  <c r="AW54" i="52"/>
  <c r="B65" i="52"/>
  <c r="B66" i="52"/>
  <c r="B70" i="52"/>
  <c r="B72" i="52"/>
  <c r="B74" i="52"/>
  <c r="G25" i="52"/>
  <c r="F25" i="52"/>
  <c r="K25" i="52"/>
  <c r="N25" i="52"/>
  <c r="P25" i="52"/>
  <c r="C35" i="52"/>
  <c r="Y25" i="52"/>
  <c r="AG25" i="52"/>
  <c r="AO25" i="52"/>
  <c r="AL25" i="52"/>
  <c r="AH25" i="52"/>
  <c r="AP25" i="52"/>
  <c r="AX25" i="52"/>
  <c r="C36" i="52"/>
  <c r="C37" i="52"/>
  <c r="C41" i="52"/>
  <c r="C43" i="52"/>
  <c r="H25" i="52"/>
  <c r="C25" i="52"/>
  <c r="L25" i="52"/>
  <c r="R25" i="52"/>
  <c r="D35" i="52"/>
  <c r="W25" i="52"/>
  <c r="V25" i="52"/>
  <c r="I25" i="52"/>
  <c r="AA25" i="52"/>
  <c r="AI25" i="52"/>
  <c r="AQ25" i="52"/>
  <c r="AY25" i="52"/>
  <c r="D36" i="52"/>
  <c r="D37" i="52"/>
  <c r="D41" i="52"/>
  <c r="D43" i="52"/>
  <c r="T25" i="52"/>
  <c r="E35" i="52"/>
  <c r="AN25" i="52"/>
  <c r="X25" i="52"/>
  <c r="AB25" i="52"/>
  <c r="AJ25" i="52"/>
  <c r="AR25" i="52"/>
  <c r="AZ25" i="52"/>
  <c r="E36" i="52"/>
  <c r="E37" i="52"/>
  <c r="E39" i="52"/>
  <c r="E41" i="52"/>
  <c r="E43" i="52"/>
  <c r="B35" i="52"/>
  <c r="AW25" i="52"/>
  <c r="B36" i="52"/>
  <c r="B37" i="52"/>
  <c r="B41" i="52"/>
  <c r="B43" i="52"/>
  <c r="B45" i="52"/>
  <c r="B77" i="52"/>
  <c r="J54" i="52"/>
  <c r="AV54" i="52"/>
  <c r="AU54" i="52"/>
  <c r="AT54" i="52"/>
  <c r="AS54" i="52"/>
  <c r="AM54" i="52"/>
  <c r="U54" i="52"/>
  <c r="Z54" i="52"/>
  <c r="Q54" i="52"/>
  <c r="S54" i="52"/>
  <c r="O54" i="52"/>
  <c r="M54" i="52"/>
  <c r="J25" i="52"/>
  <c r="AV25" i="52"/>
  <c r="AU25" i="52"/>
  <c r="AT25" i="52"/>
  <c r="AS25" i="52"/>
  <c r="AM25" i="52"/>
  <c r="U25" i="52"/>
  <c r="Z25" i="52"/>
  <c r="Q25" i="52"/>
  <c r="S25" i="52"/>
  <c r="O25" i="52"/>
  <c r="M25" i="52"/>
  <c r="R5" i="24"/>
  <c r="Z8" i="24"/>
  <c r="B183" i="10"/>
  <c r="C183" i="10"/>
  <c r="B187" i="10"/>
  <c r="B9" i="28"/>
  <c r="B4" i="28"/>
  <c r="B10" i="28"/>
  <c r="B11" i="28"/>
  <c r="B12" i="28"/>
  <c r="D98" i="28"/>
  <c r="F10" i="28"/>
  <c r="E98" i="28"/>
  <c r="F98" i="28"/>
  <c r="C95" i="28"/>
  <c r="D95" i="28"/>
  <c r="E95" i="28"/>
  <c r="F95" i="28"/>
  <c r="G95" i="28"/>
  <c r="H95" i="28"/>
  <c r="B96" i="28"/>
  <c r="C96" i="28"/>
  <c r="D96" i="28"/>
  <c r="D10" i="28"/>
  <c r="E96" i="28"/>
  <c r="F96" i="28"/>
  <c r="G96" i="28"/>
  <c r="H96" i="28"/>
  <c r="B97" i="28"/>
  <c r="C97" i="28"/>
  <c r="D97" i="28"/>
  <c r="E10" i="28"/>
  <c r="E97" i="28"/>
  <c r="F97" i="28"/>
  <c r="G97" i="28"/>
  <c r="H97" i="28"/>
  <c r="B98" i="28"/>
  <c r="C98" i="28"/>
  <c r="G98" i="28"/>
  <c r="H98" i="28"/>
  <c r="I98" i="28"/>
  <c r="G27" i="28"/>
  <c r="B17" i="28"/>
  <c r="I27" i="28"/>
  <c r="J27" i="28"/>
  <c r="K27" i="28"/>
  <c r="L27" i="28"/>
  <c r="N27" i="28"/>
  <c r="O27" i="28"/>
  <c r="P27" i="28"/>
  <c r="Q27" i="28"/>
  <c r="I96" i="28"/>
  <c r="F9" i="28"/>
  <c r="C9" i="28"/>
  <c r="D9" i="28"/>
  <c r="E9" i="28"/>
  <c r="D73" i="10"/>
  <c r="C75" i="10"/>
  <c r="D74" i="10"/>
  <c r="D75" i="10"/>
  <c r="B4" i="10"/>
  <c r="D11" i="10"/>
  <c r="B5" i="10"/>
  <c r="E11" i="10"/>
  <c r="B12" i="10"/>
  <c r="B16" i="10"/>
  <c r="C16" i="10"/>
  <c r="E34" i="10"/>
  <c r="D34" i="10"/>
  <c r="Z80" i="10"/>
  <c r="F11" i="10"/>
  <c r="P80" i="10"/>
  <c r="AD80" i="10"/>
  <c r="B13" i="10"/>
  <c r="AI80" i="10"/>
  <c r="AM80" i="10"/>
  <c r="U80" i="10"/>
  <c r="E21" i="10"/>
  <c r="D21" i="10"/>
  <c r="Z81" i="10"/>
  <c r="P81" i="10"/>
  <c r="AD81" i="10"/>
  <c r="AI81" i="10"/>
  <c r="AM81" i="10"/>
  <c r="U81" i="10"/>
  <c r="F67" i="10"/>
  <c r="D40" i="10"/>
  <c r="G67" i="10"/>
  <c r="E40" i="10"/>
  <c r="H67" i="10"/>
  <c r="I67" i="10"/>
  <c r="J67" i="10"/>
  <c r="K67" i="10"/>
  <c r="L67" i="10"/>
  <c r="M67" i="10"/>
  <c r="N67" i="10"/>
  <c r="O67" i="10"/>
  <c r="P67" i="10"/>
  <c r="Q67" i="10"/>
  <c r="R67" i="10"/>
  <c r="S67" i="10"/>
  <c r="F68" i="10"/>
  <c r="D48" i="10"/>
  <c r="G68" i="10"/>
  <c r="E48" i="10"/>
  <c r="H68" i="10"/>
  <c r="I68" i="10"/>
  <c r="J68" i="10"/>
  <c r="K68" i="10"/>
  <c r="L68" i="10"/>
  <c r="M68" i="10"/>
  <c r="N68" i="10"/>
  <c r="O68" i="10"/>
  <c r="P68" i="10"/>
  <c r="Q68" i="10"/>
  <c r="R68" i="10"/>
  <c r="S68" i="10"/>
  <c r="C10" i="10"/>
  <c r="D10" i="10"/>
  <c r="E10" i="10"/>
  <c r="F10" i="10"/>
  <c r="P123" i="10"/>
  <c r="R123" i="10"/>
  <c r="U123" i="10"/>
  <c r="Z123" i="10"/>
  <c r="AD123" i="10"/>
  <c r="B11" i="10"/>
  <c r="AI123" i="10"/>
  <c r="AJ123" i="10"/>
  <c r="AM123" i="10"/>
  <c r="P124" i="10"/>
  <c r="U124" i="10"/>
  <c r="Z124" i="10"/>
  <c r="AD124" i="10"/>
  <c r="AI124" i="10"/>
  <c r="AM124" i="10"/>
  <c r="P125" i="10"/>
  <c r="R125" i="10"/>
  <c r="S125" i="10"/>
  <c r="U125" i="10"/>
  <c r="Z125" i="10"/>
  <c r="AD125" i="10"/>
  <c r="AI125" i="10"/>
  <c r="AJ125" i="10"/>
  <c r="AK125" i="10"/>
  <c r="AM125" i="10"/>
  <c r="P126" i="10"/>
  <c r="R126" i="10"/>
  <c r="S126" i="10"/>
  <c r="U126" i="10"/>
  <c r="Z126" i="10"/>
  <c r="AD126" i="10"/>
  <c r="AI126" i="10"/>
  <c r="AJ126" i="10"/>
  <c r="AK126" i="10"/>
  <c r="AM126" i="10"/>
  <c r="D43" i="10"/>
  <c r="E43" i="10"/>
  <c r="P127" i="10"/>
  <c r="R127" i="10"/>
  <c r="S127" i="10"/>
  <c r="U127" i="10"/>
  <c r="Z127" i="10"/>
  <c r="AD127" i="10"/>
  <c r="AI127" i="10"/>
  <c r="AJ127" i="10"/>
  <c r="AK127" i="10"/>
  <c r="AM127" i="10"/>
  <c r="P128" i="10"/>
  <c r="U128" i="10"/>
  <c r="Z128" i="10"/>
  <c r="AD128" i="10"/>
  <c r="AI128" i="10"/>
  <c r="AM128" i="10"/>
  <c r="P129" i="10"/>
  <c r="U129" i="10"/>
  <c r="Z129" i="10"/>
  <c r="AD129" i="10"/>
  <c r="AI129" i="10"/>
  <c r="AM129" i="10"/>
  <c r="P130" i="10"/>
  <c r="U130" i="10"/>
  <c r="Z130" i="10"/>
  <c r="AD130" i="10"/>
  <c r="AI130" i="10"/>
  <c r="AM130" i="10"/>
  <c r="P131" i="10"/>
  <c r="U131" i="10"/>
  <c r="Z131" i="10"/>
  <c r="AD131" i="10"/>
  <c r="AI131" i="10"/>
  <c r="AM131" i="10"/>
  <c r="P132" i="10"/>
  <c r="U132" i="10"/>
  <c r="Z132" i="10"/>
  <c r="AD132" i="10"/>
  <c r="AI132" i="10"/>
  <c r="AM132" i="10"/>
  <c r="P133" i="10"/>
  <c r="U133" i="10"/>
  <c r="Z133" i="10"/>
  <c r="AD133" i="10"/>
  <c r="AI133" i="10"/>
  <c r="AM133" i="10"/>
  <c r="P134" i="10"/>
  <c r="R134" i="10"/>
  <c r="S134" i="10"/>
  <c r="U134" i="10"/>
  <c r="Z134" i="10"/>
  <c r="AD134" i="10"/>
  <c r="AI134" i="10"/>
  <c r="AJ134" i="10"/>
  <c r="AK134" i="10"/>
  <c r="AM134" i="10"/>
  <c r="P135" i="10"/>
  <c r="R135" i="10"/>
  <c r="S135" i="10"/>
  <c r="U135" i="10"/>
  <c r="Z135" i="10"/>
  <c r="AD135" i="10"/>
  <c r="AI135" i="10"/>
  <c r="AJ135" i="10"/>
  <c r="AK135" i="10"/>
  <c r="AM135" i="10"/>
  <c r="P136" i="10"/>
  <c r="U136" i="10"/>
  <c r="Z136" i="10"/>
  <c r="AD136" i="10"/>
  <c r="AI136" i="10"/>
  <c r="AM136" i="10"/>
  <c r="P137" i="10"/>
  <c r="U137" i="10"/>
  <c r="Z137" i="10"/>
  <c r="AD137" i="10"/>
  <c r="AI137" i="10"/>
  <c r="AM137" i="10"/>
  <c r="P138" i="10"/>
  <c r="R138" i="10"/>
  <c r="S138" i="10"/>
  <c r="U138" i="10"/>
  <c r="Z138" i="10"/>
  <c r="AD138" i="10"/>
  <c r="AI138" i="10"/>
  <c r="AJ138" i="10"/>
  <c r="AK138" i="10"/>
  <c r="AM138" i="10"/>
  <c r="P139" i="10"/>
  <c r="U139" i="10"/>
  <c r="Z139" i="10"/>
  <c r="AD139" i="10"/>
  <c r="AI139" i="10"/>
  <c r="AM139" i="10"/>
  <c r="P140" i="10"/>
  <c r="U140" i="10"/>
  <c r="Z140" i="10"/>
  <c r="AD140" i="10"/>
  <c r="AI140" i="10"/>
  <c r="AM140" i="10"/>
  <c r="P141" i="10"/>
  <c r="R141" i="10"/>
  <c r="S141" i="10"/>
  <c r="U141" i="10"/>
  <c r="Z141" i="10"/>
  <c r="AD141" i="10"/>
  <c r="AI141" i="10"/>
  <c r="AJ141" i="10"/>
  <c r="AK141" i="10"/>
  <c r="AM141" i="10"/>
  <c r="P142" i="10"/>
  <c r="U142" i="10"/>
  <c r="Z142" i="10"/>
  <c r="AD142" i="10"/>
  <c r="AI142" i="10"/>
  <c r="AM142" i="10"/>
  <c r="P143" i="10"/>
  <c r="R143" i="10"/>
  <c r="S143" i="10"/>
  <c r="U143" i="10"/>
  <c r="Z143" i="10"/>
  <c r="AD143" i="10"/>
  <c r="AI143" i="10"/>
  <c r="AJ143" i="10"/>
  <c r="AK143" i="10"/>
  <c r="AM143" i="10"/>
  <c r="P144" i="10"/>
  <c r="U144" i="10"/>
  <c r="Z144" i="10"/>
  <c r="AD144" i="10"/>
  <c r="AI144" i="10"/>
  <c r="AM144" i="10"/>
  <c r="P145" i="10"/>
  <c r="U145" i="10"/>
  <c r="Z145" i="10"/>
  <c r="AD145" i="10"/>
  <c r="AI145" i="10"/>
  <c r="AM145" i="10"/>
  <c r="P146" i="10"/>
  <c r="R146" i="10"/>
  <c r="S146" i="10"/>
  <c r="U146" i="10"/>
  <c r="Z146" i="10"/>
  <c r="AD146" i="10"/>
  <c r="AI146" i="10"/>
  <c r="AJ146" i="10"/>
  <c r="AK146" i="10"/>
  <c r="AM146" i="10"/>
  <c r="P147" i="10"/>
  <c r="U147" i="10"/>
  <c r="Z147" i="10"/>
  <c r="AD147" i="10"/>
  <c r="AI147" i="10"/>
  <c r="AM147" i="10"/>
  <c r="P148" i="10"/>
  <c r="U148" i="10"/>
  <c r="Z148" i="10"/>
  <c r="AD148" i="10"/>
  <c r="AI148" i="10"/>
  <c r="AM148" i="10"/>
  <c r="P149" i="10"/>
  <c r="R149" i="10"/>
  <c r="S149" i="10"/>
  <c r="U149" i="10"/>
  <c r="Z149" i="10"/>
  <c r="AD149" i="10"/>
  <c r="AI149" i="10"/>
  <c r="AJ149" i="10"/>
  <c r="AK149" i="10"/>
  <c r="AM149" i="10"/>
  <c r="P150" i="10"/>
  <c r="R150" i="10"/>
  <c r="S150" i="10"/>
  <c r="U150" i="10"/>
  <c r="Z150" i="10"/>
  <c r="AD150" i="10"/>
  <c r="AI150" i="10"/>
  <c r="AJ150" i="10"/>
  <c r="AK150" i="10"/>
  <c r="AM150" i="10"/>
  <c r="P151" i="10"/>
  <c r="R151" i="10"/>
  <c r="S151" i="10"/>
  <c r="U151" i="10"/>
  <c r="Z151" i="10"/>
  <c r="AD151" i="10"/>
  <c r="AI151" i="10"/>
  <c r="AJ151" i="10"/>
  <c r="AK151" i="10"/>
  <c r="AM151" i="10"/>
  <c r="P152" i="10"/>
  <c r="R152" i="10"/>
  <c r="S152" i="10"/>
  <c r="U152" i="10"/>
  <c r="Z152" i="10"/>
  <c r="AD152" i="10"/>
  <c r="AI152" i="10"/>
  <c r="AJ152" i="10"/>
  <c r="AK152" i="10"/>
  <c r="AM152" i="10"/>
  <c r="P153" i="10"/>
  <c r="R153" i="10"/>
  <c r="S153" i="10"/>
  <c r="U153" i="10"/>
  <c r="Z153" i="10"/>
  <c r="AD153" i="10"/>
  <c r="AI153" i="10"/>
  <c r="AJ153" i="10"/>
  <c r="AK153" i="10"/>
  <c r="AM153" i="10"/>
  <c r="P154" i="10"/>
  <c r="R154" i="10"/>
  <c r="S154" i="10"/>
  <c r="U154" i="10"/>
  <c r="Z154" i="10"/>
  <c r="AD154" i="10"/>
  <c r="AI154" i="10"/>
  <c r="AJ154" i="10"/>
  <c r="AK154" i="10"/>
  <c r="AM154" i="10"/>
  <c r="P155" i="10"/>
  <c r="R155" i="10"/>
  <c r="U155" i="10"/>
  <c r="Z155" i="10"/>
  <c r="AD155" i="10"/>
  <c r="AI155" i="10"/>
  <c r="AJ155" i="10"/>
  <c r="AM155" i="10"/>
  <c r="P156" i="10"/>
  <c r="R156" i="10"/>
  <c r="U156" i="10"/>
  <c r="Z156" i="10"/>
  <c r="AD156" i="10"/>
  <c r="AI156" i="10"/>
  <c r="AJ156" i="10"/>
  <c r="AM156" i="10"/>
  <c r="P157" i="10"/>
  <c r="U157" i="10"/>
  <c r="Z157" i="10"/>
  <c r="AD157" i="10"/>
  <c r="AI157" i="10"/>
  <c r="AM157" i="10"/>
  <c r="P158" i="10"/>
  <c r="U158" i="10"/>
  <c r="Z158" i="10"/>
  <c r="AD158" i="10"/>
  <c r="AI158" i="10"/>
  <c r="AM158" i="10"/>
  <c r="P111" i="10"/>
  <c r="R111" i="10"/>
  <c r="S111" i="10"/>
  <c r="U111" i="10"/>
  <c r="Z111" i="10"/>
  <c r="AD111" i="10"/>
  <c r="AI111" i="10"/>
  <c r="AJ111" i="10"/>
  <c r="AK111" i="10"/>
  <c r="AM111" i="10"/>
  <c r="D53" i="10"/>
  <c r="E53" i="10"/>
  <c r="P112" i="10"/>
  <c r="R112" i="10"/>
  <c r="S112" i="10"/>
  <c r="U112" i="10"/>
  <c r="Z112" i="10"/>
  <c r="AD112" i="10"/>
  <c r="AI112" i="10"/>
  <c r="AJ112" i="10"/>
  <c r="AK112" i="10"/>
  <c r="AM112" i="10"/>
  <c r="P113" i="10"/>
  <c r="R113" i="10"/>
  <c r="U113" i="10"/>
  <c r="Z113" i="10"/>
  <c r="AD113" i="10"/>
  <c r="AI113" i="10"/>
  <c r="AJ113" i="10"/>
  <c r="AM113" i="10"/>
  <c r="P114" i="10"/>
  <c r="U114" i="10"/>
  <c r="Z114" i="10"/>
  <c r="AD114" i="10"/>
  <c r="AI114" i="10"/>
  <c r="AM114" i="10"/>
  <c r="P115" i="10"/>
  <c r="R115" i="10"/>
  <c r="U115" i="10"/>
  <c r="Z115" i="10"/>
  <c r="AD115" i="10"/>
  <c r="AI115" i="10"/>
  <c r="AJ115" i="10"/>
  <c r="AM115" i="10"/>
  <c r="P116" i="10"/>
  <c r="R116" i="10"/>
  <c r="U116" i="10"/>
  <c r="Z116" i="10"/>
  <c r="AD116" i="10"/>
  <c r="AI116" i="10"/>
  <c r="AJ116" i="10"/>
  <c r="AM116" i="10"/>
  <c r="P117" i="10"/>
  <c r="R117" i="10"/>
  <c r="U117" i="10"/>
  <c r="Z117" i="10"/>
  <c r="AD117" i="10"/>
  <c r="AI117" i="10"/>
  <c r="AJ117" i="10"/>
  <c r="AM117" i="10"/>
  <c r="D20" i="10"/>
  <c r="E20" i="10"/>
  <c r="P118" i="10"/>
  <c r="R118" i="10"/>
  <c r="U118" i="10"/>
  <c r="Z118" i="10"/>
  <c r="AD118" i="10"/>
  <c r="AI118" i="10"/>
  <c r="AJ118" i="10"/>
  <c r="AM118" i="10"/>
  <c r="D45" i="10"/>
  <c r="E45" i="10"/>
  <c r="P119" i="10"/>
  <c r="R119" i="10"/>
  <c r="U119" i="10"/>
  <c r="Z119" i="10"/>
  <c r="AD119" i="10"/>
  <c r="AI119" i="10"/>
  <c r="AJ119" i="10"/>
  <c r="AM119" i="10"/>
  <c r="P120" i="10"/>
  <c r="U120" i="10"/>
  <c r="Z120" i="10"/>
  <c r="AD120" i="10"/>
  <c r="AI120" i="10"/>
  <c r="AM120" i="10"/>
  <c r="P121" i="10"/>
  <c r="U121" i="10"/>
  <c r="Z121" i="10"/>
  <c r="AD121" i="10"/>
  <c r="AI121" i="10"/>
  <c r="AM121" i="10"/>
  <c r="P122" i="10"/>
  <c r="U122" i="10"/>
  <c r="Z122" i="10"/>
  <c r="AD122" i="10"/>
  <c r="AI122" i="10"/>
  <c r="AM122" i="10"/>
  <c r="P98" i="10"/>
  <c r="R98" i="10"/>
  <c r="U98" i="10"/>
  <c r="Z98" i="10"/>
  <c r="AD98" i="10"/>
  <c r="AI98" i="10"/>
  <c r="AJ98" i="10"/>
  <c r="AM98" i="10"/>
  <c r="P99" i="10"/>
  <c r="R99" i="10"/>
  <c r="U99" i="10"/>
  <c r="Z99" i="10"/>
  <c r="AD99" i="10"/>
  <c r="AI99" i="10"/>
  <c r="AJ99" i="10"/>
  <c r="AM99" i="10"/>
  <c r="P100" i="10"/>
  <c r="R100" i="10"/>
  <c r="U100" i="10"/>
  <c r="Z100" i="10"/>
  <c r="AD100" i="10"/>
  <c r="AI100" i="10"/>
  <c r="AJ100" i="10"/>
  <c r="AM100" i="10"/>
  <c r="P101" i="10"/>
  <c r="R101" i="10"/>
  <c r="U101" i="10"/>
  <c r="Z101" i="10"/>
  <c r="AD101" i="10"/>
  <c r="AI101" i="10"/>
  <c r="AJ101" i="10"/>
  <c r="AM101" i="10"/>
  <c r="P102" i="10"/>
  <c r="U102" i="10"/>
  <c r="Z102" i="10"/>
  <c r="AD102" i="10"/>
  <c r="AI102" i="10"/>
  <c r="AM102" i="10"/>
  <c r="P103" i="10"/>
  <c r="U103" i="10"/>
  <c r="Z103" i="10"/>
  <c r="AD103" i="10"/>
  <c r="AI103" i="10"/>
  <c r="AM103" i="10"/>
  <c r="P104" i="10"/>
  <c r="U104" i="10"/>
  <c r="Z104" i="10"/>
  <c r="AD104" i="10"/>
  <c r="AI104" i="10"/>
  <c r="AM104" i="10"/>
  <c r="P105" i="10"/>
  <c r="U105" i="10"/>
  <c r="Z105" i="10"/>
  <c r="AD105" i="10"/>
  <c r="AI105" i="10"/>
  <c r="AM105" i="10"/>
  <c r="P106" i="10"/>
  <c r="R106" i="10"/>
  <c r="S106" i="10"/>
  <c r="U106" i="10"/>
  <c r="Z106" i="10"/>
  <c r="AD106" i="10"/>
  <c r="AI106" i="10"/>
  <c r="AJ106" i="10"/>
  <c r="AK106" i="10"/>
  <c r="AM106" i="10"/>
  <c r="P107" i="10"/>
  <c r="R107" i="10"/>
  <c r="S107" i="10"/>
  <c r="U107" i="10"/>
  <c r="Z107" i="10"/>
  <c r="AD107" i="10"/>
  <c r="AI107" i="10"/>
  <c r="AJ107" i="10"/>
  <c r="AK107" i="10"/>
  <c r="AM107" i="10"/>
  <c r="P108" i="10"/>
  <c r="R108" i="10"/>
  <c r="S108" i="10"/>
  <c r="U108" i="10"/>
  <c r="Z108" i="10"/>
  <c r="AD108" i="10"/>
  <c r="AI108" i="10"/>
  <c r="AJ108" i="10"/>
  <c r="AK108" i="10"/>
  <c r="AM108" i="10"/>
  <c r="P109" i="10"/>
  <c r="R109" i="10"/>
  <c r="S109" i="10"/>
  <c r="U109" i="10"/>
  <c r="Z109" i="10"/>
  <c r="AD109" i="10"/>
  <c r="AI109" i="10"/>
  <c r="AJ109" i="10"/>
  <c r="AK109" i="10"/>
  <c r="AM109" i="10"/>
  <c r="P110" i="10"/>
  <c r="R110" i="10"/>
  <c r="S110" i="10"/>
  <c r="U110" i="10"/>
  <c r="Z110" i="10"/>
  <c r="AD110" i="10"/>
  <c r="AI110" i="10"/>
  <c r="AJ110" i="10"/>
  <c r="AK110" i="10"/>
  <c r="AM110" i="10"/>
  <c r="P86" i="10"/>
  <c r="U86" i="10"/>
  <c r="Z86" i="10"/>
  <c r="AD86" i="10"/>
  <c r="AI86" i="10"/>
  <c r="AM86" i="10"/>
  <c r="P87" i="10"/>
  <c r="U87" i="10"/>
  <c r="Z87" i="10"/>
  <c r="AD87" i="10"/>
  <c r="AI87" i="10"/>
  <c r="AM87" i="10"/>
  <c r="D23" i="10"/>
  <c r="E23" i="10"/>
  <c r="P88" i="10"/>
  <c r="U88" i="10"/>
  <c r="Z88" i="10"/>
  <c r="AD88" i="10"/>
  <c r="AI88" i="10"/>
  <c r="AM88" i="10"/>
  <c r="P89" i="10"/>
  <c r="U89" i="10"/>
  <c r="Z89" i="10"/>
  <c r="AD89" i="10"/>
  <c r="AI89" i="10"/>
  <c r="AM89" i="10"/>
  <c r="P90" i="10"/>
  <c r="U90" i="10"/>
  <c r="Z90" i="10"/>
  <c r="AD90" i="10"/>
  <c r="AI90" i="10"/>
  <c r="AM90" i="10"/>
  <c r="P91" i="10"/>
  <c r="U91" i="10"/>
  <c r="Z91" i="10"/>
  <c r="AD91" i="10"/>
  <c r="AI91" i="10"/>
  <c r="AM91" i="10"/>
  <c r="P92" i="10"/>
  <c r="U92" i="10"/>
  <c r="Z92" i="10"/>
  <c r="AD92" i="10"/>
  <c r="AI92" i="10"/>
  <c r="AM92" i="10"/>
  <c r="P93" i="10"/>
  <c r="U93" i="10"/>
  <c r="Z93" i="10"/>
  <c r="AD93" i="10"/>
  <c r="AI93" i="10"/>
  <c r="AM93" i="10"/>
  <c r="P94" i="10"/>
  <c r="U94" i="10"/>
  <c r="Z94" i="10"/>
  <c r="AD94" i="10"/>
  <c r="AI94" i="10"/>
  <c r="AM94" i="10"/>
  <c r="D44" i="10"/>
  <c r="E44" i="10"/>
  <c r="P95" i="10"/>
  <c r="R95" i="10"/>
  <c r="U95" i="10"/>
  <c r="Z95" i="10"/>
  <c r="AD95" i="10"/>
  <c r="AI95" i="10"/>
  <c r="AJ95" i="10"/>
  <c r="AM95" i="10"/>
  <c r="P96" i="10"/>
  <c r="U96" i="10"/>
  <c r="Z96" i="10"/>
  <c r="AD96" i="10"/>
  <c r="AI96" i="10"/>
  <c r="AM96" i="10"/>
  <c r="P97" i="10"/>
  <c r="U97" i="10"/>
  <c r="Z97" i="10"/>
  <c r="AD97" i="10"/>
  <c r="AI97" i="10"/>
  <c r="AM97" i="10"/>
  <c r="B10" i="10"/>
  <c r="P82" i="10"/>
  <c r="U82" i="10"/>
  <c r="Z82" i="10"/>
  <c r="AD82" i="10"/>
  <c r="AI82" i="10"/>
  <c r="AM82" i="10"/>
  <c r="P83" i="10"/>
  <c r="U83" i="10"/>
  <c r="Z83" i="10"/>
  <c r="AD83" i="10"/>
  <c r="AI83" i="10"/>
  <c r="AM83" i="10"/>
  <c r="P84" i="10"/>
  <c r="U84" i="10"/>
  <c r="Z84" i="10"/>
  <c r="AD84" i="10"/>
  <c r="AI84" i="10"/>
  <c r="AM84" i="10"/>
  <c r="P85" i="10"/>
  <c r="U85" i="10"/>
  <c r="Z85" i="10"/>
  <c r="AD85" i="10"/>
  <c r="AI85" i="10"/>
  <c r="AM85" i="10"/>
  <c r="J59" i="10"/>
  <c r="K59" i="10"/>
  <c r="F59" i="10"/>
  <c r="L59" i="10"/>
  <c r="M59" i="10"/>
  <c r="N59" i="10"/>
  <c r="O59" i="10"/>
  <c r="P59" i="10"/>
  <c r="G59" i="10"/>
  <c r="Q59" i="10"/>
  <c r="J60" i="10"/>
  <c r="K60" i="10"/>
  <c r="F60" i="10"/>
  <c r="L60" i="10"/>
  <c r="M60" i="10"/>
  <c r="N60" i="10"/>
  <c r="O60" i="10"/>
  <c r="P60" i="10"/>
  <c r="G60" i="10"/>
  <c r="Q60" i="10"/>
  <c r="J61" i="10"/>
  <c r="K61" i="10"/>
  <c r="F61" i="10"/>
  <c r="L61" i="10"/>
  <c r="M61" i="10"/>
  <c r="N61" i="10"/>
  <c r="O61" i="10"/>
  <c r="P61" i="10"/>
  <c r="G61" i="10"/>
  <c r="Q61" i="10"/>
  <c r="J62" i="10"/>
  <c r="K62" i="10"/>
  <c r="F62" i="10"/>
  <c r="L62" i="10"/>
  <c r="M62" i="10"/>
  <c r="N62" i="10"/>
  <c r="O62" i="10"/>
  <c r="P62" i="10"/>
  <c r="G62" i="10"/>
  <c r="Q62" i="10"/>
  <c r="J63" i="10"/>
  <c r="K63" i="10"/>
  <c r="F63" i="10"/>
  <c r="L63" i="10"/>
  <c r="M63" i="10"/>
  <c r="N63" i="10"/>
  <c r="O63" i="10"/>
  <c r="P63" i="10"/>
  <c r="G63" i="10"/>
  <c r="Q63" i="10"/>
  <c r="J64" i="10"/>
  <c r="K64" i="10"/>
  <c r="F64" i="10"/>
  <c r="L64" i="10"/>
  <c r="M64" i="10"/>
  <c r="N64" i="10"/>
  <c r="O64" i="10"/>
  <c r="P64" i="10"/>
  <c r="G64" i="10"/>
  <c r="Q64" i="10"/>
  <c r="J65" i="10"/>
  <c r="K65" i="10"/>
  <c r="F65" i="10"/>
  <c r="L65" i="10"/>
  <c r="M65" i="10"/>
  <c r="N65" i="10"/>
  <c r="O65" i="10"/>
  <c r="P65" i="10"/>
  <c r="G65" i="10"/>
  <c r="Q65" i="10"/>
  <c r="J66" i="10"/>
  <c r="K66" i="10"/>
  <c r="F66" i="10"/>
  <c r="L66" i="10"/>
  <c r="M66" i="10"/>
  <c r="N66" i="10"/>
  <c r="O66" i="10"/>
  <c r="P66" i="10"/>
  <c r="G66" i="10"/>
  <c r="Q66" i="10"/>
  <c r="Q69" i="10"/>
  <c r="B181" i="10"/>
  <c r="I59" i="10"/>
  <c r="S59" i="10"/>
  <c r="I60" i="10"/>
  <c r="S60" i="10"/>
  <c r="I61" i="10"/>
  <c r="S61" i="10"/>
  <c r="I62" i="10"/>
  <c r="S62" i="10"/>
  <c r="I63" i="10"/>
  <c r="S63" i="10"/>
  <c r="I64" i="10"/>
  <c r="S64" i="10"/>
  <c r="I65" i="10"/>
  <c r="S65" i="10"/>
  <c r="I66" i="10"/>
  <c r="S66" i="10"/>
  <c r="S69" i="10"/>
  <c r="D14" i="17"/>
  <c r="D15" i="17"/>
  <c r="D16" i="17"/>
  <c r="D28" i="17"/>
  <c r="D29" i="17"/>
  <c r="D37" i="17"/>
  <c r="D19" i="17"/>
  <c r="D20" i="17"/>
  <c r="D21" i="17"/>
  <c r="D32" i="17"/>
  <c r="D33" i="17"/>
  <c r="D38" i="17"/>
  <c r="D39" i="17"/>
  <c r="H39" i="17"/>
  <c r="F14" i="17"/>
  <c r="F15" i="17"/>
  <c r="F16" i="17"/>
  <c r="F37" i="17"/>
  <c r="F20" i="17"/>
  <c r="F21" i="17"/>
  <c r="F38" i="17"/>
  <c r="F39" i="17"/>
  <c r="E14" i="17"/>
  <c r="E15" i="17"/>
  <c r="E16" i="17"/>
  <c r="E28" i="17"/>
  <c r="E29" i="17"/>
  <c r="E37" i="17"/>
  <c r="E19" i="17"/>
  <c r="E20" i="17"/>
  <c r="E21" i="17"/>
  <c r="E32" i="17"/>
  <c r="E33" i="17"/>
  <c r="E38" i="17"/>
  <c r="E39" i="17"/>
  <c r="N26" i="26"/>
  <c r="B35" i="26"/>
  <c r="D11" i="26"/>
  <c r="B10" i="26"/>
  <c r="B11" i="26"/>
  <c r="AL17" i="24"/>
  <c r="J17" i="7"/>
  <c r="B30" i="21"/>
  <c r="D30" i="21"/>
  <c r="E9" i="7"/>
  <c r="E17" i="7"/>
  <c r="E11" i="26"/>
  <c r="C18" i="26"/>
  <c r="B12" i="26"/>
  <c r="D7" i="17"/>
  <c r="AL15" i="24"/>
  <c r="J15" i="7"/>
  <c r="B26" i="21"/>
  <c r="D26" i="21"/>
  <c r="E7" i="7"/>
  <c r="E15" i="7"/>
  <c r="D7" i="7"/>
  <c r="D15" i="7"/>
  <c r="AL16" i="24"/>
  <c r="J16" i="7"/>
  <c r="B28" i="21"/>
  <c r="D28" i="21"/>
  <c r="E8" i="7"/>
  <c r="E16" i="7"/>
  <c r="D8" i="7"/>
  <c r="D16" i="7"/>
  <c r="H16" i="17"/>
  <c r="E7" i="17"/>
  <c r="F7" i="17"/>
  <c r="F4" i="17"/>
  <c r="G4" i="17"/>
  <c r="H29" i="17"/>
  <c r="H21" i="17"/>
  <c r="H33" i="17"/>
  <c r="H38" i="17"/>
  <c r="H41" i="17"/>
  <c r="F41" i="17"/>
  <c r="E41" i="17"/>
  <c r="F33" i="17"/>
  <c r="F29" i="17"/>
  <c r="H43" i="17"/>
  <c r="E43" i="17"/>
  <c r="L29" i="28"/>
  <c r="K29" i="28"/>
  <c r="J29" i="28"/>
  <c r="D109" i="28"/>
  <c r="C23" i="21"/>
  <c r="C22" i="21"/>
  <c r="C21" i="21"/>
  <c r="C27" i="18"/>
  <c r="C28" i="18"/>
  <c r="C26" i="18"/>
  <c r="R9" i="14"/>
  <c r="P9" i="14"/>
  <c r="Q9" i="14"/>
  <c r="P11" i="14"/>
  <c r="O11" i="14"/>
  <c r="A56" i="26"/>
  <c r="C166" i="10"/>
  <c r="H30" i="28"/>
  <c r="F30" i="28"/>
  <c r="B14" i="20"/>
  <c r="H14" i="28"/>
  <c r="U79" i="5"/>
  <c r="U80" i="5"/>
  <c r="E110" i="28"/>
  <c r="E111" i="28"/>
  <c r="E109" i="28"/>
  <c r="E103" i="28"/>
  <c r="E102" i="28"/>
  <c r="E88" i="28"/>
  <c r="E81" i="28"/>
  <c r="C110" i="28"/>
  <c r="D110" i="28"/>
  <c r="C111" i="28"/>
  <c r="D111" i="28"/>
  <c r="C112" i="28"/>
  <c r="D112" i="28"/>
  <c r="A108" i="28"/>
  <c r="C109" i="28"/>
  <c r="C103" i="28"/>
  <c r="D103" i="28"/>
  <c r="C104" i="28"/>
  <c r="D104" i="28"/>
  <c r="C105" i="28"/>
  <c r="D105" i="28"/>
  <c r="D102" i="28"/>
  <c r="C102" i="28"/>
  <c r="C89" i="28"/>
  <c r="D89" i="28"/>
  <c r="C90" i="28"/>
  <c r="D90" i="28"/>
  <c r="C91" i="28"/>
  <c r="D91" i="28"/>
  <c r="D88" i="28"/>
  <c r="C88" i="28"/>
  <c r="C82" i="28"/>
  <c r="D82" i="28"/>
  <c r="C83" i="28"/>
  <c r="D83" i="28"/>
  <c r="C84" i="28"/>
  <c r="D84" i="28"/>
  <c r="D81" i="28"/>
  <c r="C81" i="28"/>
  <c r="C75" i="28"/>
  <c r="D75" i="28"/>
  <c r="C76" i="28"/>
  <c r="D76" i="28"/>
  <c r="C77" i="28"/>
  <c r="D77" i="28"/>
  <c r="D74" i="28"/>
  <c r="C74" i="28"/>
  <c r="C68" i="28"/>
  <c r="D68" i="28"/>
  <c r="C69" i="28"/>
  <c r="D69" i="28"/>
  <c r="C70" i="28"/>
  <c r="D70" i="28"/>
  <c r="D67" i="28"/>
  <c r="C67" i="28"/>
  <c r="C61" i="28"/>
  <c r="D61" i="28"/>
  <c r="C62" i="28"/>
  <c r="D62" i="28"/>
  <c r="C63" i="28"/>
  <c r="D63" i="28"/>
  <c r="D60" i="28"/>
  <c r="C60" i="28"/>
  <c r="C54" i="28"/>
  <c r="D54" i="28"/>
  <c r="C55" i="28"/>
  <c r="D55" i="28"/>
  <c r="C56" i="28"/>
  <c r="D56" i="28"/>
  <c r="D53" i="28"/>
  <c r="C53" i="28"/>
  <c r="F109" i="28"/>
  <c r="F111" i="28"/>
  <c r="F110" i="28"/>
  <c r="F103" i="28"/>
  <c r="F12" i="28"/>
  <c r="E112" i="28"/>
  <c r="F112" i="28"/>
  <c r="U9" i="5"/>
  <c r="D164" i="10"/>
  <c r="D173" i="10"/>
  <c r="F13" i="26"/>
  <c r="E12" i="26"/>
  <c r="C10" i="26"/>
  <c r="E12" i="10"/>
  <c r="F13" i="10"/>
  <c r="B62" i="14"/>
  <c r="R61" i="14"/>
  <c r="B13" i="26"/>
  <c r="F12" i="26"/>
  <c r="F12" i="10"/>
  <c r="AK13" i="24"/>
  <c r="AL13" i="24"/>
  <c r="J13" i="7"/>
  <c r="B61" i="14"/>
  <c r="D6" i="7"/>
  <c r="D7" i="4"/>
  <c r="D567" i="4"/>
  <c r="D9" i="7"/>
  <c r="E7" i="6"/>
  <c r="D7" i="5"/>
  <c r="B14" i="28"/>
  <c r="Q60" i="14"/>
  <c r="H13" i="28"/>
  <c r="R60" i="14"/>
  <c r="F11" i="26"/>
  <c r="A94" i="28"/>
  <c r="U77" i="5"/>
  <c r="U78" i="5"/>
  <c r="U467" i="4"/>
  <c r="U67" i="5"/>
  <c r="L28" i="28"/>
  <c r="K28" i="28"/>
  <c r="L26" i="28"/>
  <c r="K26" i="28"/>
  <c r="L25" i="28"/>
  <c r="K25" i="28"/>
  <c r="L24" i="28"/>
  <c r="K24" i="28"/>
  <c r="L23" i="28"/>
  <c r="K23" i="28"/>
  <c r="L22" i="28"/>
  <c r="K22" i="28"/>
  <c r="L21" i="28"/>
  <c r="K21" i="28"/>
  <c r="U68" i="5"/>
  <c r="U69" i="5"/>
  <c r="U70" i="5"/>
  <c r="U71" i="5"/>
  <c r="U72" i="5"/>
  <c r="U73" i="5"/>
  <c r="U74" i="5"/>
  <c r="U75" i="5"/>
  <c r="U76" i="5"/>
  <c r="A52" i="28"/>
  <c r="D130" i="28"/>
  <c r="E130" i="28"/>
  <c r="F130" i="28"/>
  <c r="G130" i="28"/>
  <c r="H130" i="28"/>
  <c r="I130" i="28"/>
  <c r="L118" i="28"/>
  <c r="L119" i="28"/>
  <c r="L120" i="28"/>
  <c r="L121" i="28"/>
  <c r="L122" i="28"/>
  <c r="L123" i="28"/>
  <c r="L124" i="28"/>
  <c r="L125" i="28"/>
  <c r="L126" i="28"/>
  <c r="L127" i="28"/>
  <c r="L128" i="28"/>
  <c r="L129" i="28"/>
  <c r="L117" i="28"/>
  <c r="L130" i="28"/>
  <c r="B135" i="28"/>
  <c r="E31" i="10"/>
  <c r="D165" i="10"/>
  <c r="D166" i="10"/>
  <c r="AK14" i="24"/>
  <c r="AI12" i="24"/>
  <c r="AJ12" i="24"/>
  <c r="AL12" i="24"/>
  <c r="J12" i="7"/>
  <c r="B77" i="14"/>
  <c r="B85" i="14"/>
  <c r="C20" i="21"/>
  <c r="C24" i="21"/>
  <c r="B78" i="14"/>
  <c r="B79" i="14"/>
  <c r="K8" i="20"/>
  <c r="K10" i="20"/>
  <c r="B80" i="14"/>
  <c r="B81" i="14"/>
  <c r="U50" i="5"/>
  <c r="U51" i="5"/>
  <c r="U52" i="5"/>
  <c r="U56" i="5"/>
  <c r="U57" i="5"/>
  <c r="U60" i="5"/>
  <c r="U62" i="5"/>
  <c r="U66" i="5"/>
  <c r="U9" i="4"/>
  <c r="U10" i="4"/>
  <c r="U11" i="4"/>
  <c r="U12" i="4"/>
  <c r="U13" i="4"/>
  <c r="U14" i="4"/>
  <c r="U19" i="4"/>
  <c r="U37" i="4"/>
  <c r="U40" i="4"/>
  <c r="U44" i="4"/>
  <c r="U45" i="4"/>
  <c r="U46" i="4"/>
  <c r="U47" i="4"/>
  <c r="U48" i="4"/>
  <c r="U49" i="4"/>
  <c r="U50" i="4"/>
  <c r="U51" i="4"/>
  <c r="U52" i="4"/>
  <c r="U53" i="4"/>
  <c r="U54" i="4"/>
  <c r="U55" i="4"/>
  <c r="U56" i="4"/>
  <c r="U57" i="4"/>
  <c r="U58" i="4"/>
  <c r="U59" i="4"/>
  <c r="U60" i="4"/>
  <c r="U61" i="4"/>
  <c r="U62" i="4"/>
  <c r="U63" i="4"/>
  <c r="U64" i="4"/>
  <c r="U65" i="4"/>
  <c r="U66" i="4"/>
  <c r="U83" i="4"/>
  <c r="U84" i="4"/>
  <c r="U85" i="4"/>
  <c r="U90" i="4"/>
  <c r="U92" i="4"/>
  <c r="U94" i="4"/>
  <c r="U95" i="4"/>
  <c r="U96" i="4"/>
  <c r="U347" i="4"/>
  <c r="U447" i="4"/>
  <c r="U462" i="4"/>
  <c r="U558" i="4"/>
  <c r="E49" i="10"/>
  <c r="E50" i="10"/>
  <c r="C10" i="6"/>
  <c r="C13" i="6"/>
  <c r="C14" i="6"/>
  <c r="C15" i="6"/>
  <c r="E15" i="6"/>
  <c r="C16" i="6"/>
  <c r="E16" i="6"/>
  <c r="C17" i="6"/>
  <c r="E17" i="6"/>
  <c r="C18" i="6"/>
  <c r="E18" i="6"/>
  <c r="C19" i="6"/>
  <c r="E19" i="6"/>
  <c r="C20" i="6"/>
  <c r="E20" i="6"/>
  <c r="C21" i="6"/>
  <c r="E21" i="6"/>
  <c r="C22" i="6"/>
  <c r="E22" i="6"/>
  <c r="C24" i="6"/>
  <c r="E24" i="6"/>
  <c r="C25" i="6"/>
  <c r="E25" i="6"/>
  <c r="C26" i="6"/>
  <c r="E26" i="6"/>
  <c r="C28" i="6"/>
  <c r="E28" i="6"/>
  <c r="C29" i="6"/>
  <c r="E29" i="6"/>
  <c r="C30" i="6"/>
  <c r="C32" i="6"/>
  <c r="C34" i="6"/>
  <c r="C36" i="6"/>
  <c r="C38" i="6"/>
  <c r="C40" i="6"/>
  <c r="E40" i="6"/>
  <c r="C41" i="6"/>
  <c r="E41" i="6"/>
  <c r="C42" i="6"/>
  <c r="E42" i="6"/>
  <c r="C43" i="6"/>
  <c r="E43" i="6"/>
  <c r="C46" i="6"/>
  <c r="E46" i="6"/>
  <c r="C47" i="6"/>
  <c r="E47" i="6"/>
  <c r="C49" i="6"/>
  <c r="E49" i="6"/>
  <c r="C50" i="6"/>
  <c r="E50" i="6"/>
  <c r="C51" i="6"/>
  <c r="E51" i="6"/>
  <c r="C52" i="6"/>
  <c r="E52" i="6"/>
  <c r="C53" i="6"/>
  <c r="E53" i="6"/>
  <c r="C54" i="6"/>
  <c r="C55" i="6"/>
  <c r="E55" i="6"/>
  <c r="C56" i="6"/>
  <c r="E56" i="6"/>
  <c r="C59" i="6"/>
  <c r="C61" i="6"/>
  <c r="C64" i="6"/>
  <c r="E64" i="6"/>
  <c r="C65" i="6"/>
  <c r="C66" i="6"/>
  <c r="E66" i="6"/>
  <c r="C67" i="6"/>
  <c r="E67" i="6"/>
  <c r="C68" i="6"/>
  <c r="E68" i="6"/>
  <c r="C69" i="6"/>
  <c r="E69" i="6"/>
  <c r="C73" i="6"/>
  <c r="E73" i="6"/>
  <c r="C74" i="6"/>
  <c r="E74" i="6"/>
  <c r="C75" i="6"/>
  <c r="E75" i="6"/>
  <c r="C77" i="6"/>
  <c r="C78" i="6"/>
  <c r="E78" i="6"/>
  <c r="C79" i="6"/>
  <c r="E79" i="6"/>
  <c r="C82" i="6"/>
  <c r="E82" i="6"/>
  <c r="C85" i="6"/>
  <c r="C86" i="6"/>
  <c r="C88" i="6"/>
  <c r="E88" i="6"/>
  <c r="C89" i="6"/>
  <c r="C90" i="6"/>
  <c r="E90" i="6"/>
  <c r="C91" i="6"/>
  <c r="E91" i="6"/>
  <c r="C92" i="6"/>
  <c r="E92" i="6"/>
  <c r="C94" i="6"/>
  <c r="E94" i="6"/>
  <c r="C98" i="6"/>
  <c r="E98" i="6"/>
  <c r="C99" i="6"/>
  <c r="E99" i="6"/>
  <c r="C100" i="6"/>
  <c r="E100" i="6"/>
  <c r="C101" i="6"/>
  <c r="E101" i="6"/>
  <c r="C102" i="6"/>
  <c r="E102" i="6"/>
  <c r="C103" i="6"/>
  <c r="E103" i="6"/>
  <c r="C104" i="6"/>
  <c r="E104" i="6"/>
  <c r="C105" i="6"/>
  <c r="C107" i="6"/>
  <c r="C108" i="6"/>
  <c r="C109" i="6"/>
  <c r="C111" i="6"/>
  <c r="E111" i="6"/>
  <c r="C112" i="6"/>
  <c r="E112" i="6"/>
  <c r="C114" i="6"/>
  <c r="E114" i="6"/>
  <c r="C117" i="6"/>
  <c r="E117" i="6"/>
  <c r="C120" i="6"/>
  <c r="E120" i="6"/>
  <c r="C121" i="6"/>
  <c r="E121" i="6"/>
  <c r="C122" i="6"/>
  <c r="E122" i="6"/>
  <c r="C123" i="6"/>
  <c r="E123" i="6"/>
  <c r="C124" i="6"/>
  <c r="E124" i="6"/>
  <c r="C126" i="6"/>
  <c r="C127" i="6"/>
  <c r="E127" i="6"/>
  <c r="C128" i="6"/>
  <c r="E128" i="6"/>
  <c r="C132" i="6"/>
  <c r="C134" i="6"/>
  <c r="C135" i="6"/>
  <c r="E135" i="6"/>
  <c r="C136" i="6"/>
  <c r="E136" i="6"/>
  <c r="C137" i="6"/>
  <c r="E137" i="6"/>
  <c r="C138" i="6"/>
  <c r="E138" i="6"/>
  <c r="C140" i="6"/>
  <c r="C141" i="6"/>
  <c r="C142" i="6"/>
  <c r="E142" i="6"/>
  <c r="C143" i="6"/>
  <c r="E143" i="6"/>
  <c r="C146" i="6"/>
  <c r="E146" i="6"/>
  <c r="C149" i="6"/>
  <c r="E149" i="6"/>
  <c r="C150" i="6"/>
  <c r="E150" i="6"/>
  <c r="C151" i="6"/>
  <c r="E151" i="6"/>
  <c r="C154" i="6"/>
  <c r="E154" i="6"/>
  <c r="C155" i="6"/>
  <c r="E155" i="6"/>
  <c r="C157" i="6"/>
  <c r="C158" i="6"/>
  <c r="C159" i="6"/>
  <c r="C160" i="6"/>
  <c r="E160" i="6"/>
  <c r="C161" i="6"/>
  <c r="C163" i="6"/>
  <c r="E163" i="6"/>
  <c r="C164" i="6"/>
  <c r="E164" i="6"/>
  <c r="C166" i="6"/>
  <c r="E166" i="6"/>
  <c r="C168" i="6"/>
  <c r="E168" i="6"/>
  <c r="C169" i="6"/>
  <c r="E169" i="6"/>
  <c r="C170" i="6"/>
  <c r="E170" i="6"/>
  <c r="C171" i="6"/>
  <c r="E171" i="6"/>
  <c r="C172" i="6"/>
  <c r="C173" i="6"/>
  <c r="C175" i="6"/>
  <c r="E175" i="6"/>
  <c r="C177" i="6"/>
  <c r="E177" i="6"/>
  <c r="C178" i="6"/>
  <c r="E178" i="6"/>
  <c r="C180" i="6"/>
  <c r="C181" i="6"/>
  <c r="C183" i="6"/>
  <c r="E183" i="6"/>
  <c r="C184" i="6"/>
  <c r="C185" i="6"/>
  <c r="E185" i="6"/>
  <c r="C186" i="6"/>
  <c r="E186" i="6"/>
  <c r="C187" i="6"/>
  <c r="E187" i="6"/>
  <c r="C188" i="6"/>
  <c r="C189" i="6"/>
  <c r="E189" i="6"/>
  <c r="C191" i="6"/>
  <c r="E191" i="6"/>
  <c r="C192" i="6"/>
  <c r="E192" i="6"/>
  <c r="C193" i="6"/>
  <c r="E193" i="6"/>
  <c r="C194" i="6"/>
  <c r="E194" i="6"/>
  <c r="C195" i="6"/>
  <c r="C196" i="6"/>
  <c r="C197" i="6"/>
  <c r="E197" i="6"/>
  <c r="C198" i="6"/>
  <c r="E198" i="6"/>
  <c r="C199" i="6"/>
  <c r="C200" i="6"/>
  <c r="C201" i="6"/>
  <c r="E201" i="6"/>
  <c r="C202" i="6"/>
  <c r="C203" i="6"/>
  <c r="C204" i="6"/>
  <c r="C205" i="6"/>
  <c r="E205" i="6"/>
  <c r="C206" i="6"/>
  <c r="E206" i="6"/>
  <c r="C210" i="6"/>
  <c r="E210" i="6"/>
  <c r="C211" i="6"/>
  <c r="E211" i="6"/>
  <c r="C215" i="6"/>
  <c r="E215" i="6"/>
  <c r="C217" i="6"/>
  <c r="E217" i="6"/>
  <c r="C218" i="6"/>
  <c r="E218" i="6"/>
  <c r="C219" i="6"/>
  <c r="C220" i="6"/>
  <c r="E220" i="6"/>
  <c r="C222" i="6"/>
  <c r="E222" i="6"/>
  <c r="C223" i="6"/>
  <c r="C224" i="6"/>
  <c r="C225" i="6"/>
  <c r="E225" i="6"/>
  <c r="C226" i="6"/>
  <c r="C227" i="6"/>
  <c r="C228" i="6"/>
  <c r="C229" i="6"/>
  <c r="E229" i="6"/>
  <c r="C232" i="6"/>
  <c r="E232" i="6"/>
  <c r="C233" i="6"/>
  <c r="E233" i="6"/>
  <c r="C234" i="6"/>
  <c r="E234" i="6"/>
  <c r="C235" i="6"/>
  <c r="E235" i="6"/>
  <c r="C239" i="6"/>
  <c r="E239" i="6"/>
  <c r="C241" i="6"/>
  <c r="E241" i="6"/>
  <c r="C244" i="6"/>
  <c r="E244" i="6"/>
  <c r="C247" i="6"/>
  <c r="C249" i="6"/>
  <c r="C250" i="6"/>
  <c r="C254" i="6"/>
  <c r="C256" i="6"/>
  <c r="E256" i="6"/>
  <c r="C257" i="6"/>
  <c r="E257" i="6"/>
  <c r="C258" i="6"/>
  <c r="E258" i="6"/>
  <c r="C260" i="6"/>
  <c r="E260" i="6"/>
  <c r="C263" i="6"/>
  <c r="C264" i="6"/>
  <c r="E264" i="6"/>
  <c r="C265" i="6"/>
  <c r="E265" i="6"/>
  <c r="C267" i="6"/>
  <c r="C268" i="6"/>
  <c r="E268" i="6"/>
  <c r="C270" i="6"/>
  <c r="C271" i="6"/>
  <c r="C273" i="6"/>
  <c r="C275" i="6"/>
  <c r="C276" i="6"/>
  <c r="E276" i="6"/>
  <c r="C280" i="6"/>
  <c r="E280" i="6"/>
  <c r="C281" i="6"/>
  <c r="E281" i="6"/>
  <c r="C282" i="6"/>
  <c r="E282" i="6"/>
  <c r="C284" i="6"/>
  <c r="E284" i="6"/>
  <c r="C286" i="6"/>
  <c r="E286" i="6"/>
  <c r="C287" i="6"/>
  <c r="E287" i="6"/>
  <c r="C288" i="6"/>
  <c r="C289" i="6"/>
  <c r="C290" i="6"/>
  <c r="E290" i="6"/>
  <c r="C291" i="6"/>
  <c r="E291" i="6"/>
  <c r="C292" i="6"/>
  <c r="C294" i="6"/>
  <c r="E294" i="6"/>
  <c r="C295" i="6"/>
  <c r="C297" i="6"/>
  <c r="C298" i="6"/>
  <c r="E298" i="6"/>
  <c r="C299" i="6"/>
  <c r="C301" i="6"/>
  <c r="E301" i="6"/>
  <c r="C302" i="6"/>
  <c r="E302" i="6"/>
  <c r="C303" i="6"/>
  <c r="E303" i="6"/>
  <c r="C304" i="6"/>
  <c r="E304" i="6"/>
  <c r="C305" i="6"/>
  <c r="E305" i="6"/>
  <c r="C306" i="6"/>
  <c r="E306" i="6"/>
  <c r="C307" i="6"/>
  <c r="E307" i="6"/>
  <c r="C309" i="6"/>
  <c r="E309" i="6"/>
  <c r="C310" i="6"/>
  <c r="C311" i="6"/>
  <c r="C312" i="6"/>
  <c r="E312" i="6"/>
  <c r="C313" i="6"/>
  <c r="E313" i="6"/>
  <c r="C314" i="6"/>
  <c r="C315" i="6"/>
  <c r="C316" i="6"/>
  <c r="E316" i="6"/>
  <c r="C318" i="6"/>
  <c r="C320" i="6"/>
  <c r="E320" i="6"/>
  <c r="C322" i="6"/>
  <c r="C323" i="6"/>
  <c r="C324" i="6"/>
  <c r="C326" i="6"/>
  <c r="E326" i="6"/>
  <c r="C327" i="6"/>
  <c r="E327" i="6"/>
  <c r="C328" i="6"/>
  <c r="E328" i="6"/>
  <c r="C329" i="6"/>
  <c r="E329" i="6"/>
  <c r="C330" i="6"/>
  <c r="E330" i="6"/>
  <c r="C331" i="6"/>
  <c r="C332" i="6"/>
  <c r="E332" i="6"/>
  <c r="C334" i="6"/>
  <c r="C336" i="6"/>
  <c r="E336" i="6"/>
  <c r="C337" i="6"/>
  <c r="E337" i="6"/>
  <c r="C338" i="6"/>
  <c r="C339" i="6"/>
  <c r="C340" i="6"/>
  <c r="E340" i="6"/>
  <c r="C341" i="6"/>
  <c r="C342" i="6"/>
  <c r="C344" i="6"/>
  <c r="C345" i="6"/>
  <c r="E345" i="6"/>
  <c r="C346" i="6"/>
  <c r="C348" i="6"/>
  <c r="E348" i="6"/>
  <c r="C350" i="6"/>
  <c r="E350" i="6"/>
  <c r="C351" i="6"/>
  <c r="E351" i="6"/>
  <c r="C352" i="6"/>
  <c r="E352" i="6"/>
  <c r="C353" i="6"/>
  <c r="E353" i="6"/>
  <c r="C355" i="6"/>
  <c r="E355" i="6"/>
  <c r="C356" i="6"/>
  <c r="E356" i="6"/>
  <c r="C357" i="6"/>
  <c r="E357" i="6"/>
  <c r="C358" i="6"/>
  <c r="E358" i="6"/>
  <c r="C359" i="6"/>
  <c r="C361" i="6"/>
  <c r="E361" i="6"/>
  <c r="C363" i="6"/>
  <c r="C364" i="6"/>
  <c r="E364" i="6"/>
  <c r="C366" i="6"/>
  <c r="C367" i="6"/>
  <c r="C368" i="6"/>
  <c r="E368" i="6"/>
  <c r="C369" i="6"/>
  <c r="C370" i="6"/>
  <c r="C371" i="6"/>
  <c r="C372" i="6"/>
  <c r="E372" i="6"/>
  <c r="C378" i="6"/>
  <c r="E378" i="6"/>
  <c r="C379" i="6"/>
  <c r="E379" i="6"/>
  <c r="C380" i="6"/>
  <c r="E380" i="6"/>
  <c r="C382" i="6"/>
  <c r="C383" i="6"/>
  <c r="C384" i="6"/>
  <c r="E384" i="6"/>
  <c r="C385" i="6"/>
  <c r="E385" i="6"/>
  <c r="C386" i="6"/>
  <c r="C387" i="6"/>
  <c r="C388" i="6"/>
  <c r="E388" i="6"/>
  <c r="C390" i="6"/>
  <c r="E390" i="6"/>
  <c r="C393" i="6"/>
  <c r="E393" i="6"/>
  <c r="C394" i="6"/>
  <c r="C395" i="6"/>
  <c r="E395" i="6"/>
  <c r="C396" i="6"/>
  <c r="E396" i="6"/>
  <c r="C397" i="6"/>
  <c r="E397" i="6"/>
  <c r="C398" i="6"/>
  <c r="E398" i="6"/>
  <c r="C399" i="6"/>
  <c r="E399" i="6"/>
  <c r="C401" i="6"/>
  <c r="E401" i="6"/>
  <c r="C402" i="6"/>
  <c r="E402" i="6"/>
  <c r="C403" i="6"/>
  <c r="E403" i="6"/>
  <c r="C404" i="6"/>
  <c r="E404" i="6"/>
  <c r="C405" i="6"/>
  <c r="E405" i="6"/>
  <c r="C406" i="6"/>
  <c r="C407" i="6"/>
  <c r="C408" i="6"/>
  <c r="E408" i="6"/>
  <c r="C410" i="6"/>
  <c r="C411" i="6"/>
  <c r="C412" i="6"/>
  <c r="E412" i="6"/>
  <c r="C414" i="6"/>
  <c r="E414" i="6"/>
  <c r="C416" i="6"/>
  <c r="E416" i="6"/>
  <c r="C418" i="6"/>
  <c r="C419" i="6"/>
  <c r="E419" i="6"/>
  <c r="C420" i="6"/>
  <c r="E420" i="6"/>
  <c r="C421" i="6"/>
  <c r="E421" i="6"/>
  <c r="C422" i="6"/>
  <c r="E422" i="6"/>
  <c r="C423" i="6"/>
  <c r="E423" i="6"/>
  <c r="C425" i="6"/>
  <c r="E425" i="6"/>
  <c r="C426" i="6"/>
  <c r="E426" i="6"/>
  <c r="C427" i="6"/>
  <c r="E427" i="6"/>
  <c r="C428" i="6"/>
  <c r="E428" i="6"/>
  <c r="C429" i="6"/>
  <c r="E429" i="6"/>
  <c r="C432" i="6"/>
  <c r="E432" i="6"/>
  <c r="C433" i="6"/>
  <c r="E433" i="6"/>
  <c r="C434" i="6"/>
  <c r="C436" i="6"/>
  <c r="E436" i="6"/>
  <c r="C437" i="6"/>
  <c r="C439" i="6"/>
  <c r="C440" i="6"/>
  <c r="E440" i="6"/>
  <c r="C441" i="6"/>
  <c r="E441" i="6"/>
  <c r="C444" i="6"/>
  <c r="E444" i="6"/>
  <c r="C445" i="6"/>
  <c r="E445" i="6"/>
  <c r="C447" i="6"/>
  <c r="E447" i="6"/>
  <c r="C448" i="6"/>
  <c r="E448" i="6"/>
  <c r="C449" i="6"/>
  <c r="E449" i="6"/>
  <c r="C451" i="6"/>
  <c r="E451" i="6"/>
  <c r="C452" i="6"/>
  <c r="E452" i="6"/>
  <c r="C453" i="6"/>
  <c r="E453" i="6"/>
  <c r="C454" i="6"/>
  <c r="E454" i="6"/>
  <c r="C455" i="6"/>
  <c r="C456" i="6"/>
  <c r="E456" i="6"/>
  <c r="C457" i="6"/>
  <c r="E457" i="6"/>
  <c r="C458" i="6"/>
  <c r="C459" i="6"/>
  <c r="E459" i="6"/>
  <c r="C460" i="6"/>
  <c r="E460" i="6"/>
  <c r="C461" i="6"/>
  <c r="E461" i="6"/>
  <c r="C462" i="6"/>
  <c r="E462" i="6"/>
  <c r="C463" i="6"/>
  <c r="C464" i="6"/>
  <c r="E464" i="6"/>
  <c r="C465" i="6"/>
  <c r="C470" i="6"/>
  <c r="E470" i="6"/>
  <c r="C471" i="6"/>
  <c r="E471" i="6"/>
  <c r="C472" i="6"/>
  <c r="E472" i="6"/>
  <c r="C473" i="6"/>
  <c r="E473" i="6"/>
  <c r="C474" i="6"/>
  <c r="E474" i="6"/>
  <c r="C475" i="6"/>
  <c r="E475" i="6"/>
  <c r="C476" i="6"/>
  <c r="E476" i="6"/>
  <c r="C477" i="6"/>
  <c r="E477" i="6"/>
  <c r="C479" i="6"/>
  <c r="E479" i="6"/>
  <c r="C481" i="6"/>
  <c r="E481" i="6"/>
  <c r="C482" i="6"/>
  <c r="E482" i="6"/>
  <c r="C483" i="6"/>
  <c r="E483" i="6"/>
  <c r="C485" i="6"/>
  <c r="C486" i="6"/>
  <c r="E486" i="6"/>
  <c r="C487" i="6"/>
  <c r="E487" i="6"/>
  <c r="C488" i="6"/>
  <c r="C489" i="6"/>
  <c r="E489" i="6"/>
  <c r="C490" i="6"/>
  <c r="E490" i="6"/>
  <c r="C495" i="6"/>
  <c r="E495" i="6"/>
  <c r="C496" i="6"/>
  <c r="E496" i="6"/>
  <c r="C497" i="6"/>
  <c r="E497" i="6"/>
  <c r="C498" i="6"/>
  <c r="E498" i="6"/>
  <c r="C499" i="6"/>
  <c r="E499" i="6"/>
  <c r="C500" i="6"/>
  <c r="C501" i="6"/>
  <c r="C503" i="6"/>
  <c r="E503" i="6"/>
  <c r="C504" i="6"/>
  <c r="E504" i="6"/>
  <c r="C505" i="6"/>
  <c r="C506" i="6"/>
  <c r="E506" i="6"/>
  <c r="C507" i="6"/>
  <c r="E507" i="6"/>
  <c r="C508" i="6"/>
  <c r="E508" i="6"/>
  <c r="C509" i="6"/>
  <c r="C510" i="6"/>
  <c r="E510" i="6"/>
  <c r="C511" i="6"/>
  <c r="E511" i="6"/>
  <c r="C512" i="6"/>
  <c r="E512" i="6"/>
  <c r="C513" i="6"/>
  <c r="E513" i="6"/>
  <c r="C515" i="6"/>
  <c r="E515" i="6"/>
  <c r="C516" i="6"/>
  <c r="E516" i="6"/>
  <c r="C517" i="6"/>
  <c r="E517" i="6"/>
  <c r="C518" i="6"/>
  <c r="E518" i="6"/>
  <c r="C519" i="6"/>
  <c r="E519" i="6"/>
  <c r="C520" i="6"/>
  <c r="E520" i="6"/>
  <c r="C521" i="6"/>
  <c r="E521" i="6"/>
  <c r="C522" i="6"/>
  <c r="E522" i="6"/>
  <c r="C523" i="6"/>
  <c r="E523" i="6"/>
  <c r="C524" i="6"/>
  <c r="E524" i="6"/>
  <c r="C525" i="6"/>
  <c r="E525" i="6"/>
  <c r="C527" i="6"/>
  <c r="E527" i="6"/>
  <c r="C528" i="6"/>
  <c r="E528" i="6"/>
  <c r="C529" i="6"/>
  <c r="E529" i="6"/>
  <c r="C531" i="6"/>
  <c r="E531" i="6"/>
  <c r="C533" i="6"/>
  <c r="E533" i="6"/>
  <c r="C534" i="6"/>
  <c r="E534" i="6"/>
  <c r="C535" i="6"/>
  <c r="E535" i="6"/>
  <c r="C537" i="6"/>
  <c r="E537" i="6"/>
  <c r="C538" i="6"/>
  <c r="E538" i="6"/>
  <c r="C539" i="6"/>
  <c r="E539" i="6"/>
  <c r="C541" i="6"/>
  <c r="E541" i="6"/>
  <c r="C542" i="6"/>
  <c r="E542" i="6"/>
  <c r="C543" i="6"/>
  <c r="C544" i="6"/>
  <c r="E544" i="6"/>
  <c r="C546" i="6"/>
  <c r="E546" i="6"/>
  <c r="C547" i="6"/>
  <c r="E547" i="6"/>
  <c r="C548" i="6"/>
  <c r="E548" i="6"/>
  <c r="C549" i="6"/>
  <c r="E549" i="6"/>
  <c r="C551" i="6"/>
  <c r="E551" i="6"/>
  <c r="C553" i="6"/>
  <c r="E553" i="6"/>
  <c r="C555" i="6"/>
  <c r="E555" i="6"/>
  <c r="C557" i="6"/>
  <c r="E557" i="6"/>
  <c r="C558" i="6"/>
  <c r="C559" i="6"/>
  <c r="E559" i="6"/>
  <c r="C560" i="6"/>
  <c r="C561" i="6"/>
  <c r="C563" i="6"/>
  <c r="E563" i="6"/>
  <c r="C565" i="6"/>
  <c r="E565" i="6"/>
  <c r="C566" i="6"/>
  <c r="E566" i="6"/>
  <c r="C567" i="6"/>
  <c r="E567" i="6"/>
  <c r="E8" i="20"/>
  <c r="E10" i="20"/>
  <c r="A101" i="28"/>
  <c r="A87" i="28"/>
  <c r="A80" i="28"/>
  <c r="A73" i="28"/>
  <c r="A66" i="28"/>
  <c r="A59" i="28"/>
  <c r="E11" i="28"/>
  <c r="U570" i="4"/>
  <c r="U569" i="4"/>
  <c r="U568" i="4"/>
  <c r="U567" i="4"/>
  <c r="U566" i="4"/>
  <c r="U565" i="4"/>
  <c r="U564" i="4"/>
  <c r="U563" i="4"/>
  <c r="U562" i="4"/>
  <c r="U561" i="4"/>
  <c r="U560" i="4"/>
  <c r="U559" i="4"/>
  <c r="U557" i="4"/>
  <c r="U556" i="4"/>
  <c r="U555" i="4"/>
  <c r="U554" i="4"/>
  <c r="U553" i="4"/>
  <c r="U552" i="4"/>
  <c r="U551" i="4"/>
  <c r="U550" i="4"/>
  <c r="U549" i="4"/>
  <c r="U548" i="4"/>
  <c r="U547" i="4"/>
  <c r="U546" i="4"/>
  <c r="U545" i="4"/>
  <c r="U544" i="4"/>
  <c r="U543" i="4"/>
  <c r="U542" i="4"/>
  <c r="U541" i="4"/>
  <c r="U540" i="4"/>
  <c r="U539" i="4"/>
  <c r="U538" i="4"/>
  <c r="U537" i="4"/>
  <c r="U536" i="4"/>
  <c r="U535" i="4"/>
  <c r="U534" i="4"/>
  <c r="U533" i="4"/>
  <c r="U532" i="4"/>
  <c r="U531" i="4"/>
  <c r="U530" i="4"/>
  <c r="U529" i="4"/>
  <c r="U528" i="4"/>
  <c r="U527" i="4"/>
  <c r="U526" i="4"/>
  <c r="U525" i="4"/>
  <c r="U524" i="4"/>
  <c r="U523" i="4"/>
  <c r="U522" i="4"/>
  <c r="U521" i="4"/>
  <c r="U520" i="4"/>
  <c r="U519" i="4"/>
  <c r="U518" i="4"/>
  <c r="U517" i="4"/>
  <c r="U516" i="4"/>
  <c r="U515" i="4"/>
  <c r="U514" i="4"/>
  <c r="U513" i="4"/>
  <c r="U512" i="4"/>
  <c r="U511" i="4"/>
  <c r="U510" i="4"/>
  <c r="U509" i="4"/>
  <c r="U508" i="4"/>
  <c r="U507" i="4"/>
  <c r="U506" i="4"/>
  <c r="U505" i="4"/>
  <c r="U504" i="4"/>
  <c r="U503" i="4"/>
  <c r="U502" i="4"/>
  <c r="U501" i="4"/>
  <c r="U500" i="4"/>
  <c r="U499" i="4"/>
  <c r="U498" i="4"/>
  <c r="U497" i="4"/>
  <c r="U496" i="4"/>
  <c r="U495" i="4"/>
  <c r="U494" i="4"/>
  <c r="U493" i="4"/>
  <c r="U492" i="4"/>
  <c r="U491" i="4"/>
  <c r="U490" i="4"/>
  <c r="U489" i="4"/>
  <c r="U488" i="4"/>
  <c r="U487" i="4"/>
  <c r="U486" i="4"/>
  <c r="U485" i="4"/>
  <c r="U484" i="4"/>
  <c r="U483" i="4"/>
  <c r="U482" i="4"/>
  <c r="U481" i="4"/>
  <c r="U480" i="4"/>
  <c r="U479" i="4"/>
  <c r="U478" i="4"/>
  <c r="U477" i="4"/>
  <c r="U476" i="4"/>
  <c r="U475" i="4"/>
  <c r="U474" i="4"/>
  <c r="U473" i="4"/>
  <c r="U472" i="4"/>
  <c r="U471" i="4"/>
  <c r="U470" i="4"/>
  <c r="U469" i="4"/>
  <c r="U468" i="4"/>
  <c r="U466" i="4"/>
  <c r="U465" i="4"/>
  <c r="U464" i="4"/>
  <c r="U463" i="4"/>
  <c r="U461" i="4"/>
  <c r="U460" i="4"/>
  <c r="U459" i="4"/>
  <c r="U458" i="4"/>
  <c r="U457" i="4"/>
  <c r="U456" i="4"/>
  <c r="U455" i="4"/>
  <c r="U454" i="4"/>
  <c r="U453" i="4"/>
  <c r="U452" i="4"/>
  <c r="U451" i="4"/>
  <c r="U450" i="4"/>
  <c r="U449" i="4"/>
  <c r="U448" i="4"/>
  <c r="U446" i="4"/>
  <c r="U445" i="4"/>
  <c r="U444" i="4"/>
  <c r="U443" i="4"/>
  <c r="U442" i="4"/>
  <c r="U441" i="4"/>
  <c r="U440" i="4"/>
  <c r="U439" i="4"/>
  <c r="U438" i="4"/>
  <c r="U437" i="4"/>
  <c r="U436" i="4"/>
  <c r="U435" i="4"/>
  <c r="U434" i="4"/>
  <c r="U433" i="4"/>
  <c r="U432" i="4"/>
  <c r="U431" i="4"/>
  <c r="U430" i="4"/>
  <c r="U429" i="4"/>
  <c r="U428" i="4"/>
  <c r="U427" i="4"/>
  <c r="U426" i="4"/>
  <c r="U425" i="4"/>
  <c r="U424" i="4"/>
  <c r="U423" i="4"/>
  <c r="U422" i="4"/>
  <c r="U421" i="4"/>
  <c r="U420" i="4"/>
  <c r="U419" i="4"/>
  <c r="U418" i="4"/>
  <c r="U417" i="4"/>
  <c r="U416" i="4"/>
  <c r="U415" i="4"/>
  <c r="U414" i="4"/>
  <c r="U413" i="4"/>
  <c r="U412" i="4"/>
  <c r="U411" i="4"/>
  <c r="U410" i="4"/>
  <c r="U409" i="4"/>
  <c r="U408" i="4"/>
  <c r="U407" i="4"/>
  <c r="U406" i="4"/>
  <c r="U405" i="4"/>
  <c r="U404" i="4"/>
  <c r="U403" i="4"/>
  <c r="U402" i="4"/>
  <c r="U401" i="4"/>
  <c r="U400" i="4"/>
  <c r="U399" i="4"/>
  <c r="U398" i="4"/>
  <c r="U397" i="4"/>
  <c r="U396" i="4"/>
  <c r="U395" i="4"/>
  <c r="U394" i="4"/>
  <c r="U393" i="4"/>
  <c r="U392" i="4"/>
  <c r="U391" i="4"/>
  <c r="U390" i="4"/>
  <c r="U389" i="4"/>
  <c r="U388" i="4"/>
  <c r="U387" i="4"/>
  <c r="U386" i="4"/>
  <c r="U385" i="4"/>
  <c r="U384" i="4"/>
  <c r="U383" i="4"/>
  <c r="U382" i="4"/>
  <c r="U381" i="4"/>
  <c r="U380" i="4"/>
  <c r="U379" i="4"/>
  <c r="U378" i="4"/>
  <c r="U377" i="4"/>
  <c r="U376" i="4"/>
  <c r="U375" i="4"/>
  <c r="U374" i="4"/>
  <c r="U373" i="4"/>
  <c r="U372" i="4"/>
  <c r="U371" i="4"/>
  <c r="U370" i="4"/>
  <c r="U369" i="4"/>
  <c r="U368" i="4"/>
  <c r="U367" i="4"/>
  <c r="U366" i="4"/>
  <c r="U365" i="4"/>
  <c r="U364" i="4"/>
  <c r="U363" i="4"/>
  <c r="U362" i="4"/>
  <c r="U361" i="4"/>
  <c r="U360" i="4"/>
  <c r="U359" i="4"/>
  <c r="U358" i="4"/>
  <c r="U357" i="4"/>
  <c r="U356" i="4"/>
  <c r="U355" i="4"/>
  <c r="U354" i="4"/>
  <c r="U353" i="4"/>
  <c r="U352" i="4"/>
  <c r="U351" i="4"/>
  <c r="U350" i="4"/>
  <c r="U349" i="4"/>
  <c r="U348" i="4"/>
  <c r="U346" i="4"/>
  <c r="U345" i="4"/>
  <c r="U344" i="4"/>
  <c r="U343" i="4"/>
  <c r="U342" i="4"/>
  <c r="U341" i="4"/>
  <c r="U340" i="4"/>
  <c r="U339" i="4"/>
  <c r="U338" i="4"/>
  <c r="U337" i="4"/>
  <c r="U336" i="4"/>
  <c r="U335" i="4"/>
  <c r="U334" i="4"/>
  <c r="U333" i="4"/>
  <c r="U332" i="4"/>
  <c r="U331" i="4"/>
  <c r="U330" i="4"/>
  <c r="U329" i="4"/>
  <c r="U328" i="4"/>
  <c r="U327" i="4"/>
  <c r="U326" i="4"/>
  <c r="U325" i="4"/>
  <c r="U324" i="4"/>
  <c r="U323" i="4"/>
  <c r="U322" i="4"/>
  <c r="U321" i="4"/>
  <c r="U320" i="4"/>
  <c r="U319" i="4"/>
  <c r="U318" i="4"/>
  <c r="U317" i="4"/>
  <c r="U316" i="4"/>
  <c r="U315" i="4"/>
  <c r="U314" i="4"/>
  <c r="U313" i="4"/>
  <c r="U312" i="4"/>
  <c r="U311" i="4"/>
  <c r="U310" i="4"/>
  <c r="U309" i="4"/>
  <c r="U308" i="4"/>
  <c r="U307" i="4"/>
  <c r="U306" i="4"/>
  <c r="U305" i="4"/>
  <c r="U304" i="4"/>
  <c r="U303" i="4"/>
  <c r="U302" i="4"/>
  <c r="U301" i="4"/>
  <c r="U300" i="4"/>
  <c r="U299" i="4"/>
  <c r="U298" i="4"/>
  <c r="U297" i="4"/>
  <c r="U296" i="4"/>
  <c r="U295" i="4"/>
  <c r="U294" i="4"/>
  <c r="U293" i="4"/>
  <c r="U292" i="4"/>
  <c r="U291" i="4"/>
  <c r="U290" i="4"/>
  <c r="U289" i="4"/>
  <c r="U288" i="4"/>
  <c r="U287" i="4"/>
  <c r="U286" i="4"/>
  <c r="U285" i="4"/>
  <c r="U284" i="4"/>
  <c r="U283" i="4"/>
  <c r="U282" i="4"/>
  <c r="U281" i="4"/>
  <c r="U280" i="4"/>
  <c r="U279" i="4"/>
  <c r="U278" i="4"/>
  <c r="U277" i="4"/>
  <c r="U276" i="4"/>
  <c r="U275" i="4"/>
  <c r="U274" i="4"/>
  <c r="U273" i="4"/>
  <c r="U272" i="4"/>
  <c r="U271" i="4"/>
  <c r="U270" i="4"/>
  <c r="U269" i="4"/>
  <c r="U268" i="4"/>
  <c r="U267" i="4"/>
  <c r="U266" i="4"/>
  <c r="U265" i="4"/>
  <c r="U264" i="4"/>
  <c r="U263" i="4"/>
  <c r="U262" i="4"/>
  <c r="U261" i="4"/>
  <c r="U260" i="4"/>
  <c r="U259" i="4"/>
  <c r="U258" i="4"/>
  <c r="U257" i="4"/>
  <c r="U256" i="4"/>
  <c r="U255" i="4"/>
  <c r="U254" i="4"/>
  <c r="U253" i="4"/>
  <c r="U252" i="4"/>
  <c r="U251" i="4"/>
  <c r="U250" i="4"/>
  <c r="U249" i="4"/>
  <c r="U248" i="4"/>
  <c r="U247" i="4"/>
  <c r="U246" i="4"/>
  <c r="U245" i="4"/>
  <c r="U244" i="4"/>
  <c r="U243" i="4"/>
  <c r="U242" i="4"/>
  <c r="U241" i="4"/>
  <c r="U240" i="4"/>
  <c r="U239" i="4"/>
  <c r="U238" i="4"/>
  <c r="U237" i="4"/>
  <c r="U236" i="4"/>
  <c r="U235" i="4"/>
  <c r="U234" i="4"/>
  <c r="U233" i="4"/>
  <c r="U232" i="4"/>
  <c r="U231" i="4"/>
  <c r="U230" i="4"/>
  <c r="U229" i="4"/>
  <c r="U228" i="4"/>
  <c r="U227" i="4"/>
  <c r="U226" i="4"/>
  <c r="U225" i="4"/>
  <c r="U224" i="4"/>
  <c r="U223" i="4"/>
  <c r="U222" i="4"/>
  <c r="U221" i="4"/>
  <c r="U220" i="4"/>
  <c r="U219" i="4"/>
  <c r="U218" i="4"/>
  <c r="U217" i="4"/>
  <c r="U216" i="4"/>
  <c r="U215" i="4"/>
  <c r="U214" i="4"/>
  <c r="U213" i="4"/>
  <c r="U212" i="4"/>
  <c r="U211" i="4"/>
  <c r="U210" i="4"/>
  <c r="U209" i="4"/>
  <c r="U208" i="4"/>
  <c r="U207" i="4"/>
  <c r="U206" i="4"/>
  <c r="U205" i="4"/>
  <c r="U204" i="4"/>
  <c r="U203" i="4"/>
  <c r="U202" i="4"/>
  <c r="U201" i="4"/>
  <c r="U200" i="4"/>
  <c r="U199" i="4"/>
  <c r="U198" i="4"/>
  <c r="U197" i="4"/>
  <c r="U196" i="4"/>
  <c r="U195" i="4"/>
  <c r="U194" i="4"/>
  <c r="U193" i="4"/>
  <c r="U192" i="4"/>
  <c r="U191" i="4"/>
  <c r="U190" i="4"/>
  <c r="U189" i="4"/>
  <c r="U188" i="4"/>
  <c r="U187" i="4"/>
  <c r="U186" i="4"/>
  <c r="U185" i="4"/>
  <c r="U184" i="4"/>
  <c r="U183" i="4"/>
  <c r="U182" i="4"/>
  <c r="U181" i="4"/>
  <c r="U180" i="4"/>
  <c r="U179" i="4"/>
  <c r="U178" i="4"/>
  <c r="U177" i="4"/>
  <c r="U176" i="4"/>
  <c r="U175" i="4"/>
  <c r="U174" i="4"/>
  <c r="U173" i="4"/>
  <c r="U172" i="4"/>
  <c r="U17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45" i="4"/>
  <c r="U144" i="4"/>
  <c r="U143" i="4"/>
  <c r="U142" i="4"/>
  <c r="U141" i="4"/>
  <c r="U140" i="4"/>
  <c r="U139" i="4"/>
  <c r="U138" i="4"/>
  <c r="U137" i="4"/>
  <c r="U13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10" i="4"/>
  <c r="U109" i="4"/>
  <c r="U108" i="4"/>
  <c r="U107" i="4"/>
  <c r="U106" i="4"/>
  <c r="U105" i="4"/>
  <c r="U104" i="4"/>
  <c r="U103" i="4"/>
  <c r="U102" i="4"/>
  <c r="U101" i="4"/>
  <c r="U100" i="4"/>
  <c r="U99" i="4"/>
  <c r="U98" i="4"/>
  <c r="U97" i="4"/>
  <c r="U93" i="4"/>
  <c r="U91" i="4"/>
  <c r="U89" i="4"/>
  <c r="U88" i="4"/>
  <c r="U87" i="4"/>
  <c r="U86" i="4"/>
  <c r="U82" i="4"/>
  <c r="U81" i="4"/>
  <c r="U80" i="4"/>
  <c r="U79" i="4"/>
  <c r="U78" i="4"/>
  <c r="U77" i="4"/>
  <c r="U76" i="4"/>
  <c r="U75" i="4"/>
  <c r="U74" i="4"/>
  <c r="U73" i="4"/>
  <c r="U72" i="4"/>
  <c r="U71" i="4"/>
  <c r="U70" i="4"/>
  <c r="U69" i="4"/>
  <c r="U68" i="4"/>
  <c r="U67" i="4"/>
  <c r="U43" i="4"/>
  <c r="U42" i="4"/>
  <c r="U41" i="4"/>
  <c r="U39" i="4"/>
  <c r="U38" i="4"/>
  <c r="U36" i="4"/>
  <c r="U35" i="4"/>
  <c r="U34" i="4"/>
  <c r="U33" i="4"/>
  <c r="U32" i="4"/>
  <c r="U31" i="4"/>
  <c r="U30" i="4"/>
  <c r="U29" i="4"/>
  <c r="U28" i="4"/>
  <c r="U27" i="4"/>
  <c r="U26" i="4"/>
  <c r="U25" i="4"/>
  <c r="U24" i="4"/>
  <c r="U23" i="4"/>
  <c r="U22" i="4"/>
  <c r="U21" i="4"/>
  <c r="U20" i="4"/>
  <c r="U18" i="4"/>
  <c r="U17" i="4"/>
  <c r="U16" i="4"/>
  <c r="U15" i="4"/>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3" i="5"/>
  <c r="U54" i="5"/>
  <c r="U55" i="5"/>
  <c r="U58" i="5"/>
  <c r="U59" i="5"/>
  <c r="U61" i="5"/>
  <c r="U63" i="5"/>
  <c r="U64" i="5"/>
  <c r="U65" i="5"/>
  <c r="U10" i="5"/>
  <c r="B5" i="28"/>
  <c r="B47" i="20"/>
  <c r="N14" i="20"/>
  <c r="K14" i="20"/>
  <c r="H14" i="20"/>
  <c r="E14" i="20"/>
  <c r="E38" i="10"/>
  <c r="E39" i="10"/>
  <c r="E41" i="10"/>
  <c r="E42" i="10"/>
  <c r="E46" i="10"/>
  <c r="E37" i="10"/>
  <c r="E22" i="10"/>
  <c r="E24" i="10"/>
  <c r="E25" i="10"/>
  <c r="E26" i="10"/>
  <c r="E27" i="10"/>
  <c r="E28" i="10"/>
  <c r="E29" i="10"/>
  <c r="E30" i="10"/>
  <c r="E32" i="10"/>
  <c r="E33" i="10"/>
  <c r="B43" i="20"/>
  <c r="B29" i="20"/>
  <c r="B31" i="20"/>
  <c r="B32" i="20"/>
  <c r="B36" i="20"/>
  <c r="B65" i="14"/>
  <c r="B60" i="14"/>
  <c r="B13" i="28"/>
  <c r="N9" i="14"/>
  <c r="O9" i="14"/>
  <c r="N11" i="14"/>
  <c r="M9" i="14"/>
  <c r="B59" i="14"/>
  <c r="B58" i="14"/>
  <c r="B57" i="14"/>
  <c r="M56" i="14"/>
  <c r="B56" i="14"/>
  <c r="I9" i="14"/>
  <c r="J9" i="14"/>
  <c r="K9" i="14"/>
  <c r="J11" i="14"/>
  <c r="L9" i="14"/>
  <c r="H9" i="14"/>
  <c r="B55" i="14"/>
  <c r="K54" i="14"/>
  <c r="B54" i="14"/>
  <c r="J53" i="14"/>
  <c r="B53" i="14"/>
  <c r="I52" i="14"/>
  <c r="B52" i="14"/>
  <c r="H51" i="14"/>
  <c r="B51" i="14"/>
  <c r="B50" i="14"/>
  <c r="F49" i="14"/>
  <c r="B49" i="14"/>
  <c r="E48" i="14"/>
  <c r="B48" i="14"/>
  <c r="D47" i="14"/>
  <c r="L55" i="14"/>
  <c r="L54" i="14"/>
  <c r="G50" i="14"/>
  <c r="G49" i="14"/>
  <c r="B47" i="14"/>
  <c r="C46" i="14"/>
  <c r="G48" i="14"/>
  <c r="G47" i="14"/>
  <c r="N57" i="14"/>
  <c r="D38" i="10"/>
  <c r="D42" i="10"/>
  <c r="D46" i="10"/>
  <c r="D22" i="10"/>
  <c r="D26" i="10"/>
  <c r="D30" i="10"/>
  <c r="D41" i="10"/>
  <c r="D25" i="10"/>
  <c r="D29" i="10"/>
  <c r="M55" i="14"/>
  <c r="M54" i="14"/>
  <c r="M53" i="14"/>
  <c r="L53" i="14"/>
  <c r="L52" i="14"/>
  <c r="L51" i="14"/>
  <c r="L50" i="14"/>
  <c r="L49" i="14"/>
  <c r="L48" i="14"/>
  <c r="L47" i="14"/>
  <c r="E47" i="14"/>
  <c r="I51" i="14"/>
  <c r="B182" i="10"/>
  <c r="B173" i="10"/>
  <c r="G11" i="14"/>
  <c r="K11" i="14"/>
  <c r="L11" i="14"/>
  <c r="E16" i="20"/>
  <c r="E17" i="20"/>
  <c r="E21" i="20"/>
  <c r="G88" i="28"/>
  <c r="G74" i="28"/>
  <c r="G53" i="28"/>
  <c r="G109" i="28"/>
  <c r="G102" i="28"/>
  <c r="G81" i="28"/>
  <c r="G67" i="28"/>
  <c r="G60" i="28"/>
  <c r="E74" i="28"/>
  <c r="F74" i="28"/>
  <c r="E67" i="28"/>
  <c r="E60" i="28"/>
  <c r="E53" i="28"/>
  <c r="F53" i="28"/>
  <c r="E104" i="28"/>
  <c r="F104" i="28"/>
  <c r="E90" i="28"/>
  <c r="E83" i="28"/>
  <c r="F83" i="28"/>
  <c r="E75" i="28"/>
  <c r="E68" i="28"/>
  <c r="F68" i="28"/>
  <c r="E61" i="28"/>
  <c r="F61" i="28"/>
  <c r="E54" i="28"/>
  <c r="E89" i="28"/>
  <c r="E82" i="28"/>
  <c r="H109" i="28"/>
  <c r="F90" i="28"/>
  <c r="F75" i="28"/>
  <c r="F54" i="28"/>
  <c r="F60" i="28"/>
  <c r="F89" i="28"/>
  <c r="F82" i="28"/>
  <c r="F102" i="28"/>
  <c r="F88" i="28"/>
  <c r="F81" i="28"/>
  <c r="F67" i="28"/>
  <c r="K53" i="14"/>
  <c r="I11" i="14"/>
  <c r="M11" i="14"/>
  <c r="N8" i="20"/>
  <c r="N10" i="20"/>
  <c r="B88" i="14"/>
  <c r="B95" i="14"/>
  <c r="B86" i="14"/>
  <c r="C26" i="21"/>
  <c r="H11" i="14"/>
  <c r="R59" i="14"/>
  <c r="B18" i="26"/>
  <c r="E7" i="13"/>
  <c r="H7" i="13"/>
  <c r="B7" i="13"/>
  <c r="B89" i="14"/>
  <c r="C28" i="21"/>
  <c r="B87" i="14"/>
  <c r="C30" i="21"/>
  <c r="B8" i="20"/>
  <c r="B10" i="20"/>
  <c r="B16" i="20"/>
  <c r="B17" i="20"/>
  <c r="B21" i="20"/>
  <c r="G46" i="14"/>
  <c r="D46" i="14"/>
  <c r="H50" i="14"/>
  <c r="L46" i="14"/>
  <c r="E46" i="14"/>
  <c r="I50" i="14"/>
  <c r="I49" i="14"/>
  <c r="I48" i="14"/>
  <c r="I47" i="14"/>
  <c r="I46" i="14"/>
  <c r="P59" i="14"/>
  <c r="Q59" i="14"/>
  <c r="H12" i="28"/>
  <c r="AL14" i="24"/>
  <c r="J14" i="7"/>
  <c r="B19" i="21"/>
  <c r="N56" i="14"/>
  <c r="N55" i="14"/>
  <c r="M52" i="14"/>
  <c r="M51" i="14"/>
  <c r="M50" i="14"/>
  <c r="M49" i="14"/>
  <c r="M48" i="14"/>
  <c r="M47" i="14"/>
  <c r="M46" i="14"/>
  <c r="F48" i="14"/>
  <c r="F47" i="14"/>
  <c r="F46" i="14"/>
  <c r="J52" i="14"/>
  <c r="J51" i="14"/>
  <c r="J50" i="14"/>
  <c r="J49" i="14"/>
  <c r="J48" i="14"/>
  <c r="J47" i="14"/>
  <c r="J46" i="14"/>
  <c r="K52" i="14"/>
  <c r="K51" i="14"/>
  <c r="K50" i="14"/>
  <c r="K49" i="14"/>
  <c r="K48" i="14"/>
  <c r="K47" i="14"/>
  <c r="K46" i="14"/>
  <c r="H49" i="14"/>
  <c r="H48" i="14"/>
  <c r="H47" i="14"/>
  <c r="H46" i="14"/>
  <c r="O58" i="14"/>
  <c r="D31" i="10"/>
  <c r="J28" i="28"/>
  <c r="J25" i="28"/>
  <c r="J23" i="28"/>
  <c r="J22" i="28"/>
  <c r="J26" i="28"/>
  <c r="J24" i="28"/>
  <c r="J21" i="28"/>
  <c r="D49" i="10"/>
  <c r="D24" i="10"/>
  <c r="D28" i="10"/>
  <c r="D32" i="10"/>
  <c r="D50" i="10"/>
  <c r="D39" i="10"/>
  <c r="D37" i="10"/>
  <c r="D27" i="10"/>
  <c r="D33" i="10"/>
  <c r="H8" i="20"/>
  <c r="H10" i="20"/>
  <c r="H16" i="20"/>
  <c r="H17" i="20"/>
  <c r="H21" i="20"/>
  <c r="K16" i="20"/>
  <c r="K17" i="20"/>
  <c r="K21" i="20"/>
  <c r="N16" i="20"/>
  <c r="N17" i="20"/>
  <c r="N21" i="20"/>
  <c r="C413" i="6"/>
  <c r="E413" i="6"/>
  <c r="C392" i="6"/>
  <c r="E392" i="6"/>
  <c r="C389" i="6"/>
  <c r="E389" i="6"/>
  <c r="C381" i="6"/>
  <c r="E381" i="6"/>
  <c r="C373" i="6"/>
  <c r="E373" i="6"/>
  <c r="C365" i="6"/>
  <c r="E365" i="6"/>
  <c r="C343" i="6"/>
  <c r="E343" i="6"/>
  <c r="C325" i="6"/>
  <c r="E325" i="6"/>
  <c r="C319" i="6"/>
  <c r="E319" i="6"/>
  <c r="C317" i="6"/>
  <c r="E317" i="6"/>
  <c r="C300" i="6"/>
  <c r="E300" i="6"/>
  <c r="C296" i="6"/>
  <c r="E296" i="6"/>
  <c r="C278" i="6"/>
  <c r="E278" i="6"/>
  <c r="C252" i="6"/>
  <c r="E252" i="6"/>
  <c r="C237" i="6"/>
  <c r="E237" i="6"/>
  <c r="C231" i="6"/>
  <c r="E231" i="6"/>
  <c r="C212" i="6"/>
  <c r="E212" i="6"/>
  <c r="C190" i="6"/>
  <c r="E190" i="6"/>
  <c r="C182" i="6"/>
  <c r="E182" i="6"/>
  <c r="C179" i="6"/>
  <c r="E179" i="6"/>
  <c r="C156" i="6"/>
  <c r="E156" i="6"/>
  <c r="C285" i="6"/>
  <c r="E285" i="6"/>
  <c r="C272" i="6"/>
  <c r="E272" i="6"/>
  <c r="C251" i="6"/>
  <c r="E251" i="6"/>
  <c r="C274" i="6"/>
  <c r="E274" i="6"/>
  <c r="C255" i="6"/>
  <c r="E255" i="6"/>
  <c r="C253" i="6"/>
  <c r="E253" i="6"/>
  <c r="C248" i="6"/>
  <c r="E248" i="6"/>
  <c r="C243" i="6"/>
  <c r="E243" i="6"/>
  <c r="C240" i="6"/>
  <c r="E240" i="6"/>
  <c r="C238" i="6"/>
  <c r="E238" i="6"/>
  <c r="C236" i="6"/>
  <c r="E236" i="6"/>
  <c r="C230" i="6"/>
  <c r="E230" i="6"/>
  <c r="C216" i="6"/>
  <c r="E216" i="6"/>
  <c r="C214" i="6"/>
  <c r="E214" i="6"/>
  <c r="C213" i="6"/>
  <c r="E213" i="6"/>
  <c r="C176" i="6"/>
  <c r="E176" i="6"/>
  <c r="C174" i="6"/>
  <c r="E174" i="6"/>
  <c r="C167" i="6"/>
  <c r="E167" i="6"/>
  <c r="C165" i="6"/>
  <c r="E165" i="6"/>
  <c r="C153" i="6"/>
  <c r="E153" i="6"/>
  <c r="C148" i="6"/>
  <c r="E148" i="6"/>
  <c r="C133" i="6"/>
  <c r="E133" i="6"/>
  <c r="C119" i="6"/>
  <c r="E119" i="6"/>
  <c r="C118" i="6"/>
  <c r="E118" i="6"/>
  <c r="C116" i="6"/>
  <c r="E116" i="6"/>
  <c r="C84" i="6"/>
  <c r="E84" i="6"/>
  <c r="C76" i="6"/>
  <c r="E76" i="6"/>
  <c r="C72" i="6"/>
  <c r="E72" i="6"/>
  <c r="C63" i="6"/>
  <c r="E63" i="6"/>
  <c r="C57" i="6"/>
  <c r="E57" i="6"/>
  <c r="H61" i="10"/>
  <c r="H63" i="10"/>
  <c r="H65" i="10"/>
  <c r="H66" i="10"/>
  <c r="H64" i="10"/>
  <c r="H62" i="10"/>
  <c r="H60" i="10"/>
  <c r="H59" i="10"/>
  <c r="C110" i="6"/>
  <c r="E110" i="6"/>
  <c r="C106" i="6"/>
  <c r="E106" i="6"/>
  <c r="C95" i="6"/>
  <c r="E95" i="6"/>
  <c r="C93" i="6"/>
  <c r="E93" i="6"/>
  <c r="C87" i="6"/>
  <c r="E87" i="6"/>
  <c r="C83" i="6"/>
  <c r="E83" i="6"/>
  <c r="C81" i="6"/>
  <c r="E81" i="6"/>
  <c r="C71" i="6"/>
  <c r="E71" i="6"/>
  <c r="C70" i="6"/>
  <c r="E70" i="6"/>
  <c r="C62" i="6"/>
  <c r="E62" i="6"/>
  <c r="C60" i="6"/>
  <c r="E60" i="6"/>
  <c r="C58" i="6"/>
  <c r="E58" i="6"/>
  <c r="C48" i="6"/>
  <c r="E48" i="6"/>
  <c r="C39" i="6"/>
  <c r="E39" i="6"/>
  <c r="C37" i="6"/>
  <c r="E37" i="6"/>
  <c r="C35" i="6"/>
  <c r="E35" i="6"/>
  <c r="C33" i="6"/>
  <c r="E33" i="6"/>
  <c r="C23" i="6"/>
  <c r="E23" i="6"/>
  <c r="C11" i="6"/>
  <c r="E11" i="6"/>
  <c r="C9" i="6"/>
  <c r="E9" i="6"/>
  <c r="K118" i="28"/>
  <c r="K120" i="28"/>
  <c r="K122" i="28"/>
  <c r="K124" i="28"/>
  <c r="K126" i="28"/>
  <c r="K128" i="28"/>
  <c r="K119" i="28"/>
  <c r="K121" i="28"/>
  <c r="K123" i="28"/>
  <c r="K125" i="28"/>
  <c r="K127" i="28"/>
  <c r="K129" i="28"/>
  <c r="K117" i="28"/>
  <c r="B174" i="10"/>
  <c r="J117" i="28"/>
  <c r="B194" i="10"/>
  <c r="B41" i="28"/>
  <c r="B196" i="10"/>
  <c r="B42" i="28"/>
  <c r="B41" i="26"/>
  <c r="B195" i="10"/>
  <c r="B40" i="28"/>
  <c r="J119" i="28"/>
  <c r="E76" i="28"/>
  <c r="F76" i="28"/>
  <c r="E69" i="28"/>
  <c r="F69" i="28"/>
  <c r="E62" i="28"/>
  <c r="F62" i="28"/>
  <c r="E55" i="28"/>
  <c r="F55" i="28"/>
  <c r="B110" i="28"/>
  <c r="G110" i="28"/>
  <c r="I109" i="28"/>
  <c r="J124" i="28"/>
  <c r="J123" i="28"/>
  <c r="J128" i="28"/>
  <c r="J120" i="28"/>
  <c r="J127" i="28"/>
  <c r="H60" i="28"/>
  <c r="B61" i="28"/>
  <c r="H67" i="28"/>
  <c r="H81" i="28"/>
  <c r="H102" i="28"/>
  <c r="J126" i="28"/>
  <c r="J122" i="28"/>
  <c r="J118" i="28"/>
  <c r="J129" i="28"/>
  <c r="J125" i="28"/>
  <c r="J121" i="28"/>
  <c r="H53" i="28"/>
  <c r="H74" i="28"/>
  <c r="B75" i="28"/>
  <c r="H88" i="28"/>
  <c r="E10" i="26"/>
  <c r="R58" i="14"/>
  <c r="R57" i="14"/>
  <c r="R56" i="14"/>
  <c r="R55" i="14"/>
  <c r="R54" i="14"/>
  <c r="R53" i="14"/>
  <c r="R52" i="14"/>
  <c r="R51" i="14"/>
  <c r="R50" i="14"/>
  <c r="R49" i="14"/>
  <c r="R48" i="14"/>
  <c r="R47" i="14"/>
  <c r="R46" i="14"/>
  <c r="F10" i="26"/>
  <c r="B93" i="14"/>
  <c r="E20" i="13"/>
  <c r="B40" i="26"/>
  <c r="D10" i="26"/>
  <c r="B92" i="14"/>
  <c r="B21" i="13"/>
  <c r="B94" i="14"/>
  <c r="H20" i="13"/>
  <c r="B96" i="14"/>
  <c r="D174" i="10"/>
  <c r="Q58" i="14"/>
  <c r="H11" i="28"/>
  <c r="F11" i="28"/>
  <c r="O57" i="14"/>
  <c r="N54" i="14"/>
  <c r="N53" i="14"/>
  <c r="N52" i="14"/>
  <c r="N51" i="14"/>
  <c r="N50" i="14"/>
  <c r="N49" i="14"/>
  <c r="N48" i="14"/>
  <c r="N47" i="14"/>
  <c r="N46" i="14"/>
  <c r="K130" i="28"/>
  <c r="B134" i="28"/>
  <c r="P58" i="14"/>
  <c r="B54" i="28"/>
  <c r="G54" i="28"/>
  <c r="B82" i="28"/>
  <c r="G82" i="28"/>
  <c r="G61" i="28"/>
  <c r="H61" i="28"/>
  <c r="B62" i="28"/>
  <c r="B89" i="28"/>
  <c r="G89" i="28"/>
  <c r="B103" i="28"/>
  <c r="G103" i="28"/>
  <c r="B68" i="28"/>
  <c r="G68" i="28"/>
  <c r="E105" i="28"/>
  <c r="F105" i="28"/>
  <c r="H110" i="28"/>
  <c r="H89" i="28"/>
  <c r="H103" i="28"/>
  <c r="B104" i="28"/>
  <c r="H68" i="28"/>
  <c r="B69" i="28"/>
  <c r="G75" i="28"/>
  <c r="H54" i="28"/>
  <c r="B55" i="28"/>
  <c r="H82" i="28"/>
  <c r="B83" i="28"/>
  <c r="I61" i="28"/>
  <c r="J130" i="28"/>
  <c r="B133" i="28"/>
  <c r="B136" i="28"/>
  <c r="B33" i="28"/>
  <c r="I95" i="28"/>
  <c r="I88" i="28"/>
  <c r="I53" i="28"/>
  <c r="I74" i="28"/>
  <c r="I102" i="28"/>
  <c r="I81" i="28"/>
  <c r="I67" i="28"/>
  <c r="I60" i="28"/>
  <c r="Q57" i="14"/>
  <c r="O56" i="14"/>
  <c r="P57" i="14"/>
  <c r="P56" i="14"/>
  <c r="P55" i="14"/>
  <c r="P54" i="14"/>
  <c r="P53" i="14"/>
  <c r="P52" i="14"/>
  <c r="P51" i="14"/>
  <c r="P50" i="14"/>
  <c r="P49" i="14"/>
  <c r="P48" i="14"/>
  <c r="P47" i="14"/>
  <c r="P46" i="14"/>
  <c r="I89" i="28"/>
  <c r="B90" i="28"/>
  <c r="G90" i="28"/>
  <c r="Q56" i="14"/>
  <c r="H10" i="28"/>
  <c r="R59" i="10"/>
  <c r="R62" i="10"/>
  <c r="R65" i="10"/>
  <c r="R63" i="10"/>
  <c r="R64" i="10"/>
  <c r="R66" i="10"/>
  <c r="R60" i="10"/>
  <c r="R61" i="10"/>
  <c r="E91" i="28"/>
  <c r="E84" i="28"/>
  <c r="F84" i="28"/>
  <c r="I110" i="28"/>
  <c r="B111" i="28"/>
  <c r="I54" i="28"/>
  <c r="I103" i="28"/>
  <c r="I82" i="28"/>
  <c r="G83" i="28"/>
  <c r="I68" i="28"/>
  <c r="H75" i="28"/>
  <c r="B76" i="28"/>
  <c r="F91" i="28"/>
  <c r="D17" i="7"/>
  <c r="O55" i="14"/>
  <c r="O54" i="14"/>
  <c r="O53" i="14"/>
  <c r="O52" i="14"/>
  <c r="O51" i="14"/>
  <c r="O50" i="14"/>
  <c r="O49" i="14"/>
  <c r="O48" i="14"/>
  <c r="O47" i="14"/>
  <c r="O46" i="14"/>
  <c r="H5" i="13"/>
  <c r="H6" i="13"/>
  <c r="H12" i="13"/>
  <c r="B5" i="13"/>
  <c r="B6" i="13"/>
  <c r="B12" i="13"/>
  <c r="E5" i="13"/>
  <c r="E6" i="13"/>
  <c r="E12" i="13"/>
  <c r="Q55" i="14"/>
  <c r="Q54" i="14"/>
  <c r="Q53" i="14"/>
  <c r="Q52" i="14"/>
  <c r="Q51" i="14"/>
  <c r="Q50" i="14"/>
  <c r="Q49" i="14"/>
  <c r="Q48" i="14"/>
  <c r="Q47" i="14"/>
  <c r="Q46" i="14"/>
  <c r="H9" i="28"/>
  <c r="R69" i="10"/>
  <c r="E77" i="28"/>
  <c r="E70" i="28"/>
  <c r="F70" i="28"/>
  <c r="E63" i="28"/>
  <c r="F63" i="28"/>
  <c r="E56" i="28"/>
  <c r="F56" i="28"/>
  <c r="G111" i="28"/>
  <c r="H111" i="28"/>
  <c r="G104" i="28"/>
  <c r="H104" i="28"/>
  <c r="G69" i="28"/>
  <c r="H69" i="28"/>
  <c r="G62" i="28"/>
  <c r="H62" i="28"/>
  <c r="G55" i="28"/>
  <c r="H55" i="28"/>
  <c r="I75" i="28"/>
  <c r="F77" i="28"/>
  <c r="H83" i="28"/>
  <c r="H90" i="28"/>
  <c r="I90" i="28"/>
  <c r="B91" i="28"/>
  <c r="I83" i="28"/>
  <c r="B84" i="28"/>
  <c r="I62" i="28"/>
  <c r="B63" i="28"/>
  <c r="G63" i="28"/>
  <c r="I69" i="28"/>
  <c r="B70" i="28"/>
  <c r="G70" i="28"/>
  <c r="I111" i="28"/>
  <c r="B112" i="28"/>
  <c r="E13" i="13"/>
  <c r="E14" i="13"/>
  <c r="E15" i="13"/>
  <c r="E16" i="13"/>
  <c r="E18" i="13"/>
  <c r="E23" i="13"/>
  <c r="O7" i="7"/>
  <c r="H13" i="13"/>
  <c r="H14" i="13"/>
  <c r="H15" i="13"/>
  <c r="H16" i="13"/>
  <c r="H18" i="13"/>
  <c r="H23" i="13"/>
  <c r="O8" i="7"/>
  <c r="I97" i="28"/>
  <c r="I55" i="28"/>
  <c r="B56" i="28"/>
  <c r="G56" i="28"/>
  <c r="H56" i="28"/>
  <c r="I56" i="28"/>
  <c r="G21" i="28"/>
  <c r="I104" i="28"/>
  <c r="B105" i="28"/>
  <c r="G105" i="28"/>
  <c r="H105" i="28"/>
  <c r="I105" i="28"/>
  <c r="G28" i="28"/>
  <c r="B13" i="13"/>
  <c r="B14" i="13"/>
  <c r="B15" i="13"/>
  <c r="B16" i="13"/>
  <c r="B18" i="13"/>
  <c r="G76" i="28"/>
  <c r="H76" i="28"/>
  <c r="H70" i="28"/>
  <c r="I70" i="28"/>
  <c r="H63" i="28"/>
  <c r="I63" i="28"/>
  <c r="G22" i="28"/>
  <c r="G91" i="28"/>
  <c r="G84" i="28"/>
  <c r="G112" i="28"/>
  <c r="H112" i="28"/>
  <c r="I112" i="28"/>
  <c r="G29" i="28"/>
  <c r="I29" i="28"/>
  <c r="I76" i="28"/>
  <c r="B77" i="28"/>
  <c r="G23" i="28"/>
  <c r="I23" i="28"/>
  <c r="I28" i="28"/>
  <c r="P28" i="28"/>
  <c r="I21" i="28"/>
  <c r="O21" i="28"/>
  <c r="I22" i="28"/>
  <c r="O22" i="28"/>
  <c r="H91" i="28"/>
  <c r="I91" i="28"/>
  <c r="G26" i="28"/>
  <c r="H84" i="28"/>
  <c r="I84" i="28"/>
  <c r="G25" i="28"/>
  <c r="P29" i="28"/>
  <c r="N29" i="28"/>
  <c r="O29" i="28"/>
  <c r="Q29" i="28"/>
  <c r="O23" i="28"/>
  <c r="P23" i="28"/>
  <c r="N23" i="28"/>
  <c r="G77" i="28"/>
  <c r="H77" i="28"/>
  <c r="I77" i="28"/>
  <c r="G24" i="28"/>
  <c r="Q23" i="28"/>
  <c r="P22" i="28"/>
  <c r="N22" i="28"/>
  <c r="Q22" i="28"/>
  <c r="N28" i="28"/>
  <c r="O28" i="28"/>
  <c r="Q28" i="28"/>
  <c r="Q21" i="28"/>
  <c r="N21" i="28"/>
  <c r="P21" i="28"/>
  <c r="I25" i="28"/>
  <c r="N25" i="28"/>
  <c r="I26" i="28"/>
  <c r="Q26" i="28"/>
  <c r="B189" i="10"/>
  <c r="B201" i="10"/>
  <c r="R7" i="7"/>
  <c r="G30" i="28"/>
  <c r="I24" i="28"/>
  <c r="P24" i="28"/>
  <c r="B32" i="18"/>
  <c r="O26" i="26"/>
  <c r="B36" i="26"/>
  <c r="P26" i="26"/>
  <c r="B37" i="26"/>
  <c r="Q25" i="28"/>
  <c r="O26" i="28"/>
  <c r="P26" i="28"/>
  <c r="P25" i="28"/>
  <c r="N26" i="28"/>
  <c r="O25" i="28"/>
  <c r="O24" i="28"/>
  <c r="Q24" i="28"/>
  <c r="N24" i="28"/>
  <c r="I30" i="28"/>
  <c r="O30" i="28"/>
  <c r="B35" i="28"/>
  <c r="Q30" i="28"/>
  <c r="B37" i="28"/>
  <c r="P30" i="28"/>
  <c r="B36" i="28"/>
  <c r="B47" i="28"/>
  <c r="P9" i="7"/>
  <c r="N30" i="28"/>
  <c r="B34" i="28"/>
  <c r="B46" i="26"/>
  <c r="Q8" i="7"/>
  <c r="B45" i="26"/>
  <c r="Q7" i="7"/>
  <c r="B200" i="10"/>
  <c r="R9" i="7"/>
  <c r="B46" i="28"/>
  <c r="P7" i="7"/>
  <c r="B48" i="28"/>
  <c r="P8" i="7"/>
  <c r="D9" i="5"/>
  <c r="D79" i="5"/>
  <c r="D80" i="5"/>
  <c r="D14" i="7"/>
  <c r="D12" i="7"/>
  <c r="D13" i="7"/>
  <c r="E134" i="6"/>
  <c r="E109" i="6"/>
  <c r="E188" i="6"/>
  <c r="E561" i="6"/>
  <c r="E339" i="6"/>
  <c r="E14" i="6"/>
  <c r="E543" i="6"/>
  <c r="E107" i="6"/>
  <c r="E439" i="6"/>
  <c r="E369" i="6"/>
  <c r="E346" i="6"/>
  <c r="E370" i="6"/>
  <c r="E463" i="6"/>
  <c r="E560" i="6"/>
  <c r="E344" i="6"/>
  <c r="E500" i="6"/>
  <c r="E324" i="6"/>
  <c r="E322" i="6"/>
  <c r="E140" i="6"/>
  <c r="E509" i="6"/>
  <c r="E371" i="6"/>
  <c r="E341" i="6"/>
  <c r="E263" i="6"/>
  <c r="E159" i="6"/>
  <c r="E141" i="6"/>
  <c r="E331" i="6"/>
  <c r="E323" i="6"/>
  <c r="E315" i="6"/>
  <c r="E342" i="6"/>
  <c r="E558" i="6"/>
  <c r="D186" i="4"/>
  <c r="D519" i="4"/>
  <c r="D19" i="4"/>
  <c r="D163" i="4"/>
  <c r="D324" i="4"/>
  <c r="D59" i="4"/>
  <c r="D463" i="4"/>
  <c r="D266" i="4"/>
  <c r="D17" i="4"/>
  <c r="D166" i="4"/>
  <c r="D546" i="4"/>
  <c r="D212" i="4"/>
  <c r="D234" i="4"/>
  <c r="D379" i="4"/>
  <c r="D440" i="4"/>
  <c r="D107" i="4"/>
  <c r="D18" i="4"/>
  <c r="D478" i="4"/>
  <c r="D437" i="4"/>
  <c r="D197" i="4"/>
  <c r="D550" i="4"/>
  <c r="D555" i="4"/>
  <c r="D299" i="4"/>
  <c r="D66" i="4"/>
  <c r="D274" i="4"/>
  <c r="D242" i="4"/>
  <c r="D138" i="4"/>
  <c r="D130" i="4"/>
  <c r="D329" i="4"/>
  <c r="D537" i="4"/>
  <c r="D378" i="4"/>
  <c r="D317" i="4"/>
  <c r="D433" i="4"/>
  <c r="D293" i="4"/>
  <c r="D251" i="4"/>
  <c r="D175" i="4"/>
  <c r="D414" i="4"/>
  <c r="D96" i="4"/>
  <c r="D471" i="4"/>
  <c r="D42" i="4"/>
  <c r="D461" i="4"/>
  <c r="D447" i="4"/>
  <c r="D20" i="4"/>
  <c r="D148" i="4"/>
  <c r="D249" i="4"/>
  <c r="D342" i="4"/>
  <c r="D192" i="4"/>
  <c r="D361" i="4"/>
  <c r="D412" i="4"/>
  <c r="D179" i="4"/>
  <c r="D194" i="4"/>
  <c r="D487" i="4"/>
  <c r="D445" i="4"/>
  <c r="D213" i="4"/>
  <c r="D102" i="4"/>
  <c r="D127" i="4"/>
  <c r="D383" i="4"/>
  <c r="D32" i="4"/>
  <c r="D209" i="4"/>
  <c r="D352" i="4"/>
  <c r="D542" i="4"/>
  <c r="D320" i="4"/>
  <c r="D330" i="4"/>
  <c r="D501" i="4"/>
  <c r="D441" i="4"/>
  <c r="D456" i="4"/>
  <c r="D188" i="4"/>
  <c r="D526" i="4"/>
  <c r="D525" i="4"/>
  <c r="D313" i="4"/>
  <c r="D224" i="4"/>
  <c r="D498" i="4"/>
  <c r="D237" i="4"/>
  <c r="D377" i="4"/>
  <c r="D132" i="4"/>
  <c r="D46" i="4"/>
  <c r="D117" i="4"/>
  <c r="D191" i="4"/>
  <c r="D565" i="4"/>
  <c r="D457" i="4"/>
  <c r="D273" i="4"/>
  <c r="D139" i="4"/>
  <c r="D446" i="4"/>
  <c r="D38" i="4"/>
  <c r="D419" i="4"/>
  <c r="D363" i="4"/>
  <c r="D119" i="4"/>
  <c r="D217" i="4"/>
  <c r="D348" i="4"/>
  <c r="D538" i="4"/>
  <c r="D181" i="4"/>
  <c r="D551" i="4"/>
  <c r="D561" i="4"/>
  <c r="D397" i="4"/>
  <c r="D365" i="4"/>
  <c r="D36" i="4"/>
  <c r="D439" i="4"/>
  <c r="D52" i="4"/>
  <c r="D15" i="4"/>
  <c r="D360" i="4"/>
  <c r="D545" i="4"/>
  <c r="D562" i="4"/>
  <c r="D510" i="4"/>
  <c r="D75" i="4"/>
  <c r="D404" i="4"/>
  <c r="D169" i="4"/>
  <c r="D357" i="4"/>
  <c r="D353" i="4"/>
  <c r="D84" i="4"/>
  <c r="D168" i="4"/>
  <c r="D111" i="4"/>
  <c r="D294" i="4"/>
  <c r="D206" i="4"/>
  <c r="D272" i="4"/>
  <c r="D131" i="4"/>
  <c r="D252" i="4"/>
  <c r="D323" i="4"/>
  <c r="D420" i="4"/>
  <c r="D231" i="4"/>
  <c r="D72" i="4"/>
  <c r="D76" i="4"/>
  <c r="D173" i="4"/>
  <c r="D449" i="4"/>
  <c r="D151" i="4"/>
  <c r="D556" i="4"/>
  <c r="D53" i="4"/>
  <c r="D108" i="4"/>
  <c r="D244" i="4"/>
  <c r="D481" i="4"/>
  <c r="D521" i="4"/>
  <c r="D409" i="4"/>
  <c r="D390" i="4"/>
  <c r="D476" i="4"/>
  <c r="D564" i="4"/>
  <c r="D367" i="4"/>
  <c r="D22" i="4"/>
  <c r="D351" i="4"/>
  <c r="D221" i="4"/>
  <c r="D388" i="4"/>
  <c r="D270" i="4"/>
  <c r="D458" i="4"/>
  <c r="D285" i="4"/>
  <c r="D113" i="4"/>
  <c r="D258" i="4"/>
  <c r="D369" i="4"/>
  <c r="D406" i="4"/>
  <c r="D300" i="4"/>
  <c r="D95" i="4"/>
  <c r="D524" i="4"/>
  <c r="D124" i="4"/>
  <c r="D319" i="4"/>
  <c r="D547" i="4"/>
  <c r="D288" i="4"/>
  <c r="D322" i="4"/>
  <c r="D16" i="4"/>
  <c r="D82" i="4"/>
  <c r="D373" i="4"/>
  <c r="D548" i="4"/>
  <c r="D255" i="4"/>
  <c r="D410" i="4"/>
  <c r="D37" i="4"/>
  <c r="D434" i="4"/>
  <c r="D51" i="4"/>
  <c r="D44" i="4"/>
  <c r="D189" i="4"/>
  <c r="D540" i="4"/>
  <c r="D158" i="4"/>
  <c r="D364" i="4"/>
  <c r="D336" i="4"/>
  <c r="D450" i="4"/>
  <c r="D469" i="4"/>
  <c r="D479" i="4"/>
  <c r="D345" i="4"/>
  <c r="D49" i="4"/>
  <c r="D368" i="4"/>
  <c r="D292" i="4"/>
  <c r="D384" i="4"/>
  <c r="D167" i="4"/>
  <c r="D298" i="4"/>
  <c r="D115" i="4"/>
  <c r="D236" i="4"/>
  <c r="D184" i="4"/>
  <c r="D459" i="4"/>
  <c r="D54" i="4"/>
  <c r="D496" i="4"/>
  <c r="D21" i="4"/>
  <c r="D27" i="4"/>
  <c r="D150" i="4"/>
  <c r="D347" i="4"/>
  <c r="D238" i="4"/>
  <c r="D346" i="4"/>
  <c r="D101" i="4"/>
  <c r="D200" i="4"/>
  <c r="D263" i="4"/>
  <c r="D311" i="4"/>
  <c r="D558" i="4"/>
  <c r="D23" i="4"/>
  <c r="D261" i="4"/>
  <c r="D518" i="4"/>
  <c r="D277" i="4"/>
  <c r="D490" i="4"/>
  <c r="D97" i="4"/>
  <c r="D120" i="4"/>
  <c r="D89" i="4"/>
  <c r="D435" i="4"/>
  <c r="D432" i="4"/>
  <c r="D309" i="4"/>
  <c r="D156" i="4"/>
  <c r="D527" i="4"/>
  <c r="D55" i="4"/>
  <c r="D520" i="4"/>
  <c r="D393" i="4"/>
  <c r="D25" i="4"/>
  <c r="D436" i="4"/>
  <c r="D489" i="4"/>
  <c r="D100" i="4"/>
  <c r="D147" i="4"/>
  <c r="D531" i="4"/>
  <c r="D544" i="4"/>
  <c r="D74" i="4"/>
  <c r="D172" i="4"/>
  <c r="D318" i="4"/>
  <c r="D112" i="4"/>
  <c r="D48" i="4"/>
  <c r="D332" i="4"/>
  <c r="D271" i="4"/>
  <c r="D216" i="4"/>
  <c r="D430" i="4"/>
  <c r="D210" i="4"/>
  <c r="D275" i="4"/>
  <c r="D73" i="4"/>
  <c r="D331" i="4"/>
  <c r="D356" i="4"/>
  <c r="D462" i="4"/>
  <c r="D161" i="4"/>
  <c r="D405" i="4"/>
  <c r="D480" i="4"/>
  <c r="D223" i="4"/>
  <c r="D30" i="4"/>
  <c r="D343" i="4"/>
  <c r="D171" i="4"/>
  <c r="D302" i="4"/>
  <c r="D90" i="4"/>
  <c r="D455" i="4"/>
  <c r="D63" i="4"/>
  <c r="D50" i="4"/>
  <c r="D182" i="4"/>
  <c r="D316" i="4"/>
  <c r="D344" i="4"/>
  <c r="D454" i="4"/>
  <c r="D137" i="4"/>
  <c r="D128" i="4"/>
  <c r="D398" i="4"/>
  <c r="D413" i="4"/>
  <c r="D528" i="4"/>
  <c r="D557" i="4"/>
  <c r="D225" i="4"/>
  <c r="D394" i="4"/>
  <c r="D269" i="4"/>
  <c r="D529" i="4"/>
  <c r="D235" i="4"/>
  <c r="D305" i="4"/>
  <c r="D387" i="4"/>
  <c r="D534" i="4"/>
  <c r="D122" i="4"/>
  <c r="D47" i="4"/>
  <c r="D475" i="4"/>
  <c r="D135" i="4"/>
  <c r="D418" i="4"/>
  <c r="D60" i="4"/>
  <c r="D140" i="4"/>
  <c r="D559" i="4"/>
  <c r="D13" i="4"/>
  <c r="D256" i="4"/>
  <c r="D517" i="4"/>
  <c r="D264" i="4"/>
  <c r="D370" i="4"/>
  <c r="D91" i="4"/>
  <c r="D276" i="4"/>
  <c r="D415" i="4"/>
  <c r="D67" i="4"/>
  <c r="D399" i="4"/>
  <c r="D103" i="4"/>
  <c r="D339" i="4"/>
  <c r="D227" i="4"/>
  <c r="D499" i="4"/>
  <c r="D533" i="4"/>
  <c r="D177" i="4"/>
  <c r="D204" i="4"/>
  <c r="D196" i="4"/>
  <c r="D110" i="4"/>
  <c r="D154" i="4"/>
  <c r="D444" i="4"/>
  <c r="D160" i="4"/>
  <c r="D250" i="4"/>
  <c r="D403" i="4"/>
  <c r="D338" i="4"/>
  <c r="D312" i="4"/>
  <c r="D149" i="4"/>
  <c r="D69" i="4"/>
  <c r="D232" i="4"/>
  <c r="D514" i="4"/>
  <c r="D334" i="4"/>
  <c r="D257" i="4"/>
  <c r="D307" i="4"/>
  <c r="D24" i="4"/>
  <c r="D539" i="4"/>
  <c r="D29" i="4"/>
  <c r="D201" i="4"/>
  <c r="D512" i="4"/>
  <c r="D337" i="4"/>
  <c r="D505" i="4"/>
  <c r="D26" i="4"/>
  <c r="D121" i="4"/>
  <c r="D64" i="4"/>
  <c r="D506" i="4"/>
  <c r="D230" i="4"/>
  <c r="D466" i="4"/>
  <c r="D515" i="4"/>
  <c r="D155" i="4"/>
  <c r="D400" i="4"/>
  <c r="D187" i="4"/>
  <c r="D443" i="4"/>
  <c r="D215" i="4"/>
  <c r="D211" i="4"/>
  <c r="D467" i="4"/>
  <c r="D280" i="4"/>
  <c r="D486" i="4"/>
  <c r="D570" i="4"/>
  <c r="D385" i="4"/>
  <c r="D310" i="4"/>
  <c r="D327" i="4"/>
  <c r="D248" i="4"/>
  <c r="D265" i="4"/>
  <c r="D70" i="4"/>
  <c r="D165" i="4"/>
  <c r="D178" i="4"/>
  <c r="D254" i="4"/>
  <c r="D98" i="4"/>
  <c r="D362" i="4"/>
  <c r="D208" i="4"/>
  <c r="D145" i="4"/>
  <c r="D381" i="4"/>
  <c r="D56" i="4"/>
  <c r="D389" i="4"/>
  <c r="D391" i="4"/>
  <c r="D549" i="4"/>
  <c r="D14" i="4"/>
  <c r="D281" i="4"/>
  <c r="D500" i="4"/>
  <c r="D34" i="4"/>
  <c r="D144" i="4"/>
  <c r="D371" i="4"/>
  <c r="D508" i="4"/>
  <c r="D239" i="4"/>
  <c r="D218" i="4"/>
  <c r="D530" i="4"/>
  <c r="D408" i="4"/>
  <c r="D325" i="4"/>
  <c r="D78" i="4"/>
  <c r="D125" i="4"/>
  <c r="D12" i="4"/>
  <c r="D207" i="4"/>
  <c r="D159" i="4"/>
  <c r="D85" i="4"/>
  <c r="D314" i="4"/>
  <c r="D488" i="4"/>
  <c r="D516" i="4"/>
  <c r="D315" i="4"/>
  <c r="D282" i="4"/>
  <c r="D349" i="4"/>
  <c r="D554" i="4"/>
  <c r="D423" i="4"/>
  <c r="D424" i="4"/>
  <c r="D65" i="4"/>
  <c r="D193" i="4"/>
  <c r="D473" i="4"/>
  <c r="D417" i="4"/>
  <c r="D105" i="4"/>
  <c r="D61" i="4"/>
  <c r="D563" i="4"/>
  <c r="D260" i="4"/>
  <c r="D83" i="4"/>
  <c r="D308" i="4"/>
  <c r="D411" i="4"/>
  <c r="D136" i="4"/>
  <c r="D162" i="4"/>
  <c r="D509" i="4"/>
  <c r="D118" i="4"/>
  <c r="D472" i="4"/>
  <c r="D507" i="4"/>
  <c r="D429" i="4"/>
  <c r="D350" i="4"/>
  <c r="D28" i="4"/>
  <c r="D62" i="4"/>
  <c r="D306" i="4"/>
  <c r="D114" i="4"/>
  <c r="D104" i="4"/>
  <c r="D229" i="4"/>
  <c r="D448" i="4"/>
  <c r="D268" i="4"/>
  <c r="D359" i="4"/>
  <c r="D296" i="4"/>
  <c r="D81" i="4"/>
  <c r="D245" i="4"/>
  <c r="D33" i="4"/>
  <c r="D80" i="4"/>
  <c r="D109" i="4"/>
  <c r="D492" i="4"/>
  <c r="D291" i="4"/>
  <c r="D374" i="4"/>
  <c r="D35" i="4"/>
  <c r="D392" i="4"/>
  <c r="D523" i="4"/>
  <c r="D214" i="4"/>
  <c r="D202" i="4"/>
  <c r="D483" i="4"/>
  <c r="D428" i="4"/>
  <c r="D267" i="4"/>
  <c r="D279" i="4"/>
  <c r="D477" i="4"/>
  <c r="D284" i="4"/>
  <c r="D106" i="4"/>
  <c r="D253" i="4"/>
  <c r="D233" i="4"/>
  <c r="D382" i="4"/>
  <c r="D328" i="4"/>
  <c r="D484" i="4"/>
  <c r="D474" i="4"/>
  <c r="D566" i="4"/>
  <c r="D340" i="4"/>
  <c r="D304" i="4"/>
  <c r="D205" i="4"/>
  <c r="D43" i="4"/>
  <c r="D157" i="4"/>
  <c r="D77" i="4"/>
  <c r="D301" i="4"/>
  <c r="D99" i="4"/>
  <c r="D426" i="4"/>
  <c r="D366" i="4"/>
  <c r="D287" i="4"/>
  <c r="D71" i="4"/>
  <c r="D442" i="4"/>
  <c r="D133" i="4"/>
  <c r="D289" i="4"/>
  <c r="D493" i="4"/>
  <c r="D504" i="4"/>
  <c r="D203" i="4"/>
  <c r="D452" i="4"/>
  <c r="D180" i="4"/>
  <c r="D401" i="4"/>
  <c r="D283" i="4"/>
  <c r="D153" i="4"/>
  <c r="D129" i="4"/>
  <c r="D190" i="4"/>
  <c r="D422" i="4"/>
  <c r="D522" i="4"/>
  <c r="D376" i="4"/>
  <c r="D358" i="4"/>
  <c r="D464" i="4"/>
  <c r="D460" i="4"/>
  <c r="D569" i="4"/>
  <c r="D407" i="4"/>
  <c r="D220" i="4"/>
  <c r="D11" i="4"/>
  <c r="D425" i="4"/>
  <c r="D553" i="4"/>
  <c r="D451" i="4"/>
  <c r="D354" i="4"/>
  <c r="D116" i="4"/>
  <c r="D134" i="4"/>
  <c r="D326" i="4"/>
  <c r="D199" i="4"/>
  <c r="D10" i="4"/>
  <c r="D183" i="4"/>
  <c r="D297" i="4"/>
  <c r="D372" i="4"/>
  <c r="D560" i="4"/>
  <c r="D482" i="4"/>
  <c r="D198" i="4"/>
  <c r="D126" i="4"/>
  <c r="D88" i="4"/>
  <c r="D176" i="4"/>
  <c r="D142" i="4"/>
  <c r="D185" i="4"/>
  <c r="D468" i="4"/>
  <c r="D536" i="4"/>
  <c r="D497" i="4"/>
  <c r="D386" i="4"/>
  <c r="D380" i="4"/>
  <c r="D465" i="4"/>
  <c r="D45" i="4"/>
  <c r="D494" i="4"/>
  <c r="D94" i="4"/>
  <c r="D152" i="4"/>
  <c r="D68" i="4"/>
  <c r="D31" i="4"/>
  <c r="D174" i="4"/>
  <c r="D195" i="4"/>
  <c r="D438" i="4"/>
  <c r="D341" i="4"/>
  <c r="D92" i="4"/>
  <c r="D303" i="4"/>
  <c r="D321" i="4"/>
  <c r="D511" i="4"/>
  <c r="D290" i="4"/>
  <c r="D259" i="4"/>
  <c r="D39" i="4"/>
  <c r="D295" i="4"/>
  <c r="D396" i="4"/>
  <c r="D532" i="4"/>
  <c r="D123" i="4"/>
  <c r="D485" i="4"/>
  <c r="D41" i="4"/>
  <c r="D453" i="4"/>
  <c r="D247" i="4"/>
  <c r="D513" i="4"/>
  <c r="D427" i="4"/>
  <c r="D375" i="4"/>
  <c r="D146" i="4"/>
  <c r="D86" i="4"/>
  <c r="D141" i="4"/>
  <c r="D402" i="4"/>
  <c r="D226" i="4"/>
  <c r="D143" i="4"/>
  <c r="D278" i="4"/>
  <c r="D246" i="4"/>
  <c r="D355" i="4"/>
  <c r="D495" i="4"/>
  <c r="D431" i="4"/>
  <c r="D286" i="4"/>
  <c r="D79" i="4"/>
  <c r="D9" i="4"/>
  <c r="D421" i="4"/>
  <c r="D552" i="4"/>
  <c r="D93" i="4"/>
  <c r="D241" i="4"/>
  <c r="D58" i="4"/>
  <c r="D240" i="4"/>
  <c r="D222" i="4"/>
  <c r="D243" i="4"/>
  <c r="D491" i="4"/>
  <c r="D57" i="4"/>
  <c r="D395" i="4"/>
  <c r="D416" i="4"/>
  <c r="D470" i="4"/>
  <c r="D228" i="4"/>
  <c r="D219" i="4"/>
  <c r="D503" i="4"/>
  <c r="D502" i="4"/>
  <c r="D335" i="4"/>
  <c r="D262" i="4"/>
  <c r="D170" i="4"/>
  <c r="D535" i="4"/>
  <c r="D541" i="4"/>
  <c r="D333" i="4"/>
  <c r="D543" i="4"/>
  <c r="D87" i="4"/>
  <c r="D164" i="4"/>
  <c r="D40" i="4"/>
  <c r="D54" i="5"/>
  <c r="D33" i="5"/>
  <c r="D58" i="5"/>
  <c r="D62" i="5"/>
  <c r="D10" i="5"/>
  <c r="D68" i="5"/>
  <c r="D48" i="5"/>
  <c r="D69" i="5"/>
  <c r="D22" i="5"/>
  <c r="D77" i="5"/>
  <c r="D76" i="5"/>
  <c r="D14" i="5"/>
  <c r="D23" i="5"/>
  <c r="D61" i="5"/>
  <c r="D20" i="5"/>
  <c r="D65" i="5"/>
  <c r="D21" i="5"/>
  <c r="D11" i="5"/>
  <c r="D15" i="5"/>
  <c r="D59" i="5"/>
  <c r="D75" i="5"/>
  <c r="D13" i="5"/>
  <c r="D73" i="5"/>
  <c r="D60" i="5"/>
  <c r="D18" i="5"/>
  <c r="D64" i="5"/>
  <c r="D72" i="5"/>
  <c r="D27" i="5"/>
  <c r="D66" i="5"/>
  <c r="D57" i="5"/>
  <c r="D63" i="5"/>
  <c r="D55" i="5"/>
  <c r="D46" i="5"/>
  <c r="D16" i="5"/>
  <c r="D30" i="5"/>
  <c r="D43" i="5"/>
  <c r="D29" i="5"/>
  <c r="D39" i="5"/>
  <c r="D67" i="5"/>
  <c r="D24" i="5"/>
  <c r="D52" i="5"/>
  <c r="D35" i="5"/>
  <c r="D41" i="5"/>
  <c r="D78" i="5"/>
  <c r="D70" i="5"/>
  <c r="D34" i="5"/>
  <c r="D19" i="5"/>
  <c r="D25" i="5"/>
  <c r="D51" i="5"/>
  <c r="D26" i="5"/>
  <c r="D49" i="5"/>
  <c r="D50" i="5"/>
  <c r="D38" i="5"/>
  <c r="D28" i="5"/>
  <c r="D12" i="5"/>
  <c r="D74" i="5"/>
  <c r="D32" i="5"/>
  <c r="D36" i="5"/>
  <c r="D42" i="5"/>
  <c r="D37" i="5"/>
  <c r="D44" i="5"/>
  <c r="D71" i="5"/>
  <c r="D45" i="5"/>
  <c r="D31" i="5"/>
  <c r="D53" i="5"/>
  <c r="D56" i="5"/>
  <c r="D40" i="5"/>
  <c r="D47" i="5"/>
  <c r="D17" i="5"/>
  <c r="B18" i="21"/>
  <c r="B17" i="21"/>
  <c r="M9" i="4"/>
  <c r="M9" i="5"/>
  <c r="M31" i="5"/>
  <c r="M66" i="5"/>
  <c r="M70" i="5"/>
  <c r="M27" i="5"/>
  <c r="M39" i="5"/>
  <c r="M37" i="5"/>
  <c r="M57" i="5"/>
  <c r="M24" i="5"/>
  <c r="M52" i="5"/>
  <c r="M32" i="5"/>
  <c r="M10" i="5"/>
  <c r="M64" i="5"/>
  <c r="M49" i="5"/>
  <c r="M25" i="5"/>
  <c r="M30" i="5"/>
  <c r="M22" i="5"/>
  <c r="M48" i="5"/>
  <c r="M17" i="5"/>
  <c r="M23" i="5"/>
  <c r="M35" i="5"/>
  <c r="M78" i="5"/>
  <c r="M44" i="5"/>
  <c r="M19" i="5"/>
  <c r="M45" i="5"/>
  <c r="M56" i="5"/>
  <c r="M28" i="5"/>
  <c r="M80" i="5"/>
  <c r="M72" i="5"/>
  <c r="M50" i="5"/>
  <c r="M62" i="5"/>
  <c r="M47" i="5"/>
  <c r="M13" i="5"/>
  <c r="M40" i="5"/>
  <c r="M33" i="5"/>
  <c r="M18" i="5"/>
  <c r="M15" i="5"/>
  <c r="M42" i="5"/>
  <c r="M41" i="5"/>
  <c r="M51" i="5"/>
  <c r="M14" i="5"/>
  <c r="M43" i="5"/>
  <c r="M21" i="5"/>
  <c r="M20" i="5"/>
  <c r="M12" i="5"/>
  <c r="M34" i="5"/>
  <c r="M60" i="5"/>
  <c r="M38" i="5"/>
  <c r="M16" i="5"/>
  <c r="M29" i="5"/>
  <c r="M11" i="5"/>
  <c r="M46" i="5"/>
  <c r="M76" i="5"/>
  <c r="M36" i="5"/>
  <c r="M26" i="5"/>
  <c r="M79" i="5"/>
  <c r="M311" i="4"/>
  <c r="M513" i="4"/>
  <c r="M517" i="4"/>
  <c r="M156" i="4"/>
  <c r="M341" i="4"/>
  <c r="M331" i="4"/>
  <c r="M373" i="4"/>
  <c r="M147" i="4"/>
  <c r="M475" i="4"/>
  <c r="M535" i="4"/>
  <c r="M74" i="4"/>
  <c r="M532" i="4"/>
  <c r="M116" i="4"/>
  <c r="M440" i="4"/>
  <c r="M342" i="4"/>
  <c r="M127" i="4"/>
  <c r="M27" i="4"/>
  <c r="M133" i="4"/>
  <c r="M463" i="4"/>
  <c r="M21" i="4"/>
  <c r="M154" i="4"/>
  <c r="M243" i="4"/>
  <c r="M569" i="4"/>
  <c r="M468" i="4"/>
  <c r="M143" i="4"/>
  <c r="M194" i="4"/>
  <c r="M199" i="4"/>
  <c r="M174" i="4"/>
  <c r="M344" i="4"/>
  <c r="M36" i="4"/>
  <c r="M492" i="4"/>
  <c r="M64" i="4"/>
  <c r="M497" i="4"/>
  <c r="M101" i="4"/>
  <c r="M530" i="4"/>
  <c r="M231" i="4"/>
  <c r="M59" i="4"/>
  <c r="M137" i="4"/>
  <c r="M175" i="4"/>
  <c r="M134" i="4"/>
  <c r="M406" i="4"/>
  <c r="M257" i="4"/>
  <c r="M328" i="4"/>
  <c r="M334" i="4"/>
  <c r="M518" i="4"/>
  <c r="M531" i="4"/>
  <c r="M112" i="4"/>
  <c r="M509" i="4"/>
  <c r="M242" i="4"/>
  <c r="M515" i="4"/>
  <c r="M217" i="4"/>
  <c r="M508" i="4"/>
  <c r="M45" i="4"/>
  <c r="M465" i="4"/>
  <c r="M204" i="4"/>
  <c r="M158" i="4"/>
  <c r="M29" i="4"/>
  <c r="M300" i="4"/>
  <c r="M420" i="4"/>
  <c r="M250" i="4"/>
  <c r="M527" i="4"/>
  <c r="M417" i="4"/>
  <c r="M481" i="4"/>
  <c r="M442" i="4"/>
  <c r="M76" i="4"/>
  <c r="M186" i="4"/>
  <c r="M178" i="4"/>
  <c r="M155" i="4"/>
  <c r="M41" i="4"/>
  <c r="M397" i="4"/>
  <c r="M500" i="4"/>
  <c r="M129" i="4"/>
  <c r="M470" i="4"/>
  <c r="M110" i="4"/>
  <c r="M416" i="4"/>
  <c r="M85" i="4"/>
  <c r="M192" i="4"/>
  <c r="M270" i="4"/>
  <c r="M485" i="4"/>
  <c r="M310" i="4"/>
  <c r="M466" i="4"/>
  <c r="M368" i="4"/>
  <c r="M266" i="4"/>
  <c r="M230" i="4"/>
  <c r="M216" i="4"/>
  <c r="M190" i="4"/>
  <c r="M409" i="4"/>
  <c r="M219" i="4"/>
  <c r="M437" i="4"/>
  <c r="M240" i="4"/>
  <c r="M448" i="4"/>
  <c r="M295" i="4"/>
  <c r="M419" i="4"/>
  <c r="M521" i="4"/>
  <c r="M88" i="4"/>
  <c r="M185" i="4"/>
  <c r="M35" i="4"/>
  <c r="M160" i="4"/>
  <c r="M415" i="4"/>
  <c r="M65" i="4"/>
  <c r="M335" i="4"/>
  <c r="M317" i="4"/>
  <c r="M348" i="4"/>
  <c r="M543" i="4"/>
  <c r="M177" i="4"/>
  <c r="M377" i="4"/>
  <c r="M77" i="4"/>
  <c r="M70" i="4"/>
  <c r="M375" i="4"/>
  <c r="M180" i="4"/>
  <c r="M489" i="4"/>
  <c r="M83" i="4"/>
  <c r="M255" i="4"/>
  <c r="M38" i="4"/>
  <c r="M294" i="4"/>
  <c r="M519" i="4"/>
  <c r="M299" i="4"/>
  <c r="M547" i="4"/>
  <c r="M290" i="4"/>
  <c r="M365" i="4"/>
  <c r="M52" i="4"/>
  <c r="M379" i="4"/>
  <c r="M478" i="4"/>
  <c r="M284" i="4"/>
  <c r="M14" i="4"/>
  <c r="M241" i="4"/>
  <c r="M512" i="4"/>
  <c r="M562" i="4"/>
  <c r="M18" i="4"/>
  <c r="M31" i="4"/>
  <c r="M502" i="4"/>
  <c r="M362" i="4"/>
  <c r="M361" i="4"/>
  <c r="M278" i="4"/>
  <c r="M244" i="4"/>
  <c r="M98" i="4"/>
  <c r="M410" i="4"/>
  <c r="M130" i="4"/>
  <c r="M173" i="4"/>
  <c r="M467" i="4"/>
  <c r="M363" i="4"/>
  <c r="M510" i="4"/>
  <c r="M333" i="4"/>
  <c r="M73" i="4"/>
  <c r="M538" i="4"/>
  <c r="M62" i="4"/>
  <c r="M261" i="4"/>
  <c r="M280" i="4"/>
  <c r="M94" i="4"/>
  <c r="M271" i="4"/>
  <c r="M303" i="4"/>
  <c r="M556" i="4"/>
  <c r="M81" i="4"/>
  <c r="M505" i="4"/>
  <c r="M287" i="4"/>
  <c r="M151" i="4"/>
  <c r="M253" i="4"/>
  <c r="M329" i="4"/>
  <c r="M428" i="4"/>
  <c r="M264" i="4"/>
  <c r="M53" i="4"/>
  <c r="M343" i="4"/>
  <c r="M503" i="4"/>
  <c r="M141" i="4"/>
  <c r="M423" i="4"/>
  <c r="M506" i="4"/>
  <c r="M142" i="4"/>
  <c r="M389" i="4"/>
  <c r="M371" i="4"/>
  <c r="M277" i="4"/>
  <c r="M539" i="4"/>
  <c r="M16" i="4"/>
  <c r="M106" i="4"/>
  <c r="M50" i="4"/>
  <c r="M565" i="4"/>
  <c r="M364" i="4"/>
  <c r="M39" i="4"/>
  <c r="M260" i="4"/>
  <c r="M238" i="4"/>
  <c r="M460" i="4"/>
  <c r="M237" i="4"/>
  <c r="M412" i="4"/>
  <c r="M320" i="4"/>
  <c r="M107" i="4"/>
  <c r="M296" i="4"/>
  <c r="M211" i="4"/>
  <c r="M360" i="4"/>
  <c r="M274" i="4"/>
  <c r="M195" i="4"/>
  <c r="M248" i="4"/>
  <c r="M351" i="4"/>
  <c r="M370" i="4"/>
  <c r="M524" i="4"/>
  <c r="M188" i="4"/>
  <c r="M208" i="4"/>
  <c r="M24" i="4"/>
  <c r="M297" i="4"/>
  <c r="M402" i="4"/>
  <c r="M115" i="4"/>
  <c r="M200" i="4"/>
  <c r="M82" i="4"/>
  <c r="M378" i="4"/>
  <c r="M145" i="4"/>
  <c r="M380" i="4"/>
  <c r="M252" i="4"/>
  <c r="M121" i="4"/>
  <c r="M239" i="4"/>
  <c r="M540" i="4"/>
  <c r="M49" i="4"/>
  <c r="M259" i="4"/>
  <c r="M551" i="4"/>
  <c r="M79" i="4"/>
  <c r="M179" i="4"/>
  <c r="M301" i="4"/>
  <c r="M172" i="4"/>
  <c r="M99" i="4"/>
  <c r="M529" i="4"/>
  <c r="M228" i="4"/>
  <c r="M54" i="4"/>
  <c r="M223" i="4"/>
  <c r="M279" i="4"/>
  <c r="M407" i="4"/>
  <c r="M400" i="4"/>
  <c r="M514" i="4"/>
  <c r="M425" i="4"/>
  <c r="M401" i="4"/>
  <c r="M286" i="4"/>
  <c r="M445" i="4"/>
  <c r="M282" i="4"/>
  <c r="M22" i="4"/>
  <c r="M411" i="4"/>
  <c r="M490" i="4"/>
  <c r="M413" i="4"/>
  <c r="M318" i="4"/>
  <c r="M206" i="4"/>
  <c r="M263" i="4"/>
  <c r="M449" i="4"/>
  <c r="M302" i="4"/>
  <c r="M403" i="4"/>
  <c r="M477" i="4"/>
  <c r="M522" i="4"/>
  <c r="M117" i="4"/>
  <c r="M398" i="4"/>
  <c r="M218" i="4"/>
  <c r="M131" i="4"/>
  <c r="M324" i="4"/>
  <c r="M170" i="4"/>
  <c r="M40" i="4"/>
  <c r="M224" i="4"/>
  <c r="M288" i="4"/>
  <c r="M28" i="4"/>
  <c r="M568" i="4"/>
  <c r="M461" i="4"/>
  <c r="M383" i="4"/>
  <c r="M13" i="4"/>
  <c r="M93" i="4"/>
  <c r="M319" i="4"/>
  <c r="M56" i="4"/>
  <c r="M80" i="4"/>
  <c r="M146" i="4"/>
  <c r="M374" i="4"/>
  <c r="M262" i="4"/>
  <c r="M87" i="4"/>
  <c r="M430" i="4"/>
  <c r="M114" i="4"/>
  <c r="M215" i="4"/>
  <c r="M71" i="4"/>
  <c r="M557" i="4"/>
  <c r="M109" i="4"/>
  <c r="M354" i="4"/>
  <c r="M100" i="4"/>
  <c r="M388" i="4"/>
  <c r="M201" i="4"/>
  <c r="M355" i="4"/>
  <c r="M55" i="4"/>
  <c r="M42" i="4"/>
  <c r="M472" i="4"/>
  <c r="M395" i="4"/>
  <c r="M63" i="4"/>
  <c r="M128" i="4"/>
  <c r="M316" i="4"/>
  <c r="M139" i="4"/>
  <c r="M26" i="4"/>
  <c r="M102" i="4"/>
  <c r="M96" i="4"/>
  <c r="M57" i="4"/>
  <c r="M161" i="4"/>
  <c r="M203" i="4"/>
  <c r="M511" i="4"/>
  <c r="M233" i="4"/>
  <c r="M399" i="4"/>
  <c r="M321" i="4"/>
  <c r="M314" i="4"/>
  <c r="M393" i="4"/>
  <c r="M525" i="4"/>
  <c r="M392" i="4"/>
  <c r="M91" i="4"/>
  <c r="M183" i="4"/>
  <c r="M187" i="4"/>
  <c r="M424" i="4"/>
  <c r="M275" i="4"/>
  <c r="M549" i="4"/>
  <c r="M414" i="4"/>
  <c r="M11" i="4"/>
  <c r="M167" i="4"/>
  <c r="M171" i="4"/>
  <c r="M122" i="4"/>
  <c r="M15" i="4"/>
  <c r="M214" i="4"/>
  <c r="M273" i="4"/>
  <c r="M164" i="4"/>
  <c r="M193" i="4"/>
  <c r="M533" i="4"/>
  <c r="M226" i="4"/>
  <c r="M496" i="4"/>
  <c r="M119" i="4"/>
  <c r="M429" i="4"/>
  <c r="M358" i="4"/>
  <c r="M232" i="4"/>
  <c r="M111" i="4"/>
  <c r="M366" i="4"/>
  <c r="M306" i="4"/>
  <c r="M433" i="4"/>
  <c r="M421" i="4"/>
  <c r="M435" i="4"/>
  <c r="M291" i="4"/>
  <c r="M552" i="4"/>
  <c r="M30" i="4"/>
  <c r="M221" i="4"/>
  <c r="M258" i="4"/>
  <c r="M150" i="4"/>
  <c r="M227" i="4"/>
  <c r="M422" i="4"/>
  <c r="M47" i="4"/>
  <c r="M12" i="4"/>
  <c r="M269" i="4"/>
  <c r="M444" i="4"/>
  <c r="M308" i="4"/>
  <c r="M546" i="4"/>
  <c r="M202" i="4"/>
  <c r="M570" i="4"/>
  <c r="M534" i="4"/>
  <c r="M285" i="4"/>
  <c r="M229" i="4"/>
  <c r="M10" i="4"/>
  <c r="M25" i="4"/>
  <c r="M189" i="4"/>
  <c r="M346" i="4"/>
  <c r="M434" i="4"/>
  <c r="M337" i="4"/>
  <c r="M153" i="4"/>
  <c r="M499" i="4"/>
  <c r="M554" i="4"/>
  <c r="M528" i="4"/>
  <c r="M404" i="4"/>
  <c r="M338" i="4"/>
  <c r="M447" i="4"/>
  <c r="M394" i="4"/>
  <c r="M176" i="4"/>
  <c r="M405" i="4"/>
  <c r="M157" i="4"/>
  <c r="M427" i="4"/>
  <c r="M309" i="4"/>
  <c r="M292" i="4"/>
  <c r="M182" i="4"/>
  <c r="M125" i="4"/>
  <c r="M504" i="4"/>
  <c r="M44" i="4"/>
  <c r="M560" i="4"/>
  <c r="M396" i="4"/>
  <c r="M212" i="4"/>
  <c r="M507" i="4"/>
  <c r="M352" i="4"/>
  <c r="M491" i="4"/>
  <c r="M113" i="4"/>
  <c r="M234" i="4"/>
  <c r="M51" i="4"/>
  <c r="M205" i="4"/>
  <c r="M566" i="4"/>
  <c r="M436" i="4"/>
  <c r="M123" i="4"/>
  <c r="M327" i="4"/>
  <c r="M443" i="4"/>
  <c r="M191" i="4"/>
  <c r="M281" i="4"/>
  <c r="M90" i="4"/>
  <c r="M136" i="4"/>
  <c r="M487" i="4"/>
  <c r="M339" i="4"/>
  <c r="M353" i="4"/>
  <c r="M246" i="4"/>
  <c r="M72" i="4"/>
  <c r="M124" i="4"/>
  <c r="M345" i="4"/>
  <c r="M32" i="4"/>
  <c r="M340" i="4"/>
  <c r="M267" i="4"/>
  <c r="M163" i="4"/>
  <c r="M446" i="4"/>
  <c r="M441" i="4"/>
  <c r="M520" i="4"/>
  <c r="M305" i="4"/>
  <c r="M304" i="4"/>
  <c r="M495" i="4"/>
  <c r="M523" i="4"/>
  <c r="M359" i="4"/>
  <c r="M207" i="4"/>
  <c r="M473" i="4"/>
  <c r="M382" i="4"/>
  <c r="M464" i="4"/>
  <c r="M450" i="4"/>
  <c r="M426" i="4"/>
  <c r="M456" i="4"/>
  <c r="M372" i="4"/>
  <c r="M386" i="4"/>
  <c r="M61" i="4"/>
  <c r="M120" i="4"/>
  <c r="M166" i="4"/>
  <c r="M162" i="4"/>
  <c r="M561" i="4"/>
  <c r="M289" i="4"/>
  <c r="M516" i="4"/>
  <c r="M276" i="4"/>
  <c r="M350" i="4"/>
  <c r="M455" i="4"/>
  <c r="M381" i="4"/>
  <c r="M84" i="4"/>
  <c r="M486" i="4"/>
  <c r="M567" i="4"/>
  <c r="M86" i="4"/>
  <c r="M322" i="4"/>
  <c r="M144" i="4"/>
  <c r="M225" i="4"/>
  <c r="M75" i="4"/>
  <c r="M494" i="4"/>
  <c r="M458" i="4"/>
  <c r="M46" i="4"/>
  <c r="M307" i="4"/>
  <c r="M432" i="4"/>
  <c r="M126" i="4"/>
  <c r="M438" i="4"/>
  <c r="M298" i="4"/>
  <c r="M104" i="4"/>
  <c r="M479" i="4"/>
  <c r="M332" i="4"/>
  <c r="M251" i="4"/>
  <c r="M247" i="4"/>
  <c r="M209" i="4"/>
  <c r="M498" i="4"/>
  <c r="M272" i="4"/>
  <c r="M418" i="4"/>
  <c r="M462" i="4"/>
  <c r="M69" i="4"/>
  <c r="M555" i="4"/>
  <c r="M92" i="4"/>
  <c r="M431" i="4"/>
  <c r="M488" i="4"/>
  <c r="M367" i="4"/>
  <c r="M60" i="4"/>
  <c r="M135" i="4"/>
  <c r="M384" i="4"/>
  <c r="M249" i="4"/>
  <c r="M293" i="4"/>
  <c r="M474" i="4"/>
  <c r="M558" i="4"/>
  <c r="M103" i="4"/>
  <c r="M326" i="4"/>
  <c r="M482" i="4"/>
  <c r="M138" i="4"/>
  <c r="M356" i="4"/>
  <c r="M536" i="4"/>
  <c r="M43" i="4"/>
  <c r="M459" i="4"/>
  <c r="M369" i="4"/>
  <c r="M89" i="4"/>
  <c r="M132" i="4"/>
  <c r="M349" i="4"/>
  <c r="M256" i="4"/>
  <c r="M222" i="4"/>
  <c r="M553" i="4"/>
  <c r="M325" i="4"/>
  <c r="M159" i="4"/>
  <c r="M330" i="4"/>
  <c r="M476" i="4"/>
  <c r="M105" i="4"/>
  <c r="M66" i="4"/>
  <c r="M20" i="4"/>
  <c r="M152" i="4"/>
  <c r="M454" i="4"/>
  <c r="M169" i="4"/>
  <c r="M235" i="4"/>
  <c r="M181" i="4"/>
  <c r="M78" i="4"/>
  <c r="M245" i="4"/>
  <c r="M220" i="4"/>
  <c r="M548" i="4"/>
  <c r="M376" i="4"/>
  <c r="M198" i="4"/>
  <c r="M493" i="4"/>
  <c r="M48" i="4"/>
  <c r="M469" i="4"/>
  <c r="M439" i="4"/>
  <c r="M501" i="4"/>
  <c r="M323" i="4"/>
  <c r="M313" i="4"/>
  <c r="M312" i="4"/>
  <c r="M265" i="4"/>
  <c r="M108" i="4"/>
  <c r="M184" i="4"/>
  <c r="M390" i="4"/>
  <c r="M197" i="4"/>
  <c r="M347" i="4"/>
  <c r="M526" i="4"/>
  <c r="M544" i="4"/>
  <c r="M236" i="4"/>
  <c r="M210" i="4"/>
  <c r="M196" i="4"/>
  <c r="M408" i="4"/>
  <c r="M484" i="4"/>
  <c r="M268" i="4"/>
  <c r="M315" i="4"/>
  <c r="M68" i="4"/>
  <c r="M168" i="4"/>
  <c r="M33" i="4"/>
  <c r="M213" i="4"/>
  <c r="M17" i="4"/>
  <c r="M165" i="4"/>
  <c r="M58" i="4"/>
  <c r="M118" i="4"/>
  <c r="M336" i="4"/>
  <c r="M391" i="4"/>
  <c r="M23" i="4"/>
  <c r="M542" i="4"/>
  <c r="M149" i="4"/>
  <c r="M140" i="4"/>
  <c r="M457" i="4"/>
  <c r="M480" i="4"/>
  <c r="M19" i="4"/>
  <c r="M95" i="4"/>
  <c r="M550" i="4"/>
  <c r="M254" i="4"/>
  <c r="M34" i="4"/>
  <c r="M148" i="4"/>
  <c r="M385" i="4"/>
  <c r="M357" i="4"/>
  <c r="M283" i="4"/>
  <c r="M97" i="4"/>
  <c r="M67" i="4"/>
  <c r="M37" i="4"/>
  <c r="M387" i="4"/>
  <c r="M452" i="4"/>
  <c r="M453" i="4"/>
  <c r="M563" i="4"/>
  <c r="M537" i="4"/>
  <c r="M559" i="4"/>
  <c r="M545" i="4"/>
  <c r="M451" i="4"/>
  <c r="M471" i="4"/>
  <c r="M541" i="4"/>
  <c r="M564" i="4"/>
  <c r="M483" i="4"/>
  <c r="M77" i="5"/>
  <c r="M74" i="5"/>
  <c r="M63" i="5"/>
  <c r="M68" i="5"/>
  <c r="M71" i="5"/>
  <c r="M61" i="5"/>
  <c r="M67" i="5"/>
  <c r="M54" i="5"/>
  <c r="M73" i="5"/>
  <c r="M55" i="5"/>
  <c r="M53" i="5"/>
  <c r="M59" i="5"/>
  <c r="M69" i="5"/>
  <c r="M65" i="5"/>
  <c r="M58" i="5"/>
  <c r="M75" i="5"/>
  <c r="E173" i="10"/>
  <c r="E174" i="10"/>
  <c r="B190" i="10"/>
  <c r="B202" i="10"/>
  <c r="R8" i="7"/>
  <c r="C556" i="6"/>
  <c r="E556" i="6"/>
  <c r="C424" i="6"/>
  <c r="E424" i="6"/>
  <c r="C377" i="6"/>
  <c r="E377" i="6"/>
  <c r="C277" i="6"/>
  <c r="E277" i="6"/>
  <c r="C139" i="6"/>
  <c r="E139" i="6"/>
  <c r="C31" i="6"/>
  <c r="E31" i="6"/>
  <c r="C97" i="6"/>
  <c r="E97" i="6"/>
  <c r="C125" i="6"/>
  <c r="E125" i="6"/>
  <c r="C362" i="6"/>
  <c r="E362" i="6"/>
  <c r="C147" i="6"/>
  <c r="E147" i="6"/>
  <c r="C245" i="6"/>
  <c r="E245" i="6"/>
  <c r="C308" i="6"/>
  <c r="E308" i="6"/>
  <c r="C480" i="6"/>
  <c r="E480" i="6"/>
  <c r="C269" i="6"/>
  <c r="E269" i="6"/>
  <c r="C80" i="6"/>
  <c r="E80" i="6"/>
  <c r="C532" i="6"/>
  <c r="E532" i="6"/>
  <c r="C554" i="6"/>
  <c r="E554" i="6"/>
  <c r="C152" i="6"/>
  <c r="E152" i="6"/>
  <c r="E32" i="6"/>
  <c r="E501" i="6"/>
  <c r="E455" i="6"/>
  <c r="E407" i="6"/>
  <c r="E383" i="6"/>
  <c r="E359" i="6"/>
  <c r="E311" i="6"/>
  <c r="E289" i="6"/>
  <c r="E267" i="6"/>
  <c r="E196" i="6"/>
  <c r="E173" i="6"/>
  <c r="E126" i="6"/>
  <c r="E54" i="6"/>
  <c r="E30" i="6"/>
  <c r="E406" i="6"/>
  <c r="E382" i="6"/>
  <c r="E334" i="6"/>
  <c r="E310" i="6"/>
  <c r="E288" i="6"/>
  <c r="E219" i="6"/>
  <c r="E195" i="6"/>
  <c r="E172" i="6"/>
  <c r="E77" i="6"/>
  <c r="E488" i="6"/>
  <c r="E465" i="6"/>
  <c r="E418" i="6"/>
  <c r="E394" i="6"/>
  <c r="E299" i="6"/>
  <c r="E254" i="6"/>
  <c r="E184" i="6"/>
  <c r="E161" i="6"/>
  <c r="E89" i="6"/>
  <c r="E65" i="6"/>
  <c r="E485" i="6"/>
  <c r="E367" i="6"/>
  <c r="E297" i="6"/>
  <c r="E275" i="6"/>
  <c r="E228" i="6"/>
  <c r="E204" i="6"/>
  <c r="E181" i="6"/>
  <c r="E158" i="6"/>
  <c r="E86" i="6"/>
  <c r="E38" i="6"/>
  <c r="E366" i="6"/>
  <c r="E318" i="6"/>
  <c r="E250" i="6"/>
  <c r="E227" i="6"/>
  <c r="E203" i="6"/>
  <c r="E180" i="6"/>
  <c r="E157" i="6"/>
  <c r="E85" i="6"/>
  <c r="E61" i="6"/>
  <c r="E13" i="6"/>
  <c r="E437" i="6"/>
  <c r="E295" i="6"/>
  <c r="E273" i="6"/>
  <c r="E249" i="6"/>
  <c r="E226" i="6"/>
  <c r="E202" i="6"/>
  <c r="E132" i="6"/>
  <c r="E108" i="6"/>
  <c r="E36" i="6"/>
  <c r="E59" i="6"/>
  <c r="E505" i="6"/>
  <c r="E411" i="6"/>
  <c r="E387" i="6"/>
  <c r="E363" i="6"/>
  <c r="E271" i="6"/>
  <c r="E247" i="6"/>
  <c r="E224" i="6"/>
  <c r="E200" i="6"/>
  <c r="E34" i="6"/>
  <c r="E10" i="6"/>
  <c r="E458" i="6"/>
  <c r="E434" i="6"/>
  <c r="E410" i="6"/>
  <c r="E386" i="6"/>
  <c r="E338" i="6"/>
  <c r="E314" i="6"/>
  <c r="E292" i="6"/>
  <c r="E270" i="6"/>
  <c r="E223" i="6"/>
  <c r="E199" i="6"/>
  <c r="E105" i="6"/>
  <c r="D568" i="4"/>
  <c r="C221" i="6"/>
  <c r="E221" i="6"/>
  <c r="C494" i="6"/>
  <c r="E494" i="6"/>
  <c r="C360" i="6"/>
  <c r="E360" i="6"/>
  <c r="C491" i="6"/>
  <c r="E491" i="6"/>
  <c r="C266" i="6"/>
  <c r="E266" i="6"/>
  <c r="C530" i="6"/>
  <c r="E530" i="6"/>
  <c r="C376" i="6"/>
  <c r="E376" i="6"/>
  <c r="C354" i="6"/>
  <c r="E354" i="6"/>
  <c r="C283" i="6"/>
  <c r="E283" i="6"/>
  <c r="C415" i="6"/>
  <c r="E415" i="6"/>
  <c r="C400" i="6"/>
  <c r="E400" i="6"/>
  <c r="C409" i="6"/>
  <c r="E409" i="6"/>
  <c r="C375" i="6"/>
  <c r="E375" i="6"/>
  <c r="C430" i="6"/>
  <c r="E430" i="6"/>
  <c r="C484" i="6"/>
  <c r="E484" i="6"/>
  <c r="C446" i="6"/>
  <c r="E446" i="6"/>
  <c r="C442" i="6"/>
  <c r="E442" i="6"/>
  <c r="C144" i="6"/>
  <c r="E144" i="6"/>
  <c r="C246" i="6"/>
  <c r="E246" i="6"/>
  <c r="C568" i="6"/>
  <c r="E568" i="6"/>
  <c r="C469" i="6"/>
  <c r="E469" i="6"/>
  <c r="C540" i="6"/>
  <c r="E540" i="6"/>
  <c r="C468" i="6"/>
  <c r="E468" i="6"/>
  <c r="C335" i="6"/>
  <c r="E335" i="6"/>
  <c r="C431" i="6"/>
  <c r="E431" i="6"/>
  <c r="C145" i="6"/>
  <c r="E145" i="6"/>
  <c r="C466" i="6"/>
  <c r="E466" i="6"/>
  <c r="C467" i="6"/>
  <c r="E467" i="6"/>
  <c r="C209" i="6"/>
  <c r="E209" i="6"/>
  <c r="C374" i="6"/>
  <c r="E374" i="6"/>
  <c r="C333" i="6"/>
  <c r="E333" i="6"/>
  <c r="C208" i="6"/>
  <c r="E208" i="6"/>
  <c r="C502" i="6"/>
  <c r="E502" i="6"/>
  <c r="C293" i="6"/>
  <c r="E293" i="6"/>
  <c r="C207" i="6"/>
  <c r="E207" i="6"/>
  <c r="C12" i="6"/>
  <c r="E12" i="6"/>
  <c r="C162" i="6"/>
  <c r="E162" i="6"/>
  <c r="C96" i="6"/>
  <c r="E96" i="6"/>
  <c r="C552" i="6"/>
  <c r="E552" i="6"/>
  <c r="C349" i="6"/>
  <c r="E349" i="6"/>
  <c r="C443" i="6"/>
  <c r="E443" i="6"/>
  <c r="C417" i="6"/>
  <c r="E417" i="6"/>
  <c r="C347" i="6"/>
  <c r="E347" i="6"/>
  <c r="C115" i="6"/>
  <c r="E115" i="6"/>
  <c r="C550" i="6"/>
  <c r="E550" i="6"/>
  <c r="C514" i="6"/>
  <c r="E514" i="6"/>
  <c r="C478" i="6"/>
  <c r="E478" i="6"/>
  <c r="C27" i="6"/>
  <c r="E27" i="6"/>
  <c r="C113" i="6"/>
  <c r="E113" i="6"/>
  <c r="C493" i="6"/>
  <c r="E493" i="6"/>
  <c r="C45" i="6"/>
  <c r="E45" i="6"/>
  <c r="C564" i="6"/>
  <c r="E564" i="6"/>
  <c r="C492" i="6"/>
  <c r="E492" i="6"/>
  <c r="C321" i="6"/>
  <c r="E321" i="6"/>
  <c r="C242" i="6"/>
  <c r="E242" i="6"/>
  <c r="C44" i="6"/>
  <c r="E44" i="6"/>
  <c r="C262" i="6"/>
  <c r="E262" i="6"/>
  <c r="C131" i="6"/>
  <c r="E131" i="6"/>
  <c r="C391" i="6"/>
  <c r="E391" i="6"/>
  <c r="C261" i="6"/>
  <c r="E261" i="6"/>
  <c r="C130" i="6"/>
  <c r="E130" i="6"/>
  <c r="A49" i="26"/>
  <c r="C562" i="6"/>
  <c r="E562" i="6"/>
  <c r="C526" i="6"/>
  <c r="E526" i="6"/>
  <c r="C279" i="6"/>
  <c r="E279" i="6"/>
  <c r="C129" i="6"/>
  <c r="E129" i="6"/>
  <c r="C259" i="6"/>
  <c r="E259" i="6"/>
  <c r="C536" i="6"/>
  <c r="E536" i="6"/>
  <c r="C450" i="6"/>
  <c r="E450" i="6"/>
  <c r="C438" i="6"/>
  <c r="E438" i="6"/>
  <c r="C545" i="6"/>
  <c r="E545" i="6"/>
  <c r="C435" i="6"/>
  <c r="E435" i="6"/>
  <c r="H16" i="7"/>
  <c r="F16" i="7"/>
  <c r="G16" i="7"/>
  <c r="G15" i="7"/>
  <c r="H15" i="7"/>
  <c r="F15" i="7"/>
  <c r="G17" i="7"/>
  <c r="F17" i="7"/>
  <c r="H17" i="7"/>
  <c r="G8" i="24"/>
  <c r="C570" i="6"/>
  <c r="E570" i="6"/>
  <c r="C569" i="6"/>
  <c r="E569" i="6"/>
  <c r="R8" i="24"/>
  <c r="I17" i="7"/>
  <c r="L17" i="7"/>
  <c r="I15" i="7"/>
  <c r="L15" i="7"/>
  <c r="I16" i="7"/>
  <c r="L16" i="7"/>
  <c r="O16" i="7"/>
  <c r="P16" i="7"/>
  <c r="Q16" i="7"/>
  <c r="R16" i="7"/>
  <c r="Q15" i="7"/>
  <c r="P15" i="7"/>
  <c r="R15" i="7"/>
  <c r="O15" i="7"/>
  <c r="Q17" i="7"/>
  <c r="P17" i="7"/>
  <c r="R17" i="7"/>
  <c r="S15" i="7"/>
  <c r="S16" i="7"/>
  <c r="T15" i="7"/>
  <c r="C30" i="18"/>
  <c r="T16" i="7"/>
  <c r="C29" i="18"/>
  <c r="B20" i="21"/>
  <c r="B24" i="21"/>
  <c r="D24" i="21"/>
  <c r="E7" i="4"/>
  <c r="E6" i="7"/>
  <c r="F7" i="6"/>
  <c r="F19" i="6"/>
  <c r="E7" i="5"/>
  <c r="F43" i="6"/>
  <c r="F51" i="6"/>
  <c r="F59" i="6"/>
  <c r="F67" i="6"/>
  <c r="F75" i="6"/>
  <c r="F83" i="6"/>
  <c r="F91" i="6"/>
  <c r="F99" i="6"/>
  <c r="F107" i="6"/>
  <c r="F115" i="6"/>
  <c r="F123" i="6"/>
  <c r="F131" i="6"/>
  <c r="F139" i="6"/>
  <c r="F147" i="6"/>
  <c r="F155" i="6"/>
  <c r="F163" i="6"/>
  <c r="F171" i="6"/>
  <c r="F179" i="6"/>
  <c r="F195" i="6"/>
  <c r="F227" i="6"/>
  <c r="F243" i="6"/>
  <c r="F251" i="6"/>
  <c r="F259" i="6"/>
  <c r="F267" i="6"/>
  <c r="F275" i="6"/>
  <c r="F283" i="6"/>
  <c r="F291" i="6"/>
  <c r="F299" i="6"/>
  <c r="F307" i="6"/>
  <c r="F315" i="6"/>
  <c r="F323" i="6"/>
  <c r="F331" i="6"/>
  <c r="F339" i="6"/>
  <c r="F347" i="6"/>
  <c r="F355" i="6"/>
  <c r="F363" i="6"/>
  <c r="F371" i="6"/>
  <c r="F379" i="6"/>
  <c r="F387" i="6"/>
  <c r="F395" i="6"/>
  <c r="F403" i="6"/>
  <c r="F411" i="6"/>
  <c r="F419" i="6"/>
  <c r="F427" i="6"/>
  <c r="F435" i="6"/>
  <c r="F443" i="6"/>
  <c r="F451" i="6"/>
  <c r="F459" i="6"/>
  <c r="F467" i="6"/>
  <c r="F475" i="6"/>
  <c r="F483" i="6"/>
  <c r="F491" i="6"/>
  <c r="F12" i="6"/>
  <c r="F20" i="6"/>
  <c r="F28" i="6"/>
  <c r="F36" i="6"/>
  <c r="F44" i="6"/>
  <c r="F52" i="6"/>
  <c r="F60" i="6"/>
  <c r="F68" i="6"/>
  <c r="F76" i="6"/>
  <c r="F84" i="6"/>
  <c r="F92" i="6"/>
  <c r="F100" i="6"/>
  <c r="F108" i="6"/>
  <c r="F116" i="6"/>
  <c r="F124" i="6"/>
  <c r="F132" i="6"/>
  <c r="F140" i="6"/>
  <c r="F148" i="6"/>
  <c r="F156" i="6"/>
  <c r="F164" i="6"/>
  <c r="F172" i="6"/>
  <c r="F180" i="6"/>
  <c r="F188" i="6"/>
  <c r="F196" i="6"/>
  <c r="F204" i="6"/>
  <c r="F212" i="6"/>
  <c r="F220" i="6"/>
  <c r="F228" i="6"/>
  <c r="F236" i="6"/>
  <c r="F244" i="6"/>
  <c r="F252" i="6"/>
  <c r="F260" i="6"/>
  <c r="F268" i="6"/>
  <c r="F276" i="6"/>
  <c r="F284" i="6"/>
  <c r="F292" i="6"/>
  <c r="F300" i="6"/>
  <c r="F308" i="6"/>
  <c r="F316" i="6"/>
  <c r="F324" i="6"/>
  <c r="F332" i="6"/>
  <c r="F340" i="6"/>
  <c r="F348" i="6"/>
  <c r="F356" i="6"/>
  <c r="F364" i="6"/>
  <c r="F372" i="6"/>
  <c r="F380" i="6"/>
  <c r="F388" i="6"/>
  <c r="F396" i="6"/>
  <c r="F404" i="6"/>
  <c r="F412" i="6"/>
  <c r="F420" i="6"/>
  <c r="F428" i="6"/>
  <c r="F436" i="6"/>
  <c r="F444" i="6"/>
  <c r="F452" i="6"/>
  <c r="F460" i="6"/>
  <c r="F468" i="6"/>
  <c r="F476" i="6"/>
  <c r="F484" i="6"/>
  <c r="F13" i="6"/>
  <c r="F21" i="6"/>
  <c r="F29" i="6"/>
  <c r="F37" i="6"/>
  <c r="F45" i="6"/>
  <c r="F53" i="6"/>
  <c r="F61" i="6"/>
  <c r="F69" i="6"/>
  <c r="F77" i="6"/>
  <c r="F85" i="6"/>
  <c r="F93" i="6"/>
  <c r="F101" i="6"/>
  <c r="F109" i="6"/>
  <c r="F117" i="6"/>
  <c r="F125" i="6"/>
  <c r="F133" i="6"/>
  <c r="F141" i="6"/>
  <c r="F149" i="6"/>
  <c r="F157" i="6"/>
  <c r="F165" i="6"/>
  <c r="F173" i="6"/>
  <c r="F181" i="6"/>
  <c r="F189" i="6"/>
  <c r="F197" i="6"/>
  <c r="F205" i="6"/>
  <c r="F213" i="6"/>
  <c r="F221" i="6"/>
  <c r="F229" i="6"/>
  <c r="F237" i="6"/>
  <c r="F245" i="6"/>
  <c r="F253" i="6"/>
  <c r="F261" i="6"/>
  <c r="F269" i="6"/>
  <c r="F277" i="6"/>
  <c r="F285" i="6"/>
  <c r="F293" i="6"/>
  <c r="F301" i="6"/>
  <c r="F309" i="6"/>
  <c r="F317" i="6"/>
  <c r="F325" i="6"/>
  <c r="F333" i="6"/>
  <c r="F341" i="6"/>
  <c r="F349" i="6"/>
  <c r="F357" i="6"/>
  <c r="F365" i="6"/>
  <c r="F373" i="6"/>
  <c r="F381" i="6"/>
  <c r="F389" i="6"/>
  <c r="F397" i="6"/>
  <c r="F405" i="6"/>
  <c r="F413" i="6"/>
  <c r="F421" i="6"/>
  <c r="F429" i="6"/>
  <c r="F437" i="6"/>
  <c r="F445" i="6"/>
  <c r="F453" i="6"/>
  <c r="F461" i="6"/>
  <c r="F469" i="6"/>
  <c r="F477" i="6"/>
  <c r="F485" i="6"/>
  <c r="F24" i="6"/>
  <c r="F48" i="6"/>
  <c r="F72" i="6"/>
  <c r="F96" i="6"/>
  <c r="F120" i="6"/>
  <c r="F144" i="6"/>
  <c r="F168" i="6"/>
  <c r="F192" i="6"/>
  <c r="F216" i="6"/>
  <c r="F240" i="6"/>
  <c r="F264" i="6"/>
  <c r="F288" i="6"/>
  <c r="F312" i="6"/>
  <c r="F336" i="6"/>
  <c r="F346" i="6"/>
  <c r="F358" i="6"/>
  <c r="F368" i="6"/>
  <c r="F378" i="6"/>
  <c r="F390" i="6"/>
  <c r="F400" i="6"/>
  <c r="F410" i="6"/>
  <c r="F422" i="6"/>
  <c r="F432" i="6"/>
  <c r="F442" i="6"/>
  <c r="F454" i="6"/>
  <c r="F464" i="6"/>
  <c r="F474" i="6"/>
  <c r="F486" i="6"/>
  <c r="F495" i="6"/>
  <c r="F503" i="6"/>
  <c r="F511" i="6"/>
  <c r="F519" i="6"/>
  <c r="F527" i="6"/>
  <c r="F535" i="6"/>
  <c r="F543" i="6"/>
  <c r="F551" i="6"/>
  <c r="F559" i="6"/>
  <c r="F567" i="6"/>
  <c r="F25" i="6"/>
  <c r="F49" i="6"/>
  <c r="F73" i="6"/>
  <c r="F97" i="6"/>
  <c r="F121" i="6"/>
  <c r="F145" i="6"/>
  <c r="F169" i="6"/>
  <c r="F193" i="6"/>
  <c r="F217" i="6"/>
  <c r="F241" i="6"/>
  <c r="F265" i="6"/>
  <c r="F289" i="6"/>
  <c r="F313" i="6"/>
  <c r="F337" i="6"/>
  <c r="F359" i="6"/>
  <c r="F369" i="6"/>
  <c r="F391" i="6"/>
  <c r="F401" i="6"/>
  <c r="F423" i="6"/>
  <c r="F433" i="6"/>
  <c r="F455" i="6"/>
  <c r="F465" i="6"/>
  <c r="F487" i="6"/>
  <c r="F15" i="6"/>
  <c r="F39" i="6"/>
  <c r="F63" i="6"/>
  <c r="F87" i="6"/>
  <c r="F111" i="6"/>
  <c r="F135" i="6"/>
  <c r="F159" i="6"/>
  <c r="F183" i="6"/>
  <c r="F207" i="6"/>
  <c r="F231" i="6"/>
  <c r="F255" i="6"/>
  <c r="F279" i="6"/>
  <c r="F303" i="6"/>
  <c r="F327" i="6"/>
  <c r="F26" i="6"/>
  <c r="F50" i="6"/>
  <c r="F74" i="6"/>
  <c r="F98" i="6"/>
  <c r="F122" i="6"/>
  <c r="F146" i="6"/>
  <c r="F170" i="6"/>
  <c r="F194" i="6"/>
  <c r="F218" i="6"/>
  <c r="F242" i="6"/>
  <c r="F266" i="6"/>
  <c r="F290" i="6"/>
  <c r="F314" i="6"/>
  <c r="F338" i="6"/>
  <c r="F350" i="6"/>
  <c r="F360" i="6"/>
  <c r="F370" i="6"/>
  <c r="F382" i="6"/>
  <c r="F392" i="6"/>
  <c r="F402" i="6"/>
  <c r="F414" i="6"/>
  <c r="F424" i="6"/>
  <c r="F434" i="6"/>
  <c r="F446" i="6"/>
  <c r="F456" i="6"/>
  <c r="F466" i="6"/>
  <c r="F478" i="6"/>
  <c r="F488" i="6"/>
  <c r="F16" i="6"/>
  <c r="F40" i="6"/>
  <c r="F64" i="6"/>
  <c r="F30" i="6"/>
  <c r="F54" i="6"/>
  <c r="F78" i="6"/>
  <c r="F17" i="6"/>
  <c r="F41" i="6"/>
  <c r="F65" i="6"/>
  <c r="F31" i="6"/>
  <c r="F55" i="6"/>
  <c r="F79" i="6"/>
  <c r="F18" i="6"/>
  <c r="F42" i="6"/>
  <c r="F66" i="6"/>
  <c r="F32" i="6"/>
  <c r="F56" i="6"/>
  <c r="F80" i="6"/>
  <c r="F22" i="6"/>
  <c r="F46" i="6"/>
  <c r="F70" i="6"/>
  <c r="F9" i="6"/>
  <c r="F33" i="6"/>
  <c r="F57" i="6"/>
  <c r="F81" i="6"/>
  <c r="F10" i="6"/>
  <c r="F34" i="6"/>
  <c r="F58" i="6"/>
  <c r="F82" i="6"/>
  <c r="F106" i="6"/>
  <c r="F130" i="6"/>
  <c r="F154" i="6"/>
  <c r="F178" i="6"/>
  <c r="F202" i="6"/>
  <c r="F226" i="6"/>
  <c r="F250" i="6"/>
  <c r="F274" i="6"/>
  <c r="F298" i="6"/>
  <c r="F322" i="6"/>
  <c r="F494" i="6"/>
  <c r="F502" i="6"/>
  <c r="F510" i="6"/>
  <c r="F518" i="6"/>
  <c r="F526" i="6"/>
  <c r="F534" i="6"/>
  <c r="F542" i="6"/>
  <c r="F550" i="6"/>
  <c r="F558" i="6"/>
  <c r="F114" i="6"/>
  <c r="F166" i="6"/>
  <c r="F184" i="6"/>
  <c r="F249" i="6"/>
  <c r="F319" i="6"/>
  <c r="F409" i="6"/>
  <c r="F440" i="6"/>
  <c r="F471" i="6"/>
  <c r="F509" i="6"/>
  <c r="F532" i="6"/>
  <c r="F544" i="6"/>
  <c r="F555" i="6"/>
  <c r="F134" i="6"/>
  <c r="F200" i="6"/>
  <c r="F270" i="6"/>
  <c r="F335" i="6"/>
  <c r="F366" i="6"/>
  <c r="F426" i="6"/>
  <c r="F457" i="6"/>
  <c r="F499" i="6"/>
  <c r="F522" i="6"/>
  <c r="F545" i="6"/>
  <c r="F151" i="6"/>
  <c r="F234" i="6"/>
  <c r="F286" i="6"/>
  <c r="F304" i="6"/>
  <c r="F352" i="6"/>
  <c r="F383" i="6"/>
  <c r="F566" i="6"/>
  <c r="F14" i="6"/>
  <c r="F118" i="6"/>
  <c r="F136" i="6"/>
  <c r="F201" i="6"/>
  <c r="F271" i="6"/>
  <c r="F367" i="6"/>
  <c r="F398" i="6"/>
  <c r="F458" i="6"/>
  <c r="F489" i="6"/>
  <c r="F500" i="6"/>
  <c r="F512" i="6"/>
  <c r="F523" i="6"/>
  <c r="F546" i="6"/>
  <c r="F568" i="6"/>
  <c r="F103" i="6"/>
  <c r="F186" i="6"/>
  <c r="F238" i="6"/>
  <c r="F256" i="6"/>
  <c r="F321" i="6"/>
  <c r="F473" i="6"/>
  <c r="F557" i="6"/>
  <c r="F119" i="6"/>
  <c r="F137" i="6"/>
  <c r="F206" i="6"/>
  <c r="F272" i="6"/>
  <c r="F399" i="6"/>
  <c r="F430" i="6"/>
  <c r="F490" i="6"/>
  <c r="F501" i="6"/>
  <c r="F524" i="6"/>
  <c r="F536" i="6"/>
  <c r="F547" i="6"/>
  <c r="F88" i="6"/>
  <c r="F153" i="6"/>
  <c r="F223" i="6"/>
  <c r="F306" i="6"/>
  <c r="F354" i="6"/>
  <c r="F385" i="6"/>
  <c r="F416" i="6"/>
  <c r="F447" i="6"/>
  <c r="F514" i="6"/>
  <c r="F537" i="6"/>
  <c r="F38" i="6"/>
  <c r="F104" i="6"/>
  <c r="F138" i="6"/>
  <c r="F89" i="6"/>
  <c r="F158" i="6"/>
  <c r="F105" i="6"/>
  <c r="F47" i="6"/>
  <c r="F126" i="6"/>
  <c r="F90" i="6"/>
  <c r="F142" i="6"/>
  <c r="F160" i="6"/>
  <c r="F110" i="6"/>
  <c r="F127" i="6"/>
  <c r="F143" i="6"/>
  <c r="F161" i="6"/>
  <c r="F94" i="6"/>
  <c r="F112" i="6"/>
  <c r="F62" i="6"/>
  <c r="F128" i="6"/>
  <c r="F71" i="6"/>
  <c r="F150" i="6"/>
  <c r="F215" i="6"/>
  <c r="F233" i="6"/>
  <c r="F302" i="6"/>
  <c r="F351" i="6"/>
  <c r="F565" i="6"/>
  <c r="F230" i="6"/>
  <c r="F257" i="6"/>
  <c r="F540" i="6"/>
  <c r="F177" i="6"/>
  <c r="F208" i="6"/>
  <c r="F330" i="6"/>
  <c r="F376" i="6"/>
  <c r="F507" i="6"/>
  <c r="F525" i="6"/>
  <c r="F560" i="6"/>
  <c r="F281" i="6"/>
  <c r="F448" i="6"/>
  <c r="F492" i="6"/>
  <c r="F561" i="6"/>
  <c r="F129" i="6"/>
  <c r="F232" i="6"/>
  <c r="F258" i="6"/>
  <c r="F310" i="6"/>
  <c r="F541" i="6"/>
  <c r="F182" i="6"/>
  <c r="F209" i="6"/>
  <c r="F377" i="6"/>
  <c r="F470" i="6"/>
  <c r="F508" i="6"/>
  <c r="F282" i="6"/>
  <c r="F334" i="6"/>
  <c r="F425" i="6"/>
  <c r="F449" i="6"/>
  <c r="F493" i="6"/>
  <c r="F528" i="6"/>
  <c r="F562" i="6"/>
  <c r="F185" i="6"/>
  <c r="F311" i="6"/>
  <c r="F406" i="6"/>
  <c r="F472" i="6"/>
  <c r="F529" i="6"/>
  <c r="F210" i="6"/>
  <c r="F262" i="6"/>
  <c r="F287" i="6"/>
  <c r="F361" i="6"/>
  <c r="F384" i="6"/>
  <c r="F513" i="6"/>
  <c r="F239" i="6"/>
  <c r="F342" i="6"/>
  <c r="F450" i="6"/>
  <c r="F563" i="6"/>
  <c r="F190" i="6"/>
  <c r="F407" i="6"/>
  <c r="F431" i="6"/>
  <c r="F496" i="6"/>
  <c r="F530" i="6"/>
  <c r="F548" i="6"/>
  <c r="F23" i="6"/>
  <c r="F152" i="6"/>
  <c r="F263" i="6"/>
  <c r="F294" i="6"/>
  <c r="F362" i="6"/>
  <c r="F386" i="6"/>
  <c r="F479" i="6"/>
  <c r="F497" i="6"/>
  <c r="F515" i="6"/>
  <c r="F162" i="6"/>
  <c r="F214" i="6"/>
  <c r="F343" i="6"/>
  <c r="F564" i="6"/>
  <c r="F191" i="6"/>
  <c r="F318" i="6"/>
  <c r="F408" i="6"/>
  <c r="F531" i="6"/>
  <c r="F549" i="6"/>
  <c r="F295" i="6"/>
  <c r="F480" i="6"/>
  <c r="F498" i="6"/>
  <c r="F516" i="6"/>
  <c r="F86" i="6"/>
  <c r="F167" i="6"/>
  <c r="F246" i="6"/>
  <c r="F320" i="6"/>
  <c r="F344" i="6"/>
  <c r="F533" i="6"/>
  <c r="F222" i="6"/>
  <c r="F415" i="6"/>
  <c r="F95" i="6"/>
  <c r="F174" i="6"/>
  <c r="F296" i="6"/>
  <c r="F326" i="6"/>
  <c r="F481" i="6"/>
  <c r="F517" i="6"/>
  <c r="F552" i="6"/>
  <c r="F247" i="6"/>
  <c r="F273" i="6"/>
  <c r="F345" i="6"/>
  <c r="F438" i="6"/>
  <c r="F462" i="6"/>
  <c r="F553" i="6"/>
  <c r="F102" i="6"/>
  <c r="F198" i="6"/>
  <c r="F224" i="6"/>
  <c r="F393" i="6"/>
  <c r="F417" i="6"/>
  <c r="F504" i="6"/>
  <c r="F538" i="6"/>
  <c r="F175" i="6"/>
  <c r="F297" i="6"/>
  <c r="F328" i="6"/>
  <c r="F374" i="6"/>
  <c r="F482" i="6"/>
  <c r="F505" i="6"/>
  <c r="F280" i="6"/>
  <c r="F305" i="6"/>
  <c r="F353" i="6"/>
  <c r="F329" i="6"/>
  <c r="F506" i="6"/>
  <c r="F520" i="6"/>
  <c r="F113" i="6"/>
  <c r="F521" i="6"/>
  <c r="F539" i="6"/>
  <c r="F176" i="6"/>
  <c r="F375" i="6"/>
  <c r="F199" i="6"/>
  <c r="F394" i="6"/>
  <c r="F554" i="6"/>
  <c r="F556" i="6"/>
  <c r="F225" i="6"/>
  <c r="F418" i="6"/>
  <c r="F248" i="6"/>
  <c r="F439" i="6"/>
  <c r="F254" i="6"/>
  <c r="F278" i="6"/>
  <c r="F441" i="6"/>
  <c r="F463" i="6"/>
  <c r="F570" i="6"/>
  <c r="F569" i="6"/>
  <c r="E517" i="4"/>
  <c r="E342" i="4"/>
  <c r="E199" i="4"/>
  <c r="E175" i="4"/>
  <c r="E217" i="4"/>
  <c r="E481" i="4"/>
  <c r="E416" i="4"/>
  <c r="E409" i="4"/>
  <c r="E415" i="4"/>
  <c r="E489" i="4"/>
  <c r="E478" i="4"/>
  <c r="E244" i="4"/>
  <c r="E261" i="4"/>
  <c r="E428" i="4"/>
  <c r="E539" i="4"/>
  <c r="E320" i="4"/>
  <c r="E208" i="4"/>
  <c r="E239" i="4"/>
  <c r="E54" i="4"/>
  <c r="E411" i="4"/>
  <c r="E398" i="4"/>
  <c r="E13" i="4"/>
  <c r="E71" i="4"/>
  <c r="E63" i="4"/>
  <c r="E399" i="4"/>
  <c r="E414" i="4"/>
  <c r="E496" i="4"/>
  <c r="E552" i="4"/>
  <c r="E546" i="4"/>
  <c r="E153" i="4"/>
  <c r="E309" i="4"/>
  <c r="E113" i="4"/>
  <c r="E136" i="4"/>
  <c r="E446" i="4"/>
  <c r="E450" i="4"/>
  <c r="E276" i="4"/>
  <c r="E494" i="4"/>
  <c r="E247" i="4"/>
  <c r="E60" i="4"/>
  <c r="E9" i="4"/>
  <c r="E156" i="4"/>
  <c r="E127" i="4"/>
  <c r="E174" i="4"/>
  <c r="E134" i="4"/>
  <c r="E508" i="4"/>
  <c r="E442" i="4"/>
  <c r="E85" i="4"/>
  <c r="E219" i="4"/>
  <c r="E65" i="4"/>
  <c r="E83" i="4"/>
  <c r="E284" i="4"/>
  <c r="E98" i="4"/>
  <c r="E280" i="4"/>
  <c r="E264" i="4"/>
  <c r="E16" i="4"/>
  <c r="E107" i="4"/>
  <c r="E24" i="4"/>
  <c r="E540" i="4"/>
  <c r="E223" i="4"/>
  <c r="E490" i="4"/>
  <c r="E218" i="4"/>
  <c r="E93" i="4"/>
  <c r="E557" i="4"/>
  <c r="E128" i="4"/>
  <c r="E321" i="4"/>
  <c r="E11" i="4"/>
  <c r="E119" i="4"/>
  <c r="E30" i="4"/>
  <c r="E202" i="4"/>
  <c r="E499" i="4"/>
  <c r="E292" i="4"/>
  <c r="E234" i="4"/>
  <c r="E487" i="4"/>
  <c r="E441" i="4"/>
  <c r="E426" i="4"/>
  <c r="E350" i="4"/>
  <c r="E458" i="4"/>
  <c r="E209" i="4"/>
  <c r="E135" i="4"/>
  <c r="E43" i="4"/>
  <c r="E341" i="4"/>
  <c r="E27" i="4"/>
  <c r="E344" i="4"/>
  <c r="E406" i="4"/>
  <c r="E45" i="4"/>
  <c r="E76" i="4"/>
  <c r="E192" i="4"/>
  <c r="E437" i="4"/>
  <c r="E335" i="4"/>
  <c r="E255" i="4"/>
  <c r="E14" i="4"/>
  <c r="E410" i="4"/>
  <c r="E94" i="4"/>
  <c r="E53" i="4"/>
  <c r="E106" i="4"/>
  <c r="E296" i="4"/>
  <c r="E297" i="4"/>
  <c r="E49" i="4"/>
  <c r="E279" i="4"/>
  <c r="E413" i="4"/>
  <c r="E131" i="4"/>
  <c r="E319" i="4"/>
  <c r="E109" i="4"/>
  <c r="E316" i="4"/>
  <c r="E314" i="4"/>
  <c r="E167" i="4"/>
  <c r="E429" i="4"/>
  <c r="E221" i="4"/>
  <c r="E570" i="4"/>
  <c r="E554" i="4"/>
  <c r="E182" i="4"/>
  <c r="E51" i="4"/>
  <c r="E339" i="4"/>
  <c r="E520" i="4"/>
  <c r="E456" i="4"/>
  <c r="E455" i="4"/>
  <c r="E46" i="4"/>
  <c r="E498" i="4"/>
  <c r="E384" i="4"/>
  <c r="E331" i="4"/>
  <c r="E133" i="4"/>
  <c r="E36" i="4"/>
  <c r="E257" i="4"/>
  <c r="E465" i="4"/>
  <c r="E186" i="4"/>
  <c r="E270" i="4"/>
  <c r="E240" i="4"/>
  <c r="E317" i="4"/>
  <c r="E38" i="4"/>
  <c r="E241" i="4"/>
  <c r="E130" i="4"/>
  <c r="E271" i="4"/>
  <c r="E343" i="4"/>
  <c r="E50" i="4"/>
  <c r="E211" i="4"/>
  <c r="E402" i="4"/>
  <c r="E259" i="4"/>
  <c r="E407" i="4"/>
  <c r="E318" i="4"/>
  <c r="E324" i="4"/>
  <c r="E56" i="4"/>
  <c r="E354" i="4"/>
  <c r="E139" i="4"/>
  <c r="E393" i="4"/>
  <c r="E171" i="4"/>
  <c r="E358" i="4"/>
  <c r="E258" i="4"/>
  <c r="E534" i="4"/>
  <c r="E528" i="4"/>
  <c r="E125" i="4"/>
  <c r="E205" i="4"/>
  <c r="E353" i="4"/>
  <c r="E305" i="4"/>
  <c r="E372" i="4"/>
  <c r="E381" i="4"/>
  <c r="E307" i="4"/>
  <c r="E272" i="4"/>
  <c r="E249" i="4"/>
  <c r="E373" i="4"/>
  <c r="E463" i="4"/>
  <c r="E492" i="4"/>
  <c r="E328" i="4"/>
  <c r="E204" i="4"/>
  <c r="E178" i="4"/>
  <c r="E485" i="4"/>
  <c r="E448" i="4"/>
  <c r="E348" i="4"/>
  <c r="E294" i="4"/>
  <c r="E512" i="4"/>
  <c r="E173" i="4"/>
  <c r="E303" i="4"/>
  <c r="E503" i="4"/>
  <c r="E565" i="4"/>
  <c r="E360" i="4"/>
  <c r="E115" i="4"/>
  <c r="E551" i="4"/>
  <c r="E400" i="4"/>
  <c r="E206" i="4"/>
  <c r="E170" i="4"/>
  <c r="E80" i="4"/>
  <c r="E100" i="4"/>
  <c r="E26" i="4"/>
  <c r="E525" i="4"/>
  <c r="E122" i="4"/>
  <c r="E232" i="4"/>
  <c r="E150" i="4"/>
  <c r="E285" i="4"/>
  <c r="E404" i="4"/>
  <c r="E504" i="4"/>
  <c r="E566" i="4"/>
  <c r="E246" i="4"/>
  <c r="E304" i="4"/>
  <c r="E386" i="4"/>
  <c r="E84" i="4"/>
  <c r="E432" i="4"/>
  <c r="E243" i="4"/>
  <c r="E155" i="4"/>
  <c r="E35" i="4"/>
  <c r="E333" i="4"/>
  <c r="E195" i="4"/>
  <c r="E228" i="4"/>
  <c r="E430" i="4"/>
  <c r="E273" i="4"/>
  <c r="E338" i="4"/>
  <c r="E281" i="4"/>
  <c r="E322" i="4"/>
  <c r="E369" i="4"/>
  <c r="E66" i="4"/>
  <c r="E198" i="4"/>
  <c r="E390" i="4"/>
  <c r="E68" i="4"/>
  <c r="E149" i="4"/>
  <c r="E283" i="4"/>
  <c r="E451" i="4"/>
  <c r="E147" i="4"/>
  <c r="E59" i="4"/>
  <c r="E266" i="4"/>
  <c r="E18" i="4"/>
  <c r="E329" i="4"/>
  <c r="E380" i="4"/>
  <c r="E288" i="4"/>
  <c r="E392" i="4"/>
  <c r="E435" i="4"/>
  <c r="E212" i="4"/>
  <c r="E120" i="4"/>
  <c r="E251" i="4"/>
  <c r="E569" i="4"/>
  <c r="E41" i="4"/>
  <c r="E160" i="4"/>
  <c r="E73" i="4"/>
  <c r="E248" i="4"/>
  <c r="E263" i="4"/>
  <c r="E114" i="4"/>
  <c r="E164" i="4"/>
  <c r="E447" i="4"/>
  <c r="E90" i="4"/>
  <c r="E144" i="4"/>
  <c r="E89" i="4"/>
  <c r="E20" i="4"/>
  <c r="E493" i="4"/>
  <c r="E197" i="4"/>
  <c r="E168" i="4"/>
  <c r="E140" i="4"/>
  <c r="E97" i="4"/>
  <c r="E471" i="4"/>
  <c r="E475" i="4"/>
  <c r="E137" i="4"/>
  <c r="E230" i="4"/>
  <c r="E31" i="4"/>
  <c r="E364" i="4"/>
  <c r="E252" i="4"/>
  <c r="E28" i="4"/>
  <c r="E468" i="4"/>
  <c r="E397" i="4"/>
  <c r="E519" i="4"/>
  <c r="E538" i="4"/>
  <c r="E351" i="4"/>
  <c r="E449" i="4"/>
  <c r="E215" i="4"/>
  <c r="E193" i="4"/>
  <c r="E394" i="4"/>
  <c r="E495" i="4"/>
  <c r="E225" i="4"/>
  <c r="E132" i="4"/>
  <c r="E152" i="4"/>
  <c r="E48" i="4"/>
  <c r="E347" i="4"/>
  <c r="E33" i="4"/>
  <c r="E457" i="4"/>
  <c r="E67" i="4"/>
  <c r="E541" i="4"/>
  <c r="E143" i="4"/>
  <c r="E500" i="4"/>
  <c r="E299" i="4"/>
  <c r="E62" i="4"/>
  <c r="E370" i="4"/>
  <c r="E302" i="4"/>
  <c r="E102" i="4"/>
  <c r="E533" i="4"/>
  <c r="E176" i="4"/>
  <c r="E523" i="4"/>
  <c r="E75" i="4"/>
  <c r="E349" i="4"/>
  <c r="E454" i="4"/>
  <c r="E469" i="4"/>
  <c r="E526" i="4"/>
  <c r="E213" i="4"/>
  <c r="E480" i="4"/>
  <c r="E37" i="4"/>
  <c r="E564" i="4"/>
  <c r="E74" i="4"/>
  <c r="E29" i="4"/>
  <c r="E190" i="4"/>
  <c r="E362" i="4"/>
  <c r="E260" i="4"/>
  <c r="E514" i="4"/>
  <c r="E461" i="4"/>
  <c r="E187" i="4"/>
  <c r="E10" i="4"/>
  <c r="E491" i="4"/>
  <c r="E561" i="4"/>
  <c r="E418" i="4"/>
  <c r="E558" i="4"/>
  <c r="E194" i="4"/>
  <c r="E129" i="4"/>
  <c r="E547" i="4"/>
  <c r="E141" i="4"/>
  <c r="E524" i="4"/>
  <c r="E403" i="4"/>
  <c r="E96" i="4"/>
  <c r="E226" i="4"/>
  <c r="E405" i="4"/>
  <c r="E359" i="4"/>
  <c r="E256" i="4"/>
  <c r="E169" i="4"/>
  <c r="E439" i="4"/>
  <c r="E544" i="4"/>
  <c r="E17" i="4"/>
  <c r="E19" i="4"/>
  <c r="E483" i="4"/>
  <c r="E532" i="4"/>
  <c r="E300" i="4"/>
  <c r="E543" i="4"/>
  <c r="E334" i="4"/>
  <c r="E470" i="4"/>
  <c r="E290" i="4"/>
  <c r="E116" i="4"/>
  <c r="E420" i="4"/>
  <c r="E177" i="4"/>
  <c r="E518" i="4"/>
  <c r="E110" i="4"/>
  <c r="E531" i="4"/>
  <c r="E295" i="4"/>
  <c r="E64" i="4"/>
  <c r="E527" i="4"/>
  <c r="E77" i="4"/>
  <c r="E311" i="4"/>
  <c r="E112" i="4"/>
  <c r="E419" i="4"/>
  <c r="E497" i="4"/>
  <c r="E417" i="4"/>
  <c r="E70" i="4"/>
  <c r="E101" i="4"/>
  <c r="E310" i="4"/>
  <c r="E375" i="4"/>
  <c r="E21" i="4"/>
  <c r="E242" i="4"/>
  <c r="E88" i="4"/>
  <c r="E231" i="4"/>
  <c r="E368" i="4"/>
  <c r="E562" i="4"/>
  <c r="E253" i="4"/>
  <c r="E145" i="4"/>
  <c r="E224" i="4"/>
  <c r="E395" i="4"/>
  <c r="E421" i="4"/>
  <c r="E396" i="4"/>
  <c r="E61" i="4"/>
  <c r="E332" i="4"/>
  <c r="E142" i="4"/>
  <c r="E378" i="4"/>
  <c r="E201" i="4"/>
  <c r="E511" i="4"/>
  <c r="E486" i="4"/>
  <c r="E181" i="4"/>
  <c r="E315" i="4"/>
  <c r="E345" i="4"/>
  <c r="E464" i="4"/>
  <c r="E265" i="4"/>
  <c r="E453" i="4"/>
  <c r="E515" i="4"/>
  <c r="E361" i="4"/>
  <c r="E556" i="4"/>
  <c r="E389" i="4"/>
  <c r="E355" i="4"/>
  <c r="E233" i="4"/>
  <c r="E15" i="4"/>
  <c r="E291" i="4"/>
  <c r="E567" i="4"/>
  <c r="E293" i="4"/>
  <c r="E78" i="4"/>
  <c r="E95" i="4"/>
  <c r="E521" i="4"/>
  <c r="E157" i="4"/>
  <c r="E32" i="4"/>
  <c r="E222" i="4"/>
  <c r="E278" i="4"/>
  <c r="E81" i="4"/>
  <c r="E371" i="4"/>
  <c r="E477" i="4"/>
  <c r="E55" i="4"/>
  <c r="E214" i="4"/>
  <c r="E229" i="4"/>
  <c r="E436" i="4"/>
  <c r="E86" i="4"/>
  <c r="E474" i="4"/>
  <c r="E245" i="4"/>
  <c r="E550" i="4"/>
  <c r="E535" i="4"/>
  <c r="E121" i="4"/>
  <c r="E427" i="4"/>
  <c r="E340" i="4"/>
  <c r="E553" i="4"/>
  <c r="E184" i="4"/>
  <c r="E537" i="4"/>
  <c r="E185" i="4"/>
  <c r="E505" i="4"/>
  <c r="E277" i="4"/>
  <c r="E274" i="4"/>
  <c r="E522" i="4"/>
  <c r="E146" i="4"/>
  <c r="E42" i="4"/>
  <c r="E123" i="4"/>
  <c r="E220" i="4"/>
  <c r="E254" i="4"/>
  <c r="E425" i="4"/>
  <c r="E25" i="4"/>
  <c r="E267" i="4"/>
  <c r="E103" i="4"/>
  <c r="E325" i="4"/>
  <c r="E165" i="4"/>
  <c r="E559" i="4"/>
  <c r="E287" i="4"/>
  <c r="E117" i="4"/>
  <c r="E374" i="4"/>
  <c r="E472" i="4"/>
  <c r="E327" i="4"/>
  <c r="E462" i="4"/>
  <c r="E548" i="4"/>
  <c r="E34" i="4"/>
  <c r="E530" i="4"/>
  <c r="E158" i="4"/>
  <c r="E365" i="4"/>
  <c r="E401" i="4"/>
  <c r="E227" i="4"/>
  <c r="E189" i="4"/>
  <c r="E163" i="4"/>
  <c r="E326" i="4"/>
  <c r="E159" i="4"/>
  <c r="E58" i="4"/>
  <c r="E545" i="4"/>
  <c r="E440" i="4"/>
  <c r="E151" i="4"/>
  <c r="E262" i="4"/>
  <c r="E91" i="4"/>
  <c r="E443" i="4"/>
  <c r="E166" i="4"/>
  <c r="E69" i="4"/>
  <c r="E376" i="4"/>
  <c r="E148" i="4"/>
  <c r="E52" i="4"/>
  <c r="E467" i="4"/>
  <c r="E286" i="4"/>
  <c r="E422" i="4"/>
  <c r="E346" i="4"/>
  <c r="E482" i="4"/>
  <c r="E330" i="4"/>
  <c r="E118" i="4"/>
  <c r="E466" i="4"/>
  <c r="E79" i="4"/>
  <c r="E87" i="4"/>
  <c r="E183" i="4"/>
  <c r="E44" i="4"/>
  <c r="E191" i="4"/>
  <c r="E162" i="4"/>
  <c r="E555" i="4"/>
  <c r="E236" i="4"/>
  <c r="E385" i="4"/>
  <c r="E379" i="4"/>
  <c r="E363" i="4"/>
  <c r="E188" i="4"/>
  <c r="E445" i="4"/>
  <c r="E47" i="4"/>
  <c r="E434" i="4"/>
  <c r="E138" i="4"/>
  <c r="E476" i="4"/>
  <c r="E336" i="4"/>
  <c r="E250" i="4"/>
  <c r="E39" i="4"/>
  <c r="E179" i="4"/>
  <c r="E560" i="4"/>
  <c r="E92" i="4"/>
  <c r="E210" i="4"/>
  <c r="E357" i="4"/>
  <c r="E510" i="4"/>
  <c r="E282" i="4"/>
  <c r="E40" i="4"/>
  <c r="E424" i="4"/>
  <c r="E12" i="4"/>
  <c r="E337" i="4"/>
  <c r="E289" i="4"/>
  <c r="E126" i="4"/>
  <c r="E356" i="4"/>
  <c r="E105" i="4"/>
  <c r="E391" i="4"/>
  <c r="E301" i="4"/>
  <c r="E111" i="4"/>
  <c r="E431" i="4"/>
  <c r="E196" i="4"/>
  <c r="E216" i="4"/>
  <c r="E377" i="4"/>
  <c r="E238" i="4"/>
  <c r="E22" i="4"/>
  <c r="E275" i="4"/>
  <c r="E269" i="4"/>
  <c r="E516" i="4"/>
  <c r="E438" i="4"/>
  <c r="E536" i="4"/>
  <c r="E501" i="4"/>
  <c r="E23" i="4"/>
  <c r="E154" i="4"/>
  <c r="E172" i="4"/>
  <c r="E57" i="4"/>
  <c r="E366" i="4"/>
  <c r="E507" i="4"/>
  <c r="E488" i="4"/>
  <c r="E408" i="4"/>
  <c r="E460" i="4"/>
  <c r="E549" i="4"/>
  <c r="E444" i="4"/>
  <c r="E207" i="4"/>
  <c r="E298" i="4"/>
  <c r="E323" i="4"/>
  <c r="E542" i="4"/>
  <c r="E513" i="4"/>
  <c r="E423" i="4"/>
  <c r="E200" i="4"/>
  <c r="E99" i="4"/>
  <c r="E568" i="4"/>
  <c r="E161" i="4"/>
  <c r="E306" i="4"/>
  <c r="E352" i="4"/>
  <c r="E367" i="4"/>
  <c r="E459" i="4"/>
  <c r="E484" i="4"/>
  <c r="E509" i="4"/>
  <c r="E502" i="4"/>
  <c r="E412" i="4"/>
  <c r="E383" i="4"/>
  <c r="E124" i="4"/>
  <c r="E382" i="4"/>
  <c r="E479" i="4"/>
  <c r="E312" i="4"/>
  <c r="E452" i="4"/>
  <c r="E104" i="4"/>
  <c r="E506" i="4"/>
  <c r="E235" i="4"/>
  <c r="E529" i="4"/>
  <c r="E203" i="4"/>
  <c r="E268" i="4"/>
  <c r="E308" i="4"/>
  <c r="E473" i="4"/>
  <c r="E82" i="4"/>
  <c r="E388" i="4"/>
  <c r="E180" i="4"/>
  <c r="E313" i="4"/>
  <c r="E237" i="4"/>
  <c r="E387" i="4"/>
  <c r="E563" i="4"/>
  <c r="E108" i="4"/>
  <c r="E72" i="4"/>
  <c r="E433" i="4"/>
  <c r="E14" i="7"/>
  <c r="E13" i="7"/>
  <c r="E12" i="7"/>
  <c r="E32" i="5"/>
  <c r="E44" i="5"/>
  <c r="E33" i="5"/>
  <c r="E60" i="5"/>
  <c r="E10" i="5"/>
  <c r="E19" i="5"/>
  <c r="E18" i="5"/>
  <c r="E38" i="5"/>
  <c r="E9" i="5"/>
  <c r="E64" i="5"/>
  <c r="E45" i="5"/>
  <c r="E15" i="5"/>
  <c r="E16" i="5"/>
  <c r="E31" i="5"/>
  <c r="E49" i="5"/>
  <c r="E56" i="5"/>
  <c r="E42" i="5"/>
  <c r="E29" i="5"/>
  <c r="E66" i="5"/>
  <c r="E25" i="5"/>
  <c r="E28" i="5"/>
  <c r="E41" i="5"/>
  <c r="E11" i="5"/>
  <c r="E47" i="5"/>
  <c r="E54" i="5"/>
  <c r="E48" i="5"/>
  <c r="E70" i="5"/>
  <c r="E13" i="5"/>
  <c r="E73" i="5"/>
  <c r="E17" i="5"/>
  <c r="E27" i="5"/>
  <c r="E40" i="5"/>
  <c r="E55" i="5"/>
  <c r="E39" i="5"/>
  <c r="E46" i="5"/>
  <c r="E53" i="5"/>
  <c r="E35" i="5"/>
  <c r="E37" i="5"/>
  <c r="E76" i="5"/>
  <c r="E59" i="5"/>
  <c r="E78" i="5"/>
  <c r="E57" i="5"/>
  <c r="E36" i="5"/>
  <c r="E51" i="5"/>
  <c r="E24" i="5"/>
  <c r="E26" i="5"/>
  <c r="E52" i="5"/>
  <c r="E79" i="5"/>
  <c r="E43" i="5"/>
  <c r="E80" i="5"/>
  <c r="E21" i="5"/>
  <c r="E20" i="5"/>
  <c r="E50" i="5"/>
  <c r="E22" i="5"/>
  <c r="E34" i="5"/>
  <c r="E71" i="5"/>
  <c r="E23" i="5"/>
  <c r="E14" i="5"/>
  <c r="E61" i="5"/>
  <c r="E67" i="5"/>
  <c r="E12" i="5"/>
  <c r="E72" i="5"/>
  <c r="E69" i="5"/>
  <c r="E65" i="5"/>
  <c r="E62" i="5"/>
  <c r="E58" i="5"/>
  <c r="E77" i="5"/>
  <c r="E75" i="5"/>
  <c r="E74" i="5"/>
  <c r="E30" i="5"/>
  <c r="E63" i="5"/>
  <c r="E68" i="5"/>
  <c r="F27" i="6"/>
  <c r="F35" i="6"/>
  <c r="F235" i="6"/>
  <c r="F219" i="6"/>
  <c r="F211" i="6"/>
  <c r="F203" i="6"/>
  <c r="F11" i="6"/>
  <c r="F187" i="6"/>
  <c r="J171" i="6"/>
  <c r="I171" i="6"/>
  <c r="H171" i="6"/>
  <c r="G74" i="5"/>
  <c r="H74" i="5"/>
  <c r="G24" i="5"/>
  <c r="H24" i="5"/>
  <c r="G28" i="5"/>
  <c r="H28" i="5"/>
  <c r="G13" i="7"/>
  <c r="F13" i="7"/>
  <c r="H13" i="7"/>
  <c r="G124" i="4"/>
  <c r="H124" i="4"/>
  <c r="H488" i="4"/>
  <c r="G488" i="4"/>
  <c r="G126" i="4"/>
  <c r="H126" i="4"/>
  <c r="G385" i="4"/>
  <c r="H385" i="4"/>
  <c r="G262" i="4"/>
  <c r="H262" i="4"/>
  <c r="G325" i="4"/>
  <c r="H325" i="4"/>
  <c r="G474" i="4"/>
  <c r="H474" i="4"/>
  <c r="G361" i="4"/>
  <c r="H361" i="4"/>
  <c r="H88" i="4"/>
  <c r="G88" i="4"/>
  <c r="G334" i="4"/>
  <c r="H334" i="4"/>
  <c r="G561" i="4"/>
  <c r="H561" i="4"/>
  <c r="H302" i="4"/>
  <c r="G302" i="4"/>
  <c r="H468" i="4"/>
  <c r="G468" i="4"/>
  <c r="H160" i="4"/>
  <c r="G160" i="4"/>
  <c r="H281" i="4"/>
  <c r="G281" i="4"/>
  <c r="G100" i="4"/>
  <c r="H100" i="4"/>
  <c r="G272" i="4"/>
  <c r="H272" i="4"/>
  <c r="G343" i="4"/>
  <c r="H343" i="4"/>
  <c r="H570" i="4"/>
  <c r="G570" i="4"/>
  <c r="G45" i="4"/>
  <c r="H45" i="4"/>
  <c r="H218" i="4"/>
  <c r="G218" i="4"/>
  <c r="G494" i="4"/>
  <c r="H494" i="4"/>
  <c r="G261" i="4"/>
  <c r="H261" i="4"/>
  <c r="J556" i="6"/>
  <c r="H556" i="6"/>
  <c r="I556" i="6"/>
  <c r="J393" i="6"/>
  <c r="H393" i="6"/>
  <c r="I393" i="6"/>
  <c r="J86" i="6"/>
  <c r="H86" i="6"/>
  <c r="I86" i="6"/>
  <c r="J530" i="6"/>
  <c r="I530" i="6"/>
  <c r="H530" i="6"/>
  <c r="J425" i="6"/>
  <c r="H425" i="6"/>
  <c r="I425" i="6"/>
  <c r="J540" i="6"/>
  <c r="H540" i="6"/>
  <c r="I540" i="6"/>
  <c r="J158" i="6"/>
  <c r="H158" i="6"/>
  <c r="I158" i="6"/>
  <c r="J137" i="6"/>
  <c r="I137" i="6"/>
  <c r="H137" i="6"/>
  <c r="J383" i="6"/>
  <c r="H383" i="6"/>
  <c r="I383" i="6"/>
  <c r="J249" i="6"/>
  <c r="H249" i="6"/>
  <c r="I249" i="6"/>
  <c r="J58" i="6"/>
  <c r="H58" i="6"/>
  <c r="I58" i="6"/>
  <c r="J30" i="6"/>
  <c r="H30" i="6"/>
  <c r="I30" i="6"/>
  <c r="J194" i="6"/>
  <c r="H194" i="6"/>
  <c r="I194" i="6"/>
  <c r="H455" i="6"/>
  <c r="J455" i="6"/>
  <c r="I455" i="6"/>
  <c r="J543" i="6"/>
  <c r="I543" i="6"/>
  <c r="H543" i="6"/>
  <c r="J264" i="6"/>
  <c r="H264" i="6"/>
  <c r="I264" i="6"/>
  <c r="J381" i="6"/>
  <c r="I381" i="6"/>
  <c r="H381" i="6"/>
  <c r="J189" i="6"/>
  <c r="H189" i="6"/>
  <c r="I189" i="6"/>
  <c r="J476" i="6"/>
  <c r="I476" i="6"/>
  <c r="H476" i="6"/>
  <c r="J284" i="6"/>
  <c r="H284" i="6"/>
  <c r="I284" i="6"/>
  <c r="J92" i="6"/>
  <c r="H92" i="6"/>
  <c r="I92" i="6"/>
  <c r="J387" i="6"/>
  <c r="I387" i="6"/>
  <c r="H387" i="6"/>
  <c r="J195" i="6"/>
  <c r="H195" i="6"/>
  <c r="I195" i="6"/>
  <c r="J363" i="6"/>
  <c r="H363" i="6"/>
  <c r="I363" i="6"/>
  <c r="G75" i="5"/>
  <c r="H75" i="5"/>
  <c r="G51" i="5"/>
  <c r="H51" i="5"/>
  <c r="G25" i="5"/>
  <c r="H25" i="5"/>
  <c r="H14" i="7"/>
  <c r="B10" i="18"/>
  <c r="G14" i="7"/>
  <c r="F14" i="7"/>
  <c r="H383" i="4"/>
  <c r="G383" i="4"/>
  <c r="H507" i="4"/>
  <c r="G507" i="4"/>
  <c r="G289" i="4"/>
  <c r="H289" i="4"/>
  <c r="H236" i="4"/>
  <c r="G236" i="4"/>
  <c r="G151" i="4"/>
  <c r="H151" i="4"/>
  <c r="G103" i="4"/>
  <c r="H103" i="4"/>
  <c r="G86" i="4"/>
  <c r="H86" i="4"/>
  <c r="H515" i="4"/>
  <c r="G515" i="4"/>
  <c r="H242" i="4"/>
  <c r="G242" i="4"/>
  <c r="H543" i="4"/>
  <c r="G543" i="4"/>
  <c r="H491" i="4"/>
  <c r="G491" i="4"/>
  <c r="G370" i="4"/>
  <c r="H370" i="4"/>
  <c r="G28" i="4"/>
  <c r="H28" i="4"/>
  <c r="G41" i="4"/>
  <c r="H41" i="4"/>
  <c r="G338" i="4"/>
  <c r="H338" i="4"/>
  <c r="J338" i="4"/>
  <c r="G80" i="4"/>
  <c r="H80" i="4"/>
  <c r="G307" i="4"/>
  <c r="H307" i="4"/>
  <c r="H271" i="4"/>
  <c r="G271" i="4"/>
  <c r="G221" i="4"/>
  <c r="H221" i="4"/>
  <c r="G406" i="4"/>
  <c r="H406" i="4"/>
  <c r="G490" i="4"/>
  <c r="H490" i="4"/>
  <c r="G276" i="4"/>
  <c r="H276" i="4"/>
  <c r="G244" i="4"/>
  <c r="H244" i="4"/>
  <c r="H554" i="6"/>
  <c r="I554" i="6"/>
  <c r="J554" i="6"/>
  <c r="I224" i="6"/>
  <c r="J224" i="6"/>
  <c r="H224" i="6"/>
  <c r="J516" i="6"/>
  <c r="H516" i="6"/>
  <c r="I516" i="6"/>
  <c r="J496" i="6"/>
  <c r="I496" i="6"/>
  <c r="H496" i="6"/>
  <c r="J334" i="6"/>
  <c r="I334" i="6"/>
  <c r="H334" i="6"/>
  <c r="J257" i="6"/>
  <c r="I257" i="6"/>
  <c r="H257" i="6"/>
  <c r="J89" i="6"/>
  <c r="H89" i="6"/>
  <c r="I89" i="6"/>
  <c r="J119" i="6"/>
  <c r="I119" i="6"/>
  <c r="H119" i="6"/>
  <c r="H352" i="6"/>
  <c r="J352" i="6"/>
  <c r="I352" i="6"/>
  <c r="J184" i="6"/>
  <c r="I184" i="6"/>
  <c r="H184" i="6"/>
  <c r="J34" i="6"/>
  <c r="H34" i="6"/>
  <c r="I34" i="6"/>
  <c r="J64" i="6"/>
  <c r="I64" i="6"/>
  <c r="H64" i="6"/>
  <c r="J170" i="6"/>
  <c r="H170" i="6"/>
  <c r="I170" i="6"/>
  <c r="J433" i="6"/>
  <c r="H433" i="6"/>
  <c r="I433" i="6"/>
  <c r="J535" i="6"/>
  <c r="H535" i="6"/>
  <c r="I535" i="6"/>
  <c r="J240" i="6"/>
  <c r="I240" i="6"/>
  <c r="H240" i="6"/>
  <c r="J373" i="6"/>
  <c r="H373" i="6"/>
  <c r="I373" i="6"/>
  <c r="J181" i="6"/>
  <c r="H181" i="6"/>
  <c r="I181" i="6"/>
  <c r="H468" i="6"/>
  <c r="I468" i="6"/>
  <c r="J468" i="6"/>
  <c r="J276" i="6"/>
  <c r="I276" i="6"/>
  <c r="H276" i="6"/>
  <c r="J84" i="6"/>
  <c r="H84" i="6"/>
  <c r="I84" i="6"/>
  <c r="J379" i="6"/>
  <c r="I379" i="6"/>
  <c r="H379" i="6"/>
  <c r="J187" i="6"/>
  <c r="H187" i="6"/>
  <c r="I187" i="6"/>
  <c r="G436" i="4"/>
  <c r="H436" i="4"/>
  <c r="H130" i="4"/>
  <c r="G130" i="4"/>
  <c r="J282" i="6"/>
  <c r="H282" i="6"/>
  <c r="I282" i="6"/>
  <c r="J527" i="6"/>
  <c r="I527" i="6"/>
  <c r="H527" i="6"/>
  <c r="G502" i="4"/>
  <c r="H502" i="4"/>
  <c r="G372" i="4"/>
  <c r="H372" i="4"/>
  <c r="J260" i="6"/>
  <c r="I260" i="6"/>
  <c r="H260" i="6"/>
  <c r="G108" i="4"/>
  <c r="H108" i="4"/>
  <c r="G310" i="4"/>
  <c r="H310" i="4"/>
  <c r="G38" i="4"/>
  <c r="H38" i="4"/>
  <c r="J321" i="6"/>
  <c r="H321" i="6"/>
  <c r="I321" i="6"/>
  <c r="J157" i="6"/>
  <c r="I157" i="6"/>
  <c r="H157" i="6"/>
  <c r="G65" i="5"/>
  <c r="H65" i="5"/>
  <c r="H563" i="4"/>
  <c r="G563" i="4"/>
  <c r="G40" i="4"/>
  <c r="H40" i="4"/>
  <c r="J40" i="4"/>
  <c r="G254" i="4"/>
  <c r="H254" i="4"/>
  <c r="H345" i="4"/>
  <c r="G345" i="4"/>
  <c r="G101" i="4"/>
  <c r="H101" i="4"/>
  <c r="G514" i="4"/>
  <c r="H514" i="4"/>
  <c r="G143" i="4"/>
  <c r="H143" i="4"/>
  <c r="H230" i="4"/>
  <c r="G230" i="4"/>
  <c r="H212" i="4"/>
  <c r="G212" i="4"/>
  <c r="G195" i="4"/>
  <c r="H195" i="4"/>
  <c r="G317" i="4"/>
  <c r="H317" i="4"/>
  <c r="G316" i="4"/>
  <c r="H316" i="4"/>
  <c r="G43" i="4"/>
  <c r="H43" i="4"/>
  <c r="G107" i="4"/>
  <c r="H107" i="4"/>
  <c r="H113" i="4"/>
  <c r="G113" i="4"/>
  <c r="G409" i="4"/>
  <c r="H409" i="4"/>
  <c r="J176" i="6"/>
  <c r="H176" i="6"/>
  <c r="I176" i="6"/>
  <c r="J462" i="6"/>
  <c r="H462" i="6"/>
  <c r="I462" i="6"/>
  <c r="I549" i="6"/>
  <c r="J549" i="6"/>
  <c r="H549" i="6"/>
  <c r="J563" i="6"/>
  <c r="I563" i="6"/>
  <c r="H563" i="6"/>
  <c r="J377" i="6"/>
  <c r="H377" i="6"/>
  <c r="I377" i="6"/>
  <c r="J302" i="6"/>
  <c r="I302" i="6"/>
  <c r="H302" i="6"/>
  <c r="J537" i="6"/>
  <c r="I537" i="6"/>
  <c r="H537" i="6"/>
  <c r="J256" i="6"/>
  <c r="I256" i="6"/>
  <c r="H256" i="6"/>
  <c r="J151" i="6"/>
  <c r="I151" i="6"/>
  <c r="H151" i="6"/>
  <c r="J550" i="6"/>
  <c r="H550" i="6"/>
  <c r="I550" i="6"/>
  <c r="J33" i="6"/>
  <c r="H33" i="6"/>
  <c r="I33" i="6"/>
  <c r="J478" i="6"/>
  <c r="I478" i="6"/>
  <c r="H478" i="6"/>
  <c r="J74" i="6"/>
  <c r="H74" i="6"/>
  <c r="I74" i="6"/>
  <c r="J369" i="6"/>
  <c r="I369" i="6"/>
  <c r="H369" i="6"/>
  <c r="J503" i="6"/>
  <c r="I503" i="6"/>
  <c r="H503" i="6"/>
  <c r="J144" i="6"/>
  <c r="I144" i="6"/>
  <c r="H144" i="6"/>
  <c r="J341" i="6"/>
  <c r="H341" i="6"/>
  <c r="I341" i="6"/>
  <c r="J149" i="6"/>
  <c r="H149" i="6"/>
  <c r="I149" i="6"/>
  <c r="J436" i="6"/>
  <c r="I436" i="6"/>
  <c r="H436" i="6"/>
  <c r="J244" i="6"/>
  <c r="I244" i="6"/>
  <c r="H244" i="6"/>
  <c r="J52" i="6"/>
  <c r="H52" i="6"/>
  <c r="I52" i="6"/>
  <c r="J347" i="6"/>
  <c r="I347" i="6"/>
  <c r="H347" i="6"/>
  <c r="J155" i="6"/>
  <c r="H155" i="6"/>
  <c r="I155" i="6"/>
  <c r="G69" i="5"/>
  <c r="H69" i="5"/>
  <c r="H76" i="5"/>
  <c r="G76" i="5"/>
  <c r="G49" i="5"/>
  <c r="H49" i="5"/>
  <c r="G387" i="4"/>
  <c r="H387" i="4"/>
  <c r="G459" i="4"/>
  <c r="H459" i="4"/>
  <c r="G23" i="4"/>
  <c r="H23" i="4"/>
  <c r="G282" i="4"/>
  <c r="H282" i="4"/>
  <c r="G183" i="4"/>
  <c r="H183" i="4"/>
  <c r="G326" i="4"/>
  <c r="H326" i="4"/>
  <c r="G220" i="4"/>
  <c r="H220" i="4"/>
  <c r="H477" i="4"/>
  <c r="G477" i="4"/>
  <c r="G315" i="4"/>
  <c r="H315" i="4"/>
  <c r="G70" i="4"/>
  <c r="H70" i="4"/>
  <c r="G19" i="4"/>
  <c r="H19" i="4"/>
  <c r="G260" i="4"/>
  <c r="H260" i="4"/>
  <c r="G541" i="4"/>
  <c r="H541" i="4"/>
  <c r="H137" i="4"/>
  <c r="G137" i="4"/>
  <c r="G435" i="4"/>
  <c r="H435" i="4"/>
  <c r="G333" i="4"/>
  <c r="H333" i="4"/>
  <c r="G115" i="4"/>
  <c r="H115" i="4"/>
  <c r="G205" i="4"/>
  <c r="H205" i="4"/>
  <c r="H240" i="4"/>
  <c r="G240" i="4"/>
  <c r="G109" i="4"/>
  <c r="H109" i="4"/>
  <c r="G135" i="4"/>
  <c r="H135" i="4"/>
  <c r="G16" i="4"/>
  <c r="H16" i="4"/>
  <c r="G309" i="4"/>
  <c r="H309" i="4"/>
  <c r="G416" i="4"/>
  <c r="H416" i="4"/>
  <c r="J539" i="6"/>
  <c r="H539" i="6"/>
  <c r="I539" i="6"/>
  <c r="J438" i="6"/>
  <c r="I438" i="6"/>
  <c r="H438" i="6"/>
  <c r="J531" i="6"/>
  <c r="H531" i="6"/>
  <c r="I531" i="6"/>
  <c r="J450" i="6"/>
  <c r="H450" i="6"/>
  <c r="I450" i="6"/>
  <c r="J209" i="6"/>
  <c r="H209" i="6"/>
  <c r="I209" i="6"/>
  <c r="J233" i="6"/>
  <c r="I233" i="6"/>
  <c r="H233" i="6"/>
  <c r="J514" i="6"/>
  <c r="H514" i="6"/>
  <c r="I514" i="6"/>
  <c r="J238" i="6"/>
  <c r="I238" i="6"/>
  <c r="H238" i="6"/>
  <c r="J545" i="6"/>
  <c r="H545" i="6"/>
  <c r="I545" i="6"/>
  <c r="J542" i="6"/>
  <c r="H542" i="6"/>
  <c r="I542" i="6"/>
  <c r="J9" i="6"/>
  <c r="I9" i="6"/>
  <c r="H9" i="6"/>
  <c r="H466" i="6"/>
  <c r="J466" i="6"/>
  <c r="I466" i="6"/>
  <c r="J50" i="6"/>
  <c r="I50" i="6"/>
  <c r="H50" i="6"/>
  <c r="J359" i="6"/>
  <c r="I359" i="6"/>
  <c r="H359" i="6"/>
  <c r="H495" i="6"/>
  <c r="I495" i="6"/>
  <c r="J495" i="6"/>
  <c r="J120" i="6"/>
  <c r="H120" i="6"/>
  <c r="I120" i="6"/>
  <c r="J333" i="6"/>
  <c r="I333" i="6"/>
  <c r="H333" i="6"/>
  <c r="J141" i="6"/>
  <c r="H141" i="6"/>
  <c r="I141" i="6"/>
  <c r="J428" i="6"/>
  <c r="H428" i="6"/>
  <c r="I428" i="6"/>
  <c r="J236" i="6"/>
  <c r="H236" i="6"/>
  <c r="I236" i="6"/>
  <c r="J44" i="6"/>
  <c r="I44" i="6"/>
  <c r="H44" i="6"/>
  <c r="J339" i="6"/>
  <c r="I339" i="6"/>
  <c r="H339" i="6"/>
  <c r="J147" i="6"/>
  <c r="I147" i="6"/>
  <c r="H147" i="6"/>
  <c r="J557" i="6"/>
  <c r="I557" i="6"/>
  <c r="H557" i="6"/>
  <c r="J473" i="6"/>
  <c r="H473" i="6"/>
  <c r="I473" i="6"/>
  <c r="G42" i="5"/>
  <c r="H42" i="5"/>
  <c r="G17" i="4"/>
  <c r="H17" i="4"/>
  <c r="H392" i="4"/>
  <c r="G392" i="4"/>
  <c r="G125" i="4"/>
  <c r="H125" i="4"/>
  <c r="G270" i="4"/>
  <c r="H270" i="4"/>
  <c r="H319" i="4"/>
  <c r="G319" i="4"/>
  <c r="G209" i="4"/>
  <c r="H209" i="4"/>
  <c r="G264" i="4"/>
  <c r="H264" i="4"/>
  <c r="G153" i="4"/>
  <c r="H153" i="4"/>
  <c r="H481" i="4"/>
  <c r="G481" i="4"/>
  <c r="J521" i="6"/>
  <c r="I521" i="6"/>
  <c r="H521" i="6"/>
  <c r="J345" i="6"/>
  <c r="H345" i="6"/>
  <c r="I345" i="6"/>
  <c r="J408" i="6"/>
  <c r="H408" i="6"/>
  <c r="I408" i="6"/>
  <c r="J342" i="6"/>
  <c r="I342" i="6"/>
  <c r="H342" i="6"/>
  <c r="J182" i="6"/>
  <c r="I182" i="6"/>
  <c r="H182" i="6"/>
  <c r="J215" i="6"/>
  <c r="H215" i="6"/>
  <c r="I215" i="6"/>
  <c r="J447" i="6"/>
  <c r="H447" i="6"/>
  <c r="I447" i="6"/>
  <c r="J186" i="6"/>
  <c r="I186" i="6"/>
  <c r="H186" i="6"/>
  <c r="J522" i="6"/>
  <c r="H522" i="6"/>
  <c r="I522" i="6"/>
  <c r="J534" i="6"/>
  <c r="I534" i="6"/>
  <c r="H534" i="6"/>
  <c r="J70" i="6"/>
  <c r="I70" i="6"/>
  <c r="H70" i="6"/>
  <c r="J456" i="6"/>
  <c r="I456" i="6"/>
  <c r="H456" i="6"/>
  <c r="J26" i="6"/>
  <c r="I26" i="6"/>
  <c r="H26" i="6"/>
  <c r="J337" i="6"/>
  <c r="H337" i="6"/>
  <c r="I337" i="6"/>
  <c r="I486" i="6"/>
  <c r="J486" i="6"/>
  <c r="H486" i="6"/>
  <c r="J96" i="6"/>
  <c r="I96" i="6"/>
  <c r="H96" i="6"/>
  <c r="J325" i="6"/>
  <c r="H325" i="6"/>
  <c r="I325" i="6"/>
  <c r="J133" i="6"/>
  <c r="I133" i="6"/>
  <c r="H133" i="6"/>
  <c r="J36" i="6"/>
  <c r="H36" i="6"/>
  <c r="I36" i="6"/>
  <c r="J331" i="6"/>
  <c r="I331" i="6"/>
  <c r="H331" i="6"/>
  <c r="J139" i="6"/>
  <c r="I139" i="6"/>
  <c r="H139" i="6"/>
  <c r="H555" i="4"/>
  <c r="G555" i="4"/>
  <c r="J179" i="6"/>
  <c r="I179" i="6"/>
  <c r="H179" i="6"/>
  <c r="G57" i="4"/>
  <c r="H57" i="4"/>
  <c r="H375" i="4"/>
  <c r="G375" i="4"/>
  <c r="G241" i="4"/>
  <c r="H241" i="4"/>
  <c r="J104" i="6"/>
  <c r="H104" i="6"/>
  <c r="I104" i="6"/>
  <c r="G58" i="4"/>
  <c r="H58" i="4"/>
  <c r="G24" i="4"/>
  <c r="H24" i="4"/>
  <c r="J60" i="6"/>
  <c r="I60" i="6"/>
  <c r="H60" i="6"/>
  <c r="G35" i="4"/>
  <c r="H35" i="4"/>
  <c r="J228" i="6"/>
  <c r="H228" i="6"/>
  <c r="I228" i="6"/>
  <c r="G12" i="5"/>
  <c r="H12" i="5"/>
  <c r="G35" i="5"/>
  <c r="H35" i="5"/>
  <c r="G16" i="5"/>
  <c r="H16" i="5"/>
  <c r="G313" i="4"/>
  <c r="H313" i="4"/>
  <c r="G352" i="4"/>
  <c r="H352" i="4"/>
  <c r="H536" i="4"/>
  <c r="G536" i="4"/>
  <c r="G357" i="4"/>
  <c r="H357" i="4"/>
  <c r="G79" i="4"/>
  <c r="H79" i="4"/>
  <c r="G189" i="4"/>
  <c r="H189" i="4"/>
  <c r="G42" i="4"/>
  <c r="H42" i="4"/>
  <c r="G81" i="4"/>
  <c r="H81" i="4"/>
  <c r="H486" i="4"/>
  <c r="G486" i="4"/>
  <c r="G497" i="4"/>
  <c r="H497" i="4"/>
  <c r="G544" i="4"/>
  <c r="H544" i="4"/>
  <c r="G190" i="4"/>
  <c r="H190" i="4"/>
  <c r="G457" i="4"/>
  <c r="H457" i="4"/>
  <c r="H471" i="4"/>
  <c r="G471" i="4"/>
  <c r="H288" i="4"/>
  <c r="G288" i="4"/>
  <c r="H155" i="4"/>
  <c r="G155" i="4"/>
  <c r="G565" i="4"/>
  <c r="H565" i="4"/>
  <c r="G528" i="4"/>
  <c r="H528" i="4"/>
  <c r="G186" i="4"/>
  <c r="H186" i="4"/>
  <c r="G131" i="4"/>
  <c r="H131" i="4"/>
  <c r="G458" i="4"/>
  <c r="H458" i="4"/>
  <c r="G280" i="4"/>
  <c r="H280" i="4"/>
  <c r="G546" i="4"/>
  <c r="H546" i="4"/>
  <c r="G217" i="4"/>
  <c r="H217" i="4"/>
  <c r="J113" i="6"/>
  <c r="H113" i="6"/>
  <c r="I113" i="6"/>
  <c r="J273" i="6"/>
  <c r="I273" i="6"/>
  <c r="H273" i="6"/>
  <c r="H318" i="6"/>
  <c r="I318" i="6"/>
  <c r="J318" i="6"/>
  <c r="J239" i="6"/>
  <c r="H239" i="6"/>
  <c r="I239" i="6"/>
  <c r="J541" i="6"/>
  <c r="H541" i="6"/>
  <c r="I541" i="6"/>
  <c r="J150" i="6"/>
  <c r="H150" i="6"/>
  <c r="I150" i="6"/>
  <c r="J416" i="6"/>
  <c r="H416" i="6"/>
  <c r="I416" i="6"/>
  <c r="J103" i="6"/>
  <c r="H103" i="6"/>
  <c r="I103" i="6"/>
  <c r="J499" i="6"/>
  <c r="I499" i="6"/>
  <c r="H499" i="6"/>
  <c r="J526" i="6"/>
  <c r="I526" i="6"/>
  <c r="H526" i="6"/>
  <c r="J46" i="6"/>
  <c r="H46" i="6"/>
  <c r="I46" i="6"/>
  <c r="J446" i="6"/>
  <c r="H446" i="6"/>
  <c r="I446" i="6"/>
  <c r="J327" i="6"/>
  <c r="H327" i="6"/>
  <c r="I327" i="6"/>
  <c r="H313" i="6"/>
  <c r="I313" i="6"/>
  <c r="J313" i="6"/>
  <c r="J474" i="6"/>
  <c r="I474" i="6"/>
  <c r="H474" i="6"/>
  <c r="J72" i="6"/>
  <c r="H72" i="6"/>
  <c r="I72" i="6"/>
  <c r="J317" i="6"/>
  <c r="H317" i="6"/>
  <c r="I317" i="6"/>
  <c r="J125" i="6"/>
  <c r="H125" i="6"/>
  <c r="I125" i="6"/>
  <c r="J412" i="6"/>
  <c r="H412" i="6"/>
  <c r="I412" i="6"/>
  <c r="J220" i="6"/>
  <c r="H220" i="6"/>
  <c r="I220" i="6"/>
  <c r="I28" i="6"/>
  <c r="J28" i="6"/>
  <c r="H28" i="6"/>
  <c r="J323" i="6"/>
  <c r="H323" i="6"/>
  <c r="I323" i="6"/>
  <c r="J131" i="6"/>
  <c r="H131" i="6"/>
  <c r="I131" i="6"/>
  <c r="G412" i="4"/>
  <c r="H412" i="4"/>
  <c r="G453" i="4"/>
  <c r="H453" i="4"/>
  <c r="H170" i="4"/>
  <c r="G170" i="4"/>
  <c r="H450" i="4"/>
  <c r="G450" i="4"/>
  <c r="J431" i="6"/>
  <c r="H431" i="6"/>
  <c r="I431" i="6"/>
  <c r="J304" i="6"/>
  <c r="I304" i="6"/>
  <c r="H304" i="6"/>
  <c r="J10" i="6"/>
  <c r="H10" i="6"/>
  <c r="I10" i="6"/>
  <c r="J40" i="6"/>
  <c r="H40" i="6"/>
  <c r="I40" i="6"/>
  <c r="H72" i="4"/>
  <c r="G72" i="4"/>
  <c r="G206" i="4"/>
  <c r="H206" i="4"/>
  <c r="J192" i="6"/>
  <c r="H192" i="6"/>
  <c r="I192" i="6"/>
  <c r="H509" i="4"/>
  <c r="G509" i="4"/>
  <c r="G461" i="4"/>
  <c r="H461" i="4"/>
  <c r="H415" i="4"/>
  <c r="G415" i="4"/>
  <c r="J98" i="6"/>
  <c r="I98" i="6"/>
  <c r="H98" i="6"/>
  <c r="G360" i="4"/>
  <c r="H360" i="4"/>
  <c r="J420" i="6"/>
  <c r="I420" i="6"/>
  <c r="H420" i="6"/>
  <c r="G67" i="5"/>
  <c r="H67" i="5"/>
  <c r="G53" i="5"/>
  <c r="H53" i="5"/>
  <c r="G15" i="5"/>
  <c r="H15" i="5"/>
  <c r="H180" i="4"/>
  <c r="G180" i="4"/>
  <c r="G306" i="4"/>
  <c r="H306" i="4"/>
  <c r="H438" i="4"/>
  <c r="G438" i="4"/>
  <c r="G210" i="4"/>
  <c r="H210" i="4"/>
  <c r="G466" i="4"/>
  <c r="H466" i="4"/>
  <c r="G227" i="4"/>
  <c r="H227" i="4"/>
  <c r="H146" i="4"/>
  <c r="G146" i="4"/>
  <c r="G278" i="4"/>
  <c r="H278" i="4"/>
  <c r="H511" i="4"/>
  <c r="G511" i="4"/>
  <c r="G419" i="4"/>
  <c r="H419" i="4"/>
  <c r="G439" i="4"/>
  <c r="H439" i="4"/>
  <c r="G29" i="4"/>
  <c r="H29" i="4"/>
  <c r="G33" i="4"/>
  <c r="H33" i="4"/>
  <c r="G97" i="4"/>
  <c r="H97" i="4"/>
  <c r="G380" i="4"/>
  <c r="H380" i="4"/>
  <c r="H243" i="4"/>
  <c r="G243" i="4"/>
  <c r="G503" i="4"/>
  <c r="H503" i="4"/>
  <c r="G534" i="4"/>
  <c r="H534" i="4"/>
  <c r="H465" i="4"/>
  <c r="G465" i="4"/>
  <c r="G413" i="4"/>
  <c r="H413" i="4"/>
  <c r="G350" i="4"/>
  <c r="H350" i="4"/>
  <c r="H98" i="4"/>
  <c r="G98" i="4"/>
  <c r="H552" i="4"/>
  <c r="G552" i="4"/>
  <c r="G175" i="4"/>
  <c r="H175" i="4"/>
  <c r="J520" i="6"/>
  <c r="I520" i="6"/>
  <c r="H520" i="6"/>
  <c r="H247" i="6"/>
  <c r="J247" i="6"/>
  <c r="I247" i="6"/>
  <c r="J191" i="6"/>
  <c r="I191" i="6"/>
  <c r="H191" i="6"/>
  <c r="I513" i="6"/>
  <c r="J513" i="6"/>
  <c r="H513" i="6"/>
  <c r="J310" i="6"/>
  <c r="H310" i="6"/>
  <c r="I310" i="6"/>
  <c r="J71" i="6"/>
  <c r="H71" i="6"/>
  <c r="I71" i="6"/>
  <c r="J385" i="6"/>
  <c r="I385" i="6"/>
  <c r="H385" i="6"/>
  <c r="J568" i="6"/>
  <c r="H568" i="6"/>
  <c r="I568" i="6"/>
  <c r="J457" i="6"/>
  <c r="H457" i="6"/>
  <c r="I457" i="6"/>
  <c r="J518" i="6"/>
  <c r="I518" i="6"/>
  <c r="H518" i="6"/>
  <c r="H22" i="6"/>
  <c r="I22" i="6"/>
  <c r="J22" i="6"/>
  <c r="J434" i="6"/>
  <c r="H434" i="6"/>
  <c r="I434" i="6"/>
  <c r="J303" i="6"/>
  <c r="I303" i="6"/>
  <c r="H303" i="6"/>
  <c r="J289" i="6"/>
  <c r="I289" i="6"/>
  <c r="H289" i="6"/>
  <c r="J464" i="6"/>
  <c r="H464" i="6"/>
  <c r="I464" i="6"/>
  <c r="J48" i="6"/>
  <c r="H48" i="6"/>
  <c r="I48" i="6"/>
  <c r="J309" i="6"/>
  <c r="I309" i="6"/>
  <c r="H309" i="6"/>
  <c r="J117" i="6"/>
  <c r="H117" i="6"/>
  <c r="I117" i="6"/>
  <c r="H404" i="6"/>
  <c r="I404" i="6"/>
  <c r="J404" i="6"/>
  <c r="J212" i="6"/>
  <c r="I212" i="6"/>
  <c r="H212" i="6"/>
  <c r="J20" i="6"/>
  <c r="H20" i="6"/>
  <c r="I20" i="6"/>
  <c r="J315" i="6"/>
  <c r="I315" i="6"/>
  <c r="H315" i="6"/>
  <c r="J123" i="6"/>
  <c r="H123" i="6"/>
  <c r="I123" i="6"/>
  <c r="H62" i="4"/>
  <c r="G62" i="4"/>
  <c r="J122" i="6"/>
  <c r="I122" i="6"/>
  <c r="H122" i="6"/>
  <c r="G62" i="5"/>
  <c r="H62" i="5"/>
  <c r="G329" i="4"/>
  <c r="H329" i="4"/>
  <c r="G279" i="4"/>
  <c r="H279" i="4"/>
  <c r="H426" i="4"/>
  <c r="G426" i="4"/>
  <c r="H284" i="4"/>
  <c r="G284" i="4"/>
  <c r="H496" i="4"/>
  <c r="G496" i="4"/>
  <c r="G199" i="4"/>
  <c r="H199" i="4"/>
  <c r="J506" i="6"/>
  <c r="I506" i="6"/>
  <c r="H506" i="6"/>
  <c r="J552" i="6"/>
  <c r="I552" i="6"/>
  <c r="H552" i="6"/>
  <c r="J564" i="6"/>
  <c r="I564" i="6"/>
  <c r="H564" i="6"/>
  <c r="J384" i="6"/>
  <c r="I384" i="6"/>
  <c r="H384" i="6"/>
  <c r="J258" i="6"/>
  <c r="H258" i="6"/>
  <c r="I258" i="6"/>
  <c r="J128" i="6"/>
  <c r="H128" i="6"/>
  <c r="I128" i="6"/>
  <c r="J354" i="6"/>
  <c r="I354" i="6"/>
  <c r="H354" i="6"/>
  <c r="J546" i="6"/>
  <c r="I546" i="6"/>
  <c r="H546" i="6"/>
  <c r="J426" i="6"/>
  <c r="H426" i="6"/>
  <c r="I426" i="6"/>
  <c r="J510" i="6"/>
  <c r="H510" i="6"/>
  <c r="I510" i="6"/>
  <c r="H80" i="6"/>
  <c r="J80" i="6"/>
  <c r="I80" i="6"/>
  <c r="J424" i="6"/>
  <c r="H424" i="6"/>
  <c r="I424" i="6"/>
  <c r="J279" i="6"/>
  <c r="H279" i="6"/>
  <c r="I279" i="6"/>
  <c r="J265" i="6"/>
  <c r="I265" i="6"/>
  <c r="H265" i="6"/>
  <c r="J454" i="6"/>
  <c r="H454" i="6"/>
  <c r="I454" i="6"/>
  <c r="J24" i="6"/>
  <c r="I24" i="6"/>
  <c r="H24" i="6"/>
  <c r="J301" i="6"/>
  <c r="H301" i="6"/>
  <c r="I301" i="6"/>
  <c r="J109" i="6"/>
  <c r="H109" i="6"/>
  <c r="I109" i="6"/>
  <c r="J396" i="6"/>
  <c r="H396" i="6"/>
  <c r="I396" i="6"/>
  <c r="J204" i="6"/>
  <c r="H204" i="6"/>
  <c r="I204" i="6"/>
  <c r="J12" i="6"/>
  <c r="I12" i="6"/>
  <c r="H12" i="6"/>
  <c r="J307" i="6"/>
  <c r="H307" i="6"/>
  <c r="I307" i="6"/>
  <c r="J115" i="6"/>
  <c r="H115" i="6"/>
  <c r="I115" i="6"/>
  <c r="J498" i="6"/>
  <c r="I498" i="6"/>
  <c r="H498" i="6"/>
  <c r="J286" i="6"/>
  <c r="I286" i="6"/>
  <c r="H286" i="6"/>
  <c r="G78" i="5"/>
  <c r="H78" i="5"/>
  <c r="G311" i="4"/>
  <c r="H311" i="4"/>
  <c r="H342" i="4"/>
  <c r="G342" i="4"/>
  <c r="J517" i="6"/>
  <c r="I517" i="6"/>
  <c r="H517" i="6"/>
  <c r="J343" i="6"/>
  <c r="H343" i="6"/>
  <c r="I343" i="6"/>
  <c r="J361" i="6"/>
  <c r="H361" i="6"/>
  <c r="I361" i="6"/>
  <c r="J62" i="6"/>
  <c r="H62" i="6"/>
  <c r="I62" i="6"/>
  <c r="J306" i="6"/>
  <c r="I306" i="6"/>
  <c r="H306" i="6"/>
  <c r="J523" i="6"/>
  <c r="H523" i="6"/>
  <c r="I523" i="6"/>
  <c r="J366" i="6"/>
  <c r="I366" i="6"/>
  <c r="H366" i="6"/>
  <c r="J502" i="6"/>
  <c r="I502" i="6"/>
  <c r="H502" i="6"/>
  <c r="J56" i="6"/>
  <c r="I56" i="6"/>
  <c r="H56" i="6"/>
  <c r="J414" i="6"/>
  <c r="I414" i="6"/>
  <c r="H414" i="6"/>
  <c r="J255" i="6"/>
  <c r="H255" i="6"/>
  <c r="I255" i="6"/>
  <c r="J241" i="6"/>
  <c r="H241" i="6"/>
  <c r="I241" i="6"/>
  <c r="J442" i="6"/>
  <c r="H442" i="6"/>
  <c r="I442" i="6"/>
  <c r="J485" i="6"/>
  <c r="I485" i="6"/>
  <c r="H485" i="6"/>
  <c r="J293" i="6"/>
  <c r="H293" i="6"/>
  <c r="I293" i="6"/>
  <c r="J101" i="6"/>
  <c r="I101" i="6"/>
  <c r="H101" i="6"/>
  <c r="J388" i="6"/>
  <c r="I388" i="6"/>
  <c r="H388" i="6"/>
  <c r="J196" i="6"/>
  <c r="H196" i="6"/>
  <c r="I196" i="6"/>
  <c r="J491" i="6"/>
  <c r="H491" i="6"/>
  <c r="I491" i="6"/>
  <c r="J299" i="6"/>
  <c r="I299" i="6"/>
  <c r="H299" i="6"/>
  <c r="J107" i="6"/>
  <c r="H107" i="6"/>
  <c r="I107" i="6"/>
  <c r="H273" i="4"/>
  <c r="G273" i="4"/>
  <c r="J268" i="6"/>
  <c r="I268" i="6"/>
  <c r="H268" i="6"/>
  <c r="G162" i="4"/>
  <c r="H162" i="4"/>
  <c r="G364" i="4"/>
  <c r="H364" i="4"/>
  <c r="G540" i="4"/>
  <c r="H540" i="4"/>
  <c r="H407" i="6"/>
  <c r="I407" i="6"/>
  <c r="J407" i="6"/>
  <c r="J508" i="6"/>
  <c r="H508" i="6"/>
  <c r="I508" i="6"/>
  <c r="G228" i="4"/>
  <c r="H228" i="4"/>
  <c r="J163" i="6"/>
  <c r="H163" i="6"/>
  <c r="I163" i="6"/>
  <c r="H59" i="5"/>
  <c r="G59" i="5"/>
  <c r="G484" i="4"/>
  <c r="H484" i="4"/>
  <c r="G44" i="4"/>
  <c r="H44" i="4"/>
  <c r="H55" i="4"/>
  <c r="G55" i="4"/>
  <c r="G551" i="4"/>
  <c r="H551" i="4"/>
  <c r="G37" i="5"/>
  <c r="H37" i="5"/>
  <c r="J37" i="5"/>
  <c r="G237" i="4"/>
  <c r="H237" i="4"/>
  <c r="H501" i="4"/>
  <c r="G501" i="4"/>
  <c r="G87" i="4"/>
  <c r="H87" i="4"/>
  <c r="G123" i="4"/>
  <c r="H123" i="4"/>
  <c r="G417" i="4"/>
  <c r="H417" i="4"/>
  <c r="G362" i="4"/>
  <c r="H362" i="4"/>
  <c r="G61" i="5"/>
  <c r="H61" i="5"/>
  <c r="G388" i="4"/>
  <c r="H388" i="4"/>
  <c r="H92" i="4"/>
  <c r="G92" i="4"/>
  <c r="G522" i="4"/>
  <c r="H522" i="4"/>
  <c r="G169" i="4"/>
  <c r="H169" i="4"/>
  <c r="G432" i="4"/>
  <c r="H432" i="4"/>
  <c r="J432" i="4"/>
  <c r="G14" i="5"/>
  <c r="H14" i="5"/>
  <c r="G39" i="5"/>
  <c r="H39" i="5"/>
  <c r="H64" i="5"/>
  <c r="G64" i="5"/>
  <c r="G82" i="4"/>
  <c r="H82" i="4"/>
  <c r="G560" i="4"/>
  <c r="H560" i="4"/>
  <c r="H330" i="4"/>
  <c r="G330" i="4"/>
  <c r="H365" i="4"/>
  <c r="G365" i="4"/>
  <c r="G274" i="4"/>
  <c r="H274" i="4"/>
  <c r="G32" i="4"/>
  <c r="H32" i="4"/>
  <c r="H378" i="4"/>
  <c r="G378" i="4"/>
  <c r="H256" i="4"/>
  <c r="G256" i="4"/>
  <c r="G564" i="4"/>
  <c r="H564" i="4"/>
  <c r="J564" i="4"/>
  <c r="H48" i="4"/>
  <c r="G48" i="4"/>
  <c r="G168" i="4"/>
  <c r="H168" i="4"/>
  <c r="G18" i="4"/>
  <c r="H18" i="4"/>
  <c r="G84" i="4"/>
  <c r="H84" i="4"/>
  <c r="G173" i="4"/>
  <c r="H173" i="4"/>
  <c r="G358" i="4"/>
  <c r="H358" i="4"/>
  <c r="G36" i="4"/>
  <c r="H36" i="4"/>
  <c r="G49" i="4"/>
  <c r="H49" i="4"/>
  <c r="H441" i="4"/>
  <c r="G441" i="4"/>
  <c r="G83" i="4"/>
  <c r="H83" i="4"/>
  <c r="G414" i="4"/>
  <c r="H414" i="4"/>
  <c r="J329" i="6"/>
  <c r="H329" i="6"/>
  <c r="I329" i="6"/>
  <c r="J232" i="6"/>
  <c r="I232" i="6"/>
  <c r="H232" i="6"/>
  <c r="G23" i="5"/>
  <c r="H23" i="5"/>
  <c r="H55" i="5"/>
  <c r="G55" i="5"/>
  <c r="G9" i="5"/>
  <c r="H9" i="5"/>
  <c r="H473" i="4"/>
  <c r="G473" i="4"/>
  <c r="H99" i="4"/>
  <c r="G99" i="4"/>
  <c r="G275" i="4"/>
  <c r="H275" i="4"/>
  <c r="G179" i="4"/>
  <c r="H179" i="4"/>
  <c r="G482" i="4"/>
  <c r="H482" i="4"/>
  <c r="G158" i="4"/>
  <c r="H158" i="4"/>
  <c r="G277" i="4"/>
  <c r="H277" i="4"/>
  <c r="G157" i="4"/>
  <c r="H157" i="4"/>
  <c r="G142" i="4"/>
  <c r="H142" i="4"/>
  <c r="H77" i="4"/>
  <c r="G77" i="4"/>
  <c r="G359" i="4"/>
  <c r="H359" i="4"/>
  <c r="G37" i="4"/>
  <c r="H37" i="4"/>
  <c r="G152" i="4"/>
  <c r="H152" i="4"/>
  <c r="H197" i="4"/>
  <c r="G197" i="4"/>
  <c r="H266" i="4"/>
  <c r="G266" i="4"/>
  <c r="H386" i="4"/>
  <c r="G386" i="4"/>
  <c r="G512" i="4"/>
  <c r="H512" i="4"/>
  <c r="G171" i="4"/>
  <c r="H171" i="4"/>
  <c r="G133" i="4"/>
  <c r="H133" i="4"/>
  <c r="H297" i="4"/>
  <c r="G297" i="4"/>
  <c r="H487" i="4"/>
  <c r="G487" i="4"/>
  <c r="G65" i="4"/>
  <c r="H65" i="4"/>
  <c r="G399" i="4"/>
  <c r="H399" i="4"/>
  <c r="G517" i="4"/>
  <c r="H517" i="4"/>
  <c r="J353" i="6"/>
  <c r="H353" i="6"/>
  <c r="I353" i="6"/>
  <c r="H481" i="6"/>
  <c r="I481" i="6"/>
  <c r="J481" i="6"/>
  <c r="J214" i="6"/>
  <c r="I214" i="6"/>
  <c r="H214" i="6"/>
  <c r="J287" i="6"/>
  <c r="I287" i="6"/>
  <c r="H287" i="6"/>
  <c r="J129" i="6"/>
  <c r="H129" i="6"/>
  <c r="I129" i="6"/>
  <c r="J112" i="6"/>
  <c r="H112" i="6"/>
  <c r="I112" i="6"/>
  <c r="J223" i="6"/>
  <c r="H223" i="6"/>
  <c r="I223" i="6"/>
  <c r="J512" i="6"/>
  <c r="H512" i="6"/>
  <c r="I512" i="6"/>
  <c r="J335" i="6"/>
  <c r="H335" i="6"/>
  <c r="I335" i="6"/>
  <c r="J494" i="6"/>
  <c r="H494" i="6"/>
  <c r="I494" i="6"/>
  <c r="J32" i="6"/>
  <c r="H32" i="6"/>
  <c r="I32" i="6"/>
  <c r="J402" i="6"/>
  <c r="H402" i="6"/>
  <c r="I402" i="6"/>
  <c r="J231" i="6"/>
  <c r="I231" i="6"/>
  <c r="H231" i="6"/>
  <c r="J217" i="6"/>
  <c r="H217" i="6"/>
  <c r="I217" i="6"/>
  <c r="J432" i="6"/>
  <c r="I432" i="6"/>
  <c r="H432" i="6"/>
  <c r="H477" i="6"/>
  <c r="J477" i="6"/>
  <c r="I477" i="6"/>
  <c r="J285" i="6"/>
  <c r="H285" i="6"/>
  <c r="I285" i="6"/>
  <c r="J93" i="6"/>
  <c r="H93" i="6"/>
  <c r="I93" i="6"/>
  <c r="J380" i="6"/>
  <c r="H380" i="6"/>
  <c r="I380" i="6"/>
  <c r="J188" i="6"/>
  <c r="I188" i="6"/>
  <c r="H188" i="6"/>
  <c r="J483" i="6"/>
  <c r="H483" i="6"/>
  <c r="I483" i="6"/>
  <c r="J291" i="6"/>
  <c r="H291" i="6"/>
  <c r="I291" i="6"/>
  <c r="J99" i="6"/>
  <c r="H99" i="6"/>
  <c r="I99" i="6"/>
  <c r="J165" i="6"/>
  <c r="I165" i="6"/>
  <c r="H165" i="6"/>
  <c r="G304" i="4"/>
  <c r="H304" i="4"/>
  <c r="J326" i="6"/>
  <c r="H326" i="6"/>
  <c r="I326" i="6"/>
  <c r="J94" i="6"/>
  <c r="H94" i="6"/>
  <c r="I94" i="6"/>
  <c r="H153" i="6"/>
  <c r="I153" i="6"/>
  <c r="J153" i="6"/>
  <c r="J500" i="6"/>
  <c r="I500" i="6"/>
  <c r="H500" i="6"/>
  <c r="J270" i="6"/>
  <c r="H270" i="6"/>
  <c r="I270" i="6"/>
  <c r="J322" i="6"/>
  <c r="H322" i="6"/>
  <c r="I322" i="6"/>
  <c r="J66" i="6"/>
  <c r="H66" i="6"/>
  <c r="I66" i="6"/>
  <c r="J392" i="6"/>
  <c r="I392" i="6"/>
  <c r="H392" i="6"/>
  <c r="J207" i="6"/>
  <c r="I207" i="6"/>
  <c r="H207" i="6"/>
  <c r="J193" i="6"/>
  <c r="H193" i="6"/>
  <c r="I193" i="6"/>
  <c r="J422" i="6"/>
  <c r="H422" i="6"/>
  <c r="I422" i="6"/>
  <c r="J469" i="6"/>
  <c r="H469" i="6"/>
  <c r="I469" i="6"/>
  <c r="J277" i="6"/>
  <c r="H277" i="6"/>
  <c r="I277" i="6"/>
  <c r="J85" i="6"/>
  <c r="H85" i="6"/>
  <c r="I85" i="6"/>
  <c r="J372" i="6"/>
  <c r="H372" i="6"/>
  <c r="I372" i="6"/>
  <c r="J180" i="6"/>
  <c r="H180" i="6"/>
  <c r="I180" i="6"/>
  <c r="J475" i="6"/>
  <c r="H475" i="6"/>
  <c r="I475" i="6"/>
  <c r="J283" i="6"/>
  <c r="H283" i="6"/>
  <c r="I283" i="6"/>
  <c r="J91" i="6"/>
  <c r="I91" i="6"/>
  <c r="H91" i="6"/>
  <c r="G267" i="4"/>
  <c r="H267" i="4"/>
  <c r="J371" i="6"/>
  <c r="H371" i="6"/>
  <c r="I371" i="6"/>
  <c r="G545" i="4"/>
  <c r="H545" i="4"/>
  <c r="H251" i="4"/>
  <c r="G251" i="4"/>
  <c r="G489" i="4"/>
  <c r="H489" i="4"/>
  <c r="H565" i="6"/>
  <c r="I565" i="6"/>
  <c r="J565" i="6"/>
  <c r="G464" i="4"/>
  <c r="H464" i="4"/>
  <c r="J375" i="6"/>
  <c r="H375" i="6"/>
  <c r="I375" i="6"/>
  <c r="J252" i="6"/>
  <c r="H252" i="6"/>
  <c r="I252" i="6"/>
  <c r="G371" i="4"/>
  <c r="H371" i="4"/>
  <c r="G475" i="4"/>
  <c r="H475" i="4"/>
  <c r="J475" i="4"/>
  <c r="H45" i="5"/>
  <c r="G45" i="5"/>
  <c r="H516" i="4"/>
  <c r="G516" i="4"/>
  <c r="H401" i="4"/>
  <c r="G401" i="4"/>
  <c r="H201" i="4"/>
  <c r="G201" i="4"/>
  <c r="G347" i="4"/>
  <c r="H347" i="4"/>
  <c r="G258" i="4"/>
  <c r="H258" i="4"/>
  <c r="H568" i="4"/>
  <c r="G568" i="4"/>
  <c r="G38" i="5"/>
  <c r="H38" i="5"/>
  <c r="G200" i="4"/>
  <c r="H200" i="4"/>
  <c r="G39" i="4"/>
  <c r="H39" i="4"/>
  <c r="G530" i="4"/>
  <c r="H530" i="4"/>
  <c r="G521" i="4"/>
  <c r="H521" i="4"/>
  <c r="J521" i="4"/>
  <c r="G480" i="4"/>
  <c r="H480" i="4"/>
  <c r="G296" i="4"/>
  <c r="H296" i="4"/>
  <c r="J262" i="6"/>
  <c r="I262" i="6"/>
  <c r="H262" i="6"/>
  <c r="G34" i="5"/>
  <c r="H34" i="5"/>
  <c r="G27" i="5"/>
  <c r="H27" i="5"/>
  <c r="G18" i="5"/>
  <c r="H18" i="5"/>
  <c r="G268" i="4"/>
  <c r="H268" i="4"/>
  <c r="H423" i="4"/>
  <c r="G423" i="4"/>
  <c r="G238" i="4"/>
  <c r="H238" i="4"/>
  <c r="G250" i="4"/>
  <c r="H250" i="4"/>
  <c r="G422" i="4"/>
  <c r="H422" i="4"/>
  <c r="G34" i="4"/>
  <c r="H34" i="4"/>
  <c r="H185" i="4"/>
  <c r="G185" i="4"/>
  <c r="H95" i="4"/>
  <c r="G95" i="4"/>
  <c r="G61" i="4"/>
  <c r="H61" i="4"/>
  <c r="G64" i="4"/>
  <c r="H64" i="4"/>
  <c r="H226" i="4"/>
  <c r="G226" i="4"/>
  <c r="H213" i="4"/>
  <c r="G213" i="4"/>
  <c r="H225" i="4"/>
  <c r="G225" i="4"/>
  <c r="H20" i="4"/>
  <c r="G20" i="4"/>
  <c r="G147" i="4"/>
  <c r="H147" i="4"/>
  <c r="G246" i="4"/>
  <c r="H246" i="4"/>
  <c r="H348" i="4"/>
  <c r="G348" i="4"/>
  <c r="G139" i="4"/>
  <c r="H139" i="4"/>
  <c r="G384" i="4"/>
  <c r="H384" i="4"/>
  <c r="G106" i="4"/>
  <c r="H106" i="4"/>
  <c r="H292" i="4"/>
  <c r="G292" i="4"/>
  <c r="G85" i="4"/>
  <c r="H85" i="4"/>
  <c r="H71" i="4"/>
  <c r="G71" i="4"/>
  <c r="I569" i="6"/>
  <c r="J569" i="6"/>
  <c r="H569" i="6"/>
  <c r="J280" i="6"/>
  <c r="H280" i="6"/>
  <c r="I280" i="6"/>
  <c r="J296" i="6"/>
  <c r="I296" i="6"/>
  <c r="H296" i="6"/>
  <c r="J515" i="6"/>
  <c r="H515" i="6"/>
  <c r="I515" i="6"/>
  <c r="J210" i="6"/>
  <c r="H210" i="6"/>
  <c r="I210" i="6"/>
  <c r="J492" i="6"/>
  <c r="I492" i="6"/>
  <c r="H492" i="6"/>
  <c r="J161" i="6"/>
  <c r="H161" i="6"/>
  <c r="I161" i="6"/>
  <c r="J88" i="6"/>
  <c r="H88" i="6"/>
  <c r="I88" i="6"/>
  <c r="H489" i="6"/>
  <c r="I489" i="6"/>
  <c r="J489" i="6"/>
  <c r="J200" i="6"/>
  <c r="I200" i="6"/>
  <c r="H200" i="6"/>
  <c r="J298" i="6"/>
  <c r="I298" i="6"/>
  <c r="H298" i="6"/>
  <c r="J42" i="6"/>
  <c r="H42" i="6"/>
  <c r="I42" i="6"/>
  <c r="J382" i="6"/>
  <c r="I382" i="6"/>
  <c r="H382" i="6"/>
  <c r="J183" i="6"/>
  <c r="I183" i="6"/>
  <c r="H183" i="6"/>
  <c r="J169" i="6"/>
  <c r="H169" i="6"/>
  <c r="I169" i="6"/>
  <c r="J410" i="6"/>
  <c r="H410" i="6"/>
  <c r="I410" i="6"/>
  <c r="J461" i="6"/>
  <c r="H461" i="6"/>
  <c r="I461" i="6"/>
  <c r="J269" i="6"/>
  <c r="I269" i="6"/>
  <c r="H269" i="6"/>
  <c r="J77" i="6"/>
  <c r="H77" i="6"/>
  <c r="I77" i="6"/>
  <c r="J364" i="6"/>
  <c r="H364" i="6"/>
  <c r="I364" i="6"/>
  <c r="J172" i="6"/>
  <c r="H172" i="6"/>
  <c r="I172" i="6"/>
  <c r="J467" i="6"/>
  <c r="H467" i="6"/>
  <c r="I467" i="6"/>
  <c r="J275" i="6"/>
  <c r="I275" i="6"/>
  <c r="H275" i="6"/>
  <c r="J83" i="6"/>
  <c r="I83" i="6"/>
  <c r="H83" i="6"/>
  <c r="G366" i="4"/>
  <c r="H366" i="4"/>
  <c r="G569" i="4"/>
  <c r="H569" i="4"/>
  <c r="J198" i="6"/>
  <c r="I198" i="6"/>
  <c r="H198" i="6"/>
  <c r="J216" i="6"/>
  <c r="H216" i="6"/>
  <c r="I216" i="6"/>
  <c r="H58" i="5"/>
  <c r="G58" i="5"/>
  <c r="G187" i="4"/>
  <c r="H187" i="4"/>
  <c r="H480" i="6"/>
  <c r="I480" i="6"/>
  <c r="J480" i="6"/>
  <c r="J519" i="6"/>
  <c r="I519" i="6"/>
  <c r="H519" i="6"/>
  <c r="H172" i="4"/>
  <c r="G172" i="4"/>
  <c r="J172" i="4"/>
  <c r="H31" i="4"/>
  <c r="G31" i="4"/>
  <c r="J190" i="6"/>
  <c r="I190" i="6"/>
  <c r="H190" i="6"/>
  <c r="J444" i="6"/>
  <c r="H444" i="6"/>
  <c r="I444" i="6"/>
  <c r="G112" i="4"/>
  <c r="H112" i="4"/>
  <c r="H257" i="4"/>
  <c r="G257" i="4"/>
  <c r="G493" i="4"/>
  <c r="H493" i="4"/>
  <c r="J561" i="6"/>
  <c r="I561" i="6"/>
  <c r="H561" i="6"/>
  <c r="H22" i="5"/>
  <c r="G22" i="5"/>
  <c r="H17" i="5"/>
  <c r="G17" i="5"/>
  <c r="G19" i="5"/>
  <c r="H19" i="5"/>
  <c r="H203" i="4"/>
  <c r="G203" i="4"/>
  <c r="H513" i="4"/>
  <c r="G513" i="4"/>
  <c r="G377" i="4"/>
  <c r="H377" i="4"/>
  <c r="G336" i="4"/>
  <c r="H336" i="4"/>
  <c r="G286" i="4"/>
  <c r="H286" i="4"/>
  <c r="G548" i="4"/>
  <c r="H548" i="4"/>
  <c r="H537" i="4"/>
  <c r="G537" i="4"/>
  <c r="G78" i="4"/>
  <c r="H78" i="4"/>
  <c r="G396" i="4"/>
  <c r="H396" i="4"/>
  <c r="G295" i="4"/>
  <c r="H295" i="4"/>
  <c r="G96" i="4"/>
  <c r="H96" i="4"/>
  <c r="H526" i="4"/>
  <c r="G526" i="4"/>
  <c r="H495" i="4"/>
  <c r="G495" i="4"/>
  <c r="H89" i="4"/>
  <c r="G89" i="4"/>
  <c r="H451" i="4"/>
  <c r="G451" i="4"/>
  <c r="G566" i="4"/>
  <c r="H566" i="4"/>
  <c r="G448" i="4"/>
  <c r="H448" i="4"/>
  <c r="G354" i="4"/>
  <c r="H354" i="4"/>
  <c r="G498" i="4"/>
  <c r="H498" i="4"/>
  <c r="H53" i="4"/>
  <c r="G53" i="4"/>
  <c r="G499" i="4"/>
  <c r="H499" i="4"/>
  <c r="G442" i="4"/>
  <c r="H442" i="4"/>
  <c r="G13" i="4"/>
  <c r="H13" i="4"/>
  <c r="J570" i="6"/>
  <c r="H570" i="6"/>
  <c r="I570" i="6"/>
  <c r="J505" i="6"/>
  <c r="I505" i="6"/>
  <c r="H505" i="6"/>
  <c r="J174" i="6"/>
  <c r="H174" i="6"/>
  <c r="I174" i="6"/>
  <c r="J497" i="6"/>
  <c r="I497" i="6"/>
  <c r="H497" i="6"/>
  <c r="J529" i="6"/>
  <c r="H529" i="6"/>
  <c r="I529" i="6"/>
  <c r="J448" i="6"/>
  <c r="H448" i="6"/>
  <c r="I448" i="6"/>
  <c r="J143" i="6"/>
  <c r="H143" i="6"/>
  <c r="I143" i="6"/>
  <c r="J547" i="6"/>
  <c r="I547" i="6"/>
  <c r="H547" i="6"/>
  <c r="J458" i="6"/>
  <c r="H458" i="6"/>
  <c r="I458" i="6"/>
  <c r="J134" i="6"/>
  <c r="I134" i="6"/>
  <c r="H134" i="6"/>
  <c r="J274" i="6"/>
  <c r="H274" i="6"/>
  <c r="I274" i="6"/>
  <c r="J18" i="6"/>
  <c r="H18" i="6"/>
  <c r="I18" i="6"/>
  <c r="J370" i="6"/>
  <c r="H370" i="6"/>
  <c r="I370" i="6"/>
  <c r="J159" i="6"/>
  <c r="I159" i="6"/>
  <c r="H159" i="6"/>
  <c r="J145" i="6"/>
  <c r="H145" i="6"/>
  <c r="I145" i="6"/>
  <c r="J400" i="6"/>
  <c r="H400" i="6"/>
  <c r="I400" i="6"/>
  <c r="J453" i="6"/>
  <c r="H453" i="6"/>
  <c r="I453" i="6"/>
  <c r="J261" i="6"/>
  <c r="I261" i="6"/>
  <c r="H261" i="6"/>
  <c r="J69" i="6"/>
  <c r="H69" i="6"/>
  <c r="I69" i="6"/>
  <c r="J356" i="6"/>
  <c r="I356" i="6"/>
  <c r="H356" i="6"/>
  <c r="J164" i="6"/>
  <c r="I164" i="6"/>
  <c r="H164" i="6"/>
  <c r="J459" i="6"/>
  <c r="H459" i="6"/>
  <c r="I459" i="6"/>
  <c r="J267" i="6"/>
  <c r="I267" i="6"/>
  <c r="H267" i="6"/>
  <c r="J75" i="6"/>
  <c r="I75" i="6"/>
  <c r="H75" i="6"/>
  <c r="H433" i="4"/>
  <c r="G433" i="4"/>
  <c r="H381" i="4"/>
  <c r="G381" i="4"/>
  <c r="J460" i="6"/>
  <c r="H460" i="6"/>
  <c r="I460" i="6"/>
  <c r="G265" i="4"/>
  <c r="H265" i="4"/>
  <c r="H27" i="4"/>
  <c r="G27" i="4"/>
  <c r="J81" i="6"/>
  <c r="I81" i="6"/>
  <c r="H81" i="6"/>
  <c r="G314" i="4"/>
  <c r="H314" i="4"/>
  <c r="J355" i="6"/>
  <c r="H355" i="6"/>
  <c r="I355" i="6"/>
  <c r="G56" i="5"/>
  <c r="H56" i="5"/>
  <c r="G154" i="4"/>
  <c r="H154" i="4"/>
  <c r="G159" i="4"/>
  <c r="H159" i="4"/>
  <c r="H353" i="4"/>
  <c r="G353" i="4"/>
  <c r="J353" i="4"/>
  <c r="G72" i="5"/>
  <c r="H72" i="5"/>
  <c r="G31" i="5"/>
  <c r="H31" i="5"/>
  <c r="G367" i="4"/>
  <c r="H367" i="4"/>
  <c r="G510" i="4"/>
  <c r="H510" i="4"/>
  <c r="G163" i="4"/>
  <c r="H163" i="4"/>
  <c r="G181" i="4"/>
  <c r="H181" i="4"/>
  <c r="G67" i="4"/>
  <c r="H67" i="4"/>
  <c r="H46" i="5"/>
  <c r="G46" i="5"/>
  <c r="G161" i="4"/>
  <c r="H161" i="4"/>
  <c r="H118" i="4"/>
  <c r="G118" i="4"/>
  <c r="G222" i="4"/>
  <c r="H222" i="4"/>
  <c r="H74" i="4"/>
  <c r="G74" i="4"/>
  <c r="J74" i="4"/>
  <c r="G140" i="4"/>
  <c r="H140" i="4"/>
  <c r="G303" i="4"/>
  <c r="H303" i="4"/>
  <c r="G269" i="4"/>
  <c r="H269" i="4"/>
  <c r="H71" i="5"/>
  <c r="G71" i="5"/>
  <c r="G40" i="5"/>
  <c r="H40" i="5"/>
  <c r="G308" i="4"/>
  <c r="H308" i="4"/>
  <c r="G22" i="4"/>
  <c r="H22" i="4"/>
  <c r="G346" i="4"/>
  <c r="H346" i="4"/>
  <c r="G505" i="4"/>
  <c r="H505" i="4"/>
  <c r="G332" i="4"/>
  <c r="H332" i="4"/>
  <c r="G527" i="4"/>
  <c r="H527" i="4"/>
  <c r="H405" i="4"/>
  <c r="G405" i="4"/>
  <c r="J405" i="4"/>
  <c r="G132" i="4"/>
  <c r="H132" i="4"/>
  <c r="G59" i="4"/>
  <c r="H59" i="4"/>
  <c r="G294" i="4"/>
  <c r="H294" i="4"/>
  <c r="H393" i="4"/>
  <c r="G393" i="4"/>
  <c r="G331" i="4"/>
  <c r="H331" i="4"/>
  <c r="G234" i="4"/>
  <c r="H234" i="4"/>
  <c r="G219" i="4"/>
  <c r="H219" i="4"/>
  <c r="G63" i="4"/>
  <c r="H63" i="4"/>
  <c r="I305" i="6"/>
  <c r="J305" i="6"/>
  <c r="H305" i="6"/>
  <c r="J162" i="6"/>
  <c r="I162" i="6"/>
  <c r="H162" i="6"/>
  <c r="H50" i="5"/>
  <c r="G50" i="5"/>
  <c r="J50" i="5"/>
  <c r="H73" i="5"/>
  <c r="G73" i="5"/>
  <c r="G10" i="5"/>
  <c r="H10" i="5"/>
  <c r="G529" i="4"/>
  <c r="H529" i="4"/>
  <c r="G542" i="4"/>
  <c r="H542" i="4"/>
  <c r="G216" i="4"/>
  <c r="H216" i="4"/>
  <c r="G476" i="4"/>
  <c r="H476" i="4"/>
  <c r="G467" i="4"/>
  <c r="H467" i="4"/>
  <c r="G462" i="4"/>
  <c r="H462" i="4"/>
  <c r="G184" i="4"/>
  <c r="H184" i="4"/>
  <c r="G293" i="4"/>
  <c r="H293" i="4"/>
  <c r="G421" i="4"/>
  <c r="H421" i="4"/>
  <c r="G531" i="4"/>
  <c r="H531" i="4"/>
  <c r="H403" i="4"/>
  <c r="G403" i="4"/>
  <c r="G469" i="4"/>
  <c r="H469" i="4"/>
  <c r="G394" i="4"/>
  <c r="H394" i="4"/>
  <c r="G144" i="4"/>
  <c r="H144" i="4"/>
  <c r="H283" i="4"/>
  <c r="G283" i="4"/>
  <c r="H504" i="4"/>
  <c r="G504" i="4"/>
  <c r="G485" i="4"/>
  <c r="H485" i="4"/>
  <c r="G56" i="4"/>
  <c r="H56" i="4"/>
  <c r="G46" i="4"/>
  <c r="H46" i="4"/>
  <c r="G94" i="4"/>
  <c r="H94" i="4"/>
  <c r="G202" i="4"/>
  <c r="H202" i="4"/>
  <c r="H508" i="4"/>
  <c r="G508" i="4"/>
  <c r="J508" i="4"/>
  <c r="G398" i="4"/>
  <c r="H398" i="4"/>
  <c r="J463" i="6"/>
  <c r="I463" i="6"/>
  <c r="H463" i="6"/>
  <c r="I482" i="6"/>
  <c r="H482" i="6"/>
  <c r="J482" i="6"/>
  <c r="J95" i="6"/>
  <c r="H95" i="6"/>
  <c r="I95" i="6"/>
  <c r="H479" i="6"/>
  <c r="J479" i="6"/>
  <c r="I479" i="6"/>
  <c r="H472" i="6"/>
  <c r="J472" i="6"/>
  <c r="I472" i="6"/>
  <c r="J281" i="6"/>
  <c r="H281" i="6"/>
  <c r="I281" i="6"/>
  <c r="J127" i="6"/>
  <c r="I127" i="6"/>
  <c r="H127" i="6"/>
  <c r="J536" i="6"/>
  <c r="H536" i="6"/>
  <c r="I536" i="6"/>
  <c r="J398" i="6"/>
  <c r="H398" i="6"/>
  <c r="I398" i="6"/>
  <c r="J555" i="6"/>
  <c r="H555" i="6"/>
  <c r="I555" i="6"/>
  <c r="J250" i="6"/>
  <c r="I250" i="6"/>
  <c r="H250" i="6"/>
  <c r="J79" i="6"/>
  <c r="H79" i="6"/>
  <c r="I79" i="6"/>
  <c r="H360" i="6"/>
  <c r="I360" i="6"/>
  <c r="J360" i="6"/>
  <c r="J135" i="6"/>
  <c r="I135" i="6"/>
  <c r="H135" i="6"/>
  <c r="J121" i="6"/>
  <c r="H121" i="6"/>
  <c r="I121" i="6"/>
  <c r="J390" i="6"/>
  <c r="H390" i="6"/>
  <c r="I390" i="6"/>
  <c r="H445" i="6"/>
  <c r="J445" i="6"/>
  <c r="I445" i="6"/>
  <c r="J253" i="6"/>
  <c r="H253" i="6"/>
  <c r="I253" i="6"/>
  <c r="J61" i="6"/>
  <c r="I61" i="6"/>
  <c r="H61" i="6"/>
  <c r="J348" i="6"/>
  <c r="H348" i="6"/>
  <c r="I348" i="6"/>
  <c r="J156" i="6"/>
  <c r="I156" i="6"/>
  <c r="H156" i="6"/>
  <c r="J451" i="6"/>
  <c r="I451" i="6"/>
  <c r="H451" i="6"/>
  <c r="J259" i="6"/>
  <c r="I259" i="6"/>
  <c r="H259" i="6"/>
  <c r="J67" i="6"/>
  <c r="I67" i="6"/>
  <c r="H67" i="6"/>
  <c r="J59" i="6"/>
  <c r="I59" i="6"/>
  <c r="H59" i="6"/>
  <c r="G77" i="5"/>
  <c r="H77" i="5"/>
  <c r="G440" i="4"/>
  <c r="H440" i="4"/>
  <c r="G252" i="4"/>
  <c r="H252" i="4"/>
  <c r="G429" i="4"/>
  <c r="H429" i="4"/>
  <c r="J394" i="6"/>
  <c r="H394" i="6"/>
  <c r="I394" i="6"/>
  <c r="J230" i="6"/>
  <c r="I230" i="6"/>
  <c r="H230" i="6"/>
  <c r="J166" i="6"/>
  <c r="I166" i="6"/>
  <c r="H166" i="6"/>
  <c r="J146" i="6"/>
  <c r="H146" i="6"/>
  <c r="I146" i="6"/>
  <c r="G29" i="5"/>
  <c r="H29" i="5"/>
  <c r="G430" i="4"/>
  <c r="H430" i="4"/>
  <c r="J357" i="6"/>
  <c r="H357" i="6"/>
  <c r="I357" i="6"/>
  <c r="G424" i="4"/>
  <c r="H424" i="4"/>
  <c r="G120" i="4"/>
  <c r="H120" i="4"/>
  <c r="J120" i="4"/>
  <c r="H553" i="6"/>
  <c r="I553" i="6"/>
  <c r="J553" i="6"/>
  <c r="J488" i="6"/>
  <c r="I488" i="6"/>
  <c r="H488" i="6"/>
  <c r="G20" i="5"/>
  <c r="H20" i="5"/>
  <c r="G13" i="5"/>
  <c r="H13" i="5"/>
  <c r="H60" i="5"/>
  <c r="G60" i="5"/>
  <c r="J60" i="5"/>
  <c r="H235" i="4"/>
  <c r="G235" i="4"/>
  <c r="G323" i="4"/>
  <c r="H323" i="4"/>
  <c r="H196" i="4"/>
  <c r="G196" i="4"/>
  <c r="H138" i="4"/>
  <c r="G138" i="4"/>
  <c r="H52" i="4"/>
  <c r="G52" i="4"/>
  <c r="G327" i="4"/>
  <c r="H327" i="4"/>
  <c r="J327" i="4"/>
  <c r="G553" i="4"/>
  <c r="H553" i="4"/>
  <c r="G567" i="4"/>
  <c r="H567" i="4"/>
  <c r="G395" i="4"/>
  <c r="H395" i="4"/>
  <c r="G110" i="4"/>
  <c r="H110" i="4"/>
  <c r="G524" i="4"/>
  <c r="H524" i="4"/>
  <c r="G454" i="4"/>
  <c r="H454" i="4"/>
  <c r="G193" i="4"/>
  <c r="H193" i="4"/>
  <c r="G90" i="4"/>
  <c r="H90" i="4"/>
  <c r="H149" i="4"/>
  <c r="G149" i="4"/>
  <c r="G404" i="4"/>
  <c r="H404" i="4"/>
  <c r="G178" i="4"/>
  <c r="H178" i="4"/>
  <c r="H324" i="4"/>
  <c r="G324" i="4"/>
  <c r="G455" i="4"/>
  <c r="H455" i="4"/>
  <c r="G410" i="4"/>
  <c r="H410" i="4"/>
  <c r="G30" i="4"/>
  <c r="H30" i="4"/>
  <c r="H134" i="4"/>
  <c r="G134" i="4"/>
  <c r="G411" i="4"/>
  <c r="H411" i="4"/>
  <c r="J441" i="6"/>
  <c r="H441" i="6"/>
  <c r="I441" i="6"/>
  <c r="J374" i="6"/>
  <c r="H374" i="6"/>
  <c r="I374" i="6"/>
  <c r="J415" i="6"/>
  <c r="H415" i="6"/>
  <c r="I415" i="6"/>
  <c r="J386" i="6"/>
  <c r="H386" i="6"/>
  <c r="I386" i="6"/>
  <c r="J406" i="6"/>
  <c r="I406" i="6"/>
  <c r="H406" i="6"/>
  <c r="J560" i="6"/>
  <c r="I560" i="6"/>
  <c r="H560" i="6"/>
  <c r="J110" i="6"/>
  <c r="I110" i="6"/>
  <c r="H110" i="6"/>
  <c r="J524" i="6"/>
  <c r="I524" i="6"/>
  <c r="H524" i="6"/>
  <c r="J367" i="6"/>
  <c r="I367" i="6"/>
  <c r="H367" i="6"/>
  <c r="J544" i="6"/>
  <c r="H544" i="6"/>
  <c r="I544" i="6"/>
  <c r="J226" i="6"/>
  <c r="I226" i="6"/>
  <c r="H226" i="6"/>
  <c r="J55" i="6"/>
  <c r="I55" i="6"/>
  <c r="H55" i="6"/>
  <c r="J350" i="6"/>
  <c r="H350" i="6"/>
  <c r="I350" i="6"/>
  <c r="J111" i="6"/>
  <c r="H111" i="6"/>
  <c r="I111" i="6"/>
  <c r="J97" i="6"/>
  <c r="H97" i="6"/>
  <c r="I97" i="6"/>
  <c r="J378" i="6"/>
  <c r="I378" i="6"/>
  <c r="H378" i="6"/>
  <c r="J437" i="6"/>
  <c r="I437" i="6"/>
  <c r="H437" i="6"/>
  <c r="J245" i="6"/>
  <c r="H245" i="6"/>
  <c r="I245" i="6"/>
  <c r="J53" i="6"/>
  <c r="I53" i="6"/>
  <c r="H53" i="6"/>
  <c r="J340" i="6"/>
  <c r="I340" i="6"/>
  <c r="H340" i="6"/>
  <c r="J148" i="6"/>
  <c r="I148" i="6"/>
  <c r="H148" i="6"/>
  <c r="J443" i="6"/>
  <c r="I443" i="6"/>
  <c r="H443" i="6"/>
  <c r="J251" i="6"/>
  <c r="I251" i="6"/>
  <c r="H251" i="6"/>
  <c r="G21" i="5"/>
  <c r="H21" i="5"/>
  <c r="G70" i="5"/>
  <c r="H70" i="5"/>
  <c r="H33" i="5"/>
  <c r="G33" i="5"/>
  <c r="G506" i="4"/>
  <c r="H506" i="4"/>
  <c r="G298" i="4"/>
  <c r="H298" i="4"/>
  <c r="G431" i="4"/>
  <c r="H431" i="4"/>
  <c r="H434" i="4"/>
  <c r="G434" i="4"/>
  <c r="H148" i="4"/>
  <c r="G148" i="4"/>
  <c r="H472" i="4"/>
  <c r="G472" i="4"/>
  <c r="G340" i="4"/>
  <c r="H340" i="4"/>
  <c r="H291" i="4"/>
  <c r="G291" i="4"/>
  <c r="H224" i="4"/>
  <c r="G224" i="4"/>
  <c r="G518" i="4"/>
  <c r="H518" i="4"/>
  <c r="G141" i="4"/>
  <c r="H141" i="4"/>
  <c r="G349" i="4"/>
  <c r="H349" i="4"/>
  <c r="G215" i="4"/>
  <c r="H215" i="4"/>
  <c r="G447" i="4"/>
  <c r="H447" i="4"/>
  <c r="G68" i="4"/>
  <c r="H68" i="4"/>
  <c r="H285" i="4"/>
  <c r="G285" i="4"/>
  <c r="H204" i="4"/>
  <c r="G204" i="4"/>
  <c r="H318" i="4"/>
  <c r="G318" i="4"/>
  <c r="G456" i="4"/>
  <c r="H456" i="4"/>
  <c r="G14" i="4"/>
  <c r="H14" i="4"/>
  <c r="G119" i="4"/>
  <c r="H119" i="4"/>
  <c r="G174" i="4"/>
  <c r="H174" i="4"/>
  <c r="G54" i="4"/>
  <c r="H54" i="4"/>
  <c r="J278" i="6"/>
  <c r="I278" i="6"/>
  <c r="H278" i="6"/>
  <c r="J328" i="6"/>
  <c r="I328" i="6"/>
  <c r="H328" i="6"/>
  <c r="J222" i="6"/>
  <c r="H222" i="6"/>
  <c r="I222" i="6"/>
  <c r="I362" i="6"/>
  <c r="J362" i="6"/>
  <c r="H362" i="6"/>
  <c r="J311" i="6"/>
  <c r="I311" i="6"/>
  <c r="H311" i="6"/>
  <c r="J525" i="6"/>
  <c r="H525" i="6"/>
  <c r="I525" i="6"/>
  <c r="J160" i="6"/>
  <c r="I160" i="6"/>
  <c r="H160" i="6"/>
  <c r="J501" i="6"/>
  <c r="I501" i="6"/>
  <c r="H501" i="6"/>
  <c r="J271" i="6"/>
  <c r="I271" i="6"/>
  <c r="H271" i="6"/>
  <c r="J532" i="6"/>
  <c r="H532" i="6"/>
  <c r="I532" i="6"/>
  <c r="J202" i="6"/>
  <c r="H202" i="6"/>
  <c r="I202" i="6"/>
  <c r="J31" i="6"/>
  <c r="H31" i="6"/>
  <c r="I31" i="6"/>
  <c r="J338" i="6"/>
  <c r="I338" i="6"/>
  <c r="H338" i="6"/>
  <c r="J87" i="6"/>
  <c r="H87" i="6"/>
  <c r="I87" i="6"/>
  <c r="J73" i="6"/>
  <c r="H73" i="6"/>
  <c r="I73" i="6"/>
  <c r="J368" i="6"/>
  <c r="H368" i="6"/>
  <c r="I368" i="6"/>
  <c r="J429" i="6"/>
  <c r="H429" i="6"/>
  <c r="I429" i="6"/>
  <c r="J237" i="6"/>
  <c r="H237" i="6"/>
  <c r="I237" i="6"/>
  <c r="J45" i="6"/>
  <c r="I45" i="6"/>
  <c r="H45" i="6"/>
  <c r="J332" i="6"/>
  <c r="H332" i="6"/>
  <c r="I332" i="6"/>
  <c r="J140" i="6"/>
  <c r="I140" i="6"/>
  <c r="H140" i="6"/>
  <c r="J435" i="6"/>
  <c r="I435" i="6"/>
  <c r="H435" i="6"/>
  <c r="J243" i="6"/>
  <c r="I243" i="6"/>
  <c r="H243" i="6"/>
  <c r="J51" i="6"/>
  <c r="H51" i="6"/>
  <c r="I51" i="6"/>
  <c r="J68" i="6"/>
  <c r="H68" i="6"/>
  <c r="I68" i="6"/>
  <c r="H104" i="4"/>
  <c r="G104" i="4"/>
  <c r="H374" i="4"/>
  <c r="G374" i="4"/>
  <c r="G177" i="4"/>
  <c r="H177" i="4"/>
  <c r="G75" i="4"/>
  <c r="H75" i="4"/>
  <c r="G449" i="4"/>
  <c r="H449" i="4"/>
  <c r="J449" i="4"/>
  <c r="H164" i="4"/>
  <c r="G164" i="4"/>
  <c r="G390" i="4"/>
  <c r="H390" i="4"/>
  <c r="G407" i="4"/>
  <c r="H407" i="4"/>
  <c r="G11" i="4"/>
  <c r="H11" i="4"/>
  <c r="G127" i="4"/>
  <c r="H127" i="4"/>
  <c r="G239" i="4"/>
  <c r="H239" i="4"/>
  <c r="J254" i="6"/>
  <c r="H254" i="6"/>
  <c r="I254" i="6"/>
  <c r="J297" i="6"/>
  <c r="H297" i="6"/>
  <c r="I297" i="6"/>
  <c r="J533" i="6"/>
  <c r="I533" i="6"/>
  <c r="H533" i="6"/>
  <c r="I294" i="6"/>
  <c r="H294" i="6"/>
  <c r="J294" i="6"/>
  <c r="J185" i="6"/>
  <c r="H185" i="6"/>
  <c r="I185" i="6"/>
  <c r="J507" i="6"/>
  <c r="I507" i="6"/>
  <c r="H507" i="6"/>
  <c r="J142" i="6"/>
  <c r="H142" i="6"/>
  <c r="I142" i="6"/>
  <c r="I490" i="6"/>
  <c r="J490" i="6"/>
  <c r="H490" i="6"/>
  <c r="J201" i="6"/>
  <c r="H201" i="6"/>
  <c r="I201" i="6"/>
  <c r="J509" i="6"/>
  <c r="H509" i="6"/>
  <c r="I509" i="6"/>
  <c r="J178" i="6"/>
  <c r="I178" i="6"/>
  <c r="H178" i="6"/>
  <c r="J65" i="6"/>
  <c r="I65" i="6"/>
  <c r="H65" i="6"/>
  <c r="J314" i="6"/>
  <c r="H314" i="6"/>
  <c r="I314" i="6"/>
  <c r="J63" i="6"/>
  <c r="I63" i="6"/>
  <c r="H63" i="6"/>
  <c r="J49" i="6"/>
  <c r="H49" i="6"/>
  <c r="I49" i="6"/>
  <c r="J358" i="6"/>
  <c r="H358" i="6"/>
  <c r="I358" i="6"/>
  <c r="J421" i="6"/>
  <c r="H421" i="6"/>
  <c r="I421" i="6"/>
  <c r="J229" i="6"/>
  <c r="H229" i="6"/>
  <c r="I229" i="6"/>
  <c r="J37" i="6"/>
  <c r="H37" i="6"/>
  <c r="I37" i="6"/>
  <c r="J43" i="6"/>
  <c r="H43" i="6"/>
  <c r="I43" i="6"/>
  <c r="H66" i="5"/>
  <c r="G66" i="5"/>
  <c r="H21" i="4"/>
  <c r="G21" i="4"/>
  <c r="G223" i="4"/>
  <c r="H223" i="4"/>
  <c r="J138" i="6"/>
  <c r="I138" i="6"/>
  <c r="H138" i="6"/>
  <c r="J423" i="6"/>
  <c r="I423" i="6"/>
  <c r="H423" i="6"/>
  <c r="H25" i="4"/>
  <c r="G25" i="4"/>
  <c r="J199" i="6"/>
  <c r="I199" i="6"/>
  <c r="H199" i="6"/>
  <c r="H452" i="6"/>
  <c r="I452" i="6"/>
  <c r="J452" i="6"/>
  <c r="G191" i="4"/>
  <c r="H191" i="4"/>
  <c r="G500" i="4"/>
  <c r="H500" i="4"/>
  <c r="J500" i="4"/>
  <c r="H136" i="4"/>
  <c r="G136" i="4"/>
  <c r="J351" i="6"/>
  <c r="I351" i="6"/>
  <c r="H351" i="6"/>
  <c r="J57" i="6"/>
  <c r="I57" i="6"/>
  <c r="H57" i="6"/>
  <c r="H511" i="6"/>
  <c r="I511" i="6"/>
  <c r="J511" i="6"/>
  <c r="G207" i="4"/>
  <c r="H207" i="4"/>
  <c r="G427" i="4"/>
  <c r="H427" i="4"/>
  <c r="G150" i="4"/>
  <c r="H150" i="4"/>
  <c r="J235" i="6"/>
  <c r="I235" i="6"/>
  <c r="H235" i="6"/>
  <c r="G43" i="5"/>
  <c r="H43" i="5"/>
  <c r="G54" i="5"/>
  <c r="H54" i="5"/>
  <c r="H32" i="5"/>
  <c r="G32" i="5"/>
  <c r="H452" i="4"/>
  <c r="G452" i="4"/>
  <c r="G444" i="4"/>
  <c r="H444" i="4"/>
  <c r="G301" i="4"/>
  <c r="H301" i="4"/>
  <c r="G445" i="4"/>
  <c r="H445" i="4"/>
  <c r="H69" i="4"/>
  <c r="G69" i="4"/>
  <c r="G117" i="4"/>
  <c r="H117" i="4"/>
  <c r="H121" i="4"/>
  <c r="G121" i="4"/>
  <c r="G233" i="4"/>
  <c r="H233" i="4"/>
  <c r="G253" i="4"/>
  <c r="H253" i="4"/>
  <c r="G420" i="4"/>
  <c r="H420" i="4"/>
  <c r="G129" i="4"/>
  <c r="H129" i="4"/>
  <c r="G523" i="4"/>
  <c r="H523" i="4"/>
  <c r="G351" i="4"/>
  <c r="H351" i="4"/>
  <c r="G114" i="4"/>
  <c r="H114" i="4"/>
  <c r="H198" i="4"/>
  <c r="G198" i="4"/>
  <c r="G232" i="4"/>
  <c r="H232" i="4"/>
  <c r="H492" i="4"/>
  <c r="G492" i="4"/>
  <c r="G259" i="4"/>
  <c r="H259" i="4"/>
  <c r="G339" i="4"/>
  <c r="H339" i="4"/>
  <c r="G335" i="4"/>
  <c r="H335" i="4"/>
  <c r="G321" i="4"/>
  <c r="H321" i="4"/>
  <c r="G156" i="4"/>
  <c r="H156" i="4"/>
  <c r="H208" i="4"/>
  <c r="G208" i="4"/>
  <c r="J439" i="6"/>
  <c r="H439" i="6"/>
  <c r="I439" i="6"/>
  <c r="J175" i="6"/>
  <c r="H175" i="6"/>
  <c r="I175" i="6"/>
  <c r="J344" i="6"/>
  <c r="I344" i="6"/>
  <c r="H344" i="6"/>
  <c r="J263" i="6"/>
  <c r="H263" i="6"/>
  <c r="I263" i="6"/>
  <c r="J562" i="6"/>
  <c r="I562" i="6"/>
  <c r="H562" i="6"/>
  <c r="J376" i="6"/>
  <c r="I376" i="6"/>
  <c r="H376" i="6"/>
  <c r="J90" i="6"/>
  <c r="H90" i="6"/>
  <c r="I90" i="6"/>
  <c r="J430" i="6"/>
  <c r="I430" i="6"/>
  <c r="H430" i="6"/>
  <c r="J136" i="6"/>
  <c r="I136" i="6"/>
  <c r="H136" i="6"/>
  <c r="J471" i="6"/>
  <c r="I471" i="6"/>
  <c r="H471" i="6"/>
  <c r="J154" i="6"/>
  <c r="H154" i="6"/>
  <c r="I154" i="6"/>
  <c r="J41" i="6"/>
  <c r="I41" i="6"/>
  <c r="H41" i="6"/>
  <c r="J290" i="6"/>
  <c r="H290" i="6"/>
  <c r="I290" i="6"/>
  <c r="J39" i="6"/>
  <c r="H39" i="6"/>
  <c r="I39" i="6"/>
  <c r="H25" i="6"/>
  <c r="J25" i="6"/>
  <c r="I25" i="6"/>
  <c r="J346" i="6"/>
  <c r="H346" i="6"/>
  <c r="I346" i="6"/>
  <c r="J413" i="6"/>
  <c r="I413" i="6"/>
  <c r="H413" i="6"/>
  <c r="J221" i="6"/>
  <c r="H221" i="6"/>
  <c r="I221" i="6"/>
  <c r="J29" i="6"/>
  <c r="H29" i="6"/>
  <c r="I29" i="6"/>
  <c r="J316" i="6"/>
  <c r="H316" i="6"/>
  <c r="I316" i="6"/>
  <c r="J124" i="6"/>
  <c r="I124" i="6"/>
  <c r="H124" i="6"/>
  <c r="J419" i="6"/>
  <c r="H419" i="6"/>
  <c r="I419" i="6"/>
  <c r="J227" i="6"/>
  <c r="H227" i="6"/>
  <c r="I227" i="6"/>
  <c r="J35" i="6"/>
  <c r="H35" i="6"/>
  <c r="I35" i="6"/>
  <c r="H36" i="5"/>
  <c r="G36" i="5"/>
  <c r="H300" i="4"/>
  <c r="G300" i="4"/>
  <c r="G478" i="4"/>
  <c r="H478" i="4"/>
  <c r="H365" i="6"/>
  <c r="J365" i="6"/>
  <c r="I365" i="6"/>
  <c r="H57" i="5"/>
  <c r="G57" i="5"/>
  <c r="G299" i="4"/>
  <c r="H299" i="4"/>
  <c r="J102" i="6"/>
  <c r="H102" i="6"/>
  <c r="I102" i="6"/>
  <c r="J401" i="6"/>
  <c r="H401" i="6"/>
  <c r="I401" i="6"/>
  <c r="H214" i="4"/>
  <c r="G214" i="4"/>
  <c r="G305" i="4"/>
  <c r="H305" i="4"/>
  <c r="J38" i="6"/>
  <c r="I38" i="6"/>
  <c r="H38" i="6"/>
  <c r="J349" i="6"/>
  <c r="H349" i="6"/>
  <c r="I349" i="6"/>
  <c r="G80" i="5"/>
  <c r="H80" i="5"/>
  <c r="G111" i="4"/>
  <c r="H111" i="4"/>
  <c r="G15" i="4"/>
  <c r="H15" i="4"/>
  <c r="H328" i="4"/>
  <c r="G328" i="4"/>
  <c r="J427" i="6"/>
  <c r="H427" i="6"/>
  <c r="I427" i="6"/>
  <c r="G68" i="5"/>
  <c r="H68" i="5"/>
  <c r="H79" i="5"/>
  <c r="G79" i="5"/>
  <c r="H47" i="5"/>
  <c r="G47" i="5"/>
  <c r="G312" i="4"/>
  <c r="H312" i="4"/>
  <c r="H549" i="4"/>
  <c r="G549" i="4"/>
  <c r="G391" i="4"/>
  <c r="H391" i="4"/>
  <c r="G188" i="4"/>
  <c r="H188" i="4"/>
  <c r="G166" i="4"/>
  <c r="H166" i="4"/>
  <c r="G287" i="4"/>
  <c r="H287" i="4"/>
  <c r="G535" i="4"/>
  <c r="H535" i="4"/>
  <c r="G355" i="4"/>
  <c r="H355" i="4"/>
  <c r="G562" i="4"/>
  <c r="H562" i="4"/>
  <c r="G116" i="4"/>
  <c r="H116" i="4"/>
  <c r="H194" i="4"/>
  <c r="G194" i="4"/>
  <c r="G176" i="4"/>
  <c r="H176" i="4"/>
  <c r="G538" i="4"/>
  <c r="H538" i="4"/>
  <c r="G263" i="4"/>
  <c r="H263" i="4"/>
  <c r="G66" i="4"/>
  <c r="H66" i="4"/>
  <c r="G122" i="4"/>
  <c r="H122" i="4"/>
  <c r="G463" i="4"/>
  <c r="H463" i="4"/>
  <c r="G402" i="4"/>
  <c r="H402" i="4"/>
  <c r="G51" i="4"/>
  <c r="H51" i="4"/>
  <c r="G437" i="4"/>
  <c r="H437" i="4"/>
  <c r="H128" i="4"/>
  <c r="G128" i="4"/>
  <c r="H9" i="4"/>
  <c r="G9" i="4"/>
  <c r="H320" i="4"/>
  <c r="G320" i="4"/>
  <c r="J248" i="6"/>
  <c r="H248" i="6"/>
  <c r="I248" i="6"/>
  <c r="J538" i="6"/>
  <c r="H538" i="6"/>
  <c r="I538" i="6"/>
  <c r="J320" i="6"/>
  <c r="I320" i="6"/>
  <c r="H320" i="6"/>
  <c r="J152" i="6"/>
  <c r="H152" i="6"/>
  <c r="I152" i="6"/>
  <c r="J528" i="6"/>
  <c r="I528" i="6"/>
  <c r="H528" i="6"/>
  <c r="J330" i="6"/>
  <c r="I330" i="6"/>
  <c r="H330" i="6"/>
  <c r="J126" i="6"/>
  <c r="I126" i="6"/>
  <c r="H126" i="6"/>
  <c r="J399" i="6"/>
  <c r="H399" i="6"/>
  <c r="I399" i="6"/>
  <c r="J118" i="6"/>
  <c r="H118" i="6"/>
  <c r="I118" i="6"/>
  <c r="J440" i="6"/>
  <c r="I440" i="6"/>
  <c r="H440" i="6"/>
  <c r="J130" i="6"/>
  <c r="H130" i="6"/>
  <c r="I130" i="6"/>
  <c r="J17" i="6"/>
  <c r="I17" i="6"/>
  <c r="H17" i="6"/>
  <c r="J266" i="6"/>
  <c r="H266" i="6"/>
  <c r="I266" i="6"/>
  <c r="J15" i="6"/>
  <c r="H15" i="6"/>
  <c r="I15" i="6"/>
  <c r="J567" i="6"/>
  <c r="I567" i="6"/>
  <c r="H567" i="6"/>
  <c r="J336" i="6"/>
  <c r="I336" i="6"/>
  <c r="H336" i="6"/>
  <c r="J405" i="6"/>
  <c r="I405" i="6"/>
  <c r="H405" i="6"/>
  <c r="J213" i="6"/>
  <c r="I213" i="6"/>
  <c r="H213" i="6"/>
  <c r="J21" i="6"/>
  <c r="H21" i="6"/>
  <c r="I21" i="6"/>
  <c r="H308" i="6"/>
  <c r="J308" i="6"/>
  <c r="I308" i="6"/>
  <c r="J116" i="6"/>
  <c r="H116" i="6"/>
  <c r="I116" i="6"/>
  <c r="J411" i="6"/>
  <c r="H411" i="6"/>
  <c r="I411" i="6"/>
  <c r="J219" i="6"/>
  <c r="H219" i="6"/>
  <c r="I219" i="6"/>
  <c r="J27" i="6"/>
  <c r="H27" i="6"/>
  <c r="I27" i="6"/>
  <c r="G337" i="4"/>
  <c r="H337" i="4"/>
  <c r="G344" i="4"/>
  <c r="H344" i="4"/>
  <c r="J173" i="6"/>
  <c r="H173" i="6"/>
  <c r="I173" i="6"/>
  <c r="G229" i="4"/>
  <c r="H229" i="4"/>
  <c r="H167" i="4"/>
  <c r="G167" i="4"/>
  <c r="J16" i="6"/>
  <c r="I16" i="6"/>
  <c r="H16" i="6"/>
  <c r="G483" i="4"/>
  <c r="H483" i="4"/>
  <c r="H341" i="4"/>
  <c r="G341" i="4"/>
  <c r="I470" i="6"/>
  <c r="J470" i="6"/>
  <c r="H470" i="6"/>
  <c r="J558" i="6"/>
  <c r="H558" i="6"/>
  <c r="I558" i="6"/>
  <c r="J391" i="6"/>
  <c r="H391" i="6"/>
  <c r="I391" i="6"/>
  <c r="H48" i="5"/>
  <c r="G48" i="5"/>
  <c r="G47" i="4"/>
  <c r="H47" i="4"/>
  <c r="G145" i="4"/>
  <c r="H145" i="4"/>
  <c r="G520" i="4"/>
  <c r="H520" i="4"/>
  <c r="J132" i="6"/>
  <c r="I132" i="6"/>
  <c r="H132" i="6"/>
  <c r="H63" i="5"/>
  <c r="G63" i="5"/>
  <c r="G52" i="5"/>
  <c r="H52" i="5"/>
  <c r="G11" i="5"/>
  <c r="H11" i="5"/>
  <c r="H479" i="4"/>
  <c r="G479" i="4"/>
  <c r="H460" i="4"/>
  <c r="G460" i="4"/>
  <c r="G105" i="4"/>
  <c r="H105" i="4"/>
  <c r="H363" i="4"/>
  <c r="G363" i="4"/>
  <c r="G443" i="4"/>
  <c r="H443" i="4"/>
  <c r="G559" i="4"/>
  <c r="H559" i="4"/>
  <c r="G550" i="4"/>
  <c r="H550" i="4"/>
  <c r="H389" i="4"/>
  <c r="G389" i="4"/>
  <c r="H368" i="4"/>
  <c r="G368" i="4"/>
  <c r="G290" i="4"/>
  <c r="H290" i="4"/>
  <c r="G558" i="4"/>
  <c r="H558" i="4"/>
  <c r="G533" i="4"/>
  <c r="H533" i="4"/>
  <c r="G519" i="4"/>
  <c r="H519" i="4"/>
  <c r="G248" i="4"/>
  <c r="H248" i="4"/>
  <c r="H369" i="4"/>
  <c r="G369" i="4"/>
  <c r="G525" i="4"/>
  <c r="H525" i="4"/>
  <c r="H373" i="4"/>
  <c r="G373" i="4"/>
  <c r="H211" i="4"/>
  <c r="G211" i="4"/>
  <c r="G182" i="4"/>
  <c r="H182" i="4"/>
  <c r="G192" i="4"/>
  <c r="H192" i="4"/>
  <c r="H557" i="4"/>
  <c r="G557" i="4"/>
  <c r="G60" i="4"/>
  <c r="H60" i="4"/>
  <c r="G539" i="4"/>
  <c r="H539" i="4"/>
  <c r="J418" i="6"/>
  <c r="H418" i="6"/>
  <c r="I418" i="6"/>
  <c r="J504" i="6"/>
  <c r="I504" i="6"/>
  <c r="H504" i="6"/>
  <c r="J246" i="6"/>
  <c r="I246" i="6"/>
  <c r="H246" i="6"/>
  <c r="I23" i="6"/>
  <c r="J23" i="6"/>
  <c r="H23" i="6"/>
  <c r="J493" i="6"/>
  <c r="H493" i="6"/>
  <c r="I493" i="6"/>
  <c r="J208" i="6"/>
  <c r="H208" i="6"/>
  <c r="I208" i="6"/>
  <c r="J47" i="6"/>
  <c r="I47" i="6"/>
  <c r="H47" i="6"/>
  <c r="J272" i="6"/>
  <c r="I272" i="6"/>
  <c r="H272" i="6"/>
  <c r="J14" i="6"/>
  <c r="I14" i="6"/>
  <c r="H14" i="6"/>
  <c r="J409" i="6"/>
  <c r="I409" i="6"/>
  <c r="H409" i="6"/>
  <c r="J106" i="6"/>
  <c r="H106" i="6"/>
  <c r="I106" i="6"/>
  <c r="J78" i="6"/>
  <c r="H78" i="6"/>
  <c r="I78" i="6"/>
  <c r="J242" i="6"/>
  <c r="I242" i="6"/>
  <c r="H242" i="6"/>
  <c r="J487" i="6"/>
  <c r="H487" i="6"/>
  <c r="I487" i="6"/>
  <c r="J559" i="6"/>
  <c r="I559" i="6"/>
  <c r="H559" i="6"/>
  <c r="J312" i="6"/>
  <c r="H312" i="6"/>
  <c r="I312" i="6"/>
  <c r="J397" i="6"/>
  <c r="H397" i="6"/>
  <c r="I397" i="6"/>
  <c r="J205" i="6"/>
  <c r="I205" i="6"/>
  <c r="H205" i="6"/>
  <c r="J13" i="6"/>
  <c r="H13" i="6"/>
  <c r="I13" i="6"/>
  <c r="J300" i="6"/>
  <c r="H300" i="6"/>
  <c r="I300" i="6"/>
  <c r="J108" i="6"/>
  <c r="H108" i="6"/>
  <c r="I108" i="6"/>
  <c r="J403" i="6"/>
  <c r="H403" i="6"/>
  <c r="I403" i="6"/>
  <c r="J211" i="6"/>
  <c r="H211" i="6"/>
  <c r="I211" i="6"/>
  <c r="J19" i="6"/>
  <c r="H19" i="6"/>
  <c r="I19" i="6"/>
  <c r="G10" i="4"/>
  <c r="H10" i="4"/>
  <c r="J76" i="6"/>
  <c r="H76" i="6"/>
  <c r="I76" i="6"/>
  <c r="G12" i="4"/>
  <c r="H12" i="4"/>
  <c r="G532" i="4"/>
  <c r="H532" i="4"/>
  <c r="H446" i="4"/>
  <c r="G446" i="4"/>
  <c r="J114" i="6"/>
  <c r="I114" i="6"/>
  <c r="H114" i="6"/>
  <c r="H425" i="4"/>
  <c r="G425" i="4"/>
  <c r="G400" i="4"/>
  <c r="H400" i="4"/>
  <c r="J295" i="6"/>
  <c r="H295" i="6"/>
  <c r="I295" i="6"/>
  <c r="J234" i="6"/>
  <c r="I234" i="6"/>
  <c r="H234" i="6"/>
  <c r="I168" i="6"/>
  <c r="J168" i="6"/>
  <c r="H168" i="6"/>
  <c r="G44" i="5"/>
  <c r="H44" i="5"/>
  <c r="G376" i="4"/>
  <c r="H376" i="4"/>
  <c r="G547" i="4"/>
  <c r="H547" i="4"/>
  <c r="G255" i="4"/>
  <c r="H255" i="4"/>
  <c r="J324" i="6"/>
  <c r="H324" i="6"/>
  <c r="I324" i="6"/>
  <c r="G30" i="5"/>
  <c r="H30" i="5"/>
  <c r="G26" i="5"/>
  <c r="H26" i="5"/>
  <c r="H41" i="5"/>
  <c r="G41" i="5"/>
  <c r="H12" i="7"/>
  <c r="B8" i="18"/>
  <c r="G12" i="7"/>
  <c r="F12" i="7"/>
  <c r="G382" i="4"/>
  <c r="H382" i="4"/>
  <c r="G408" i="4"/>
  <c r="H408" i="4"/>
  <c r="G356" i="4"/>
  <c r="H356" i="4"/>
  <c r="G379" i="4"/>
  <c r="H379" i="4"/>
  <c r="G91" i="4"/>
  <c r="H91" i="4"/>
  <c r="G165" i="4"/>
  <c r="H165" i="4"/>
  <c r="G245" i="4"/>
  <c r="H245" i="4"/>
  <c r="G556" i="4"/>
  <c r="H556" i="4"/>
  <c r="G231" i="4"/>
  <c r="H231" i="4"/>
  <c r="G470" i="4"/>
  <c r="H470" i="4"/>
  <c r="H418" i="4"/>
  <c r="G418" i="4"/>
  <c r="H102" i="4"/>
  <c r="G102" i="4"/>
  <c r="H397" i="4"/>
  <c r="G397" i="4"/>
  <c r="H73" i="4"/>
  <c r="G73" i="4"/>
  <c r="G322" i="4"/>
  <c r="H322" i="4"/>
  <c r="G26" i="4"/>
  <c r="H26" i="4"/>
  <c r="G249" i="4"/>
  <c r="H249" i="4"/>
  <c r="G50" i="4"/>
  <c r="H50" i="4"/>
  <c r="H554" i="4"/>
  <c r="G554" i="4"/>
  <c r="J554" i="4"/>
  <c r="H76" i="4"/>
  <c r="G76" i="4"/>
  <c r="J76" i="4"/>
  <c r="G93" i="4"/>
  <c r="H93" i="4"/>
  <c r="H247" i="4"/>
  <c r="G247" i="4"/>
  <c r="G428" i="4"/>
  <c r="H428" i="4"/>
  <c r="I225" i="6"/>
  <c r="J225" i="6"/>
  <c r="H225" i="6"/>
  <c r="J417" i="6"/>
  <c r="H417" i="6"/>
  <c r="I417" i="6"/>
  <c r="J167" i="6"/>
  <c r="H167" i="6"/>
  <c r="I167" i="6"/>
  <c r="J548" i="6"/>
  <c r="H548" i="6"/>
  <c r="I548" i="6"/>
  <c r="J449" i="6"/>
  <c r="I449" i="6"/>
  <c r="H449" i="6"/>
  <c r="J177" i="6"/>
  <c r="I177" i="6"/>
  <c r="H177" i="6"/>
  <c r="J105" i="6"/>
  <c r="I105" i="6"/>
  <c r="H105" i="6"/>
  <c r="J206" i="6"/>
  <c r="H206" i="6"/>
  <c r="I206" i="6"/>
  <c r="J566" i="6"/>
  <c r="H566" i="6"/>
  <c r="I566" i="6"/>
  <c r="J319" i="6"/>
  <c r="H319" i="6"/>
  <c r="I319" i="6"/>
  <c r="J82" i="6"/>
  <c r="H82" i="6"/>
  <c r="I82" i="6"/>
  <c r="J54" i="6"/>
  <c r="I54" i="6"/>
  <c r="H54" i="6"/>
  <c r="J218" i="6"/>
  <c r="H218" i="6"/>
  <c r="I218" i="6"/>
  <c r="H465" i="6"/>
  <c r="I465" i="6"/>
  <c r="J465" i="6"/>
  <c r="J551" i="6"/>
  <c r="H551" i="6"/>
  <c r="I551" i="6"/>
  <c r="J288" i="6"/>
  <c r="H288" i="6"/>
  <c r="I288" i="6"/>
  <c r="J389" i="6"/>
  <c r="I389" i="6"/>
  <c r="H389" i="6"/>
  <c r="J197" i="6"/>
  <c r="H197" i="6"/>
  <c r="I197" i="6"/>
  <c r="H484" i="6"/>
  <c r="J484" i="6"/>
  <c r="I484" i="6"/>
  <c r="I292" i="6"/>
  <c r="H292" i="6"/>
  <c r="J292" i="6"/>
  <c r="J100" i="6"/>
  <c r="H100" i="6"/>
  <c r="I100" i="6"/>
  <c r="J395" i="6"/>
  <c r="I395" i="6"/>
  <c r="H395" i="6"/>
  <c r="J203" i="6"/>
  <c r="H203" i="6"/>
  <c r="I203" i="6"/>
  <c r="J11" i="6"/>
  <c r="H11" i="6"/>
  <c r="I11" i="6"/>
  <c r="J46" i="5"/>
  <c r="J78" i="4"/>
  <c r="J160" i="4"/>
  <c r="J488" i="4"/>
  <c r="J425" i="4"/>
  <c r="J401" i="4"/>
  <c r="J64" i="5"/>
  <c r="J243" i="4"/>
  <c r="J471" i="4"/>
  <c r="J15" i="5"/>
  <c r="J280" i="4"/>
  <c r="J497" i="4"/>
  <c r="J328" i="4"/>
  <c r="J25" i="4"/>
  <c r="J235" i="4"/>
  <c r="J403" i="4"/>
  <c r="J318" i="4"/>
  <c r="J347" i="4"/>
  <c r="J433" i="4"/>
  <c r="J426" i="4"/>
  <c r="J302" i="4"/>
  <c r="J369" i="4"/>
  <c r="J376" i="4"/>
  <c r="J12" i="4"/>
  <c r="J476" i="4"/>
  <c r="J289" i="4"/>
  <c r="J58" i="5"/>
  <c r="J348" i="4"/>
  <c r="J22" i="5"/>
  <c r="J225" i="4"/>
  <c r="J197" i="4"/>
  <c r="J99" i="4"/>
  <c r="J490" i="4"/>
  <c r="J38" i="4"/>
  <c r="J365" i="4"/>
  <c r="J230" i="4"/>
  <c r="J314" i="4"/>
  <c r="J530" i="4"/>
  <c r="J371" i="4"/>
  <c r="J414" i="4"/>
  <c r="J169" i="4"/>
  <c r="J551" i="4"/>
  <c r="J175" i="4"/>
  <c r="J29" i="4"/>
  <c r="J418" i="4"/>
  <c r="J468" i="4"/>
  <c r="J267" i="4"/>
  <c r="J73" i="5"/>
  <c r="J134" i="4"/>
  <c r="J451" i="4"/>
  <c r="J568" i="4"/>
  <c r="J59" i="5"/>
  <c r="J204" i="4"/>
  <c r="J148" i="4"/>
  <c r="J363" i="4"/>
  <c r="J36" i="5"/>
  <c r="J383" i="4"/>
  <c r="J77" i="4"/>
  <c r="J84" i="4"/>
  <c r="J459" i="4"/>
  <c r="J13" i="5"/>
  <c r="J421" i="4"/>
  <c r="J524" i="4"/>
  <c r="J202" i="4"/>
  <c r="J411" i="4"/>
  <c r="J44" i="5"/>
  <c r="J247" i="4"/>
  <c r="J557" i="4"/>
  <c r="J368" i="4"/>
  <c r="J492" i="4"/>
  <c r="J19" i="5"/>
  <c r="J498" i="4"/>
  <c r="J138" i="4"/>
  <c r="J552" i="4"/>
  <c r="J486" i="4"/>
  <c r="J555" i="4"/>
  <c r="J477" i="4"/>
  <c r="J330" i="4"/>
  <c r="J228" i="4"/>
  <c r="J82" i="4"/>
  <c r="J32" i="5"/>
  <c r="J472" i="4"/>
  <c r="J382" i="4"/>
  <c r="J10" i="4"/>
  <c r="J533" i="4"/>
  <c r="J11" i="5"/>
  <c r="J68" i="5"/>
  <c r="J335" i="4"/>
  <c r="J233" i="4"/>
  <c r="J68" i="4"/>
  <c r="J431" i="4"/>
  <c r="J77" i="5"/>
  <c r="J331" i="4"/>
  <c r="J40" i="5"/>
  <c r="J163" i="4"/>
  <c r="J112" i="4"/>
  <c r="J147" i="4"/>
  <c r="J179" i="4"/>
  <c r="J78" i="5"/>
  <c r="J43" i="4"/>
  <c r="J63" i="5"/>
  <c r="J201" i="4"/>
  <c r="J293" i="4"/>
  <c r="J41" i="5"/>
  <c r="J94" i="4"/>
  <c r="J61" i="4"/>
  <c r="J143" i="4"/>
  <c r="J446" i="4"/>
  <c r="J48" i="5"/>
  <c r="J549" i="4"/>
  <c r="J21" i="4"/>
  <c r="J516" i="4"/>
  <c r="J438" i="4"/>
  <c r="J509" i="4"/>
  <c r="J116" i="4"/>
  <c r="J73" i="4"/>
  <c r="J479" i="4"/>
  <c r="J191" i="4"/>
  <c r="J285" i="4"/>
  <c r="J434" i="4"/>
  <c r="J257" i="4"/>
  <c r="J72" i="4"/>
  <c r="J17" i="5"/>
  <c r="J154" i="4"/>
  <c r="J106" i="4"/>
  <c r="J545" i="4"/>
  <c r="J142" i="4"/>
  <c r="J514" i="4"/>
  <c r="J310" i="4"/>
  <c r="J496" i="4"/>
  <c r="J465" i="4"/>
  <c r="J146" i="4"/>
  <c r="J284" i="4"/>
  <c r="J526" i="4"/>
  <c r="J42" i="5"/>
  <c r="J503" i="4"/>
  <c r="J466" i="4"/>
  <c r="J450" i="4"/>
  <c r="J241" i="4"/>
  <c r="J342" i="4"/>
  <c r="J69" i="4"/>
  <c r="J288" i="4"/>
  <c r="J536" i="4"/>
  <c r="J291" i="4"/>
  <c r="J185" i="4"/>
  <c r="J297" i="4"/>
  <c r="J156" i="4"/>
  <c r="J62" i="4"/>
  <c r="J177" i="4"/>
  <c r="J354" i="4"/>
  <c r="J355" i="4"/>
  <c r="J350" i="4"/>
  <c r="J261" i="4"/>
  <c r="J38" i="5"/>
  <c r="J76" i="5"/>
  <c r="J323" i="4"/>
  <c r="J49" i="4"/>
  <c r="J409" i="4"/>
  <c r="J101" i="4"/>
  <c r="J90" i="4"/>
  <c r="J336" i="4"/>
  <c r="J274" i="4"/>
  <c r="J42" i="4"/>
  <c r="J420" i="4"/>
  <c r="J75" i="4"/>
  <c r="J178" i="4"/>
  <c r="J424" i="4"/>
  <c r="J216" i="4"/>
  <c r="J437" i="4"/>
  <c r="J10" i="5"/>
  <c r="J566" i="4"/>
  <c r="J484" i="4"/>
  <c r="J469" i="4"/>
  <c r="J388" i="4"/>
  <c r="J186" i="4"/>
  <c r="J341" i="4"/>
  <c r="J393" i="4"/>
  <c r="J71" i="5"/>
  <c r="J27" i="4"/>
  <c r="J20" i="4"/>
  <c r="J423" i="4"/>
  <c r="J266" i="4"/>
  <c r="J130" i="4"/>
  <c r="J167" i="4"/>
  <c r="J244" i="4"/>
  <c r="J543" i="4"/>
  <c r="J123" i="4"/>
  <c r="J108" i="4"/>
  <c r="J221" i="4"/>
  <c r="J28" i="5"/>
  <c r="J103" i="4"/>
  <c r="J24" i="5"/>
  <c r="J378" i="4"/>
  <c r="J55" i="4"/>
  <c r="J562" i="4"/>
  <c r="J150" i="4"/>
  <c r="J394" i="4"/>
  <c r="J529" i="4"/>
  <c r="J448" i="4"/>
  <c r="J286" i="4"/>
  <c r="J200" i="4"/>
  <c r="J32" i="4"/>
  <c r="J44" i="4"/>
  <c r="J419" i="4"/>
  <c r="J67" i="5"/>
  <c r="J131" i="4"/>
  <c r="J81" i="4"/>
  <c r="J343" i="4"/>
  <c r="J325" i="4"/>
  <c r="J349" i="4"/>
  <c r="J59" i="4"/>
  <c r="J303" i="4"/>
  <c r="J31" i="5"/>
  <c r="J89" i="4"/>
  <c r="J513" i="4"/>
  <c r="J366" i="4"/>
  <c r="J18" i="5"/>
  <c r="J304" i="4"/>
  <c r="J152" i="4"/>
  <c r="J360" i="4"/>
  <c r="J15" i="4"/>
  <c r="J31" i="4"/>
  <c r="J71" i="4"/>
  <c r="J226" i="4"/>
  <c r="J212" i="4"/>
  <c r="J126" i="4"/>
  <c r="J127" i="4"/>
  <c r="J173" i="4"/>
  <c r="J560" i="4"/>
  <c r="J417" i="4"/>
  <c r="J534" i="4"/>
  <c r="J227" i="4"/>
  <c r="J357" i="4"/>
  <c r="J58" i="4"/>
  <c r="J435" i="4"/>
  <c r="J23" i="4"/>
  <c r="J436" i="4"/>
  <c r="J55" i="5"/>
  <c r="J415" i="4"/>
  <c r="J137" i="4"/>
  <c r="J242" i="4"/>
  <c r="J65" i="4"/>
  <c r="J561" i="4"/>
  <c r="J455" i="4"/>
  <c r="J553" i="4"/>
  <c r="J485" i="4"/>
  <c r="J467" i="4"/>
  <c r="J499" i="4"/>
  <c r="J396" i="4"/>
  <c r="J480" i="4"/>
  <c r="J14" i="5"/>
  <c r="J237" i="4"/>
  <c r="J62" i="5"/>
  <c r="J97" i="4"/>
  <c r="J306" i="4"/>
  <c r="J217" i="4"/>
  <c r="J129" i="4"/>
  <c r="J54" i="5"/>
  <c r="J460" i="4"/>
  <c r="J320" i="4"/>
  <c r="J33" i="4"/>
  <c r="J546" i="4"/>
  <c r="J544" i="4"/>
  <c r="J214" i="4"/>
  <c r="J43" i="5"/>
  <c r="J307" i="4"/>
  <c r="J151" i="4"/>
  <c r="J321" i="4"/>
  <c r="J440" i="4"/>
  <c r="J234" i="4"/>
  <c r="J308" i="4"/>
  <c r="J246" i="4"/>
  <c r="J512" i="4"/>
  <c r="J482" i="4"/>
  <c r="J162" i="4"/>
  <c r="J311" i="4"/>
  <c r="J209" i="4"/>
  <c r="J107" i="4"/>
  <c r="J254" i="4"/>
  <c r="J240" i="4"/>
  <c r="J539" i="4"/>
  <c r="J558" i="4"/>
  <c r="J339" i="4"/>
  <c r="J316" i="4"/>
  <c r="J41" i="4"/>
  <c r="J51" i="4"/>
  <c r="J535" i="4"/>
  <c r="J115" i="4"/>
  <c r="J183" i="4"/>
  <c r="J276" i="4"/>
  <c r="J251" i="4"/>
  <c r="J373" i="4"/>
  <c r="J300" i="4"/>
  <c r="J452" i="4"/>
  <c r="J118" i="4"/>
  <c r="J13" i="4"/>
  <c r="J95" i="4"/>
  <c r="J487" i="4"/>
  <c r="J23" i="5"/>
  <c r="J18" i="4"/>
  <c r="J87" i="4"/>
  <c r="J279" i="4"/>
  <c r="J210" i="4"/>
  <c r="J461" i="4"/>
  <c r="J170" i="4"/>
  <c r="J352" i="4"/>
  <c r="J541" i="4"/>
  <c r="J387" i="4"/>
  <c r="J75" i="5"/>
  <c r="J400" i="4"/>
  <c r="J229" i="4"/>
  <c r="J406" i="4"/>
  <c r="J26" i="5"/>
  <c r="J222" i="4"/>
  <c r="J168" i="4"/>
  <c r="J39" i="5"/>
  <c r="J329" i="4"/>
  <c r="J380" i="4"/>
  <c r="J457" i="4"/>
  <c r="J313" i="4"/>
  <c r="J375" i="4"/>
  <c r="J481" i="4"/>
  <c r="J86" i="4"/>
  <c r="J122" i="4"/>
  <c r="J190" i="4"/>
  <c r="J16" i="5"/>
  <c r="J494" i="4"/>
  <c r="J334" i="4"/>
  <c r="J301" i="4"/>
  <c r="J20" i="5"/>
  <c r="J176" i="4"/>
  <c r="J35" i="5"/>
  <c r="J117" i="4"/>
  <c r="J192" i="4"/>
  <c r="J12" i="5"/>
  <c r="J135" i="4"/>
  <c r="J45" i="4"/>
  <c r="J93" i="4"/>
  <c r="J444" i="4"/>
  <c r="J527" i="4"/>
  <c r="J253" i="4"/>
  <c r="J80" i="4"/>
  <c r="J259" i="4"/>
  <c r="J231" i="4"/>
  <c r="J145" i="4"/>
  <c r="J188" i="4"/>
  <c r="J110" i="4"/>
  <c r="J159" i="4"/>
  <c r="J144" i="4"/>
  <c r="J319" i="4"/>
  <c r="J474" i="4"/>
  <c r="N124" i="6"/>
  <c r="K124" i="6"/>
  <c r="N290" i="6"/>
  <c r="K290" i="6"/>
  <c r="N199" i="6"/>
  <c r="K199" i="6"/>
  <c r="N532" i="6"/>
  <c r="K532" i="6"/>
  <c r="K328" i="6"/>
  <c r="N328" i="6"/>
  <c r="K398" i="6"/>
  <c r="N398" i="6"/>
  <c r="N444" i="6"/>
  <c r="K444" i="6"/>
  <c r="N269" i="6"/>
  <c r="K269" i="6"/>
  <c r="N375" i="6"/>
  <c r="K375" i="6"/>
  <c r="N494" i="6"/>
  <c r="K494" i="6"/>
  <c r="N523" i="6"/>
  <c r="K523" i="6"/>
  <c r="N286" i="6"/>
  <c r="K286" i="6"/>
  <c r="N301" i="6"/>
  <c r="K301" i="6"/>
  <c r="N426" i="6"/>
  <c r="K426" i="6"/>
  <c r="K506" i="6"/>
  <c r="N506" i="6"/>
  <c r="N327" i="6"/>
  <c r="K327" i="6"/>
  <c r="N541" i="6"/>
  <c r="K541" i="6"/>
  <c r="N466" i="6"/>
  <c r="K466" i="6"/>
  <c r="N527" i="6"/>
  <c r="K527" i="6"/>
  <c r="K224" i="6"/>
  <c r="N224" i="6"/>
  <c r="N92" i="6"/>
  <c r="K92" i="6"/>
  <c r="N194" i="6"/>
  <c r="K194" i="6"/>
  <c r="N59" i="6"/>
  <c r="K59" i="6"/>
  <c r="N463" i="6"/>
  <c r="K463" i="6"/>
  <c r="N200" i="6"/>
  <c r="K200" i="6"/>
  <c r="K280" i="6"/>
  <c r="N280" i="6"/>
  <c r="N93" i="6"/>
  <c r="K93" i="6"/>
  <c r="N485" i="6"/>
  <c r="K485" i="6"/>
  <c r="N425" i="6"/>
  <c r="K425" i="6"/>
  <c r="J470" i="4"/>
  <c r="N295" i="6"/>
  <c r="K295" i="6"/>
  <c r="K211" i="6"/>
  <c r="N211" i="6"/>
  <c r="N559" i="6"/>
  <c r="K559" i="6"/>
  <c r="N47" i="6"/>
  <c r="K47" i="6"/>
  <c r="N116" i="6"/>
  <c r="K116" i="6"/>
  <c r="N266" i="6"/>
  <c r="K266" i="6"/>
  <c r="K528" i="6"/>
  <c r="N528" i="6"/>
  <c r="J299" i="4"/>
  <c r="J207" i="4"/>
  <c r="J215" i="4"/>
  <c r="J506" i="4"/>
  <c r="K245" i="6"/>
  <c r="N245" i="6"/>
  <c r="N544" i="6"/>
  <c r="K544" i="6"/>
  <c r="N374" i="6"/>
  <c r="K374" i="6"/>
  <c r="J29" i="5"/>
  <c r="J294" i="4"/>
  <c r="J269" i="4"/>
  <c r="J367" i="4"/>
  <c r="J265" i="4"/>
  <c r="J569" i="4"/>
  <c r="K489" i="6"/>
  <c r="N489" i="6"/>
  <c r="J268" i="4"/>
  <c r="N475" i="6"/>
  <c r="K475" i="6"/>
  <c r="N207" i="6"/>
  <c r="K207" i="6"/>
  <c r="K326" i="6"/>
  <c r="N326" i="6"/>
  <c r="N315" i="6"/>
  <c r="K315" i="6"/>
  <c r="N289" i="6"/>
  <c r="K289" i="6"/>
  <c r="N71" i="6"/>
  <c r="K71" i="6"/>
  <c r="N420" i="6"/>
  <c r="K420" i="6"/>
  <c r="N10" i="6"/>
  <c r="K10" i="6"/>
  <c r="J125" i="4"/>
  <c r="N236" i="6"/>
  <c r="K236" i="6"/>
  <c r="J205" i="4"/>
  <c r="J326" i="4"/>
  <c r="N181" i="6"/>
  <c r="K181" i="6"/>
  <c r="N184" i="6"/>
  <c r="K184" i="6"/>
  <c r="J389" i="4"/>
  <c r="N132" i="6"/>
  <c r="K132" i="6"/>
  <c r="N16" i="6"/>
  <c r="K16" i="6"/>
  <c r="J402" i="4"/>
  <c r="J287" i="4"/>
  <c r="J57" i="5"/>
  <c r="N421" i="6"/>
  <c r="K421" i="6"/>
  <c r="N201" i="6"/>
  <c r="K201" i="6"/>
  <c r="N254" i="6"/>
  <c r="K254" i="6"/>
  <c r="J33" i="5"/>
  <c r="J193" i="4"/>
  <c r="J398" i="4"/>
  <c r="N69" i="6"/>
  <c r="K69" i="6"/>
  <c r="N274" i="6"/>
  <c r="K274" i="6"/>
  <c r="N174" i="6"/>
  <c r="K174" i="6"/>
  <c r="J377" i="4"/>
  <c r="N569" i="6"/>
  <c r="K569" i="6"/>
  <c r="J213" i="4"/>
  <c r="J464" i="4"/>
  <c r="J473" i="4"/>
  <c r="J36" i="4"/>
  <c r="J61" i="5"/>
  <c r="J199" i="4"/>
  <c r="J413" i="4"/>
  <c r="J278" i="4"/>
  <c r="J528" i="4"/>
  <c r="J189" i="4"/>
  <c r="N60" i="6"/>
  <c r="K60" i="6"/>
  <c r="N331" i="6"/>
  <c r="K331" i="6"/>
  <c r="N456" i="6"/>
  <c r="K456" i="6"/>
  <c r="N342" i="6"/>
  <c r="K342" i="6"/>
  <c r="J392" i="4"/>
  <c r="N450" i="6"/>
  <c r="K450" i="6"/>
  <c r="N52" i="6"/>
  <c r="K52" i="6"/>
  <c r="N74" i="6"/>
  <c r="K74" i="6"/>
  <c r="N377" i="6"/>
  <c r="K377" i="6"/>
  <c r="J317" i="4"/>
  <c r="J65" i="5"/>
  <c r="K554" i="6"/>
  <c r="N554" i="6"/>
  <c r="J28" i="4"/>
  <c r="J272" i="4"/>
  <c r="J262" i="4"/>
  <c r="N206" i="6"/>
  <c r="K206" i="6"/>
  <c r="J30" i="5"/>
  <c r="J550" i="4"/>
  <c r="J111" i="4"/>
  <c r="N365" i="6"/>
  <c r="K365" i="6"/>
  <c r="J198" i="4"/>
  <c r="N423" i="6"/>
  <c r="K423" i="6"/>
  <c r="N358" i="6"/>
  <c r="K358" i="6"/>
  <c r="J54" i="4"/>
  <c r="J141" i="4"/>
  <c r="J70" i="5"/>
  <c r="J132" i="4"/>
  <c r="J140" i="4"/>
  <c r="J72" i="5"/>
  <c r="J381" i="4"/>
  <c r="N261" i="6"/>
  <c r="K261" i="6"/>
  <c r="N134" i="6"/>
  <c r="K134" i="6"/>
  <c r="N505" i="6"/>
  <c r="K505" i="6"/>
  <c r="J495" i="4"/>
  <c r="J203" i="4"/>
  <c r="J27" i="5"/>
  <c r="N477" i="6"/>
  <c r="K477" i="6"/>
  <c r="J517" i="4"/>
  <c r="J37" i="4"/>
  <c r="J9" i="5"/>
  <c r="K163" i="6"/>
  <c r="N163" i="6"/>
  <c r="J155" i="4"/>
  <c r="N36" i="6"/>
  <c r="K36" i="6"/>
  <c r="N70" i="6"/>
  <c r="K70" i="6"/>
  <c r="N408" i="6"/>
  <c r="K408" i="6"/>
  <c r="J17" i="4"/>
  <c r="N9" i="6"/>
  <c r="K9" i="6"/>
  <c r="K531" i="6"/>
  <c r="N531" i="6"/>
  <c r="J333" i="4"/>
  <c r="J282" i="4"/>
  <c r="N244" i="6"/>
  <c r="K244" i="6"/>
  <c r="N478" i="6"/>
  <c r="K478" i="6"/>
  <c r="N563" i="6"/>
  <c r="K563" i="6"/>
  <c r="N157" i="6"/>
  <c r="K157" i="6"/>
  <c r="J491" i="4"/>
  <c r="J281" i="4"/>
  <c r="N373" i="6"/>
  <c r="K373" i="6"/>
  <c r="N259" i="6"/>
  <c r="K259" i="6"/>
  <c r="N83" i="6"/>
  <c r="K83" i="6"/>
  <c r="N410" i="6"/>
  <c r="K410" i="6"/>
  <c r="N88" i="6"/>
  <c r="K88" i="6"/>
  <c r="N165" i="6"/>
  <c r="K165" i="6"/>
  <c r="N512" i="6"/>
  <c r="K512" i="6"/>
  <c r="N299" i="6"/>
  <c r="K299" i="6"/>
  <c r="N241" i="6"/>
  <c r="K241" i="6"/>
  <c r="N62" i="6"/>
  <c r="K62" i="6"/>
  <c r="N115" i="6"/>
  <c r="K115" i="6"/>
  <c r="K454" i="6"/>
  <c r="N454" i="6"/>
  <c r="N354" i="6"/>
  <c r="K354" i="6"/>
  <c r="K513" i="6"/>
  <c r="N513" i="6"/>
  <c r="N98" i="6"/>
  <c r="K98" i="6"/>
  <c r="N412" i="6"/>
  <c r="K412" i="6"/>
  <c r="N46" i="6"/>
  <c r="K46" i="6"/>
  <c r="L14" i="7"/>
  <c r="S14" i="7"/>
  <c r="I14" i="7"/>
  <c r="N476" i="6"/>
  <c r="K476" i="6"/>
  <c r="N58" i="6"/>
  <c r="K58" i="6"/>
  <c r="N86" i="6"/>
  <c r="K86" i="6"/>
  <c r="N306" i="6"/>
  <c r="K306" i="6"/>
  <c r="J370" i="4"/>
  <c r="J174" i="4"/>
  <c r="J518" i="4"/>
  <c r="J21" i="5"/>
  <c r="N378" i="6"/>
  <c r="K378" i="6"/>
  <c r="N524" i="6"/>
  <c r="K524" i="6"/>
  <c r="K166" i="6"/>
  <c r="N166" i="6"/>
  <c r="N162" i="6"/>
  <c r="K162" i="6"/>
  <c r="J85" i="4"/>
  <c r="J64" i="4"/>
  <c r="J34" i="5"/>
  <c r="J489" i="4"/>
  <c r="N372" i="6"/>
  <c r="K372" i="6"/>
  <c r="N66" i="6"/>
  <c r="K66" i="6"/>
  <c r="J399" i="4"/>
  <c r="J359" i="4"/>
  <c r="N212" i="6"/>
  <c r="K212" i="6"/>
  <c r="N434" i="6"/>
  <c r="K434" i="6"/>
  <c r="N431" i="6"/>
  <c r="K431" i="6"/>
  <c r="N141" i="6"/>
  <c r="K141" i="6"/>
  <c r="K549" i="6"/>
  <c r="N549" i="6"/>
  <c r="K240" i="6"/>
  <c r="N240" i="6"/>
  <c r="N119" i="6"/>
  <c r="K119" i="6"/>
  <c r="J520" i="4"/>
  <c r="N453" i="6"/>
  <c r="K453" i="6"/>
  <c r="N458" i="6"/>
  <c r="K458" i="6"/>
  <c r="N570" i="6"/>
  <c r="K570" i="6"/>
  <c r="J292" i="4"/>
  <c r="N404" i="6"/>
  <c r="K404" i="6"/>
  <c r="N22" i="6"/>
  <c r="K22" i="6"/>
  <c r="N133" i="6"/>
  <c r="K133" i="6"/>
  <c r="N534" i="6"/>
  <c r="K534" i="6"/>
  <c r="N345" i="6"/>
  <c r="K345" i="6"/>
  <c r="N542" i="6"/>
  <c r="K542" i="6"/>
  <c r="N438" i="6"/>
  <c r="K438" i="6"/>
  <c r="N436" i="6"/>
  <c r="K436" i="6"/>
  <c r="N33" i="6"/>
  <c r="K33" i="6"/>
  <c r="N321" i="6"/>
  <c r="K321" i="6"/>
  <c r="J25" i="5"/>
  <c r="N403" i="6"/>
  <c r="K403" i="6"/>
  <c r="N451" i="6"/>
  <c r="K451" i="6"/>
  <c r="N135" i="6"/>
  <c r="K135" i="6"/>
  <c r="N281" i="6"/>
  <c r="K281" i="6"/>
  <c r="N305" i="6"/>
  <c r="K305" i="6"/>
  <c r="N275" i="6"/>
  <c r="K275" i="6"/>
  <c r="N169" i="6"/>
  <c r="K169" i="6"/>
  <c r="N161" i="6"/>
  <c r="K161" i="6"/>
  <c r="N99" i="6"/>
  <c r="K99" i="6"/>
  <c r="K432" i="6"/>
  <c r="N432" i="6"/>
  <c r="N223" i="6"/>
  <c r="K223" i="6"/>
  <c r="N491" i="6"/>
  <c r="K491" i="6"/>
  <c r="K255" i="6"/>
  <c r="N255" i="6"/>
  <c r="N361" i="6"/>
  <c r="K361" i="6"/>
  <c r="N307" i="6"/>
  <c r="K307" i="6"/>
  <c r="N265" i="6"/>
  <c r="K265" i="6"/>
  <c r="N128" i="6"/>
  <c r="K128" i="6"/>
  <c r="N125" i="6"/>
  <c r="K125" i="6"/>
  <c r="N526" i="6"/>
  <c r="K526" i="6"/>
  <c r="K273" i="6"/>
  <c r="N273" i="6"/>
  <c r="N104" i="6"/>
  <c r="K104" i="6"/>
  <c r="N189" i="6"/>
  <c r="K189" i="6"/>
  <c r="N249" i="6"/>
  <c r="K249" i="6"/>
  <c r="N393" i="6"/>
  <c r="K393" i="6"/>
  <c r="J96" i="4"/>
  <c r="N519" i="6"/>
  <c r="K519" i="6"/>
  <c r="N262" i="6"/>
  <c r="K262" i="6"/>
  <c r="N85" i="6"/>
  <c r="K85" i="6"/>
  <c r="N322" i="6"/>
  <c r="K322" i="6"/>
  <c r="N508" i="6"/>
  <c r="K508" i="6"/>
  <c r="N191" i="6"/>
  <c r="K191" i="6"/>
  <c r="N473" i="6"/>
  <c r="K473" i="6"/>
  <c r="N333" i="6"/>
  <c r="K333" i="6"/>
  <c r="N187" i="6"/>
  <c r="K187" i="6"/>
  <c r="N535" i="6"/>
  <c r="K535" i="6"/>
  <c r="K89" i="6"/>
  <c r="N89" i="6"/>
  <c r="J51" i="5"/>
  <c r="J124" i="4"/>
  <c r="J232" i="4"/>
  <c r="J501" i="4"/>
  <c r="N407" i="6"/>
  <c r="K407" i="6"/>
  <c r="N325" i="6"/>
  <c r="K325" i="6"/>
  <c r="K522" i="6"/>
  <c r="N522" i="6"/>
  <c r="N521" i="6"/>
  <c r="K521" i="6"/>
  <c r="N545" i="6"/>
  <c r="K545" i="6"/>
  <c r="K539" i="6"/>
  <c r="N539" i="6"/>
  <c r="N149" i="6"/>
  <c r="K149" i="6"/>
  <c r="N550" i="6"/>
  <c r="K550" i="6"/>
  <c r="N462" i="6"/>
  <c r="K462" i="6"/>
  <c r="J515" i="4"/>
  <c r="L13" i="7"/>
  <c r="S13" i="7"/>
  <c r="I13" i="7"/>
  <c r="N551" i="6"/>
  <c r="K551" i="6"/>
  <c r="K278" i="6"/>
  <c r="N278" i="6"/>
  <c r="N498" i="6"/>
  <c r="K498" i="6"/>
  <c r="N183" i="6"/>
  <c r="K183" i="6"/>
  <c r="N196" i="6"/>
  <c r="K196" i="6"/>
  <c r="K414" i="6"/>
  <c r="N414" i="6"/>
  <c r="N343" i="6"/>
  <c r="K343" i="6"/>
  <c r="N12" i="6"/>
  <c r="K12" i="6"/>
  <c r="K279" i="6"/>
  <c r="N279" i="6"/>
  <c r="N258" i="6"/>
  <c r="K258" i="6"/>
  <c r="N247" i="6"/>
  <c r="K247" i="6"/>
  <c r="N317" i="6"/>
  <c r="K317" i="6"/>
  <c r="K499" i="6"/>
  <c r="N499" i="6"/>
  <c r="N113" i="6"/>
  <c r="K113" i="6"/>
  <c r="N381" i="6"/>
  <c r="K381" i="6"/>
  <c r="N383" i="6"/>
  <c r="K383" i="6"/>
  <c r="N556" i="6"/>
  <c r="K556" i="6"/>
  <c r="N105" i="6"/>
  <c r="K105" i="6"/>
  <c r="N41" i="6"/>
  <c r="K41" i="6"/>
  <c r="N68" i="6"/>
  <c r="K68" i="6"/>
  <c r="N536" i="6"/>
  <c r="K536" i="6"/>
  <c r="N285" i="6"/>
  <c r="K285" i="6"/>
  <c r="N465" i="6"/>
  <c r="K465" i="6"/>
  <c r="J445" i="4"/>
  <c r="N146" i="6"/>
  <c r="K146" i="6"/>
  <c r="N460" i="6"/>
  <c r="K460" i="6"/>
  <c r="K310" i="6"/>
  <c r="N310" i="6"/>
  <c r="J100" i="4"/>
  <c r="N324" i="6"/>
  <c r="K324" i="6"/>
  <c r="J224" i="4"/>
  <c r="N100" i="6"/>
  <c r="K100" i="6"/>
  <c r="N23" i="6"/>
  <c r="K23" i="6"/>
  <c r="N78" i="6"/>
  <c r="K78" i="6"/>
  <c r="J184" i="4"/>
  <c r="J26" i="4"/>
  <c r="J379" i="4"/>
  <c r="N13" i="6"/>
  <c r="K13" i="6"/>
  <c r="N106" i="6"/>
  <c r="K106" i="6"/>
  <c r="N246" i="6"/>
  <c r="K246" i="6"/>
  <c r="J105" i="4"/>
  <c r="N391" i="6"/>
  <c r="K391" i="6"/>
  <c r="J337" i="4"/>
  <c r="N405" i="6"/>
  <c r="K405" i="6"/>
  <c r="N118" i="6"/>
  <c r="K118" i="6"/>
  <c r="N248" i="6"/>
  <c r="K248" i="6"/>
  <c r="K38" i="6"/>
  <c r="N38" i="6"/>
  <c r="J208" i="4"/>
  <c r="J136" i="4"/>
  <c r="J66" i="5"/>
  <c r="J164" i="4"/>
  <c r="J456" i="4"/>
  <c r="J340" i="4"/>
  <c r="N443" i="6"/>
  <c r="K443" i="6"/>
  <c r="N111" i="6"/>
  <c r="K111" i="6"/>
  <c r="N560" i="6"/>
  <c r="K560" i="6"/>
  <c r="N394" i="6"/>
  <c r="K394" i="6"/>
  <c r="J505" i="4"/>
  <c r="J161" i="4"/>
  <c r="J56" i="5"/>
  <c r="J384" i="4"/>
  <c r="J45" i="5"/>
  <c r="N277" i="6"/>
  <c r="K277" i="6"/>
  <c r="N270" i="6"/>
  <c r="K270" i="6"/>
  <c r="J157" i="4"/>
  <c r="N232" i="6"/>
  <c r="K232" i="6"/>
  <c r="J48" i="4"/>
  <c r="K117" i="6"/>
  <c r="N117" i="6"/>
  <c r="N518" i="6"/>
  <c r="K518" i="6"/>
  <c r="J453" i="4"/>
  <c r="N557" i="6"/>
  <c r="K557" i="6"/>
  <c r="K120" i="6"/>
  <c r="N120" i="6"/>
  <c r="J416" i="4"/>
  <c r="J260" i="4"/>
  <c r="J49" i="5"/>
  <c r="K379" i="6"/>
  <c r="N379" i="6"/>
  <c r="N433" i="6"/>
  <c r="K433" i="6"/>
  <c r="N257" i="6"/>
  <c r="K257" i="6"/>
  <c r="N320" i="6"/>
  <c r="K320" i="6"/>
  <c r="J11" i="4"/>
  <c r="N173" i="6"/>
  <c r="K173" i="6"/>
  <c r="K213" i="6"/>
  <c r="N213" i="6"/>
  <c r="N110" i="6"/>
  <c r="K110" i="6"/>
  <c r="N230" i="6"/>
  <c r="K230" i="6"/>
  <c r="J525" i="4"/>
  <c r="J14" i="4"/>
  <c r="N400" i="6"/>
  <c r="K400" i="6"/>
  <c r="J547" i="4"/>
  <c r="N87" i="6"/>
  <c r="K87" i="6"/>
  <c r="J567" i="4"/>
  <c r="J56" i="4"/>
  <c r="J442" i="4"/>
  <c r="N314" i="6"/>
  <c r="K314" i="6"/>
  <c r="K185" i="6"/>
  <c r="N185" i="6"/>
  <c r="N479" i="6"/>
  <c r="K479" i="6"/>
  <c r="K267" i="6"/>
  <c r="N267" i="6"/>
  <c r="N145" i="6"/>
  <c r="K145" i="6"/>
  <c r="N143" i="6"/>
  <c r="K143" i="6"/>
  <c r="N371" i="6"/>
  <c r="K371" i="6"/>
  <c r="N96" i="6"/>
  <c r="K96" i="6"/>
  <c r="N186" i="6"/>
  <c r="K186" i="6"/>
  <c r="N495" i="6"/>
  <c r="K495" i="6"/>
  <c r="N238" i="6"/>
  <c r="K238" i="6"/>
  <c r="N341" i="6"/>
  <c r="K341" i="6"/>
  <c r="N151" i="6"/>
  <c r="K151" i="6"/>
  <c r="N176" i="6"/>
  <c r="K176" i="6"/>
  <c r="B9" i="18"/>
  <c r="N11" i="6"/>
  <c r="K11" i="6"/>
  <c r="N203" i="6"/>
  <c r="K203" i="6"/>
  <c r="N263" i="6"/>
  <c r="K263" i="6"/>
  <c r="N271" i="6"/>
  <c r="K271" i="6"/>
  <c r="N461" i="6"/>
  <c r="K461" i="6"/>
  <c r="N335" i="6"/>
  <c r="K335" i="6"/>
  <c r="N284" i="6"/>
  <c r="K284" i="6"/>
  <c r="J166" i="4"/>
  <c r="J239" i="4"/>
  <c r="J454" i="4"/>
  <c r="J47" i="4"/>
  <c r="N449" i="6"/>
  <c r="K449" i="6"/>
  <c r="J119" i="4"/>
  <c r="N548" i="6"/>
  <c r="K548" i="6"/>
  <c r="N439" i="6"/>
  <c r="K439" i="6"/>
  <c r="N156" i="6"/>
  <c r="K156" i="6"/>
  <c r="J462" i="4"/>
  <c r="J295" i="4"/>
  <c r="N467" i="6"/>
  <c r="K467" i="6"/>
  <c r="N492" i="6"/>
  <c r="K492" i="6"/>
  <c r="J296" i="4"/>
  <c r="N82" i="6"/>
  <c r="K82" i="6"/>
  <c r="N167" i="6"/>
  <c r="K167" i="6"/>
  <c r="J322" i="4"/>
  <c r="J356" i="4"/>
  <c r="J248" i="4"/>
  <c r="J194" i="4"/>
  <c r="J47" i="5"/>
  <c r="J305" i="4"/>
  <c r="N35" i="6"/>
  <c r="K35" i="6"/>
  <c r="N346" i="6"/>
  <c r="K346" i="6"/>
  <c r="K430" i="6"/>
  <c r="N430" i="6"/>
  <c r="K294" i="6"/>
  <c r="N294" i="6"/>
  <c r="N140" i="6"/>
  <c r="K140" i="6"/>
  <c r="N338" i="6"/>
  <c r="K338" i="6"/>
  <c r="N311" i="6"/>
  <c r="K311" i="6"/>
  <c r="J324" i="4"/>
  <c r="J429" i="4"/>
  <c r="N348" i="6"/>
  <c r="K348" i="6"/>
  <c r="N79" i="6"/>
  <c r="K79" i="6"/>
  <c r="J504" i="4"/>
  <c r="J63" i="4"/>
  <c r="J346" i="4"/>
  <c r="J53" i="4"/>
  <c r="K561" i="6"/>
  <c r="N561" i="6"/>
  <c r="J187" i="4"/>
  <c r="N172" i="6"/>
  <c r="K172" i="6"/>
  <c r="N382" i="6"/>
  <c r="K382" i="6"/>
  <c r="N210" i="6"/>
  <c r="K210" i="6"/>
  <c r="J139" i="4"/>
  <c r="J34" i="4"/>
  <c r="K483" i="6"/>
  <c r="N483" i="6"/>
  <c r="N231" i="6"/>
  <c r="K231" i="6"/>
  <c r="N129" i="6"/>
  <c r="K129" i="6"/>
  <c r="J133" i="4"/>
  <c r="J277" i="4"/>
  <c r="J540" i="4"/>
  <c r="N388" i="6"/>
  <c r="K388" i="6"/>
  <c r="N56" i="6"/>
  <c r="K56" i="6"/>
  <c r="K517" i="6"/>
  <c r="N517" i="6"/>
  <c r="N204" i="6"/>
  <c r="K204" i="6"/>
  <c r="N424" i="6"/>
  <c r="K424" i="6"/>
  <c r="N384" i="6"/>
  <c r="K384" i="6"/>
  <c r="J180" i="4"/>
  <c r="K192" i="6"/>
  <c r="N192" i="6"/>
  <c r="J412" i="4"/>
  <c r="N72" i="6"/>
  <c r="K72" i="6"/>
  <c r="N103" i="6"/>
  <c r="K103" i="6"/>
  <c r="J57" i="4"/>
  <c r="J153" i="4"/>
  <c r="J309" i="4"/>
  <c r="J19" i="4"/>
  <c r="J271" i="4"/>
  <c r="N363" i="6"/>
  <c r="K363" i="6"/>
  <c r="K264" i="6"/>
  <c r="N264" i="6"/>
  <c r="N137" i="6"/>
  <c r="K137" i="6"/>
  <c r="N148" i="6"/>
  <c r="K148" i="6"/>
  <c r="K350" i="6"/>
  <c r="N350" i="6"/>
  <c r="N406" i="6"/>
  <c r="K406" i="6"/>
  <c r="N355" i="6"/>
  <c r="K355" i="6"/>
  <c r="N469" i="6"/>
  <c r="K469" i="6"/>
  <c r="N500" i="6"/>
  <c r="K500" i="6"/>
  <c r="N329" i="6"/>
  <c r="K329" i="6"/>
  <c r="N309" i="6"/>
  <c r="K309" i="6"/>
  <c r="N457" i="6"/>
  <c r="K457" i="6"/>
  <c r="N520" i="6"/>
  <c r="K520" i="6"/>
  <c r="K486" i="6"/>
  <c r="N486" i="6"/>
  <c r="N147" i="6"/>
  <c r="K147" i="6"/>
  <c r="N84" i="6"/>
  <c r="K84" i="6"/>
  <c r="N170" i="6"/>
  <c r="K170" i="6"/>
  <c r="N334" i="6"/>
  <c r="K334" i="6"/>
  <c r="N390" i="6"/>
  <c r="K390" i="6"/>
  <c r="K546" i="6"/>
  <c r="N546" i="6"/>
  <c r="N530" i="6"/>
  <c r="K530" i="6"/>
  <c r="N487" i="6"/>
  <c r="K487" i="6"/>
  <c r="N20" i="6"/>
  <c r="K20" i="6"/>
  <c r="J385" i="4"/>
  <c r="J556" i="4"/>
  <c r="J182" i="4"/>
  <c r="N395" i="6"/>
  <c r="K395" i="6"/>
  <c r="N177" i="6"/>
  <c r="K177" i="6"/>
  <c r="J211" i="4"/>
  <c r="K344" i="6"/>
  <c r="N344" i="6"/>
  <c r="N501" i="6"/>
  <c r="K501" i="6"/>
  <c r="N127" i="6"/>
  <c r="K127" i="6"/>
  <c r="J245" i="4"/>
  <c r="N21" i="6"/>
  <c r="K21" i="6"/>
  <c r="N114" i="6"/>
  <c r="K114" i="6"/>
  <c r="J114" i="4"/>
  <c r="J50" i="4"/>
  <c r="N471" i="6"/>
  <c r="K471" i="6"/>
  <c r="N73" i="6"/>
  <c r="K73" i="6"/>
  <c r="J223" i="4"/>
  <c r="N205" i="6"/>
  <c r="K205" i="6"/>
  <c r="N409" i="6"/>
  <c r="K409" i="6"/>
  <c r="N504" i="6"/>
  <c r="K504" i="6"/>
  <c r="N558" i="6"/>
  <c r="K558" i="6"/>
  <c r="N27" i="6"/>
  <c r="K27" i="6"/>
  <c r="N336" i="6"/>
  <c r="K336" i="6"/>
  <c r="N399" i="6"/>
  <c r="K399" i="6"/>
  <c r="J408" i="4"/>
  <c r="N76" i="6"/>
  <c r="K76" i="6"/>
  <c r="J519" i="4"/>
  <c r="J9" i="4"/>
  <c r="J79" i="5"/>
  <c r="K25" i="6"/>
  <c r="N25" i="6"/>
  <c r="N43" i="6"/>
  <c r="K43" i="6"/>
  <c r="N65" i="6"/>
  <c r="K65" i="6"/>
  <c r="N362" i="6"/>
  <c r="K362" i="6"/>
  <c r="J52" i="4"/>
  <c r="J252" i="4"/>
  <c r="J283" i="4"/>
  <c r="J219" i="4"/>
  <c r="J22" i="4"/>
  <c r="J67" i="4"/>
  <c r="K459" i="6"/>
  <c r="N459" i="6"/>
  <c r="N159" i="6"/>
  <c r="K159" i="6"/>
  <c r="K448" i="6"/>
  <c r="N448" i="6"/>
  <c r="J537" i="4"/>
  <c r="J493" i="4"/>
  <c r="J422" i="4"/>
  <c r="K153" i="6"/>
  <c r="N153" i="6"/>
  <c r="J171" i="4"/>
  <c r="J158" i="4"/>
  <c r="J256" i="4"/>
  <c r="J364" i="4"/>
  <c r="K80" i="6"/>
  <c r="N80" i="6"/>
  <c r="N122" i="6"/>
  <c r="K122" i="6"/>
  <c r="J206" i="4"/>
  <c r="N447" i="6"/>
  <c r="K447" i="6"/>
  <c r="J264" i="4"/>
  <c r="N514" i="6"/>
  <c r="K514" i="6"/>
  <c r="J16" i="4"/>
  <c r="J70" i="4"/>
  <c r="J69" i="5"/>
  <c r="K144" i="6"/>
  <c r="N144" i="6"/>
  <c r="K256" i="6"/>
  <c r="N256" i="6"/>
  <c r="J113" i="4"/>
  <c r="J345" i="4"/>
  <c r="N260" i="6"/>
  <c r="K260" i="6"/>
  <c r="J218" i="4"/>
  <c r="J88" i="4"/>
  <c r="N237" i="6"/>
  <c r="K237" i="6"/>
  <c r="N190" i="6"/>
  <c r="K190" i="6"/>
  <c r="K565" i="6"/>
  <c r="N565" i="6"/>
  <c r="N30" i="6"/>
  <c r="K30" i="6"/>
  <c r="J463" i="4"/>
  <c r="N490" i="6"/>
  <c r="K490" i="6"/>
  <c r="N441" i="6"/>
  <c r="K441" i="6"/>
  <c r="J362" i="4"/>
  <c r="N303" i="6"/>
  <c r="K303" i="6"/>
  <c r="J79" i="4"/>
  <c r="N428" i="6"/>
  <c r="K428" i="6"/>
  <c r="K472" i="6"/>
  <c r="N472" i="6"/>
  <c r="J312" i="4"/>
  <c r="J390" i="4"/>
  <c r="N553" i="6"/>
  <c r="K553" i="6"/>
  <c r="N112" i="6"/>
  <c r="K112" i="6"/>
  <c r="N197" i="6"/>
  <c r="K197" i="6"/>
  <c r="N319" i="6"/>
  <c r="K319" i="6"/>
  <c r="K417" i="6"/>
  <c r="N417" i="6"/>
  <c r="J397" i="4"/>
  <c r="K168" i="6"/>
  <c r="N168" i="6"/>
  <c r="N470" i="6"/>
  <c r="K470" i="6"/>
  <c r="N227" i="6"/>
  <c r="K227" i="6"/>
  <c r="N90" i="6"/>
  <c r="K90" i="6"/>
  <c r="N332" i="6"/>
  <c r="K332" i="6"/>
  <c r="N31" i="6"/>
  <c r="K31" i="6"/>
  <c r="N61" i="6"/>
  <c r="K61" i="6"/>
  <c r="N250" i="6"/>
  <c r="K250" i="6"/>
  <c r="N95" i="6"/>
  <c r="K95" i="6"/>
  <c r="N364" i="6"/>
  <c r="K364" i="6"/>
  <c r="N42" i="6"/>
  <c r="K42" i="6"/>
  <c r="K515" i="6"/>
  <c r="N515" i="6"/>
  <c r="N188" i="6"/>
  <c r="K188" i="6"/>
  <c r="N402" i="6"/>
  <c r="K402" i="6"/>
  <c r="N287" i="6"/>
  <c r="K287" i="6"/>
  <c r="N101" i="6"/>
  <c r="K101" i="6"/>
  <c r="K502" i="6"/>
  <c r="N502" i="6"/>
  <c r="N396" i="6"/>
  <c r="K396" i="6"/>
  <c r="K564" i="6"/>
  <c r="N564" i="6"/>
  <c r="N131" i="6"/>
  <c r="K131" i="6"/>
  <c r="N474" i="6"/>
  <c r="K474" i="6"/>
  <c r="K416" i="6"/>
  <c r="N416" i="6"/>
  <c r="N179" i="6"/>
  <c r="K179" i="6"/>
  <c r="N195" i="6"/>
  <c r="K195" i="6"/>
  <c r="N543" i="6"/>
  <c r="K543" i="6"/>
  <c r="N158" i="6"/>
  <c r="K158" i="6"/>
  <c r="N429" i="6"/>
  <c r="K429" i="6"/>
  <c r="N67" i="6"/>
  <c r="K67" i="6"/>
  <c r="N107" i="6"/>
  <c r="K107" i="6"/>
  <c r="N367" i="6"/>
  <c r="K367" i="6"/>
  <c r="J258" i="4"/>
  <c r="J358" i="4"/>
  <c r="J24" i="4"/>
  <c r="N154" i="6"/>
  <c r="K154" i="6"/>
  <c r="K51" i="6"/>
  <c r="N51" i="6"/>
  <c r="N242" i="6"/>
  <c r="K242" i="6"/>
  <c r="J80" i="5"/>
  <c r="J391" i="4"/>
  <c r="J165" i="4"/>
  <c r="J443" i="4"/>
  <c r="N221" i="6"/>
  <c r="K221" i="6"/>
  <c r="N57" i="6"/>
  <c r="K57" i="6"/>
  <c r="N349" i="6"/>
  <c r="K349" i="6"/>
  <c r="J407" i="4"/>
  <c r="J395" i="4"/>
  <c r="K488" i="6"/>
  <c r="N488" i="6"/>
  <c r="N75" i="6"/>
  <c r="K75" i="6"/>
  <c r="N525" i="6"/>
  <c r="K525" i="6"/>
  <c r="N291" i="6"/>
  <c r="K291" i="6"/>
  <c r="K397" i="6"/>
  <c r="N397" i="6"/>
  <c r="N14" i="6"/>
  <c r="K14" i="6"/>
  <c r="N418" i="6"/>
  <c r="K418" i="6"/>
  <c r="N219" i="6"/>
  <c r="K219" i="6"/>
  <c r="N567" i="6"/>
  <c r="K567" i="6"/>
  <c r="N126" i="6"/>
  <c r="K126" i="6"/>
  <c r="J128" i="4"/>
  <c r="K235" i="6"/>
  <c r="N235" i="6"/>
  <c r="N452" i="6"/>
  <c r="K452" i="6"/>
  <c r="N340" i="6"/>
  <c r="K340" i="6"/>
  <c r="N55" i="6"/>
  <c r="K55" i="6"/>
  <c r="N386" i="6"/>
  <c r="K386" i="6"/>
  <c r="N482" i="6"/>
  <c r="K482" i="6"/>
  <c r="J181" i="4"/>
  <c r="J250" i="4"/>
  <c r="N91" i="6"/>
  <c r="K91" i="6"/>
  <c r="N422" i="6"/>
  <c r="K422" i="6"/>
  <c r="K48" i="6"/>
  <c r="N48" i="6"/>
  <c r="N568" i="6"/>
  <c r="K568" i="6"/>
  <c r="N313" i="6"/>
  <c r="K313" i="6"/>
  <c r="N339" i="6"/>
  <c r="K339" i="6"/>
  <c r="N359" i="6"/>
  <c r="K359" i="6"/>
  <c r="J315" i="4"/>
  <c r="J372" i="4"/>
  <c r="N276" i="6"/>
  <c r="K276" i="6"/>
  <c r="N64" i="6"/>
  <c r="K64" i="6"/>
  <c r="N496" i="6"/>
  <c r="K496" i="6"/>
  <c r="J236" i="4"/>
  <c r="N316" i="6"/>
  <c r="K316" i="6"/>
  <c r="N24" i="6"/>
  <c r="K24" i="6"/>
  <c r="N220" i="6"/>
  <c r="K220" i="6"/>
  <c r="N282" i="6"/>
  <c r="K282" i="6"/>
  <c r="N152" i="6"/>
  <c r="K152" i="6"/>
  <c r="N180" i="6"/>
  <c r="K180" i="6"/>
  <c r="N304" i="6"/>
  <c r="K304" i="6"/>
  <c r="N493" i="6"/>
  <c r="K493" i="6"/>
  <c r="N130" i="6"/>
  <c r="K130" i="6"/>
  <c r="J478" i="4"/>
  <c r="N218" i="6"/>
  <c r="K218" i="6"/>
  <c r="N175" i="6"/>
  <c r="K175" i="6"/>
  <c r="K243" i="6"/>
  <c r="N243" i="6"/>
  <c r="J255" i="4"/>
  <c r="J263" i="4"/>
  <c r="J351" i="4"/>
  <c r="N97" i="6"/>
  <c r="K97" i="6"/>
  <c r="K360" i="6"/>
  <c r="N360" i="6"/>
  <c r="J249" i="4"/>
  <c r="J344" i="4"/>
  <c r="N507" i="6"/>
  <c r="K507" i="6"/>
  <c r="J523" i="4"/>
  <c r="J410" i="4"/>
  <c r="N225" i="6"/>
  <c r="K225" i="6"/>
  <c r="J102" i="4"/>
  <c r="N401" i="6"/>
  <c r="K401" i="6"/>
  <c r="N37" i="6"/>
  <c r="K37" i="6"/>
  <c r="N178" i="6"/>
  <c r="K178" i="6"/>
  <c r="N533" i="6"/>
  <c r="K533" i="6"/>
  <c r="J404" i="4"/>
  <c r="J542" i="4"/>
  <c r="N164" i="6"/>
  <c r="K164" i="6"/>
  <c r="N370" i="6"/>
  <c r="K370" i="6"/>
  <c r="N529" i="6"/>
  <c r="K529" i="6"/>
  <c r="J548" i="4"/>
  <c r="N216" i="6"/>
  <c r="K216" i="6"/>
  <c r="J39" i="4"/>
  <c r="J386" i="4"/>
  <c r="J83" i="4"/>
  <c r="J522" i="4"/>
  <c r="J439" i="4"/>
  <c r="J53" i="5"/>
  <c r="J458" i="4"/>
  <c r="N337" i="6"/>
  <c r="K337" i="6"/>
  <c r="N215" i="6"/>
  <c r="K215" i="6"/>
  <c r="N233" i="6"/>
  <c r="K233" i="6"/>
  <c r="N155" i="6"/>
  <c r="K155" i="6"/>
  <c r="N503" i="6"/>
  <c r="K503" i="6"/>
  <c r="N537" i="6"/>
  <c r="K537" i="6"/>
  <c r="N468" i="6"/>
  <c r="K468" i="6"/>
  <c r="N455" i="6"/>
  <c r="K455" i="6"/>
  <c r="J361" i="4"/>
  <c r="J74" i="5"/>
  <c r="N288" i="6"/>
  <c r="K288" i="6"/>
  <c r="N562" i="6"/>
  <c r="K562" i="6"/>
  <c r="N308" i="6"/>
  <c r="K308" i="6"/>
  <c r="N239" i="6"/>
  <c r="K239" i="6"/>
  <c r="N208" i="6"/>
  <c r="K208" i="6"/>
  <c r="J565" i="4"/>
  <c r="N29" i="6"/>
  <c r="K29" i="6"/>
  <c r="N108" i="6"/>
  <c r="K108" i="6"/>
  <c r="J66" i="4"/>
  <c r="N138" i="6"/>
  <c r="K138" i="6"/>
  <c r="N49" i="6"/>
  <c r="K49" i="6"/>
  <c r="N292" i="6"/>
  <c r="K292" i="6"/>
  <c r="N440" i="6"/>
  <c r="K440" i="6"/>
  <c r="N251" i="6"/>
  <c r="K251" i="6"/>
  <c r="J46" i="4"/>
  <c r="J91" i="4"/>
  <c r="N63" i="6"/>
  <c r="K63" i="6"/>
  <c r="K547" i="6"/>
  <c r="N547" i="6"/>
  <c r="J532" i="4"/>
  <c r="J538" i="4"/>
  <c r="N351" i="6"/>
  <c r="K351" i="6"/>
  <c r="N389" i="6"/>
  <c r="K389" i="6"/>
  <c r="N566" i="6"/>
  <c r="K566" i="6"/>
  <c r="J52" i="5"/>
  <c r="K419" i="6"/>
  <c r="N419" i="6"/>
  <c r="N39" i="6"/>
  <c r="K39" i="6"/>
  <c r="N376" i="6"/>
  <c r="K376" i="6"/>
  <c r="J121" i="4"/>
  <c r="J374" i="4"/>
  <c r="N45" i="6"/>
  <c r="K45" i="6"/>
  <c r="N202" i="6"/>
  <c r="K202" i="6"/>
  <c r="N222" i="6"/>
  <c r="K222" i="6"/>
  <c r="J149" i="4"/>
  <c r="J196" i="4"/>
  <c r="N357" i="6"/>
  <c r="K357" i="6"/>
  <c r="N253" i="6"/>
  <c r="K253" i="6"/>
  <c r="N555" i="6"/>
  <c r="K555" i="6"/>
  <c r="N81" i="6"/>
  <c r="K81" i="6"/>
  <c r="N77" i="6"/>
  <c r="K77" i="6"/>
  <c r="N298" i="6"/>
  <c r="K298" i="6"/>
  <c r="K296" i="6"/>
  <c r="N296" i="6"/>
  <c r="J238" i="4"/>
  <c r="N252" i="6"/>
  <c r="K252" i="6"/>
  <c r="N380" i="6"/>
  <c r="K380" i="6"/>
  <c r="N32" i="6"/>
  <c r="K32" i="6"/>
  <c r="K214" i="6"/>
  <c r="N214" i="6"/>
  <c r="J441" i="4"/>
  <c r="J92" i="4"/>
  <c r="N293" i="6"/>
  <c r="K293" i="6"/>
  <c r="K366" i="6"/>
  <c r="N366" i="6"/>
  <c r="N109" i="6"/>
  <c r="K109" i="6"/>
  <c r="N510" i="6"/>
  <c r="K510" i="6"/>
  <c r="N552" i="6"/>
  <c r="K552" i="6"/>
  <c r="J98" i="4"/>
  <c r="N323" i="6"/>
  <c r="K323" i="6"/>
  <c r="N150" i="6"/>
  <c r="K150" i="6"/>
  <c r="N228" i="6"/>
  <c r="K228" i="6"/>
  <c r="J109" i="4"/>
  <c r="J502" i="4"/>
  <c r="N387" i="6"/>
  <c r="K387" i="6"/>
  <c r="N540" i="6"/>
  <c r="K540" i="6"/>
  <c r="J570" i="4"/>
  <c r="N352" i="6"/>
  <c r="K352" i="6"/>
  <c r="J195" i="4"/>
  <c r="K368" i="6"/>
  <c r="N368" i="6"/>
  <c r="N121" i="6"/>
  <c r="K121" i="6"/>
  <c r="J559" i="4"/>
  <c r="N142" i="6"/>
  <c r="K142" i="6"/>
  <c r="N160" i="6"/>
  <c r="K160" i="6"/>
  <c r="J30" i="4"/>
  <c r="J332" i="4"/>
  <c r="K413" i="6"/>
  <c r="N413" i="6"/>
  <c r="N234" i="6"/>
  <c r="K234" i="6"/>
  <c r="N312" i="6"/>
  <c r="K312" i="6"/>
  <c r="N411" i="6"/>
  <c r="K411" i="6"/>
  <c r="N15" i="6"/>
  <c r="K15" i="6"/>
  <c r="N330" i="6"/>
  <c r="K330" i="6"/>
  <c r="N53" i="6"/>
  <c r="K53" i="6"/>
  <c r="N226" i="6"/>
  <c r="K226" i="6"/>
  <c r="K415" i="6"/>
  <c r="N415" i="6"/>
  <c r="K283" i="6"/>
  <c r="N283" i="6"/>
  <c r="N193" i="6"/>
  <c r="K193" i="6"/>
  <c r="N94" i="6"/>
  <c r="K94" i="6"/>
  <c r="K481" i="6"/>
  <c r="N481" i="6"/>
  <c r="N268" i="6"/>
  <c r="K268" i="6"/>
  <c r="K123" i="6"/>
  <c r="N123" i="6"/>
  <c r="K464" i="6"/>
  <c r="N464" i="6"/>
  <c r="N385" i="6"/>
  <c r="K385" i="6"/>
  <c r="K40" i="6"/>
  <c r="N40" i="6"/>
  <c r="N44" i="6"/>
  <c r="K44" i="6"/>
  <c r="N50" i="6"/>
  <c r="K50" i="6"/>
  <c r="N34" i="6"/>
  <c r="K34" i="6"/>
  <c r="N516" i="6"/>
  <c r="K516" i="6"/>
  <c r="N353" i="6"/>
  <c r="K353" i="6"/>
  <c r="N442" i="6"/>
  <c r="K442" i="6"/>
  <c r="N446" i="6"/>
  <c r="K446" i="6"/>
  <c r="N17" i="6"/>
  <c r="K17" i="6"/>
  <c r="N511" i="6"/>
  <c r="K511" i="6"/>
  <c r="N437" i="6"/>
  <c r="K437" i="6"/>
  <c r="J531" i="4"/>
  <c r="N392" i="6"/>
  <c r="K392" i="6"/>
  <c r="N318" i="6"/>
  <c r="K318" i="6"/>
  <c r="N300" i="6"/>
  <c r="K300" i="6"/>
  <c r="N538" i="6"/>
  <c r="K538" i="6"/>
  <c r="N480" i="6"/>
  <c r="K480" i="6"/>
  <c r="N54" i="6"/>
  <c r="K54" i="6"/>
  <c r="N136" i="6"/>
  <c r="K136" i="6"/>
  <c r="K435" i="6"/>
  <c r="N435" i="6"/>
  <c r="K217" i="6"/>
  <c r="N217" i="6"/>
  <c r="N484" i="6"/>
  <c r="K484" i="6"/>
  <c r="N19" i="6"/>
  <c r="K19" i="6"/>
  <c r="K272" i="6"/>
  <c r="N272" i="6"/>
  <c r="J428" i="4"/>
  <c r="L12" i="7"/>
  <c r="S12" i="7"/>
  <c r="I12" i="7"/>
  <c r="J60" i="4"/>
  <c r="J290" i="4"/>
  <c r="J483" i="4"/>
  <c r="N427" i="6"/>
  <c r="K427" i="6"/>
  <c r="N102" i="6"/>
  <c r="K102" i="6"/>
  <c r="J427" i="4"/>
  <c r="N229" i="6"/>
  <c r="K229" i="6"/>
  <c r="N509" i="6"/>
  <c r="K509" i="6"/>
  <c r="K297" i="6"/>
  <c r="N297" i="6"/>
  <c r="J104" i="4"/>
  <c r="J447" i="4"/>
  <c r="J298" i="4"/>
  <c r="J430" i="4"/>
  <c r="K445" i="6"/>
  <c r="N445" i="6"/>
  <c r="J510" i="4"/>
  <c r="N356" i="6"/>
  <c r="K356" i="6"/>
  <c r="N18" i="6"/>
  <c r="K18" i="6"/>
  <c r="N497" i="6"/>
  <c r="K497" i="6"/>
  <c r="K198" i="6"/>
  <c r="N198" i="6"/>
  <c r="J275" i="4"/>
  <c r="J273" i="4"/>
  <c r="J511" i="4"/>
  <c r="N28" i="6"/>
  <c r="K28" i="6"/>
  <c r="J35" i="4"/>
  <c r="K139" i="6"/>
  <c r="N139" i="6"/>
  <c r="N26" i="6"/>
  <c r="K26" i="6"/>
  <c r="N182" i="6"/>
  <c r="K182" i="6"/>
  <c r="J270" i="4"/>
  <c r="N209" i="6"/>
  <c r="K209" i="6"/>
  <c r="J220" i="4"/>
  <c r="K347" i="6"/>
  <c r="N347" i="6"/>
  <c r="N369" i="6"/>
  <c r="K369" i="6"/>
  <c r="N302" i="6"/>
  <c r="K302" i="6"/>
  <c r="J563" i="4"/>
  <c r="J507" i="4"/>
  <c r="K171" i="6"/>
  <c r="N171" i="6"/>
  <c r="C24" i="18"/>
  <c r="T13" i="7"/>
  <c r="C25" i="18"/>
  <c r="T14" i="7"/>
  <c r="T12" i="7"/>
  <c r="C23" i="18"/>
  <c r="B44" i="26"/>
  <c r="D43" i="17"/>
  <c r="B45" i="28"/>
  <c r="B199" i="10"/>
  <c r="B12" i="18"/>
  <c r="S7" i="5"/>
  <c r="S7" i="4"/>
  <c r="T7" i="6"/>
  <c r="Q7" i="5"/>
  <c r="Q7" i="4"/>
  <c r="R7" i="6"/>
  <c r="O7" i="5"/>
  <c r="P7" i="6"/>
  <c r="O7" i="4"/>
  <c r="S7" i="6"/>
  <c r="R7" i="4"/>
  <c r="R7" i="5"/>
  <c r="R48" i="5"/>
  <c r="R58" i="5"/>
  <c r="R55" i="5"/>
  <c r="R45" i="5"/>
  <c r="R75" i="5"/>
  <c r="R64" i="5"/>
  <c r="R63" i="5"/>
  <c r="R74" i="5"/>
  <c r="R22" i="5"/>
  <c r="R26" i="5"/>
  <c r="R78" i="5"/>
  <c r="R32" i="5"/>
  <c r="R66" i="5"/>
  <c r="R52" i="5"/>
  <c r="R77" i="5"/>
  <c r="R25" i="5"/>
  <c r="R53" i="5"/>
  <c r="R31" i="5"/>
  <c r="R50" i="5"/>
  <c r="R38" i="5"/>
  <c r="R36" i="5"/>
  <c r="R11" i="5"/>
  <c r="R37" i="5"/>
  <c r="R39" i="5"/>
  <c r="R44" i="5"/>
  <c r="R76" i="5"/>
  <c r="R29" i="5"/>
  <c r="R72" i="5"/>
  <c r="R20" i="5"/>
  <c r="R18" i="5"/>
  <c r="R40" i="5"/>
  <c r="R34" i="5"/>
  <c r="R46" i="5"/>
  <c r="R21" i="5"/>
  <c r="R27" i="5"/>
  <c r="R70" i="5"/>
  <c r="R12" i="5"/>
  <c r="R43" i="5"/>
  <c r="R30" i="5"/>
  <c r="R62" i="5"/>
  <c r="R15" i="5"/>
  <c r="R56" i="5"/>
  <c r="R23" i="5"/>
  <c r="R42" i="5"/>
  <c r="R80" i="5"/>
  <c r="R73" i="5"/>
  <c r="R41" i="5"/>
  <c r="R65" i="5"/>
  <c r="R79" i="5"/>
  <c r="R13" i="5"/>
  <c r="R14" i="5"/>
  <c r="R19" i="5"/>
  <c r="R17" i="5"/>
  <c r="R24" i="5"/>
  <c r="R59" i="5"/>
  <c r="R69" i="5"/>
  <c r="R61" i="5"/>
  <c r="R47" i="5"/>
  <c r="R71" i="5"/>
  <c r="R49" i="5"/>
  <c r="R35" i="5"/>
  <c r="R68" i="5"/>
  <c r="R60" i="5"/>
  <c r="R10" i="5"/>
  <c r="R51" i="5"/>
  <c r="R33" i="5"/>
  <c r="R67" i="5"/>
  <c r="R57" i="5"/>
  <c r="R54" i="5"/>
  <c r="R28" i="5"/>
  <c r="R9" i="5"/>
  <c r="R16" i="5"/>
  <c r="R525" i="4"/>
  <c r="R416" i="4"/>
  <c r="R22" i="4"/>
  <c r="R181" i="4"/>
  <c r="R437" i="4"/>
  <c r="R205" i="4"/>
  <c r="R533" i="4"/>
  <c r="R46" i="4"/>
  <c r="R141" i="4"/>
  <c r="R137" i="4"/>
  <c r="R460" i="4"/>
  <c r="R60" i="4"/>
  <c r="R39" i="4"/>
  <c r="R63" i="4"/>
  <c r="R497" i="4"/>
  <c r="R217" i="4"/>
  <c r="R249" i="4"/>
  <c r="R196" i="4"/>
  <c r="R426" i="4"/>
  <c r="R386" i="4"/>
  <c r="R288" i="4"/>
  <c r="R556" i="4"/>
  <c r="R135" i="4"/>
  <c r="R265" i="4"/>
  <c r="R232" i="4"/>
  <c r="R316" i="4"/>
  <c r="R409" i="4"/>
  <c r="R442" i="4"/>
  <c r="R236" i="4"/>
  <c r="R384" i="4"/>
  <c r="R481" i="4"/>
  <c r="R297" i="4"/>
  <c r="R430" i="4"/>
  <c r="R211" i="4"/>
  <c r="R66" i="4"/>
  <c r="R310" i="4"/>
  <c r="R512" i="4"/>
  <c r="R514" i="4"/>
  <c r="R257" i="4"/>
  <c r="R167" i="4"/>
  <c r="R234" i="4"/>
  <c r="R222" i="4"/>
  <c r="R403" i="4"/>
  <c r="R275" i="4"/>
  <c r="R246" i="4"/>
  <c r="R457" i="4"/>
  <c r="R559" i="4"/>
  <c r="R315" i="4"/>
  <c r="R366" i="4"/>
  <c r="R285" i="4"/>
  <c r="R358" i="4"/>
  <c r="R483" i="4"/>
  <c r="R470" i="4"/>
  <c r="R423" i="4"/>
  <c r="R341" i="4"/>
  <c r="R44" i="4"/>
  <c r="R294" i="4"/>
  <c r="R435" i="4"/>
  <c r="R534" i="4"/>
  <c r="R213" i="4"/>
  <c r="R311" i="4"/>
  <c r="R370" i="4"/>
  <c r="R145" i="4"/>
  <c r="R27" i="4"/>
  <c r="R380" i="4"/>
  <c r="R413" i="4"/>
  <c r="R151" i="4"/>
  <c r="R326" i="4"/>
  <c r="R405" i="4"/>
  <c r="R116" i="4"/>
  <c r="R59" i="4"/>
  <c r="R312" i="4"/>
  <c r="R570" i="4"/>
  <c r="R490" i="4"/>
  <c r="R538" i="4"/>
  <c r="R226" i="4"/>
  <c r="R21" i="4"/>
  <c r="R123" i="4"/>
  <c r="R392" i="4"/>
  <c r="R292" i="4"/>
  <c r="R237" i="4"/>
  <c r="R328" i="4"/>
  <c r="R239" i="4"/>
  <c r="R71" i="4"/>
  <c r="R159" i="4"/>
  <c r="R454" i="4"/>
  <c r="R186" i="4"/>
  <c r="R68" i="4"/>
  <c r="R223" i="4"/>
  <c r="R456" i="4"/>
  <c r="R290" i="4"/>
  <c r="R391" i="4"/>
  <c r="R45" i="4"/>
  <c r="R568" i="4"/>
  <c r="R425" i="4"/>
  <c r="R227" i="4"/>
  <c r="R381" i="4"/>
  <c r="R540" i="4"/>
  <c r="R75" i="4"/>
  <c r="R449" i="4"/>
  <c r="R334" i="4"/>
  <c r="R323" i="4"/>
  <c r="R78" i="4"/>
  <c r="R551" i="4"/>
  <c r="R212" i="4"/>
  <c r="R247" i="4"/>
  <c r="R53" i="4"/>
  <c r="R505" i="4"/>
  <c r="R171" i="4"/>
  <c r="R515" i="4"/>
  <c r="R31" i="4"/>
  <c r="R189" i="4"/>
  <c r="R484" i="4"/>
  <c r="R523" i="4"/>
  <c r="R89" i="4"/>
  <c r="R464" i="4"/>
  <c r="R267" i="4"/>
  <c r="R208" i="4"/>
  <c r="R67" i="4"/>
  <c r="R61" i="4"/>
  <c r="R375" i="4"/>
  <c r="R97" i="4"/>
  <c r="R190" i="4"/>
  <c r="R40" i="4"/>
  <c r="R197" i="4"/>
  <c r="R355" i="4"/>
  <c r="R446" i="4"/>
  <c r="R256" i="4"/>
  <c r="R182" i="4"/>
  <c r="R474" i="4"/>
  <c r="R79" i="4"/>
  <c r="R219" i="4"/>
  <c r="R142" i="4"/>
  <c r="R333" i="4"/>
  <c r="R272" i="4"/>
  <c r="R343" i="4"/>
  <c r="R504" i="4"/>
  <c r="R72" i="4"/>
  <c r="R17" i="4"/>
  <c r="R420" i="4"/>
  <c r="R508" i="4"/>
  <c r="R398" i="4"/>
  <c r="R50" i="4"/>
  <c r="R153" i="4"/>
  <c r="R144" i="4"/>
  <c r="R399" i="4"/>
  <c r="R96" i="4"/>
  <c r="R134" i="4"/>
  <c r="R274" i="4"/>
  <c r="R479" i="4"/>
  <c r="R346" i="4"/>
  <c r="R264" i="4"/>
  <c r="R80" i="4"/>
  <c r="R242" i="4"/>
  <c r="R158" i="4"/>
  <c r="R553" i="4"/>
  <c r="R419" i="4"/>
  <c r="R287" i="4"/>
  <c r="R360" i="4"/>
  <c r="R511" i="4"/>
  <c r="R378" i="4"/>
  <c r="R369" i="4"/>
  <c r="R34" i="4"/>
  <c r="R23" i="4"/>
  <c r="R428" i="4"/>
  <c r="R271" i="4"/>
  <c r="R462" i="4"/>
  <c r="R348" i="4"/>
  <c r="R177" i="4"/>
  <c r="R279" i="4"/>
  <c r="R458" i="4"/>
  <c r="R90" i="4"/>
  <c r="R47" i="4"/>
  <c r="R86" i="4"/>
  <c r="R289" i="4"/>
  <c r="R129" i="4"/>
  <c r="R347" i="4"/>
  <c r="R108" i="4"/>
  <c r="R261" i="4"/>
  <c r="R216" i="4"/>
  <c r="R550" i="4"/>
  <c r="R174" i="4"/>
  <c r="R299" i="4"/>
  <c r="R194" i="4"/>
  <c r="R254" i="4"/>
  <c r="R65" i="4"/>
  <c r="R160" i="4"/>
  <c r="R382" i="4"/>
  <c r="R496" i="4"/>
  <c r="R390" i="4"/>
  <c r="R569" i="4"/>
  <c r="R445" i="4"/>
  <c r="R263" i="4"/>
  <c r="R542" i="4"/>
  <c r="R276" i="4"/>
  <c r="R383" i="4"/>
  <c r="R389" i="4"/>
  <c r="R408" i="4"/>
  <c r="R94" i="4"/>
  <c r="R330" i="4"/>
  <c r="R192" i="4"/>
  <c r="R214" i="4"/>
  <c r="R393" i="4"/>
  <c r="R406" i="4"/>
  <c r="R149" i="4"/>
  <c r="R104" i="4"/>
  <c r="R300" i="4"/>
  <c r="R126" i="4"/>
  <c r="R165" i="4"/>
  <c r="R15" i="4"/>
  <c r="R207" i="4"/>
  <c r="R410" i="4"/>
  <c r="R372" i="4"/>
  <c r="R491" i="4"/>
  <c r="R77" i="4"/>
  <c r="R18" i="4"/>
  <c r="R251" i="4"/>
  <c r="R461" i="4"/>
  <c r="R385" i="4"/>
  <c r="R339" i="4"/>
  <c r="R373" i="4"/>
  <c r="R139" i="4"/>
  <c r="R441" i="4"/>
  <c r="R388" i="4"/>
  <c r="R161" i="4"/>
  <c r="R176" i="4"/>
  <c r="R19" i="4"/>
  <c r="R561" i="4"/>
  <c r="R535" i="4"/>
  <c r="R35" i="4"/>
  <c r="R338" i="4"/>
  <c r="R374" i="4"/>
  <c r="R258" i="4"/>
  <c r="R439" i="4"/>
  <c r="R507" i="4"/>
  <c r="R199" i="4"/>
  <c r="R562" i="4"/>
  <c r="R175" i="4"/>
  <c r="R184" i="4"/>
  <c r="R499" i="4"/>
  <c r="R531" i="4"/>
  <c r="R102" i="4"/>
  <c r="R12" i="4"/>
  <c r="R306" i="4"/>
  <c r="R83" i="4"/>
  <c r="R24" i="4"/>
  <c r="R124" i="4"/>
  <c r="R303" i="4"/>
  <c r="R549" i="4"/>
  <c r="R143" i="4"/>
  <c r="R225" i="4"/>
  <c r="R210" i="4"/>
  <c r="R529" i="4"/>
  <c r="R379" i="4"/>
  <c r="R224" i="4"/>
  <c r="R191" i="4"/>
  <c r="R415" i="4"/>
  <c r="R546" i="4"/>
  <c r="R25" i="4"/>
  <c r="R327" i="4"/>
  <c r="R519" i="4"/>
  <c r="R147" i="4"/>
  <c r="R417" i="4"/>
  <c r="R93" i="4"/>
  <c r="R69" i="4"/>
  <c r="R195" i="4"/>
  <c r="R547" i="4"/>
  <c r="R376" i="4"/>
  <c r="R283" i="4"/>
  <c r="R244" i="4"/>
  <c r="R537" i="4"/>
  <c r="R117" i="4"/>
  <c r="R43" i="4"/>
  <c r="R64" i="4"/>
  <c r="R475" i="4"/>
  <c r="R282" i="4"/>
  <c r="R432" i="4"/>
  <c r="R363" i="4"/>
  <c r="R74" i="4"/>
  <c r="R395" i="4"/>
  <c r="R164" i="4"/>
  <c r="R296" i="4"/>
  <c r="R548" i="4"/>
  <c r="R494" i="4"/>
  <c r="R325" i="4"/>
  <c r="R354" i="4"/>
  <c r="R231" i="4"/>
  <c r="R503" i="4"/>
  <c r="R557" i="4"/>
  <c r="R331" i="4"/>
  <c r="R187" i="4"/>
  <c r="R109" i="4"/>
  <c r="R172" i="4"/>
  <c r="R131" i="4"/>
  <c r="R221" i="4"/>
  <c r="R443" i="4"/>
  <c r="R528" i="4"/>
  <c r="R400" i="4"/>
  <c r="R10" i="4"/>
  <c r="R469" i="4"/>
  <c r="R536" i="4"/>
  <c r="R510" i="4"/>
  <c r="R269" i="4"/>
  <c r="R215" i="4"/>
  <c r="R110" i="4"/>
  <c r="R513" i="4"/>
  <c r="R240" i="4"/>
  <c r="R302" i="4"/>
  <c r="R351" i="4"/>
  <c r="R336" i="4"/>
  <c r="R286" i="4"/>
  <c r="R407" i="4"/>
  <c r="R92" i="4"/>
  <c r="R266" i="4"/>
  <c r="R201" i="4"/>
  <c r="R314" i="4"/>
  <c r="R422" i="4"/>
  <c r="R563" i="4"/>
  <c r="R51" i="4"/>
  <c r="R99" i="4"/>
  <c r="R530" i="4"/>
  <c r="R41" i="4"/>
  <c r="R473" i="4"/>
  <c r="R402" i="4"/>
  <c r="R82" i="4"/>
  <c r="R352" i="4"/>
  <c r="R178" i="4"/>
  <c r="R107" i="4"/>
  <c r="R180" i="4"/>
  <c r="R436" i="4"/>
  <c r="R95" i="4"/>
  <c r="R185" i="4"/>
  <c r="R501" i="4"/>
  <c r="R81" i="4"/>
  <c r="R344" i="4"/>
  <c r="R301" i="4"/>
  <c r="R522" i="4"/>
  <c r="R394" i="4"/>
  <c r="R558" i="4"/>
  <c r="R202" i="4"/>
  <c r="R76" i="4"/>
  <c r="R466" i="4"/>
  <c r="R162" i="4"/>
  <c r="R173" i="4"/>
  <c r="R564" i="4"/>
  <c r="R545" i="4"/>
  <c r="R560" i="4"/>
  <c r="R32" i="4"/>
  <c r="R359" i="4"/>
  <c r="R320" i="4"/>
  <c r="R520" i="4"/>
  <c r="R477" i="4"/>
  <c r="R492" i="4"/>
  <c r="R509" i="4"/>
  <c r="R88" i="4"/>
  <c r="R48" i="4"/>
  <c r="R309" i="4"/>
  <c r="R495" i="4"/>
  <c r="R38" i="4"/>
  <c r="R304" i="4"/>
  <c r="R281" i="4"/>
  <c r="R105" i="4"/>
  <c r="R396" i="4"/>
  <c r="R268" i="4"/>
  <c r="R140" i="4"/>
  <c r="R471" i="4"/>
  <c r="R155" i="4"/>
  <c r="R73" i="4"/>
  <c r="R411" i="4"/>
  <c r="R125" i="4"/>
  <c r="R377" i="4"/>
  <c r="R204" i="4"/>
  <c r="R52" i="4"/>
  <c r="R146" i="4"/>
  <c r="R552" i="4"/>
  <c r="R459" i="4"/>
  <c r="R465" i="4"/>
  <c r="R111" i="4"/>
  <c r="R502" i="4"/>
  <c r="R128" i="4"/>
  <c r="R122" i="4"/>
  <c r="R455" i="4"/>
  <c r="R193" i="4"/>
  <c r="R517" i="4"/>
  <c r="R526" i="4"/>
  <c r="R434" i="4"/>
  <c r="R26" i="4"/>
  <c r="R168" i="4"/>
  <c r="R340" i="4"/>
  <c r="R148" i="4"/>
  <c r="R298" i="4"/>
  <c r="R121" i="4"/>
  <c r="R404" i="4"/>
  <c r="R433" i="4"/>
  <c r="R163" i="4"/>
  <c r="R253" i="4"/>
  <c r="R203" i="4"/>
  <c r="R54" i="4"/>
  <c r="R119" i="4"/>
  <c r="R235" i="4"/>
  <c r="R565" i="4"/>
  <c r="R9" i="4"/>
  <c r="R356" i="4"/>
  <c r="R387" i="4"/>
  <c r="R250" i="4"/>
  <c r="R70" i="4"/>
  <c r="R220" i="4"/>
  <c r="R112" i="4"/>
  <c r="R152" i="4"/>
  <c r="R262" i="4"/>
  <c r="R229" i="4"/>
  <c r="R397" i="4"/>
  <c r="R132" i="4"/>
  <c r="R305" i="4"/>
  <c r="R169" i="4"/>
  <c r="R238" i="4"/>
  <c r="R357" i="4"/>
  <c r="R91" i="4"/>
  <c r="R120" i="4"/>
  <c r="R322" i="4"/>
  <c r="R98" i="4"/>
  <c r="R259" i="4"/>
  <c r="R367" i="4"/>
  <c r="R566" i="4"/>
  <c r="R55" i="4"/>
  <c r="R447" i="4"/>
  <c r="R49" i="4"/>
  <c r="R138" i="4"/>
  <c r="R506" i="4"/>
  <c r="R313" i="4"/>
  <c r="R255" i="4"/>
  <c r="R555" i="4"/>
  <c r="R233" i="4"/>
  <c r="R245" i="4"/>
  <c r="R493" i="4"/>
  <c r="R200" i="4"/>
  <c r="R228" i="4"/>
  <c r="R87" i="4"/>
  <c r="R444" i="4"/>
  <c r="R307" i="4"/>
  <c r="R33" i="4"/>
  <c r="R260" i="4"/>
  <c r="R472" i="4"/>
  <c r="R324" i="4"/>
  <c r="R157" i="4"/>
  <c r="R100" i="4"/>
  <c r="R488" i="4"/>
  <c r="R308" i="4"/>
  <c r="R478" i="4"/>
  <c r="R114" i="4"/>
  <c r="R29" i="4"/>
  <c r="R342" i="4"/>
  <c r="R451" i="4"/>
  <c r="R567" i="4"/>
  <c r="R166" i="4"/>
  <c r="R353" i="4"/>
  <c r="R486" i="4"/>
  <c r="R541" i="4"/>
  <c r="R115" i="4"/>
  <c r="R62" i="4"/>
  <c r="R539" i="4"/>
  <c r="R277" i="4"/>
  <c r="R476" i="4"/>
  <c r="R206" i="4"/>
  <c r="R532" i="4"/>
  <c r="R230" i="4"/>
  <c r="R241" i="4"/>
  <c r="R130" i="4"/>
  <c r="R136" i="4"/>
  <c r="R429" i="4"/>
  <c r="R516" i="4"/>
  <c r="R482" i="4"/>
  <c r="R284" i="4"/>
  <c r="R321" i="4"/>
  <c r="R371" i="4"/>
  <c r="R156" i="4"/>
  <c r="R527" i="4"/>
  <c r="R248" i="4"/>
  <c r="R209" i="4"/>
  <c r="R188" i="4"/>
  <c r="R467" i="4"/>
  <c r="R544" i="4"/>
  <c r="R56" i="4"/>
  <c r="R57" i="4"/>
  <c r="R106" i="4"/>
  <c r="R218" i="4"/>
  <c r="R37" i="4"/>
  <c r="R170" i="4"/>
  <c r="R485" i="4"/>
  <c r="R273" i="4"/>
  <c r="R85" i="4"/>
  <c r="R329" i="4"/>
  <c r="R489" i="4"/>
  <c r="R243" i="4"/>
  <c r="R42" i="4"/>
  <c r="R412" i="4"/>
  <c r="R349" i="4"/>
  <c r="R431" i="4"/>
  <c r="R154" i="4"/>
  <c r="R543" i="4"/>
  <c r="R133" i="4"/>
  <c r="R252" i="4"/>
  <c r="R452" i="4"/>
  <c r="R20" i="4"/>
  <c r="R113" i="4"/>
  <c r="R270" i="4"/>
  <c r="R150" i="4"/>
  <c r="R463" i="4"/>
  <c r="R401" i="4"/>
  <c r="R438" i="4"/>
  <c r="R317" i="4"/>
  <c r="R198" i="4"/>
  <c r="R295" i="4"/>
  <c r="R28" i="4"/>
  <c r="R365" i="4"/>
  <c r="R335" i="4"/>
  <c r="R500" i="4"/>
  <c r="R291" i="4"/>
  <c r="R14" i="4"/>
  <c r="R337" i="4"/>
  <c r="R364" i="4"/>
  <c r="R118" i="4"/>
  <c r="R498" i="4"/>
  <c r="R418" i="4"/>
  <c r="R179" i="4"/>
  <c r="R13" i="4"/>
  <c r="R103" i="4"/>
  <c r="R480" i="4"/>
  <c r="R453" i="4"/>
  <c r="R350" i="4"/>
  <c r="R30" i="4"/>
  <c r="R11" i="4"/>
  <c r="R183" i="4"/>
  <c r="R521" i="4"/>
  <c r="R345" i="4"/>
  <c r="R518" i="4"/>
  <c r="R293" i="4"/>
  <c r="R421" i="4"/>
  <c r="R450" i="4"/>
  <c r="R424" i="4"/>
  <c r="R554" i="4"/>
  <c r="R361" i="4"/>
  <c r="R468" i="4"/>
  <c r="R319" i="4"/>
  <c r="R487" i="4"/>
  <c r="R440" i="4"/>
  <c r="R414" i="4"/>
  <c r="R362" i="4"/>
  <c r="R36" i="4"/>
  <c r="R524" i="4"/>
  <c r="R448" i="4"/>
  <c r="R280" i="4"/>
  <c r="R16" i="4"/>
  <c r="R332" i="4"/>
  <c r="R101" i="4"/>
  <c r="R318" i="4"/>
  <c r="R58" i="4"/>
  <c r="R278" i="4"/>
  <c r="R84" i="4"/>
  <c r="R427" i="4"/>
  <c r="R127" i="4"/>
  <c r="R368" i="4"/>
  <c r="S116" i="6"/>
  <c r="S514" i="6"/>
  <c r="S553" i="6"/>
  <c r="S256" i="6"/>
  <c r="S123" i="6"/>
  <c r="S499" i="6"/>
  <c r="S236" i="6"/>
  <c r="S21" i="6"/>
  <c r="S72" i="6"/>
  <c r="S351" i="6"/>
  <c r="S95" i="6"/>
  <c r="S117" i="6"/>
  <c r="S386" i="6"/>
  <c r="S465" i="6"/>
  <c r="S222" i="6"/>
  <c r="S502" i="6"/>
  <c r="S334" i="6"/>
  <c r="S231" i="6"/>
  <c r="S284" i="6"/>
  <c r="S551" i="6"/>
  <c r="S331" i="6"/>
  <c r="S432" i="6"/>
  <c r="S434" i="6"/>
  <c r="S282" i="6"/>
  <c r="S358" i="6"/>
  <c r="S237" i="6"/>
  <c r="S555" i="6"/>
  <c r="S388" i="6"/>
  <c r="S185" i="6"/>
  <c r="S204" i="6"/>
  <c r="S524" i="6"/>
  <c r="S217" i="6"/>
  <c r="S170" i="6"/>
  <c r="S409" i="6"/>
  <c r="S33" i="6"/>
  <c r="S446" i="6"/>
  <c r="S218" i="6"/>
  <c r="S93" i="6"/>
  <c r="S267" i="6"/>
  <c r="S141" i="6"/>
  <c r="S273" i="6"/>
  <c r="S384" i="6"/>
  <c r="S395" i="6"/>
  <c r="S150" i="6"/>
  <c r="S418" i="6"/>
  <c r="S209" i="6"/>
  <c r="S97" i="6"/>
  <c r="S239" i="6"/>
  <c r="S287" i="6"/>
  <c r="S470" i="6"/>
  <c r="S435" i="6"/>
  <c r="S68" i="6"/>
  <c r="S91" i="6"/>
  <c r="S22" i="6"/>
  <c r="S184" i="6"/>
  <c r="S475" i="6"/>
  <c r="S423" i="6"/>
  <c r="S365" i="6"/>
  <c r="S399" i="6"/>
  <c r="S156" i="6"/>
  <c r="S27" i="6"/>
  <c r="S541" i="6"/>
  <c r="S453" i="6"/>
  <c r="S175" i="6"/>
  <c r="S357" i="6"/>
  <c r="S448" i="6"/>
  <c r="S183" i="6"/>
  <c r="S462" i="6"/>
  <c r="S31" i="6"/>
  <c r="S564" i="6"/>
  <c r="S250" i="6"/>
  <c r="S232" i="6"/>
  <c r="S296" i="6"/>
  <c r="S25" i="6"/>
  <c r="S319" i="6"/>
  <c r="S467" i="6"/>
  <c r="S320" i="6"/>
  <c r="S166" i="6"/>
  <c r="S525" i="6"/>
  <c r="S328" i="6"/>
  <c r="S149" i="6"/>
  <c r="S410" i="6"/>
  <c r="S307" i="6"/>
  <c r="S404" i="6"/>
  <c r="S458" i="6"/>
  <c r="S323" i="6"/>
  <c r="S148" i="6"/>
  <c r="S203" i="6"/>
  <c r="S81" i="6"/>
  <c r="S188" i="6"/>
  <c r="S11" i="6"/>
  <c r="S153" i="6"/>
  <c r="S344" i="6"/>
  <c r="S127" i="6"/>
  <c r="S503" i="6"/>
  <c r="S12" i="6"/>
  <c r="S474" i="6"/>
  <c r="S263" i="6"/>
  <c r="S335" i="6"/>
  <c r="S431" i="6"/>
  <c r="S252" i="6"/>
  <c r="S178" i="6"/>
  <c r="S426" i="6"/>
  <c r="S78" i="6"/>
  <c r="S415" i="6"/>
  <c r="S118" i="6"/>
  <c r="S490" i="6"/>
  <c r="S20" i="6"/>
  <c r="S145" i="6"/>
  <c r="S425" i="6"/>
  <c r="S18" i="6"/>
  <c r="S299" i="6"/>
  <c r="S89" i="6"/>
  <c r="S527" i="6"/>
  <c r="S136" i="6"/>
  <c r="S100" i="6"/>
  <c r="S157" i="6"/>
  <c r="S477" i="6"/>
  <c r="S485" i="6"/>
  <c r="S324" i="6"/>
  <c r="S509" i="6"/>
  <c r="S447" i="6"/>
  <c r="S394" i="6"/>
  <c r="S510" i="6"/>
  <c r="S520" i="6"/>
  <c r="S390" i="6"/>
  <c r="S53" i="6"/>
  <c r="S56" i="6"/>
  <c r="S338" i="6"/>
  <c r="S314" i="6"/>
  <c r="S379" i="6"/>
  <c r="S529" i="6"/>
  <c r="S472" i="6"/>
  <c r="S466" i="6"/>
  <c r="S214" i="6"/>
  <c r="S429" i="6"/>
  <c r="S494" i="6"/>
  <c r="S412" i="6"/>
  <c r="S317" i="6"/>
  <c r="S76" i="6"/>
  <c r="S322" i="6"/>
  <c r="S228" i="6"/>
  <c r="S441" i="6"/>
  <c r="S139" i="6"/>
  <c r="S88" i="6"/>
  <c r="S35" i="6"/>
  <c r="S198" i="6"/>
  <c r="S506" i="6"/>
  <c r="S537" i="6"/>
  <c r="S359" i="6"/>
  <c r="S234" i="6"/>
  <c r="S295" i="6"/>
  <c r="S182" i="6"/>
  <c r="S66" i="6"/>
  <c r="S106" i="6"/>
  <c r="S193" i="6"/>
  <c r="S286" i="6"/>
  <c r="S569" i="6"/>
  <c r="S77" i="6"/>
  <c r="S147" i="6"/>
  <c r="S469" i="6"/>
  <c r="S121" i="6"/>
  <c r="S280" i="6"/>
  <c r="S522" i="6"/>
  <c r="S480" i="6"/>
  <c r="S58" i="6"/>
  <c r="S281" i="6"/>
  <c r="S288" i="6"/>
  <c r="S411" i="6"/>
  <c r="S400" i="6"/>
  <c r="S114" i="6"/>
  <c r="S538" i="6"/>
  <c r="S225" i="6"/>
  <c r="S562" i="6"/>
  <c r="S492" i="6"/>
  <c r="S445" i="6"/>
  <c r="S558" i="6"/>
  <c r="S291" i="6"/>
  <c r="S305" i="6"/>
  <c r="S482" i="6"/>
  <c r="S511" i="6"/>
  <c r="S158" i="6"/>
  <c r="S24" i="6"/>
  <c r="S534" i="6"/>
  <c r="S113" i="6"/>
  <c r="S543" i="6"/>
  <c r="S186" i="6"/>
  <c r="S71" i="6"/>
  <c r="S374" i="6"/>
  <c r="S197" i="6"/>
  <c r="S488" i="6"/>
  <c r="S255" i="6"/>
  <c r="S308" i="6"/>
  <c r="S92" i="6"/>
  <c r="S546" i="6"/>
  <c r="S233" i="6"/>
  <c r="S28" i="6"/>
  <c r="S169" i="6"/>
  <c r="S202" i="6"/>
  <c r="S129" i="6"/>
  <c r="S154" i="6"/>
  <c r="S142" i="6"/>
  <c r="S220" i="6"/>
  <c r="S565" i="6"/>
  <c r="S219" i="6"/>
  <c r="S171" i="6"/>
  <c r="S507" i="6"/>
  <c r="S364" i="6"/>
  <c r="S45" i="6"/>
  <c r="S526" i="6"/>
  <c r="S42" i="6"/>
  <c r="S350" i="6"/>
  <c r="S48" i="6"/>
  <c r="S279" i="6"/>
  <c r="S405" i="6"/>
  <c r="S85" i="6"/>
  <c r="S521" i="6"/>
  <c r="S292" i="6"/>
  <c r="S51" i="6"/>
  <c r="S336" i="6"/>
  <c r="S354" i="6"/>
  <c r="S13" i="6"/>
  <c r="S368" i="6"/>
  <c r="S39" i="6"/>
  <c r="S138" i="6"/>
  <c r="S216" i="6"/>
  <c r="S128" i="6"/>
  <c r="S567" i="6"/>
  <c r="S253" i="6"/>
  <c r="S532" i="6"/>
  <c r="S73" i="6"/>
  <c r="S508" i="6"/>
  <c r="S163" i="6"/>
  <c r="S227" i="6"/>
  <c r="S293" i="6"/>
  <c r="S497" i="6"/>
  <c r="S75" i="6"/>
  <c r="S224" i="6"/>
  <c r="S235" i="6"/>
  <c r="S312" i="6"/>
  <c r="S554" i="6"/>
  <c r="S52" i="6"/>
  <c r="S504" i="6"/>
  <c r="S19" i="6"/>
  <c r="S483" i="6"/>
  <c r="S69" i="6"/>
  <c r="S363" i="6"/>
  <c r="S316" i="6"/>
  <c r="S133" i="6"/>
  <c r="S167" i="6"/>
  <c r="S531" i="6"/>
  <c r="S329" i="6"/>
  <c r="S205" i="6"/>
  <c r="S213" i="6"/>
  <c r="S442" i="6"/>
  <c r="S86" i="6"/>
  <c r="S36" i="6"/>
  <c r="S107" i="6"/>
  <c r="S468" i="6"/>
  <c r="S120" i="6"/>
  <c r="S367" i="6"/>
  <c r="S230" i="6"/>
  <c r="S32" i="6"/>
  <c r="S437" i="6"/>
  <c r="S487" i="6"/>
  <c r="S493" i="6"/>
  <c r="S105" i="6"/>
  <c r="S101" i="6"/>
  <c r="S360" i="6"/>
  <c r="S277" i="6"/>
  <c r="S195" i="6"/>
  <c r="S29" i="6"/>
  <c r="S513" i="6"/>
  <c r="S269" i="6"/>
  <c r="S10" i="6"/>
  <c r="S326" i="6"/>
  <c r="S294" i="6"/>
  <c r="S304" i="6"/>
  <c r="S309" i="6"/>
  <c r="S517" i="6"/>
  <c r="S421" i="6"/>
  <c r="S23" i="6"/>
  <c r="S444" i="6"/>
  <c r="S261" i="6"/>
  <c r="S176" i="6"/>
  <c r="S397" i="6"/>
  <c r="S398" i="6"/>
  <c r="S414" i="6"/>
  <c r="S416" i="6"/>
  <c r="S330" i="6"/>
  <c r="S60" i="6"/>
  <c r="S484" i="6"/>
  <c r="S103" i="6"/>
  <c r="S387" i="6"/>
  <c r="S55" i="6"/>
  <c r="S172" i="6"/>
  <c r="S459" i="6"/>
  <c r="S479" i="6"/>
  <c r="S243" i="6"/>
  <c r="S102" i="6"/>
  <c r="S563" i="6"/>
  <c r="S311" i="6"/>
  <c r="S241" i="6"/>
  <c r="S90" i="6"/>
  <c r="S144" i="6"/>
  <c r="S266" i="6"/>
  <c r="S238" i="6"/>
  <c r="S50" i="6"/>
  <c r="S43" i="6"/>
  <c r="S200" i="6"/>
  <c r="S440" i="6"/>
  <c r="S380" i="6"/>
  <c r="S207" i="6"/>
  <c r="S377" i="6"/>
  <c r="S196" i="6"/>
  <c r="S413" i="6"/>
  <c r="S137" i="6"/>
  <c r="S348" i="6"/>
  <c r="S325" i="6"/>
  <c r="S87" i="6"/>
  <c r="S62" i="6"/>
  <c r="S300" i="6"/>
  <c r="S356" i="6"/>
  <c r="S160" i="6"/>
  <c r="S406" i="6"/>
  <c r="S40" i="6"/>
  <c r="S523" i="6"/>
  <c r="S370" i="6"/>
  <c r="S392" i="6"/>
  <c r="S109" i="6"/>
  <c r="S396" i="6"/>
  <c r="S456" i="6"/>
  <c r="S362" i="6"/>
  <c r="S438" i="6"/>
  <c r="S349" i="6"/>
  <c r="S83" i="6"/>
  <c r="S74" i="6"/>
  <c r="S80" i="6"/>
  <c r="S439" i="6"/>
  <c r="S559" i="6"/>
  <c r="S26" i="6"/>
  <c r="S251" i="6"/>
  <c r="S403" i="6"/>
  <c r="S518" i="6"/>
  <c r="S16" i="6"/>
  <c r="S501" i="6"/>
  <c r="S119" i="6"/>
  <c r="S79" i="6"/>
  <c r="S436" i="6"/>
  <c r="S473" i="6"/>
  <c r="S278" i="6"/>
  <c r="S240" i="6"/>
  <c r="S258" i="6"/>
  <c r="S345" i="6"/>
  <c r="S452" i="6"/>
  <c r="S337" i="6"/>
  <c r="S124" i="6"/>
  <c r="S46" i="6"/>
  <c r="S471" i="6"/>
  <c r="S247" i="6"/>
  <c r="S165" i="6"/>
  <c r="S271" i="6"/>
  <c r="S146" i="6"/>
  <c r="S49" i="6"/>
  <c r="S134" i="6"/>
  <c r="S246" i="6"/>
  <c r="S500" i="6"/>
  <c r="S212" i="6"/>
  <c r="S401" i="6"/>
  <c r="S505" i="6"/>
  <c r="S385" i="6"/>
  <c r="S372" i="6"/>
  <c r="S190" i="6"/>
  <c r="S130" i="6"/>
  <c r="S375" i="6"/>
  <c r="S15" i="6"/>
  <c r="S161" i="6"/>
  <c r="S99" i="6"/>
  <c r="S301" i="6"/>
  <c r="S463" i="6"/>
  <c r="S59" i="6"/>
  <c r="S30" i="6"/>
  <c r="S82" i="6"/>
  <c r="S340" i="6"/>
  <c r="S568" i="6"/>
  <c r="S257" i="6"/>
  <c r="S61" i="6"/>
  <c r="S342" i="6"/>
  <c r="S408" i="6"/>
  <c r="S332" i="6"/>
  <c r="S125" i="6"/>
  <c r="S274" i="6"/>
  <c r="S221" i="6"/>
  <c r="S17" i="6"/>
  <c r="S530" i="6"/>
  <c r="S199" i="6"/>
  <c r="S391" i="6"/>
  <c r="S9" i="6"/>
  <c r="S481" i="6"/>
  <c r="S557" i="6"/>
  <c r="S381" i="6"/>
  <c r="S422" i="6"/>
  <c r="S270" i="6"/>
  <c r="S402" i="6"/>
  <c r="S489" i="6"/>
  <c r="S540" i="6"/>
  <c r="S333" i="6"/>
  <c r="S110" i="6"/>
  <c r="S315" i="6"/>
  <c r="S194" i="6"/>
  <c r="S353" i="6"/>
  <c r="S542" i="6"/>
  <c r="S94" i="6"/>
  <c r="S229" i="6"/>
  <c r="S143" i="6"/>
  <c r="S208" i="6"/>
  <c r="S491" i="6"/>
  <c r="S451" i="6"/>
  <c r="S298" i="6"/>
  <c r="S189" i="6"/>
  <c r="S450" i="6"/>
  <c r="S63" i="6"/>
  <c r="S464" i="6"/>
  <c r="S168" i="6"/>
  <c r="S34" i="6"/>
  <c r="S544" i="6"/>
  <c r="S378" i="6"/>
  <c r="S552" i="6"/>
  <c r="S140" i="6"/>
  <c r="S561" i="6"/>
  <c r="S111" i="6"/>
  <c r="S67" i="6"/>
  <c r="S259" i="6"/>
  <c r="S460" i="6"/>
  <c r="S108" i="6"/>
  <c r="S206" i="6"/>
  <c r="S454" i="6"/>
  <c r="S366" i="6"/>
  <c r="S151" i="6"/>
  <c r="S174" i="6"/>
  <c r="S420" i="6"/>
  <c r="S570" i="6"/>
  <c r="S549" i="6"/>
  <c r="S461" i="6"/>
  <c r="S376" i="6"/>
  <c r="S14" i="6"/>
  <c r="S539" i="6"/>
  <c r="S476" i="6"/>
  <c r="S122" i="6"/>
  <c r="S495" i="6"/>
  <c r="S70" i="6"/>
  <c r="S371" i="6"/>
  <c r="S343" i="6"/>
  <c r="S210" i="6"/>
  <c r="S516" i="6"/>
  <c r="S548" i="6"/>
  <c r="S223" i="6"/>
  <c r="S419" i="6"/>
  <c r="S550" i="6"/>
  <c r="S180" i="6"/>
  <c r="S560" i="6"/>
  <c r="S126" i="6"/>
  <c r="S369" i="6"/>
  <c r="S41" i="6"/>
  <c r="S519" i="6"/>
  <c r="S285" i="6"/>
  <c r="S515" i="6"/>
  <c r="S177" i="6"/>
  <c r="S352" i="6"/>
  <c r="S455" i="6"/>
  <c r="S248" i="6"/>
  <c r="S84" i="6"/>
  <c r="S57" i="6"/>
  <c r="S276" i="6"/>
  <c r="S132" i="6"/>
  <c r="S65" i="6"/>
  <c r="S215" i="6"/>
  <c r="S242" i="6"/>
  <c r="S135" i="6"/>
  <c r="S321" i="6"/>
  <c r="S98" i="6"/>
  <c r="S417" i="6"/>
  <c r="S173" i="6"/>
  <c r="S226" i="6"/>
  <c r="S313" i="6"/>
  <c r="S283" i="6"/>
  <c r="S191" i="6"/>
  <c r="S373" i="6"/>
  <c r="S181" i="6"/>
  <c r="S327" i="6"/>
  <c r="S566" i="6"/>
  <c r="S310" i="6"/>
  <c r="S155" i="6"/>
  <c r="S245" i="6"/>
  <c r="S512" i="6"/>
  <c r="S275" i="6"/>
  <c r="S159" i="6"/>
  <c r="S179" i="6"/>
  <c r="S478" i="6"/>
  <c r="S38" i="6"/>
  <c r="S433" i="6"/>
  <c r="S289" i="6"/>
  <c r="S533" i="6"/>
  <c r="S131" i="6"/>
  <c r="S457" i="6"/>
  <c r="S449" i="6"/>
  <c r="S112" i="6"/>
  <c r="S318" i="6"/>
  <c r="S535" i="6"/>
  <c r="S428" i="6"/>
  <c r="S290" i="6"/>
  <c r="S443" i="6"/>
  <c r="S347" i="6"/>
  <c r="S496" i="6"/>
  <c r="S260" i="6"/>
  <c r="S96" i="6"/>
  <c r="S211" i="6"/>
  <c r="S393" i="6"/>
  <c r="S430" i="6"/>
  <c r="S272" i="6"/>
  <c r="S339" i="6"/>
  <c r="S268" i="6"/>
  <c r="S244" i="6"/>
  <c r="S201" i="6"/>
  <c r="S164" i="6"/>
  <c r="S54" i="6"/>
  <c r="S545" i="6"/>
  <c r="S389" i="6"/>
  <c r="S427" i="6"/>
  <c r="S498" i="6"/>
  <c r="S265" i="6"/>
  <c r="S297" i="6"/>
  <c r="S547" i="6"/>
  <c r="S249" i="6"/>
  <c r="S262" i="6"/>
  <c r="S104" i="6"/>
  <c r="S355" i="6"/>
  <c r="S302" i="6"/>
  <c r="S556" i="6"/>
  <c r="S47" i="6"/>
  <c r="S346" i="6"/>
  <c r="S424" i="6"/>
  <c r="S486" i="6"/>
  <c r="S341" i="6"/>
  <c r="S407" i="6"/>
  <c r="S303" i="6"/>
  <c r="S264" i="6"/>
  <c r="S115" i="6"/>
  <c r="S64" i="6"/>
  <c r="S162" i="6"/>
  <c r="S254" i="6"/>
  <c r="S37" i="6"/>
  <c r="S306" i="6"/>
  <c r="S382" i="6"/>
  <c r="S528" i="6"/>
  <c r="S192" i="6"/>
  <c r="S536" i="6"/>
  <c r="S383" i="6"/>
  <c r="S361" i="6"/>
  <c r="S44" i="6"/>
  <c r="S152" i="6"/>
  <c r="S187" i="6"/>
  <c r="O222" i="4"/>
  <c r="O96" i="4"/>
  <c r="O249" i="4"/>
  <c r="O451" i="4"/>
  <c r="O103" i="4"/>
  <c r="O128" i="4"/>
  <c r="O320" i="4"/>
  <c r="O235" i="4"/>
  <c r="O448" i="4"/>
  <c r="O358" i="4"/>
  <c r="O551" i="4"/>
  <c r="O343" i="4"/>
  <c r="O271" i="4"/>
  <c r="O445" i="4"/>
  <c r="O240" i="4"/>
  <c r="O168" i="4"/>
  <c r="O287" i="4"/>
  <c r="O229" i="4"/>
  <c r="O221" i="4"/>
  <c r="O274" i="4"/>
  <c r="O246" i="4"/>
  <c r="O129" i="4"/>
  <c r="O87" i="4"/>
  <c r="O536" i="4"/>
  <c r="O472" i="4"/>
  <c r="O555" i="4"/>
  <c r="O254" i="4"/>
  <c r="O367" i="4"/>
  <c r="O283" i="4"/>
  <c r="O565" i="4"/>
  <c r="O326" i="4"/>
  <c r="O266" i="4"/>
  <c r="O511" i="4"/>
  <c r="O503" i="4"/>
  <c r="O510" i="4"/>
  <c r="O543" i="4"/>
  <c r="O188" i="4"/>
  <c r="O485" i="4"/>
  <c r="O293" i="4"/>
  <c r="O109" i="4"/>
  <c r="O247" i="4"/>
  <c r="O542" i="4"/>
  <c r="O272" i="4"/>
  <c r="O563" i="4"/>
  <c r="O389" i="4"/>
  <c r="O479" i="4"/>
  <c r="O416" i="4"/>
  <c r="O218" i="4"/>
  <c r="O333" i="4"/>
  <c r="O38" i="4"/>
  <c r="O420" i="4"/>
  <c r="O151" i="4"/>
  <c r="O59" i="4"/>
  <c r="O13" i="4"/>
  <c r="O83" i="4"/>
  <c r="O139" i="4"/>
  <c r="O255" i="4"/>
  <c r="O242" i="4"/>
  <c r="O505" i="4"/>
  <c r="O94" i="4"/>
  <c r="O237" i="4"/>
  <c r="O209" i="4"/>
  <c r="O461" i="4"/>
  <c r="O144" i="4"/>
  <c r="O196" i="4"/>
  <c r="O458" i="4"/>
  <c r="O441" i="4"/>
  <c r="O81" i="4"/>
  <c r="O207" i="4"/>
  <c r="O386" i="4"/>
  <c r="O541" i="4"/>
  <c r="O527" i="4"/>
  <c r="O457" i="4"/>
  <c r="O334" i="4"/>
  <c r="O140" i="4"/>
  <c r="O546" i="4"/>
  <c r="O408" i="4"/>
  <c r="O150" i="4"/>
  <c r="O68" i="4"/>
  <c r="O47" i="4"/>
  <c r="O332" i="4"/>
  <c r="O553" i="4"/>
  <c r="O556" i="4"/>
  <c r="O40" i="4"/>
  <c r="O36" i="4"/>
  <c r="O48" i="4"/>
  <c r="O72" i="4"/>
  <c r="O526" i="4"/>
  <c r="O447" i="4"/>
  <c r="O194" i="4"/>
  <c r="O354" i="4"/>
  <c r="O220" i="4"/>
  <c r="O275" i="4"/>
  <c r="O256" i="4"/>
  <c r="O102" i="4"/>
  <c r="O159" i="4"/>
  <c r="O392" i="4"/>
  <c r="O80" i="4"/>
  <c r="O95" i="4"/>
  <c r="O77" i="4"/>
  <c r="O292" i="4"/>
  <c r="O46" i="4"/>
  <c r="O259" i="4"/>
  <c r="O200" i="4"/>
  <c r="O488" i="4"/>
  <c r="O428" i="4"/>
  <c r="O329" i="4"/>
  <c r="O156" i="4"/>
  <c r="O322" i="4"/>
  <c r="O513" i="4"/>
  <c r="O176" i="4"/>
  <c r="O253" i="4"/>
  <c r="O92" i="4"/>
  <c r="O121" i="4"/>
  <c r="O308" i="4"/>
  <c r="O104" i="4"/>
  <c r="O117" i="4"/>
  <c r="O323" i="4"/>
  <c r="O178" i="4"/>
  <c r="O539" i="4"/>
  <c r="O270" i="4"/>
  <c r="O508" i="4"/>
  <c r="O430" i="4"/>
  <c r="O299" i="4"/>
  <c r="O216" i="4"/>
  <c r="O281" i="4"/>
  <c r="O311" i="4"/>
  <c r="O529" i="4"/>
  <c r="O365" i="4"/>
  <c r="O335" i="4"/>
  <c r="O286" i="4"/>
  <c r="O464" i="4"/>
  <c r="O34" i="4"/>
  <c r="O321" i="4"/>
  <c r="O523" i="4"/>
  <c r="O210" i="4"/>
  <c r="O115" i="4"/>
  <c r="O477" i="4"/>
  <c r="O465" i="4"/>
  <c r="O146" i="4"/>
  <c r="O532" i="4"/>
  <c r="O106" i="4"/>
  <c r="O302" i="4"/>
  <c r="O467" i="4"/>
  <c r="O180" i="4"/>
  <c r="O173" i="4"/>
  <c r="O278" i="4"/>
  <c r="O519" i="4"/>
  <c r="O71" i="4"/>
  <c r="O143" i="4"/>
  <c r="O304" i="4"/>
  <c r="O149" i="4"/>
  <c r="O42" i="4"/>
  <c r="O163" i="4"/>
  <c r="O181" i="4"/>
  <c r="O236" i="4"/>
  <c r="O301" i="4"/>
  <c r="O531" i="4"/>
  <c r="O195" i="4"/>
  <c r="O341" i="4"/>
  <c r="O62" i="4"/>
  <c r="O145" i="4"/>
  <c r="O160" i="4"/>
  <c r="O521" i="4"/>
  <c r="O219" i="4"/>
  <c r="O116" i="4"/>
  <c r="O328" i="4"/>
  <c r="O35" i="4"/>
  <c r="O398" i="4"/>
  <c r="O32" i="4"/>
  <c r="O17" i="4"/>
  <c r="O136" i="4"/>
  <c r="O390" i="4"/>
  <c r="O184" i="4"/>
  <c r="O327" i="4"/>
  <c r="O473" i="4"/>
  <c r="O339" i="4"/>
  <c r="O267" i="4"/>
  <c r="O243" i="4"/>
  <c r="O268" i="4"/>
  <c r="O537" i="4"/>
  <c r="O152" i="4"/>
  <c r="O127" i="4"/>
  <c r="O45" i="4"/>
  <c r="O535" i="4"/>
  <c r="O101" i="4"/>
  <c r="O170" i="4"/>
  <c r="O191" i="4"/>
  <c r="O558" i="4"/>
  <c r="O39" i="4"/>
  <c r="O404" i="4"/>
  <c r="O356" i="4"/>
  <c r="O349" i="4"/>
  <c r="O337" i="4"/>
  <c r="O413" i="4"/>
  <c r="O525" i="4"/>
  <c r="O414" i="4"/>
  <c r="O533" i="4"/>
  <c r="O183" i="4"/>
  <c r="O376" i="4"/>
  <c r="O252" i="4"/>
  <c r="O317" i="4"/>
  <c r="O487" i="4"/>
  <c r="O524" i="4"/>
  <c r="O515" i="4"/>
  <c r="O265" i="4"/>
  <c r="O187" i="4"/>
  <c r="O10" i="4"/>
  <c r="O566" i="4"/>
  <c r="O382" i="4"/>
  <c r="O312" i="4"/>
  <c r="O370" i="4"/>
  <c r="O226" i="4"/>
  <c r="O443" i="4"/>
  <c r="O460" i="4"/>
  <c r="O21" i="4"/>
  <c r="O502" i="4"/>
  <c r="O545" i="4"/>
  <c r="O368" i="4"/>
  <c r="O217" i="4"/>
  <c r="O79" i="4"/>
  <c r="O175" i="4"/>
  <c r="O97" i="4"/>
  <c r="O212" i="4"/>
  <c r="O305" i="4"/>
  <c r="O198" i="4"/>
  <c r="O550" i="4"/>
  <c r="O56" i="4"/>
  <c r="O12" i="4"/>
  <c r="O361" i="4"/>
  <c r="O9" i="4"/>
  <c r="O27" i="4"/>
  <c r="O347" i="4"/>
  <c r="O406" i="4"/>
  <c r="O391" i="4"/>
  <c r="O107" i="4"/>
  <c r="O352" i="4"/>
  <c r="O29" i="4"/>
  <c r="O309" i="4"/>
  <c r="O345" i="4"/>
  <c r="O169" i="4"/>
  <c r="O482" i="4"/>
  <c r="O490" i="4"/>
  <c r="O206" i="4"/>
  <c r="O185" i="4"/>
  <c r="O325" i="4"/>
  <c r="O33" i="4"/>
  <c r="O346" i="4"/>
  <c r="O167" i="4"/>
  <c r="O462" i="4"/>
  <c r="O493" i="4"/>
  <c r="O63" i="4"/>
  <c r="O450" i="4"/>
  <c r="O189" i="4"/>
  <c r="O90" i="4"/>
  <c r="O369" i="4"/>
  <c r="O157" i="4"/>
  <c r="O239" i="4"/>
  <c r="O554" i="4"/>
  <c r="O476" i="4"/>
  <c r="O166" i="4"/>
  <c r="O418" i="4"/>
  <c r="O258" i="4"/>
  <c r="O260" i="4"/>
  <c r="O233" i="4"/>
  <c r="O153" i="4"/>
  <c r="O475" i="4"/>
  <c r="O444" i="4"/>
  <c r="O227" i="4"/>
  <c r="O205" i="4"/>
  <c r="O486" i="4"/>
  <c r="O496" i="4"/>
  <c r="O412" i="4"/>
  <c r="O201" i="4"/>
  <c r="O124" i="4"/>
  <c r="O453" i="4"/>
  <c r="O516" i="4"/>
  <c r="O273" i="4"/>
  <c r="O52" i="4"/>
  <c r="O383" i="4"/>
  <c r="O132" i="4"/>
  <c r="O388" i="4"/>
  <c r="O22" i="4"/>
  <c r="O421" i="4"/>
  <c r="O396" i="4"/>
  <c r="O561" i="4"/>
  <c r="O557" i="4"/>
  <c r="O50" i="4"/>
  <c r="O262" i="4"/>
  <c r="O51" i="4"/>
  <c r="O37" i="4"/>
  <c r="O338" i="4"/>
  <c r="O399" i="4"/>
  <c r="O492" i="4"/>
  <c r="O228" i="4"/>
  <c r="O276" i="4"/>
  <c r="O261" i="4"/>
  <c r="O562" i="4"/>
  <c r="O429" i="4"/>
  <c r="O427" i="4"/>
  <c r="O426" i="4"/>
  <c r="O53" i="4"/>
  <c r="O142" i="4"/>
  <c r="O425" i="4"/>
  <c r="O190" i="4"/>
  <c r="O86" i="4"/>
  <c r="O93" i="4"/>
  <c r="O296" i="4"/>
  <c r="O480" i="4"/>
  <c r="O248" i="4"/>
  <c r="O285" i="4"/>
  <c r="O147" i="4"/>
  <c r="O290" i="4"/>
  <c r="O214" i="4"/>
  <c r="O528" i="4"/>
  <c r="O353" i="4"/>
  <c r="O538" i="4"/>
  <c r="O264" i="4"/>
  <c r="O378" i="4"/>
  <c r="O474" i="4"/>
  <c r="O89" i="4"/>
  <c r="O348" i="4"/>
  <c r="O110" i="4"/>
  <c r="O495" i="4"/>
  <c r="O141" i="4"/>
  <c r="O122" i="4"/>
  <c r="O297" i="4"/>
  <c r="O314" i="4"/>
  <c r="O25" i="4"/>
  <c r="O491" i="4"/>
  <c r="O130" i="4"/>
  <c r="O410" i="4"/>
  <c r="O14" i="4"/>
  <c r="O435" i="4"/>
  <c r="O438" i="4"/>
  <c r="O113" i="4"/>
  <c r="O468" i="4"/>
  <c r="O540" i="4"/>
  <c r="O489" i="4"/>
  <c r="O284" i="4"/>
  <c r="O417" i="4"/>
  <c r="O374" i="4"/>
  <c r="O119" i="4"/>
  <c r="O125" i="4"/>
  <c r="O478" i="4"/>
  <c r="O31" i="4"/>
  <c r="O377" i="4"/>
  <c r="O164" i="4"/>
  <c r="O118" i="4"/>
  <c r="O131" i="4"/>
  <c r="O15" i="4"/>
  <c r="O394" i="4"/>
  <c r="O70" i="4"/>
  <c r="O379" i="4"/>
  <c r="O397" i="4"/>
  <c r="O26" i="4"/>
  <c r="O507" i="4"/>
  <c r="O54" i="4"/>
  <c r="O481" i="4"/>
  <c r="O466" i="4"/>
  <c r="O568" i="4"/>
  <c r="O82" i="4"/>
  <c r="O208" i="4"/>
  <c r="O449" i="4"/>
  <c r="O424" i="4"/>
  <c r="O534" i="4"/>
  <c r="O65" i="4"/>
  <c r="O294" i="4"/>
  <c r="O137" i="4"/>
  <c r="O238" i="4"/>
  <c r="O98" i="4"/>
  <c r="O360" i="4"/>
  <c r="O497" i="4"/>
  <c r="O134" i="4"/>
  <c r="O186" i="4"/>
  <c r="O357" i="4"/>
  <c r="O419" i="4"/>
  <c r="O471" i="4"/>
  <c r="O282" i="4"/>
  <c r="O213" i="4"/>
  <c r="O552" i="4"/>
  <c r="O295" i="4"/>
  <c r="O415" i="4"/>
  <c r="O440" i="4"/>
  <c r="O362" i="4"/>
  <c r="O547" i="4"/>
  <c r="O437" i="4"/>
  <c r="O67" i="4"/>
  <c r="O463" i="4"/>
  <c r="O64" i="4"/>
  <c r="O549" i="4"/>
  <c r="O135" i="4"/>
  <c r="O452" i="4"/>
  <c r="O279" i="4"/>
  <c r="O469" i="4"/>
  <c r="O111" i="4"/>
  <c r="O230" i="4"/>
  <c r="O560" i="4"/>
  <c r="O373" i="4"/>
  <c r="O88" i="4"/>
  <c r="O459" i="4"/>
  <c r="O112" i="4"/>
  <c r="O43" i="4"/>
  <c r="O60" i="4"/>
  <c r="O342" i="4"/>
  <c r="O401" i="4"/>
  <c r="O75" i="4"/>
  <c r="O564" i="4"/>
  <c r="O179" i="4"/>
  <c r="O78" i="4"/>
  <c r="O193" i="4"/>
  <c r="O85" i="4"/>
  <c r="O313" i="4"/>
  <c r="O192" i="4"/>
  <c r="O381" i="4"/>
  <c r="O393" i="4"/>
  <c r="O28" i="4"/>
  <c r="O359" i="4"/>
  <c r="O520" i="4"/>
  <c r="O74" i="4"/>
  <c r="O300" i="4"/>
  <c r="O148" i="4"/>
  <c r="O402" i="4"/>
  <c r="O105" i="4"/>
  <c r="O11" i="4"/>
  <c r="O155" i="4"/>
  <c r="O215" i="4"/>
  <c r="O409" i="4"/>
  <c r="O330" i="4"/>
  <c r="O446" i="4"/>
  <c r="O16" i="4"/>
  <c r="O24" i="4"/>
  <c r="O504" i="4"/>
  <c r="O366" i="4"/>
  <c r="O375" i="4"/>
  <c r="O199" i="4"/>
  <c r="O165" i="4"/>
  <c r="O351" i="4"/>
  <c r="O138" i="4"/>
  <c r="O203" i="4"/>
  <c r="O250" i="4"/>
  <c r="O372" i="4"/>
  <c r="O315" i="4"/>
  <c r="O162" i="4"/>
  <c r="O395" i="4"/>
  <c r="O340" i="4"/>
  <c r="O241" i="4"/>
  <c r="O506" i="4"/>
  <c r="O211" i="4"/>
  <c r="O257" i="4"/>
  <c r="O522" i="4"/>
  <c r="O484" i="4"/>
  <c r="O387" i="4"/>
  <c r="O384" i="4"/>
  <c r="O84" i="4"/>
  <c r="O58" i="4"/>
  <c r="O44" i="4"/>
  <c r="O498" i="4"/>
  <c r="O269" i="4"/>
  <c r="O403" i="4"/>
  <c r="O73" i="4"/>
  <c r="O470" i="4"/>
  <c r="O133" i="4"/>
  <c r="O108" i="4"/>
  <c r="O548" i="4"/>
  <c r="O364" i="4"/>
  <c r="O197" i="4"/>
  <c r="O439" i="4"/>
  <c r="O69" i="4"/>
  <c r="O123" i="4"/>
  <c r="O431" i="4"/>
  <c r="O434" i="4"/>
  <c r="O289" i="4"/>
  <c r="O100" i="4"/>
  <c r="O172" i="4"/>
  <c r="O18" i="4"/>
  <c r="O569" i="4"/>
  <c r="O23" i="4"/>
  <c r="O224" i="4"/>
  <c r="O303" i="4"/>
  <c r="O204" i="4"/>
  <c r="O501" i="4"/>
  <c r="O245" i="4"/>
  <c r="O251" i="4"/>
  <c r="O499" i="4"/>
  <c r="O288" i="4"/>
  <c r="O306" i="4"/>
  <c r="O436" i="4"/>
  <c r="O324" i="4"/>
  <c r="O380" i="4"/>
  <c r="O76" i="4"/>
  <c r="O517" i="4"/>
  <c r="O319" i="4"/>
  <c r="O316" i="4"/>
  <c r="O177" i="4"/>
  <c r="O456" i="4"/>
  <c r="O120" i="4"/>
  <c r="O61" i="4"/>
  <c r="O544" i="4"/>
  <c r="O99" i="4"/>
  <c r="O570" i="4"/>
  <c r="O567" i="4"/>
  <c r="O400" i="4"/>
  <c r="O174" i="4"/>
  <c r="O223" i="4"/>
  <c r="O483" i="4"/>
  <c r="O49" i="4"/>
  <c r="O423" i="4"/>
  <c r="O307" i="4"/>
  <c r="O280" i="4"/>
  <c r="O518" i="4"/>
  <c r="O336" i="4"/>
  <c r="O385" i="4"/>
  <c r="O422" i="4"/>
  <c r="O433" i="4"/>
  <c r="O171" i="4"/>
  <c r="O114" i="4"/>
  <c r="O161" i="4"/>
  <c r="O244" i="4"/>
  <c r="O514" i="4"/>
  <c r="O41" i="4"/>
  <c r="O494" i="4"/>
  <c r="O182" i="4"/>
  <c r="O405" i="4"/>
  <c r="O30" i="4"/>
  <c r="O355" i="4"/>
  <c r="O298" i="4"/>
  <c r="O407" i="4"/>
  <c r="O442" i="4"/>
  <c r="O559" i="4"/>
  <c r="O509" i="4"/>
  <c r="O291" i="4"/>
  <c r="O344" i="4"/>
  <c r="O57" i="4"/>
  <c r="O202" i="4"/>
  <c r="O263" i="4"/>
  <c r="O234" i="4"/>
  <c r="O318" i="4"/>
  <c r="O500" i="4"/>
  <c r="O277" i="4"/>
  <c r="O454" i="4"/>
  <c r="O231" i="4"/>
  <c r="O363" i="4"/>
  <c r="O20" i="4"/>
  <c r="O512" i="4"/>
  <c r="O310" i="4"/>
  <c r="O225" i="4"/>
  <c r="O232" i="4"/>
  <c r="O154" i="4"/>
  <c r="O455" i="4"/>
  <c r="O91" i="4"/>
  <c r="O371" i="4"/>
  <c r="O66" i="4"/>
  <c r="O55" i="4"/>
  <c r="O19" i="4"/>
  <c r="O411" i="4"/>
  <c r="O126" i="4"/>
  <c r="O350" i="4"/>
  <c r="O432" i="4"/>
  <c r="O158" i="4"/>
  <c r="O530" i="4"/>
  <c r="O331" i="4"/>
  <c r="P238" i="6"/>
  <c r="P558" i="6"/>
  <c r="P266" i="6"/>
  <c r="P374" i="6"/>
  <c r="P358" i="6"/>
  <c r="P337" i="6"/>
  <c r="P182" i="6"/>
  <c r="P108" i="6"/>
  <c r="P200" i="6"/>
  <c r="P13" i="6"/>
  <c r="P229" i="6"/>
  <c r="P453" i="6"/>
  <c r="P299" i="6"/>
  <c r="P278" i="6"/>
  <c r="P62" i="6"/>
  <c r="P237" i="6"/>
  <c r="P362" i="6"/>
  <c r="P120" i="6"/>
  <c r="P228" i="6"/>
  <c r="P468" i="6"/>
  <c r="P135" i="6"/>
  <c r="P408" i="6"/>
  <c r="P220" i="6"/>
  <c r="P272" i="6"/>
  <c r="P69" i="6"/>
  <c r="P305" i="6"/>
  <c r="P561" i="6"/>
  <c r="P56" i="6"/>
  <c r="P198" i="6"/>
  <c r="P344" i="6"/>
  <c r="P219" i="6"/>
  <c r="P543" i="6"/>
  <c r="P210" i="6"/>
  <c r="P384" i="6"/>
  <c r="P481" i="6"/>
  <c r="P58" i="6"/>
  <c r="P355" i="6"/>
  <c r="P448" i="6"/>
  <c r="P235" i="6"/>
  <c r="P18" i="6"/>
  <c r="P145" i="6"/>
  <c r="P195" i="6"/>
  <c r="P201" i="6"/>
  <c r="P520" i="6"/>
  <c r="P155" i="6"/>
  <c r="P379" i="6"/>
  <c r="P292" i="6"/>
  <c r="P406" i="6"/>
  <c r="P25" i="6"/>
  <c r="P61" i="6"/>
  <c r="P548" i="6"/>
  <c r="P451" i="6"/>
  <c r="P261" i="6"/>
  <c r="P28" i="6"/>
  <c r="P387" i="6"/>
  <c r="P455" i="6"/>
  <c r="P485" i="6"/>
  <c r="P12" i="6"/>
  <c r="P436" i="6"/>
  <c r="P217" i="6"/>
  <c r="P373" i="6"/>
  <c r="P568" i="6"/>
  <c r="P414" i="6"/>
  <c r="P523" i="6"/>
  <c r="P544" i="6"/>
  <c r="P176" i="6"/>
  <c r="P434" i="6"/>
  <c r="P225" i="6"/>
  <c r="P208" i="6"/>
  <c r="P118" i="6"/>
  <c r="P170" i="6"/>
  <c r="P539" i="6"/>
  <c r="P445" i="6"/>
  <c r="P30" i="6"/>
  <c r="P245" i="6"/>
  <c r="P97" i="6"/>
  <c r="P117" i="6"/>
  <c r="P545" i="6"/>
  <c r="P537" i="6"/>
  <c r="P249" i="6"/>
  <c r="P167" i="6"/>
  <c r="P191" i="6"/>
  <c r="P282" i="6"/>
  <c r="P519" i="6"/>
  <c r="P547" i="6"/>
  <c r="P199" i="6"/>
  <c r="P236" i="6"/>
  <c r="P104" i="6"/>
  <c r="P133" i="6"/>
  <c r="P348" i="6"/>
  <c r="P291" i="6"/>
  <c r="P125" i="6"/>
  <c r="P521" i="6"/>
  <c r="P64" i="6"/>
  <c r="P564" i="6"/>
  <c r="P226" i="6"/>
  <c r="P461" i="6"/>
  <c r="P185" i="6"/>
  <c r="P27" i="6"/>
  <c r="P391" i="6"/>
  <c r="P443" i="6"/>
  <c r="P476" i="6"/>
  <c r="P351" i="6"/>
  <c r="P85" i="6"/>
  <c r="P289" i="6"/>
  <c r="P35" i="6"/>
  <c r="P458" i="6"/>
  <c r="P382" i="6"/>
  <c r="P560" i="6"/>
  <c r="P550" i="6"/>
  <c r="P137" i="6"/>
  <c r="P253" i="6"/>
  <c r="P240" i="6"/>
  <c r="P383" i="6"/>
  <c r="P187" i="6"/>
  <c r="P409" i="6"/>
  <c r="P353" i="6"/>
  <c r="P346" i="6"/>
  <c r="P44" i="6"/>
  <c r="P308" i="6"/>
  <c r="P188" i="6"/>
  <c r="P479" i="6"/>
  <c r="P164" i="6"/>
  <c r="P567" i="6"/>
  <c r="P464" i="6"/>
  <c r="P132" i="6"/>
  <c r="P420" i="6"/>
  <c r="P136" i="6"/>
  <c r="P376" i="6"/>
  <c r="P83" i="6"/>
  <c r="P93" i="6"/>
  <c r="P570" i="6"/>
  <c r="P477" i="6"/>
  <c r="P263" i="6"/>
  <c r="P180" i="6"/>
  <c r="P474" i="6"/>
  <c r="P311" i="6"/>
  <c r="P48" i="6"/>
  <c r="P361" i="6"/>
  <c r="P536" i="6"/>
  <c r="P472" i="6"/>
  <c r="P51" i="6"/>
  <c r="P449" i="6"/>
  <c r="P342" i="6"/>
  <c r="P262" i="6"/>
  <c r="P43" i="6"/>
  <c r="P277" i="6"/>
  <c r="P300" i="6"/>
  <c r="P533" i="6"/>
  <c r="P244" i="6"/>
  <c r="P493" i="6"/>
  <c r="P470" i="6"/>
  <c r="P24" i="6"/>
  <c r="P482" i="6"/>
  <c r="P111" i="6"/>
  <c r="P359" i="6"/>
  <c r="P538" i="6"/>
  <c r="P65" i="6"/>
  <c r="P103" i="6"/>
  <c r="P172" i="6"/>
  <c r="P447" i="6"/>
  <c r="P563" i="6"/>
  <c r="P411" i="6"/>
  <c r="P490" i="6"/>
  <c r="P327" i="6"/>
  <c r="P77" i="6"/>
  <c r="P81" i="6"/>
  <c r="P165" i="6"/>
  <c r="P509" i="6"/>
  <c r="P363" i="6"/>
  <c r="P95" i="6"/>
  <c r="P368" i="6"/>
  <c r="P325" i="6"/>
  <c r="P221" i="6"/>
  <c r="P270" i="6"/>
  <c r="P554" i="6"/>
  <c r="P500" i="6"/>
  <c r="P367" i="6"/>
  <c r="P248" i="6"/>
  <c r="P432" i="6"/>
  <c r="P293" i="6"/>
  <c r="P345" i="6"/>
  <c r="P32" i="6"/>
  <c r="P169" i="6"/>
  <c r="P395" i="6"/>
  <c r="P50" i="6"/>
  <c r="P540" i="6"/>
  <c r="P71" i="6"/>
  <c r="P9" i="6"/>
  <c r="P375" i="6"/>
  <c r="P510" i="6"/>
  <c r="P338" i="6"/>
  <c r="P41" i="6"/>
  <c r="P16" i="6"/>
  <c r="P328" i="6"/>
  <c r="P129" i="6"/>
  <c r="P518" i="6"/>
  <c r="P290" i="6"/>
  <c r="P189" i="6"/>
  <c r="P528" i="6"/>
  <c r="P452" i="6"/>
  <c r="P354" i="6"/>
  <c r="P38" i="6"/>
  <c r="P326" i="6"/>
  <c r="P19" i="6"/>
  <c r="P275" i="6"/>
  <c r="P213" i="6"/>
  <c r="P517" i="6"/>
  <c r="P162" i="6"/>
  <c r="P487" i="6"/>
  <c r="P151" i="6"/>
  <c r="P496" i="6"/>
  <c r="P410" i="6"/>
  <c r="P184" i="6"/>
  <c r="P498" i="6"/>
  <c r="P177" i="6"/>
  <c r="P233" i="6"/>
  <c r="P336" i="6"/>
  <c r="P134" i="6"/>
  <c r="P512" i="6"/>
  <c r="P365" i="6"/>
  <c r="P380" i="6"/>
  <c r="P483" i="6"/>
  <c r="P501" i="6"/>
  <c r="P174" i="6"/>
  <c r="P569" i="6"/>
  <c r="P524" i="6"/>
  <c r="P350" i="6"/>
  <c r="P143" i="6"/>
  <c r="P306" i="6"/>
  <c r="P425" i="6"/>
  <c r="P152" i="6"/>
  <c r="P183" i="6"/>
  <c r="P33" i="6"/>
  <c r="P407" i="6"/>
  <c r="P166" i="6"/>
  <c r="P194" i="6"/>
  <c r="P250" i="6"/>
  <c r="P127" i="6"/>
  <c r="P535" i="6"/>
  <c r="P258" i="6"/>
  <c r="P11" i="6"/>
  <c r="P57" i="6"/>
  <c r="P102" i="6"/>
  <c r="P462" i="6"/>
  <c r="P45" i="6"/>
  <c r="P431" i="6"/>
  <c r="P218" i="6"/>
  <c r="P492" i="6"/>
  <c r="P156" i="6"/>
  <c r="P175" i="6"/>
  <c r="P307" i="6"/>
  <c r="P446" i="6"/>
  <c r="P304" i="6"/>
  <c r="P332" i="6"/>
  <c r="P112" i="6"/>
  <c r="P147" i="6"/>
  <c r="P268" i="6"/>
  <c r="P484" i="6"/>
  <c r="P150" i="6"/>
  <c r="P465" i="6"/>
  <c r="P80" i="6"/>
  <c r="P146" i="6"/>
  <c r="P157" i="6"/>
  <c r="P418" i="6"/>
  <c r="P74" i="6"/>
  <c r="P463" i="6"/>
  <c r="P370" i="6"/>
  <c r="P441" i="6"/>
  <c r="P153" i="6"/>
  <c r="P247" i="6"/>
  <c r="P15" i="6"/>
  <c r="P333" i="6"/>
  <c r="P89" i="6"/>
  <c r="P202" i="6"/>
  <c r="P310" i="6"/>
  <c r="P397" i="6"/>
  <c r="P216" i="6"/>
  <c r="P222" i="6"/>
  <c r="P314" i="6"/>
  <c r="P256" i="6"/>
  <c r="P388" i="6"/>
  <c r="P322" i="6"/>
  <c r="P386" i="6"/>
  <c r="P320" i="6"/>
  <c r="P126" i="6"/>
  <c r="P281" i="6"/>
  <c r="P52" i="6"/>
  <c r="P488" i="6"/>
  <c r="P360" i="6"/>
  <c r="P402" i="6"/>
  <c r="P495" i="6"/>
  <c r="P230" i="6"/>
  <c r="P40" i="6"/>
  <c r="P415" i="6"/>
  <c r="P231" i="6"/>
  <c r="P212" i="6"/>
  <c r="P364" i="6"/>
  <c r="P279" i="6"/>
  <c r="P297" i="6"/>
  <c r="P203" i="6"/>
  <c r="P309" i="6"/>
  <c r="P503" i="6"/>
  <c r="P173" i="6"/>
  <c r="P39" i="6"/>
  <c r="P389" i="6"/>
  <c r="P86" i="6"/>
  <c r="P504" i="6"/>
  <c r="P271" i="6"/>
  <c r="P273" i="6"/>
  <c r="P508" i="6"/>
  <c r="P79" i="6"/>
  <c r="P433" i="6"/>
  <c r="P494" i="6"/>
  <c r="P88" i="6"/>
  <c r="P31" i="6"/>
  <c r="P352" i="6"/>
  <c r="P450" i="6"/>
  <c r="P562" i="6"/>
  <c r="P456" i="6"/>
  <c r="P87" i="6"/>
  <c r="P286" i="6"/>
  <c r="P437" i="6"/>
  <c r="P565" i="6"/>
  <c r="P130" i="6"/>
  <c r="P115" i="6"/>
  <c r="P457" i="6"/>
  <c r="P444" i="6"/>
  <c r="P542" i="6"/>
  <c r="P154" i="6"/>
  <c r="P269" i="6"/>
  <c r="P467" i="6"/>
  <c r="P98" i="6"/>
  <c r="P76" i="6"/>
  <c r="P419" i="6"/>
  <c r="P347" i="6"/>
  <c r="P66" i="6"/>
  <c r="P505" i="6"/>
  <c r="P255" i="6"/>
  <c r="P274" i="6"/>
  <c r="P10" i="6"/>
  <c r="P158" i="6"/>
  <c r="P267" i="6"/>
  <c r="P90" i="6"/>
  <c r="P140" i="6"/>
  <c r="P55" i="6"/>
  <c r="P227" i="6"/>
  <c r="P526" i="6"/>
  <c r="P252" i="6"/>
  <c r="P121" i="6"/>
  <c r="P139" i="6"/>
  <c r="P400" i="6"/>
  <c r="P371" i="6"/>
  <c r="P440" i="6"/>
  <c r="P428" i="6"/>
  <c r="P148" i="6"/>
  <c r="P142" i="6"/>
  <c r="P330" i="6"/>
  <c r="P381" i="6"/>
  <c r="P168" i="6"/>
  <c r="P331" i="6"/>
  <c r="P100" i="6"/>
  <c r="P394" i="6"/>
  <c r="P242" i="6"/>
  <c r="P460" i="6"/>
  <c r="P422" i="6"/>
  <c r="P149" i="6"/>
  <c r="P471" i="6"/>
  <c r="P107" i="6"/>
  <c r="P499" i="6"/>
  <c r="P404" i="6"/>
  <c r="P356" i="6"/>
  <c r="P96" i="6"/>
  <c r="P392" i="6"/>
  <c r="P54" i="6"/>
  <c r="P257" i="6"/>
  <c r="P438" i="6"/>
  <c r="P396" i="6"/>
  <c r="P206" i="6"/>
  <c r="P101" i="6"/>
  <c r="P17" i="6"/>
  <c r="P138" i="6"/>
  <c r="P339" i="6"/>
  <c r="P313" i="6"/>
  <c r="P246" i="6"/>
  <c r="P163" i="6"/>
  <c r="P527" i="6"/>
  <c r="P264" i="6"/>
  <c r="P430" i="6"/>
  <c r="P514" i="6"/>
  <c r="P280" i="6"/>
  <c r="P454" i="6"/>
  <c r="P113" i="6"/>
  <c r="P284" i="6"/>
  <c r="P486" i="6"/>
  <c r="P549" i="6"/>
  <c r="P552" i="6"/>
  <c r="P340" i="6"/>
  <c r="P478" i="6"/>
  <c r="P49" i="6"/>
  <c r="P171" i="6"/>
  <c r="P196" i="6"/>
  <c r="P223" i="6"/>
  <c r="P385" i="6"/>
  <c r="P72" i="6"/>
  <c r="P215" i="6"/>
  <c r="P303" i="6"/>
  <c r="P475" i="6"/>
  <c r="P532" i="6"/>
  <c r="P124" i="6"/>
  <c r="P214" i="6"/>
  <c r="P506" i="6"/>
  <c r="P378" i="6"/>
  <c r="P393" i="6"/>
  <c r="P541" i="6"/>
  <c r="P372" i="6"/>
  <c r="P516" i="6"/>
  <c r="P473" i="6"/>
  <c r="P390" i="6"/>
  <c r="P21" i="6"/>
  <c r="P399" i="6"/>
  <c r="P94" i="6"/>
  <c r="P161" i="6"/>
  <c r="P46" i="6"/>
  <c r="P335" i="6"/>
  <c r="P276" i="6"/>
  <c r="P26" i="6"/>
  <c r="P287" i="6"/>
  <c r="P288" i="6"/>
  <c r="P312" i="6"/>
  <c r="P439" i="6"/>
  <c r="P186" i="6"/>
  <c r="P295" i="6"/>
  <c r="P178" i="6"/>
  <c r="P398" i="6"/>
  <c r="P459" i="6"/>
  <c r="P525" i="6"/>
  <c r="P421" i="6"/>
  <c r="P469" i="6"/>
  <c r="P413" i="6"/>
  <c r="P423" i="6"/>
  <c r="P29" i="6"/>
  <c r="P502" i="6"/>
  <c r="P497" i="6"/>
  <c r="P296" i="6"/>
  <c r="P349" i="6"/>
  <c r="P243" i="6"/>
  <c r="P522" i="6"/>
  <c r="P128" i="6"/>
  <c r="P405" i="6"/>
  <c r="P513" i="6"/>
  <c r="P122" i="6"/>
  <c r="P197" i="6"/>
  <c r="P294" i="6"/>
  <c r="P315" i="6"/>
  <c r="P160" i="6"/>
  <c r="P209" i="6"/>
  <c r="P179" i="6"/>
  <c r="P141" i="6"/>
  <c r="P318" i="6"/>
  <c r="P131" i="6"/>
  <c r="P323" i="6"/>
  <c r="P343" i="6"/>
  <c r="P557" i="6"/>
  <c r="P442" i="6"/>
  <c r="P559" i="6"/>
  <c r="P20" i="6"/>
  <c r="P321" i="6"/>
  <c r="P480" i="6"/>
  <c r="P491" i="6"/>
  <c r="P366" i="6"/>
  <c r="P211" i="6"/>
  <c r="P110" i="6"/>
  <c r="P105" i="6"/>
  <c r="P507" i="6"/>
  <c r="P401" i="6"/>
  <c r="P416" i="6"/>
  <c r="P67" i="6"/>
  <c r="P566" i="6"/>
  <c r="P553" i="6"/>
  <c r="P59" i="6"/>
  <c r="P466" i="6"/>
  <c r="P68" i="6"/>
  <c r="P334" i="6"/>
  <c r="P251" i="6"/>
  <c r="P254" i="6"/>
  <c r="P78" i="6"/>
  <c r="P70" i="6"/>
  <c r="P357" i="6"/>
  <c r="P53" i="6"/>
  <c r="P265" i="6"/>
  <c r="P241" i="6"/>
  <c r="P75" i="6"/>
  <c r="P99" i="6"/>
  <c r="P556" i="6"/>
  <c r="P205" i="6"/>
  <c r="P302" i="6"/>
  <c r="P232" i="6"/>
  <c r="P285" i="6"/>
  <c r="P551" i="6"/>
  <c r="P193" i="6"/>
  <c r="P73" i="6"/>
  <c r="P324" i="6"/>
  <c r="P181" i="6"/>
  <c r="P42" i="6"/>
  <c r="P224" i="6"/>
  <c r="P239" i="6"/>
  <c r="P329" i="6"/>
  <c r="P412" i="6"/>
  <c r="P259" i="6"/>
  <c r="P91" i="6"/>
  <c r="P60" i="6"/>
  <c r="P190" i="6"/>
  <c r="P82" i="6"/>
  <c r="P22" i="6"/>
  <c r="P63" i="6"/>
  <c r="P116" i="6"/>
  <c r="P106" i="6"/>
  <c r="P114" i="6"/>
  <c r="P427" i="6"/>
  <c r="P84" i="6"/>
  <c r="P159" i="6"/>
  <c r="P204" i="6"/>
  <c r="P192" i="6"/>
  <c r="P489" i="6"/>
  <c r="P207" i="6"/>
  <c r="P530" i="6"/>
  <c r="P47" i="6"/>
  <c r="P529" i="6"/>
  <c r="P546" i="6"/>
  <c r="P298" i="6"/>
  <c r="P515" i="6"/>
  <c r="P555" i="6"/>
  <c r="P429" i="6"/>
  <c r="P435" i="6"/>
  <c r="P14" i="6"/>
  <c r="P424" i="6"/>
  <c r="P234" i="6"/>
  <c r="P34" i="6"/>
  <c r="P144" i="6"/>
  <c r="P260" i="6"/>
  <c r="P123" i="6"/>
  <c r="P23" i="6"/>
  <c r="P92" i="6"/>
  <c r="P319" i="6"/>
  <c r="P369" i="6"/>
  <c r="P109" i="6"/>
  <c r="P119" i="6"/>
  <c r="P37" i="6"/>
  <c r="P531" i="6"/>
  <c r="P316" i="6"/>
  <c r="P534" i="6"/>
  <c r="P317" i="6"/>
  <c r="P341" i="6"/>
  <c r="P301" i="6"/>
  <c r="P426" i="6"/>
  <c r="P417" i="6"/>
  <c r="P511" i="6"/>
  <c r="P36" i="6"/>
  <c r="P283" i="6"/>
  <c r="P403" i="6"/>
  <c r="P377" i="6"/>
  <c r="O47" i="5"/>
  <c r="O14" i="5"/>
  <c r="O10" i="5"/>
  <c r="O66" i="5"/>
  <c r="O72" i="5"/>
  <c r="O45" i="5"/>
  <c r="O54" i="5"/>
  <c r="O27" i="5"/>
  <c r="O37" i="5"/>
  <c r="O34" i="5"/>
  <c r="O30" i="5"/>
  <c r="O60" i="5"/>
  <c r="O24" i="5"/>
  <c r="O73" i="5"/>
  <c r="O39" i="5"/>
  <c r="O51" i="5"/>
  <c r="O70" i="5"/>
  <c r="O56" i="5"/>
  <c r="O31" i="5"/>
  <c r="O17" i="5"/>
  <c r="O49" i="5"/>
  <c r="O32" i="5"/>
  <c r="O13" i="5"/>
  <c r="O76" i="5"/>
  <c r="O78" i="5"/>
  <c r="O42" i="5"/>
  <c r="O12" i="5"/>
  <c r="O19" i="5"/>
  <c r="O9" i="5"/>
  <c r="O22" i="5"/>
  <c r="O41" i="5"/>
  <c r="O61" i="5"/>
  <c r="O35" i="5"/>
  <c r="O38" i="5"/>
  <c r="O79" i="5"/>
  <c r="O63" i="5"/>
  <c r="O16" i="5"/>
  <c r="O74" i="5"/>
  <c r="O52" i="5"/>
  <c r="O80" i="5"/>
  <c r="O20" i="5"/>
  <c r="O48" i="5"/>
  <c r="O28" i="5"/>
  <c r="O57" i="5"/>
  <c r="O40" i="5"/>
  <c r="O43" i="5"/>
  <c r="O44" i="5"/>
  <c r="O21" i="5"/>
  <c r="O23" i="5"/>
  <c r="O71" i="5"/>
  <c r="O15" i="5"/>
  <c r="O55" i="5"/>
  <c r="O25" i="5"/>
  <c r="O68" i="5"/>
  <c r="O18" i="5"/>
  <c r="O65" i="5"/>
  <c r="O33" i="5"/>
  <c r="O59" i="5"/>
  <c r="O64" i="5"/>
  <c r="O77" i="5"/>
  <c r="O36" i="5"/>
  <c r="O53" i="5"/>
  <c r="O11" i="5"/>
  <c r="O58" i="5"/>
  <c r="O46" i="5"/>
  <c r="O75" i="5"/>
  <c r="O69" i="5"/>
  <c r="O26" i="5"/>
  <c r="O62" i="5"/>
  <c r="O50" i="5"/>
  <c r="O29" i="5"/>
  <c r="O67" i="5"/>
  <c r="R483" i="6"/>
  <c r="R225" i="6"/>
  <c r="R487" i="6"/>
  <c r="R550" i="6"/>
  <c r="R37" i="6"/>
  <c r="R530" i="6"/>
  <c r="R459" i="6"/>
  <c r="R344" i="6"/>
  <c r="R261" i="6"/>
  <c r="R109" i="6"/>
  <c r="R71" i="6"/>
  <c r="R220" i="6"/>
  <c r="R343" i="6"/>
  <c r="R87" i="6"/>
  <c r="R376" i="6"/>
  <c r="R166" i="6"/>
  <c r="R502" i="6"/>
  <c r="R546" i="6"/>
  <c r="R392" i="6"/>
  <c r="R161" i="6"/>
  <c r="R423" i="6"/>
  <c r="R434" i="6"/>
  <c r="R135" i="6"/>
  <c r="R73" i="6"/>
  <c r="R277" i="6"/>
  <c r="R310" i="6"/>
  <c r="R134" i="6"/>
  <c r="R68" i="6"/>
  <c r="R295" i="6"/>
  <c r="R314" i="6"/>
  <c r="R32" i="6"/>
  <c r="R329" i="6"/>
  <c r="R188" i="6"/>
  <c r="R112" i="6"/>
  <c r="R488" i="6"/>
  <c r="R427" i="6"/>
  <c r="R22" i="6"/>
  <c r="R359" i="6"/>
  <c r="R540" i="6"/>
  <c r="R340" i="6"/>
  <c r="R346" i="6"/>
  <c r="R227" i="6"/>
  <c r="R360" i="6"/>
  <c r="R424" i="6"/>
  <c r="R299" i="6"/>
  <c r="R268" i="6"/>
  <c r="R124" i="6"/>
  <c r="R175" i="6"/>
  <c r="R411" i="6"/>
  <c r="R229" i="6"/>
  <c r="R72" i="6"/>
  <c r="R509" i="6"/>
  <c r="R128" i="6"/>
  <c r="R203" i="6"/>
  <c r="R283" i="6"/>
  <c r="R54" i="6"/>
  <c r="R42" i="6"/>
  <c r="R358" i="6"/>
  <c r="R452" i="6"/>
  <c r="R48" i="6"/>
  <c r="R555" i="6"/>
  <c r="R545" i="6"/>
  <c r="R570" i="6"/>
  <c r="R468" i="6"/>
  <c r="R404" i="6"/>
  <c r="R507" i="6"/>
  <c r="R275" i="6"/>
  <c r="R83" i="6"/>
  <c r="R433" i="6"/>
  <c r="R548" i="6"/>
  <c r="R20" i="6"/>
  <c r="R130" i="6"/>
  <c r="R210" i="6"/>
  <c r="R451" i="6"/>
  <c r="R249" i="6"/>
  <c r="R84" i="6"/>
  <c r="R38" i="6"/>
  <c r="R60" i="6"/>
  <c r="R30" i="6"/>
  <c r="R421" i="6"/>
  <c r="R536" i="6"/>
  <c r="R197" i="6"/>
  <c r="R200" i="6"/>
  <c r="R178" i="6"/>
  <c r="R133" i="6"/>
  <c r="R328" i="6"/>
  <c r="R566" i="6"/>
  <c r="R193" i="6"/>
  <c r="R306" i="6"/>
  <c r="R337" i="6"/>
  <c r="R446" i="6"/>
  <c r="R437" i="6"/>
  <c r="R390" i="6"/>
  <c r="R99" i="6"/>
  <c r="R158" i="6"/>
  <c r="R450" i="6"/>
  <c r="R386" i="6"/>
  <c r="R405" i="6"/>
  <c r="R469" i="6"/>
  <c r="R415" i="6"/>
  <c r="R479" i="6"/>
  <c r="R244" i="6"/>
  <c r="R267" i="6"/>
  <c r="R79" i="6"/>
  <c r="R563" i="6"/>
  <c r="R191" i="6"/>
  <c r="R19" i="6"/>
  <c r="R345" i="6"/>
  <c r="R248" i="6"/>
  <c r="R569" i="6"/>
  <c r="R258" i="6"/>
  <c r="R219" i="6"/>
  <c r="R327" i="6"/>
  <c r="R284" i="6"/>
  <c r="R251" i="6"/>
  <c r="R568" i="6"/>
  <c r="R39" i="6"/>
  <c r="R49" i="6"/>
  <c r="R102" i="6"/>
  <c r="R106" i="6"/>
  <c r="R280" i="6"/>
  <c r="R59" i="6"/>
  <c r="R169" i="6"/>
  <c r="R313" i="6"/>
  <c r="R477" i="6"/>
  <c r="R300" i="6"/>
  <c r="R426" i="6"/>
  <c r="R194" i="6"/>
  <c r="R234" i="6"/>
  <c r="R372" i="6"/>
  <c r="R119" i="6"/>
  <c r="R401" i="6"/>
  <c r="R465" i="6"/>
  <c r="R222" i="6"/>
  <c r="R357" i="6"/>
  <c r="R41" i="6"/>
  <c r="R122" i="6"/>
  <c r="R482" i="6"/>
  <c r="R240" i="6"/>
  <c r="R418" i="6"/>
  <c r="R12" i="6"/>
  <c r="R114" i="6"/>
  <c r="R184" i="6"/>
  <c r="R505" i="6"/>
  <c r="R199" i="6"/>
  <c r="R326" i="6"/>
  <c r="R436" i="6"/>
  <c r="R168" i="6"/>
  <c r="R506" i="6"/>
  <c r="R290" i="6"/>
  <c r="R321" i="6"/>
  <c r="R558" i="6"/>
  <c r="R47" i="6"/>
  <c r="R549" i="6"/>
  <c r="R25" i="6"/>
  <c r="R167" i="6"/>
  <c r="R223" i="6"/>
  <c r="R252" i="6"/>
  <c r="R467" i="6"/>
  <c r="R97" i="6"/>
  <c r="R494" i="6"/>
  <c r="R126" i="6"/>
  <c r="R560" i="6"/>
  <c r="R270" i="6"/>
  <c r="R237" i="6"/>
  <c r="R23" i="6"/>
  <c r="R274" i="6"/>
  <c r="R305" i="6"/>
  <c r="R537" i="6"/>
  <c r="R538" i="6"/>
  <c r="R399" i="6"/>
  <c r="R246" i="6"/>
  <c r="R453" i="6"/>
  <c r="R320" i="6"/>
  <c r="R226" i="6"/>
  <c r="R503" i="6"/>
  <c r="R294" i="6"/>
  <c r="R466" i="6"/>
  <c r="R311" i="6"/>
  <c r="R562" i="6"/>
  <c r="R172" i="6"/>
  <c r="R484" i="6"/>
  <c r="R263" i="6"/>
  <c r="R383" i="6"/>
  <c r="R174" i="6"/>
  <c r="R228" i="6"/>
  <c r="R137" i="6"/>
  <c r="R395" i="6"/>
  <c r="R387" i="6"/>
  <c r="R375" i="6"/>
  <c r="R384" i="6"/>
  <c r="R36" i="6"/>
  <c r="R382" i="6"/>
  <c r="R363" i="6"/>
  <c r="R107" i="6"/>
  <c r="R276" i="6"/>
  <c r="R567" i="6"/>
  <c r="R335" i="6"/>
  <c r="R473" i="6"/>
  <c r="R50" i="6"/>
  <c r="R334" i="6"/>
  <c r="R11" i="6"/>
  <c r="R493" i="6"/>
  <c r="R65" i="6"/>
  <c r="R120" i="6"/>
  <c r="R179" i="6"/>
  <c r="R213" i="6"/>
  <c r="R171" i="6"/>
  <c r="R490" i="6"/>
  <c r="R347" i="6"/>
  <c r="R21" i="6"/>
  <c r="R499" i="6"/>
  <c r="R332" i="6"/>
  <c r="R464" i="6"/>
  <c r="R350" i="6"/>
  <c r="R485" i="6"/>
  <c r="R51" i="6"/>
  <c r="R539" i="6"/>
  <c r="R116" i="6"/>
  <c r="R457" i="6"/>
  <c r="R291" i="6"/>
  <c r="R454" i="6"/>
  <c r="R208" i="6"/>
  <c r="R115" i="6"/>
  <c r="R440" i="6"/>
  <c r="R543" i="6"/>
  <c r="R432" i="6"/>
  <c r="R205" i="6"/>
  <c r="R302" i="6"/>
  <c r="R155" i="6"/>
  <c r="R309" i="6"/>
  <c r="R501" i="6"/>
  <c r="R96" i="6"/>
  <c r="R207" i="6"/>
  <c r="R287" i="6"/>
  <c r="R317" i="6"/>
  <c r="R75" i="6"/>
  <c r="R162" i="6"/>
  <c r="R381" i="6"/>
  <c r="R315" i="6"/>
  <c r="R145" i="6"/>
  <c r="R24" i="6"/>
  <c r="R561" i="6"/>
  <c r="R476" i="6"/>
  <c r="R356" i="6"/>
  <c r="R522" i="6"/>
  <c r="R245" i="6"/>
  <c r="R163" i="6"/>
  <c r="R69" i="6"/>
  <c r="R308" i="6"/>
  <c r="R439" i="6"/>
  <c r="R361" i="6"/>
  <c r="R336" i="6"/>
  <c r="R470" i="6"/>
  <c r="R86" i="6"/>
  <c r="R164" i="6"/>
  <c r="R154" i="6"/>
  <c r="R425" i="6"/>
  <c r="R458" i="6"/>
  <c r="R35" i="6"/>
  <c r="R455" i="6"/>
  <c r="R14" i="6"/>
  <c r="R152" i="6"/>
  <c r="R262" i="6"/>
  <c r="R517" i="6"/>
  <c r="R85" i="6"/>
  <c r="R138" i="6"/>
  <c r="R564" i="6"/>
  <c r="R118" i="6"/>
  <c r="R146" i="6"/>
  <c r="R497" i="6"/>
  <c r="R420" i="6"/>
  <c r="R111" i="6"/>
  <c r="R271" i="6"/>
  <c r="R186" i="6"/>
  <c r="R216" i="6"/>
  <c r="R13" i="6"/>
  <c r="R551" i="6"/>
  <c r="R63" i="6"/>
  <c r="R504" i="6"/>
  <c r="R435" i="6"/>
  <c r="R253" i="6"/>
  <c r="R190" i="6"/>
  <c r="R265" i="6"/>
  <c r="R443" i="6"/>
  <c r="R397" i="6"/>
  <c r="R147" i="6"/>
  <c r="R243" i="6"/>
  <c r="R520" i="6"/>
  <c r="R230" i="6"/>
  <c r="R535" i="6"/>
  <c r="R355" i="6"/>
  <c r="R495" i="6"/>
  <c r="R279" i="6"/>
  <c r="R441" i="6"/>
  <c r="R103" i="6"/>
  <c r="R402" i="6"/>
  <c r="R414" i="6"/>
  <c r="R170" i="6"/>
  <c r="R29" i="6"/>
  <c r="R349" i="6"/>
  <c r="R95" i="6"/>
  <c r="R416" i="6"/>
  <c r="R139" i="6"/>
  <c r="R160" i="6"/>
  <c r="R410" i="6"/>
  <c r="R104" i="6"/>
  <c r="R142" i="6"/>
  <c r="R43" i="6"/>
  <c r="R518" i="6"/>
  <c r="R378" i="6"/>
  <c r="R285" i="6"/>
  <c r="R286" i="6"/>
  <c r="R554" i="6"/>
  <c r="R371" i="6"/>
  <c r="R16" i="6"/>
  <c r="R185" i="6"/>
  <c r="R255" i="6"/>
  <c r="R282" i="6"/>
  <c r="R77" i="6"/>
  <c r="R53" i="6"/>
  <c r="R259" i="6"/>
  <c r="R144" i="6"/>
  <c r="R462" i="6"/>
  <c r="R565" i="6"/>
  <c r="R353" i="6"/>
  <c r="R28" i="6"/>
  <c r="R165" i="6"/>
  <c r="R478" i="6"/>
  <c r="R525" i="6"/>
  <c r="R438" i="6"/>
  <c r="R408" i="6"/>
  <c r="R238" i="6"/>
  <c r="R288" i="6"/>
  <c r="R512" i="6"/>
  <c r="R44" i="6"/>
  <c r="R256" i="6"/>
  <c r="R403" i="6"/>
  <c r="R209" i="6"/>
  <c r="R212" i="6"/>
  <c r="R100" i="6"/>
  <c r="R339" i="6"/>
  <c r="R527" i="6"/>
  <c r="R254" i="6"/>
  <c r="R526" i="6"/>
  <c r="R201" i="6"/>
  <c r="R529" i="6"/>
  <c r="R513" i="6"/>
  <c r="R80" i="6"/>
  <c r="R322" i="6"/>
  <c r="R352" i="6"/>
  <c r="R304" i="6"/>
  <c r="R156" i="6"/>
  <c r="R559" i="6"/>
  <c r="R354" i="6"/>
  <c r="R297" i="6"/>
  <c r="R242" i="6"/>
  <c r="R532" i="6"/>
  <c r="R129" i="6"/>
  <c r="R33" i="6"/>
  <c r="R463" i="6"/>
  <c r="R481" i="6"/>
  <c r="R341" i="6"/>
  <c r="R348" i="6"/>
  <c r="R89" i="6"/>
  <c r="R492" i="6"/>
  <c r="R407" i="6"/>
  <c r="R9" i="6"/>
  <c r="R202" i="6"/>
  <c r="R557" i="6"/>
  <c r="R471" i="6"/>
  <c r="R533" i="6"/>
  <c r="R74" i="6"/>
  <c r="R541" i="6"/>
  <c r="R422" i="6"/>
  <c r="R406" i="6"/>
  <c r="R380" i="6"/>
  <c r="R444" i="6"/>
  <c r="R472" i="6"/>
  <c r="R92" i="6"/>
  <c r="R523" i="6"/>
  <c r="R417" i="6"/>
  <c r="R157" i="6"/>
  <c r="R136" i="6"/>
  <c r="R221" i="6"/>
  <c r="R318" i="6"/>
  <c r="R93" i="6"/>
  <c r="R250" i="6"/>
  <c r="R91" i="6"/>
  <c r="R159" i="6"/>
  <c r="R26" i="6"/>
  <c r="R428" i="6"/>
  <c r="R273" i="6"/>
  <c r="R182" i="6"/>
  <c r="R57" i="6"/>
  <c r="R278" i="6"/>
  <c r="R330" i="6"/>
  <c r="R377" i="6"/>
  <c r="R413" i="6"/>
  <c r="R449" i="6"/>
  <c r="R78" i="6"/>
  <c r="R367" i="6"/>
  <c r="R292" i="6"/>
  <c r="R510" i="6"/>
  <c r="R369" i="6"/>
  <c r="R151" i="6"/>
  <c r="R235" i="6"/>
  <c r="R389" i="6"/>
  <c r="R298" i="6"/>
  <c r="R323" i="6"/>
  <c r="R141" i="6"/>
  <c r="R61" i="6"/>
  <c r="R180" i="6"/>
  <c r="R448" i="6"/>
  <c r="R333" i="6"/>
  <c r="R394" i="6"/>
  <c r="R474" i="6"/>
  <c r="R281" i="6"/>
  <c r="R553" i="6"/>
  <c r="R379" i="6"/>
  <c r="R140" i="6"/>
  <c r="R431" i="6"/>
  <c r="R260" i="6"/>
  <c r="R547" i="6"/>
  <c r="R442" i="6"/>
  <c r="R217" i="6"/>
  <c r="R177" i="6"/>
  <c r="R113" i="6"/>
  <c r="R46" i="6"/>
  <c r="R94" i="6"/>
  <c r="R385" i="6"/>
  <c r="R272" i="6"/>
  <c r="R27" i="6"/>
  <c r="R123" i="6"/>
  <c r="R257" i="6"/>
  <c r="R521" i="6"/>
  <c r="R342" i="6"/>
  <c r="R374" i="6"/>
  <c r="R524" i="6"/>
  <c r="R511" i="6"/>
  <c r="R542" i="6"/>
  <c r="R325" i="6"/>
  <c r="R534" i="6"/>
  <c r="R312" i="6"/>
  <c r="R319" i="6"/>
  <c r="R98" i="6"/>
  <c r="R515" i="6"/>
  <c r="R110" i="6"/>
  <c r="R88" i="6"/>
  <c r="R496" i="6"/>
  <c r="R241" i="6"/>
  <c r="R10" i="6"/>
  <c r="R264" i="6"/>
  <c r="R419" i="6"/>
  <c r="R150" i="6"/>
  <c r="R55" i="6"/>
  <c r="R544" i="6"/>
  <c r="R269" i="6"/>
  <c r="R461" i="6"/>
  <c r="R34" i="6"/>
  <c r="R266" i="6"/>
  <c r="R105" i="6"/>
  <c r="R149" i="6"/>
  <c r="R556" i="6"/>
  <c r="R187" i="6"/>
  <c r="R143" i="6"/>
  <c r="R514" i="6"/>
  <c r="R198" i="6"/>
  <c r="R324" i="6"/>
  <c r="R516" i="6"/>
  <c r="R364" i="6"/>
  <c r="R131" i="6"/>
  <c r="R125" i="6"/>
  <c r="R224" i="6"/>
  <c r="R351" i="6"/>
  <c r="R196" i="6"/>
  <c r="R370" i="6"/>
  <c r="R15" i="6"/>
  <c r="R368" i="6"/>
  <c r="R176" i="6"/>
  <c r="R195" i="6"/>
  <c r="R301" i="6"/>
  <c r="R412" i="6"/>
  <c r="R519" i="6"/>
  <c r="R400" i="6"/>
  <c r="R239" i="6"/>
  <c r="R40" i="6"/>
  <c r="R173" i="6"/>
  <c r="R307" i="6"/>
  <c r="R430" i="6"/>
  <c r="R447" i="6"/>
  <c r="R148" i="6"/>
  <c r="R211" i="6"/>
  <c r="R388" i="6"/>
  <c r="R17" i="6"/>
  <c r="R31" i="6"/>
  <c r="R66" i="6"/>
  <c r="R480" i="6"/>
  <c r="R393" i="6"/>
  <c r="R81" i="6"/>
  <c r="R331" i="6"/>
  <c r="R528" i="6"/>
  <c r="R76" i="6"/>
  <c r="R498" i="6"/>
  <c r="R206" i="6"/>
  <c r="R296" i="6"/>
  <c r="R409" i="6"/>
  <c r="R236" i="6"/>
  <c r="R500" i="6"/>
  <c r="R56" i="6"/>
  <c r="R231" i="6"/>
  <c r="R338" i="6"/>
  <c r="R45" i="6"/>
  <c r="R233" i="6"/>
  <c r="R456" i="6"/>
  <c r="R192" i="6"/>
  <c r="R90" i="6"/>
  <c r="R552" i="6"/>
  <c r="R303" i="6"/>
  <c r="R289" i="6"/>
  <c r="R62" i="6"/>
  <c r="R531" i="6"/>
  <c r="R398" i="6"/>
  <c r="R52" i="6"/>
  <c r="R366" i="6"/>
  <c r="R153" i="6"/>
  <c r="R214" i="6"/>
  <c r="R486" i="6"/>
  <c r="R189" i="6"/>
  <c r="R445" i="6"/>
  <c r="R121" i="6"/>
  <c r="R491" i="6"/>
  <c r="R101" i="6"/>
  <c r="R391" i="6"/>
  <c r="R247" i="6"/>
  <c r="R70" i="6"/>
  <c r="R82" i="6"/>
  <c r="R218" i="6"/>
  <c r="R64" i="6"/>
  <c r="R429" i="6"/>
  <c r="R373" i="6"/>
  <c r="R117" i="6"/>
  <c r="R58" i="6"/>
  <c r="R132" i="6"/>
  <c r="R183" i="6"/>
  <c r="R365" i="6"/>
  <c r="R460" i="6"/>
  <c r="R67" i="6"/>
  <c r="R18" i="6"/>
  <c r="R204" i="6"/>
  <c r="R232" i="6"/>
  <c r="R316" i="6"/>
  <c r="R396" i="6"/>
  <c r="R181" i="6"/>
  <c r="R108" i="6"/>
  <c r="R508" i="6"/>
  <c r="R362" i="6"/>
  <c r="R489" i="6"/>
  <c r="R475" i="6"/>
  <c r="R127" i="6"/>
  <c r="R293" i="6"/>
  <c r="R215" i="6"/>
  <c r="Q142" i="4"/>
  <c r="Q57" i="4"/>
  <c r="Q14" i="4"/>
  <c r="Q187" i="4"/>
  <c r="Q468" i="4"/>
  <c r="Q334" i="4"/>
  <c r="Q299" i="4"/>
  <c r="Q453" i="4"/>
  <c r="Q209" i="4"/>
  <c r="Q231" i="4"/>
  <c r="Q110" i="4"/>
  <c r="Q493" i="4"/>
  <c r="Q51" i="4"/>
  <c r="Q451" i="4"/>
  <c r="Q218" i="4"/>
  <c r="Q252" i="4"/>
  <c r="Q170" i="4"/>
  <c r="Q12" i="4"/>
  <c r="Q316" i="4"/>
  <c r="Q559" i="4"/>
  <c r="Q117" i="4"/>
  <c r="Q567" i="4"/>
  <c r="Q288" i="4"/>
  <c r="Q61" i="4"/>
  <c r="Q25" i="4"/>
  <c r="Q262" i="4"/>
  <c r="Q232" i="4"/>
  <c r="Q551" i="4"/>
  <c r="Q240" i="4"/>
  <c r="Q454" i="4"/>
  <c r="Q237" i="4"/>
  <c r="Q379" i="4"/>
  <c r="Q47" i="4"/>
  <c r="Q323" i="4"/>
  <c r="Q385" i="4"/>
  <c r="Q561" i="4"/>
  <c r="Q449" i="4"/>
  <c r="Q532" i="4"/>
  <c r="Q428" i="4"/>
  <c r="Q265" i="4"/>
  <c r="Q384" i="4"/>
  <c r="Q372" i="4"/>
  <c r="Q126" i="4"/>
  <c r="Q69" i="4"/>
  <c r="Q391" i="4"/>
  <c r="Q358" i="4"/>
  <c r="Q30" i="4"/>
  <c r="Q149" i="4"/>
  <c r="Q534" i="4"/>
  <c r="Q553" i="4"/>
  <c r="Q507" i="4"/>
  <c r="Q394" i="4"/>
  <c r="Q490" i="4"/>
  <c r="Q501" i="4"/>
  <c r="Q283" i="4"/>
  <c r="Q421" i="4"/>
  <c r="Q411" i="4"/>
  <c r="Q54" i="4"/>
  <c r="Q446" i="4"/>
  <c r="Q246" i="4"/>
  <c r="Q311" i="4"/>
  <c r="Q524" i="4"/>
  <c r="Q125" i="4"/>
  <c r="Q423" i="4"/>
  <c r="Q250" i="4"/>
  <c r="Q499" i="4"/>
  <c r="Q363" i="4"/>
  <c r="Q221" i="4"/>
  <c r="Q356" i="4"/>
  <c r="Q355" i="4"/>
  <c r="Q276" i="4"/>
  <c r="Q132" i="4"/>
  <c r="Q273" i="4"/>
  <c r="Q503" i="4"/>
  <c r="Q426" i="4"/>
  <c r="Q120" i="4"/>
  <c r="Q530" i="4"/>
  <c r="Q436" i="4"/>
  <c r="Q295" i="4"/>
  <c r="Q253" i="4"/>
  <c r="Q15" i="4"/>
  <c r="Q427" i="4"/>
  <c r="Q116" i="4"/>
  <c r="Q22" i="4"/>
  <c r="Q290" i="4"/>
  <c r="Q556" i="4"/>
  <c r="Q213" i="4"/>
  <c r="Q373" i="4"/>
  <c r="Q28" i="4"/>
  <c r="Q417" i="4"/>
  <c r="Q329" i="4"/>
  <c r="Q27" i="4"/>
  <c r="Q152" i="4"/>
  <c r="Q340" i="4"/>
  <c r="Q230" i="4"/>
  <c r="Q136" i="4"/>
  <c r="Q378" i="4"/>
  <c r="Q444" i="4"/>
  <c r="Q407" i="4"/>
  <c r="Q459" i="4"/>
  <c r="Q156" i="4"/>
  <c r="Q195" i="4"/>
  <c r="Q367" i="4"/>
  <c r="Q496" i="4"/>
  <c r="Q127" i="4"/>
  <c r="Q382" i="4"/>
  <c r="Q87" i="4"/>
  <c r="Q431" i="4"/>
  <c r="Q326" i="4"/>
  <c r="Q424" i="4"/>
  <c r="Q521" i="4"/>
  <c r="Q318" i="4"/>
  <c r="Q362" i="4"/>
  <c r="Q539" i="4"/>
  <c r="Q159" i="4"/>
  <c r="Q104" i="4"/>
  <c r="Q325" i="4"/>
  <c r="Q249" i="4"/>
  <c r="Q24" i="4"/>
  <c r="Q271" i="4"/>
  <c r="Q397" i="4"/>
  <c r="Q106" i="4"/>
  <c r="Q472" i="4"/>
  <c r="Q478" i="4"/>
  <c r="Q58" i="4"/>
  <c r="Q434" i="4"/>
  <c r="Q536" i="4"/>
  <c r="Q73" i="4"/>
  <c r="Q20" i="4"/>
  <c r="Q339" i="4"/>
  <c r="Q439" i="4"/>
  <c r="Q564" i="4"/>
  <c r="Q108" i="4"/>
  <c r="Q458" i="4"/>
  <c r="Q542" i="4"/>
  <c r="Q236" i="4"/>
  <c r="Q98" i="4"/>
  <c r="Q102" i="4"/>
  <c r="Q76" i="4"/>
  <c r="Q297" i="4"/>
  <c r="Q294" i="4"/>
  <c r="Q463" i="4"/>
  <c r="Q292" i="4"/>
  <c r="Q41" i="4"/>
  <c r="Q481" i="4"/>
  <c r="Q533" i="4"/>
  <c r="Q307" i="4"/>
  <c r="Q118" i="4"/>
  <c r="Q34" i="4"/>
  <c r="Q346" i="4"/>
  <c r="Q186" i="4"/>
  <c r="Q540" i="4"/>
  <c r="Q215" i="4"/>
  <c r="Q319" i="4"/>
  <c r="Q291" i="4"/>
  <c r="Q312" i="4"/>
  <c r="Q301" i="4"/>
  <c r="Q518" i="4"/>
  <c r="Q550" i="4"/>
  <c r="Q72" i="4"/>
  <c r="Q327" i="4"/>
  <c r="Q147" i="4"/>
  <c r="Q510" i="4"/>
  <c r="Q140" i="4"/>
  <c r="Q497" i="4"/>
  <c r="Q48" i="4"/>
  <c r="Q558" i="4"/>
  <c r="Q537" i="4"/>
  <c r="Q18" i="4"/>
  <c r="Q349" i="4"/>
  <c r="Q278" i="4"/>
  <c r="Q158" i="4"/>
  <c r="Q174" i="4"/>
  <c r="Q243" i="4"/>
  <c r="Q166" i="4"/>
  <c r="Q347" i="4"/>
  <c r="Q251" i="4"/>
  <c r="Q260" i="4"/>
  <c r="Q401" i="4"/>
  <c r="Q552" i="4"/>
  <c r="Q203" i="4"/>
  <c r="Q141" i="4"/>
  <c r="Q9" i="4"/>
  <c r="Q560" i="4"/>
  <c r="Q331" i="4"/>
  <c r="Q66" i="4"/>
  <c r="Q143" i="4"/>
  <c r="Q365" i="4"/>
  <c r="Q169" i="4"/>
  <c r="Q180" i="4"/>
  <c r="Q113" i="4"/>
  <c r="Q514" i="4"/>
  <c r="Q548" i="4"/>
  <c r="Q284" i="4"/>
  <c r="Q445" i="4"/>
  <c r="Q541" i="4"/>
  <c r="Q364" i="4"/>
  <c r="Q432" i="4"/>
  <c r="Q504" i="4"/>
  <c r="Q224" i="4"/>
  <c r="Q193" i="4"/>
  <c r="Q469" i="4"/>
  <c r="Q389" i="4"/>
  <c r="Q190" i="4"/>
  <c r="Q225" i="4"/>
  <c r="Q199" i="4"/>
  <c r="Q247" i="4"/>
  <c r="Q244" i="4"/>
  <c r="Q200" i="4"/>
  <c r="Q568" i="4"/>
  <c r="Q369" i="4"/>
  <c r="Q103" i="4"/>
  <c r="Q91" i="4"/>
  <c r="Q491" i="4"/>
  <c r="Q487" i="4"/>
  <c r="Q191" i="4"/>
  <c r="Q526" i="4"/>
  <c r="Q350" i="4"/>
  <c r="Q484" i="4"/>
  <c r="Q405" i="4"/>
  <c r="Q563" i="4"/>
  <c r="Q162" i="4"/>
  <c r="Q343" i="4"/>
  <c r="Q192" i="4"/>
  <c r="Q281" i="4"/>
  <c r="Q402" i="4"/>
  <c r="Q410" i="4"/>
  <c r="Q36" i="4"/>
  <c r="Q182" i="4"/>
  <c r="Q49" i="4"/>
  <c r="Q308" i="4"/>
  <c r="Q403" i="4"/>
  <c r="Q235" i="4"/>
  <c r="Q165" i="4"/>
  <c r="Q570" i="4"/>
  <c r="Q413" i="4"/>
  <c r="Q270" i="4"/>
  <c r="Q304" i="4"/>
  <c r="Q39" i="4"/>
  <c r="Q175" i="4"/>
  <c r="Q447" i="4"/>
  <c r="Q219" i="4"/>
  <c r="Q321" i="4"/>
  <c r="Q298" i="4"/>
  <c r="Q450" i="4"/>
  <c r="Q477" i="4"/>
  <c r="Q529" i="4"/>
  <c r="Q313" i="4"/>
  <c r="Q100" i="4"/>
  <c r="Q569" i="4"/>
  <c r="Q214" i="4"/>
  <c r="Q122" i="4"/>
  <c r="Q429" i="4"/>
  <c r="Q89" i="4"/>
  <c r="Q164" i="4"/>
  <c r="Q368" i="4"/>
  <c r="Q404" i="4"/>
  <c r="Q306" i="4"/>
  <c r="Q264" i="4"/>
  <c r="Q531" i="4"/>
  <c r="Q133" i="4"/>
  <c r="Q129" i="4"/>
  <c r="Q198" i="4"/>
  <c r="Q71" i="4"/>
  <c r="Q528" i="4"/>
  <c r="Q386" i="4"/>
  <c r="Q50" i="4"/>
  <c r="Q506" i="4"/>
  <c r="Q485" i="4"/>
  <c r="Q259" i="4"/>
  <c r="Q123" i="4"/>
  <c r="Q522" i="4"/>
  <c r="Q488" i="4"/>
  <c r="Q148" i="4"/>
  <c r="Q93" i="4"/>
  <c r="Q32" i="4"/>
  <c r="Q74" i="4"/>
  <c r="Q455" i="4"/>
  <c r="Q261" i="4"/>
  <c r="Q515" i="4"/>
  <c r="Q216" i="4"/>
  <c r="Q303" i="4"/>
  <c r="Q242" i="4"/>
  <c r="Q500" i="4"/>
  <c r="Q338" i="4"/>
  <c r="Q40" i="4"/>
  <c r="Q177" i="4"/>
  <c r="Q155" i="4"/>
  <c r="Q52" i="4"/>
  <c r="Q257" i="4"/>
  <c r="Q267" i="4"/>
  <c r="Q238" i="4"/>
  <c r="Q254" i="4"/>
  <c r="Q320" i="4"/>
  <c r="Q492" i="4"/>
  <c r="Q145" i="4"/>
  <c r="Q134" i="4"/>
  <c r="Q220" i="4"/>
  <c r="Q475" i="4"/>
  <c r="Q124" i="4"/>
  <c r="Q543" i="4"/>
  <c r="Q419" i="4"/>
  <c r="Q167" i="4"/>
  <c r="Q184" i="4"/>
  <c r="Q509" i="4"/>
  <c r="Q90" i="4"/>
  <c r="Q234" i="4"/>
  <c r="Q462" i="4"/>
  <c r="Q44" i="4"/>
  <c r="Q370" i="4"/>
  <c r="Q418" i="4"/>
  <c r="Q310" i="4"/>
  <c r="Q146" i="4"/>
  <c r="Q345" i="4"/>
  <c r="Q245" i="4"/>
  <c r="Q11" i="4"/>
  <c r="Q566" i="4"/>
  <c r="Q348" i="4"/>
  <c r="Q511" i="4"/>
  <c r="Q371" i="4"/>
  <c r="Q183" i="4"/>
  <c r="Q383" i="4"/>
  <c r="Q21" i="4"/>
  <c r="Q128" i="4"/>
  <c r="Q430" i="4"/>
  <c r="Q92" i="4"/>
  <c r="Q38" i="4"/>
  <c r="Q59" i="4"/>
  <c r="Q94" i="4"/>
  <c r="Q466" i="4"/>
  <c r="Q23" i="4"/>
  <c r="Q206" i="4"/>
  <c r="Q443" i="4"/>
  <c r="Q482" i="4"/>
  <c r="Q181" i="4"/>
  <c r="Q435" i="4"/>
  <c r="Q258" i="4"/>
  <c r="Q495" i="4"/>
  <c r="Q395" i="4"/>
  <c r="Q400" i="4"/>
  <c r="Q17" i="4"/>
  <c r="Q438" i="4"/>
  <c r="Q544" i="4"/>
  <c r="Q105" i="4"/>
  <c r="Q212" i="4"/>
  <c r="Q375" i="4"/>
  <c r="Q10" i="4"/>
  <c r="Q119" i="4"/>
  <c r="Q33" i="4"/>
  <c r="Q45" i="4"/>
  <c r="Q360" i="4"/>
  <c r="Q420" i="4"/>
  <c r="Q263" i="4"/>
  <c r="Q131" i="4"/>
  <c r="Q398" i="4"/>
  <c r="Q415" i="4"/>
  <c r="Q227" i="4"/>
  <c r="Q277" i="4"/>
  <c r="Q547" i="4"/>
  <c r="Q65" i="4"/>
  <c r="Q322" i="4"/>
  <c r="Q157" i="4"/>
  <c r="Q16" i="4"/>
  <c r="Q80" i="4"/>
  <c r="Q248" i="4"/>
  <c r="Q55" i="4"/>
  <c r="Q465" i="4"/>
  <c r="Q324" i="4"/>
  <c r="Q154" i="4"/>
  <c r="Q107" i="4"/>
  <c r="Q111" i="4"/>
  <c r="Q460" i="4"/>
  <c r="Q517" i="4"/>
  <c r="Q173" i="4"/>
  <c r="Q546" i="4"/>
  <c r="Q179" i="4"/>
  <c r="Q557" i="4"/>
  <c r="Q513" i="4"/>
  <c r="Q67" i="4"/>
  <c r="Q217" i="4"/>
  <c r="Q96" i="4"/>
  <c r="Q86" i="4"/>
  <c r="Q42" i="4"/>
  <c r="Q359" i="4"/>
  <c r="Q130" i="4"/>
  <c r="Q508" i="4"/>
  <c r="Q211" i="4"/>
  <c r="Q416" i="4"/>
  <c r="Q208" i="4"/>
  <c r="Q361" i="4"/>
  <c r="Q241" i="4"/>
  <c r="Q194" i="4"/>
  <c r="Q79" i="4"/>
  <c r="Q399" i="4"/>
  <c r="Q520" i="4"/>
  <c r="Q396" i="4"/>
  <c r="Q381" i="4"/>
  <c r="Q414" i="4"/>
  <c r="Q135" i="4"/>
  <c r="Q332" i="4"/>
  <c r="Q289" i="4"/>
  <c r="Q29" i="4"/>
  <c r="Q489" i="4"/>
  <c r="Q476" i="4"/>
  <c r="Q256" i="4"/>
  <c r="Q309" i="4"/>
  <c r="Q433" i="4"/>
  <c r="Q353" i="4"/>
  <c r="Q109" i="4"/>
  <c r="Q185" i="4"/>
  <c r="Q168" i="4"/>
  <c r="Q266" i="4"/>
  <c r="Q275" i="4"/>
  <c r="Q554" i="4"/>
  <c r="Q31" i="4"/>
  <c r="Q480" i="4"/>
  <c r="Q139" i="4"/>
  <c r="Q189" i="4"/>
  <c r="Q205" i="4"/>
  <c r="Q467" i="4"/>
  <c r="Q519" i="4"/>
  <c r="Q26" i="4"/>
  <c r="Q85" i="4"/>
  <c r="Q441" i="4"/>
  <c r="Q95" i="4"/>
  <c r="Q471" i="4"/>
  <c r="Q268" i="4"/>
  <c r="Q70" i="4"/>
  <c r="Q53" i="4"/>
  <c r="Q274" i="4"/>
  <c r="Q392" i="4"/>
  <c r="Q202" i="4"/>
  <c r="Q282" i="4"/>
  <c r="Q535" i="4"/>
  <c r="Q137" i="4"/>
  <c r="Q317" i="4"/>
  <c r="Q328" i="4"/>
  <c r="Q101" i="4"/>
  <c r="Q366" i="4"/>
  <c r="Q342" i="4"/>
  <c r="Q83" i="4"/>
  <c r="Q172" i="4"/>
  <c r="Q357" i="4"/>
  <c r="Q62" i="4"/>
  <c r="Q171" i="4"/>
  <c r="Q461" i="4"/>
  <c r="Q351" i="4"/>
  <c r="Q300" i="4"/>
  <c r="Q502" i="4"/>
  <c r="Q285" i="4"/>
  <c r="Q77" i="4"/>
  <c r="Q452" i="4"/>
  <c r="Q82" i="4"/>
  <c r="Q494" i="4"/>
  <c r="Q377" i="4"/>
  <c r="Q46" i="4"/>
  <c r="Q335" i="4"/>
  <c r="Q464" i="4"/>
  <c r="Q354" i="4"/>
  <c r="Q474" i="4"/>
  <c r="Q336" i="4"/>
  <c r="Q315" i="4"/>
  <c r="Q302" i="4"/>
  <c r="Q456" i="4"/>
  <c r="Q13" i="4"/>
  <c r="Q442" i="4"/>
  <c r="Q114" i="4"/>
  <c r="Q388" i="4"/>
  <c r="Q223" i="4"/>
  <c r="Q498" i="4"/>
  <c r="Q269" i="4"/>
  <c r="Q121" i="4"/>
  <c r="Q163" i="4"/>
  <c r="Q279" i="4"/>
  <c r="Q222" i="4"/>
  <c r="Q228" i="4"/>
  <c r="Q380" i="4"/>
  <c r="Q60" i="4"/>
  <c r="Q178" i="4"/>
  <c r="Q161" i="4"/>
  <c r="Q197" i="4"/>
  <c r="Q538" i="4"/>
  <c r="Q188" i="4"/>
  <c r="Q440" i="4"/>
  <c r="Q406" i="4"/>
  <c r="Q296" i="4"/>
  <c r="Q233" i="4"/>
  <c r="Q88" i="4"/>
  <c r="Q272" i="4"/>
  <c r="Q376" i="4"/>
  <c r="Q160" i="4"/>
  <c r="Q425" i="4"/>
  <c r="Q153" i="4"/>
  <c r="Q408" i="4"/>
  <c r="Q64" i="4"/>
  <c r="Q305" i="4"/>
  <c r="Q337" i="4"/>
  <c r="Q204" i="4"/>
  <c r="Q422" i="4"/>
  <c r="Q35" i="4"/>
  <c r="Q81" i="4"/>
  <c r="Q344" i="4"/>
  <c r="Q239" i="4"/>
  <c r="Q286" i="4"/>
  <c r="Q150" i="4"/>
  <c r="Q525" i="4"/>
  <c r="Q457" i="4"/>
  <c r="Q473" i="4"/>
  <c r="Q226" i="4"/>
  <c r="Q516" i="4"/>
  <c r="Q280" i="4"/>
  <c r="Q144" i="4"/>
  <c r="Q75" i="4"/>
  <c r="Q505" i="4"/>
  <c r="Q63" i="4"/>
  <c r="Q37" i="4"/>
  <c r="Q470" i="4"/>
  <c r="Q387" i="4"/>
  <c r="Q333" i="4"/>
  <c r="Q512" i="4"/>
  <c r="Q390" i="4"/>
  <c r="Q479" i="4"/>
  <c r="Q483" i="4"/>
  <c r="Q84" i="4"/>
  <c r="Q393" i="4"/>
  <c r="Q523" i="4"/>
  <c r="Q138" i="4"/>
  <c r="Q229" i="4"/>
  <c r="Q352" i="4"/>
  <c r="Q341" i="4"/>
  <c r="Q210" i="4"/>
  <c r="Q374" i="4"/>
  <c r="Q196" i="4"/>
  <c r="Q486" i="4"/>
  <c r="Q527" i="4"/>
  <c r="Q448" i="4"/>
  <c r="Q549" i="4"/>
  <c r="Q545" i="4"/>
  <c r="Q43" i="4"/>
  <c r="Q68" i="4"/>
  <c r="Q437" i="4"/>
  <c r="Q562" i="4"/>
  <c r="Q412" i="4"/>
  <c r="Q19" i="4"/>
  <c r="Q330" i="4"/>
  <c r="Q97" i="4"/>
  <c r="Q287" i="4"/>
  <c r="Q314" i="4"/>
  <c r="Q555" i="4"/>
  <c r="Q151" i="4"/>
  <c r="Q56" i="4"/>
  <c r="Q409" i="4"/>
  <c r="Q99" i="4"/>
  <c r="Q78" i="4"/>
  <c r="Q112" i="4"/>
  <c r="Q207" i="4"/>
  <c r="Q255" i="4"/>
  <c r="Q176" i="4"/>
  <c r="Q293" i="4"/>
  <c r="Q565" i="4"/>
  <c r="Q201" i="4"/>
  <c r="Q115" i="4"/>
  <c r="Q24" i="5"/>
  <c r="Q25" i="5"/>
  <c r="Q35" i="5"/>
  <c r="Q33" i="5"/>
  <c r="Q20" i="5"/>
  <c r="Q26" i="5"/>
  <c r="Q49" i="5"/>
  <c r="Q40" i="5"/>
  <c r="Q15" i="5"/>
  <c r="Q34" i="5"/>
  <c r="Q79" i="5"/>
  <c r="Q18" i="5"/>
  <c r="Q19" i="5"/>
  <c r="Q11" i="5"/>
  <c r="Q50" i="5"/>
  <c r="Q42" i="5"/>
  <c r="Q14" i="5"/>
  <c r="Q65" i="5"/>
  <c r="Q32" i="5"/>
  <c r="Q58" i="5"/>
  <c r="Q31" i="5"/>
  <c r="Q27" i="5"/>
  <c r="Q29" i="5"/>
  <c r="Q10" i="5"/>
  <c r="Q47" i="5"/>
  <c r="Q17" i="5"/>
  <c r="Q71" i="5"/>
  <c r="Q68" i="5"/>
  <c r="Q9" i="5"/>
  <c r="Q44" i="5"/>
  <c r="Q63" i="5"/>
  <c r="Q55" i="5"/>
  <c r="Q77" i="5"/>
  <c r="Q37" i="5"/>
  <c r="Q80" i="5"/>
  <c r="Q45" i="5"/>
  <c r="Q52" i="5"/>
  <c r="Q54" i="5"/>
  <c r="Q70" i="5"/>
  <c r="Q41" i="5"/>
  <c r="Q51" i="5"/>
  <c r="Q64" i="5"/>
  <c r="Q13" i="5"/>
  <c r="Q61" i="5"/>
  <c r="Q28" i="5"/>
  <c r="Q16" i="5"/>
  <c r="Q66" i="5"/>
  <c r="Q22" i="5"/>
  <c r="Q30" i="5"/>
  <c r="Q21" i="5"/>
  <c r="Q75" i="5"/>
  <c r="Q36" i="5"/>
  <c r="Q76" i="5"/>
  <c r="Q72" i="5"/>
  <c r="Q60" i="5"/>
  <c r="Q69" i="5"/>
  <c r="Q67" i="5"/>
  <c r="Q78" i="5"/>
  <c r="Q46" i="5"/>
  <c r="Q57" i="5"/>
  <c r="Q62" i="5"/>
  <c r="Q59" i="5"/>
  <c r="Q73" i="5"/>
  <c r="Q38" i="5"/>
  <c r="Q43" i="5"/>
  <c r="Q74" i="5"/>
  <c r="Q12" i="5"/>
  <c r="Q53" i="5"/>
  <c r="Q56" i="5"/>
  <c r="Q39" i="5"/>
  <c r="Q23" i="5"/>
  <c r="Q48" i="5"/>
  <c r="T395" i="6"/>
  <c r="T495" i="6"/>
  <c r="T394" i="6"/>
  <c r="T468" i="6"/>
  <c r="T230" i="6"/>
  <c r="T287" i="6"/>
  <c r="T35" i="6"/>
  <c r="T184" i="6"/>
  <c r="T443" i="6"/>
  <c r="T196" i="6"/>
  <c r="T441" i="6"/>
  <c r="T307" i="6"/>
  <c r="T407" i="6"/>
  <c r="T258" i="6"/>
  <c r="T556" i="6"/>
  <c r="T244" i="6"/>
  <c r="T504" i="6"/>
  <c r="T49" i="6"/>
  <c r="T406" i="6"/>
  <c r="T22" i="6"/>
  <c r="T154" i="6"/>
  <c r="T494" i="6"/>
  <c r="T101" i="6"/>
  <c r="T243" i="6"/>
  <c r="T150" i="6"/>
  <c r="T515" i="6"/>
  <c r="T93" i="6"/>
  <c r="T446" i="6"/>
  <c r="T216" i="6"/>
  <c r="T435" i="6"/>
  <c r="T505" i="6"/>
  <c r="T140" i="6"/>
  <c r="T143" i="6"/>
  <c r="T471" i="6"/>
  <c r="T181" i="6"/>
  <c r="T417" i="6"/>
  <c r="T356" i="6"/>
  <c r="T548" i="6"/>
  <c r="T466" i="6"/>
  <c r="T477" i="6"/>
  <c r="T175" i="6"/>
  <c r="T429" i="6"/>
  <c r="T103" i="6"/>
  <c r="T177" i="6"/>
  <c r="T206" i="6"/>
  <c r="T502" i="6"/>
  <c r="T217" i="6"/>
  <c r="T71" i="6"/>
  <c r="T327" i="6"/>
  <c r="T408" i="6"/>
  <c r="T340" i="6"/>
  <c r="T226" i="6"/>
  <c r="T305" i="6"/>
  <c r="T188" i="6"/>
  <c r="T475" i="6"/>
  <c r="T479" i="6"/>
  <c r="T367" i="6"/>
  <c r="T147" i="6"/>
  <c r="T249" i="6"/>
  <c r="T204" i="6"/>
  <c r="T459" i="6"/>
  <c r="T482" i="6"/>
  <c r="T218" i="6"/>
  <c r="T365" i="6"/>
  <c r="T89" i="6"/>
  <c r="T311" i="6"/>
  <c r="T241" i="6"/>
  <c r="T555" i="6"/>
  <c r="T155" i="6"/>
  <c r="T210" i="6"/>
  <c r="T522" i="6"/>
  <c r="T384" i="6"/>
  <c r="T464" i="6"/>
  <c r="T19" i="6"/>
  <c r="T474" i="6"/>
  <c r="T433" i="6"/>
  <c r="T123" i="6"/>
  <c r="T148" i="6"/>
  <c r="T498" i="6"/>
  <c r="T379" i="6"/>
  <c r="T561" i="6"/>
  <c r="T260" i="6"/>
  <c r="T141" i="6"/>
  <c r="T255" i="6"/>
  <c r="T34" i="6"/>
  <c r="T26" i="6"/>
  <c r="T282" i="6"/>
  <c r="T382" i="6"/>
  <c r="T182" i="6"/>
  <c r="T176" i="6"/>
  <c r="T313" i="6"/>
  <c r="T65" i="6"/>
  <c r="T363" i="6"/>
  <c r="T476" i="6"/>
  <c r="T293" i="6"/>
  <c r="T424" i="6"/>
  <c r="T295" i="6"/>
  <c r="T369" i="6"/>
  <c r="T294" i="6"/>
  <c r="T139" i="6"/>
  <c r="T499" i="6"/>
  <c r="T116" i="6"/>
  <c r="T69" i="6"/>
  <c r="T172" i="6"/>
  <c r="T302" i="6"/>
  <c r="T447" i="6"/>
  <c r="T121" i="6"/>
  <c r="T122" i="6"/>
  <c r="T25" i="6"/>
  <c r="T463" i="6"/>
  <c r="T162" i="6"/>
  <c r="T540" i="6"/>
  <c r="T67" i="6"/>
  <c r="T333" i="6"/>
  <c r="T146" i="6"/>
  <c r="T166" i="6"/>
  <c r="T144" i="6"/>
  <c r="T371" i="6"/>
  <c r="T62" i="6"/>
  <c r="T439" i="6"/>
  <c r="T456" i="6"/>
  <c r="T90" i="6"/>
  <c r="T376" i="6"/>
  <c r="T558" i="6"/>
  <c r="T334" i="6"/>
  <c r="T458" i="6"/>
  <c r="T331" i="6"/>
  <c r="T392" i="6"/>
  <c r="T193" i="6"/>
  <c r="T560" i="6"/>
  <c r="T253" i="6"/>
  <c r="T180" i="6"/>
  <c r="T372" i="6"/>
  <c r="T85" i="6"/>
  <c r="T112" i="6"/>
  <c r="T343" i="6"/>
  <c r="T353" i="6"/>
  <c r="T491" i="6"/>
  <c r="T401" i="6"/>
  <c r="T39" i="6"/>
  <c r="T105" i="6"/>
  <c r="T366" i="6"/>
  <c r="T550" i="6"/>
  <c r="T108" i="6"/>
  <c r="T350" i="6"/>
  <c r="T88" i="6"/>
  <c r="T391" i="6"/>
  <c r="T170" i="6"/>
  <c r="T289" i="6"/>
  <c r="T337" i="6"/>
  <c r="T178" i="6"/>
  <c r="T73" i="6"/>
  <c r="T130" i="6"/>
  <c r="T262" i="6"/>
  <c r="T354" i="6"/>
  <c r="T107" i="6"/>
  <c r="T357" i="6"/>
  <c r="T378" i="6"/>
  <c r="T569" i="6"/>
  <c r="T16" i="6"/>
  <c r="T450" i="6"/>
  <c r="T157" i="6"/>
  <c r="T110" i="6"/>
  <c r="T317" i="6"/>
  <c r="T549" i="6"/>
  <c r="T413" i="6"/>
  <c r="T535" i="6"/>
  <c r="T247" i="6"/>
  <c r="T496" i="6"/>
  <c r="T478" i="6"/>
  <c r="T547" i="6"/>
  <c r="T245" i="6"/>
  <c r="T315" i="6"/>
  <c r="T164" i="6"/>
  <c r="T431" i="6"/>
  <c r="T517" i="6"/>
  <c r="T240" i="6"/>
  <c r="T24" i="6"/>
  <c r="T291" i="6"/>
  <c r="T454" i="6"/>
  <c r="T227" i="6"/>
  <c r="T99" i="6"/>
  <c r="T416" i="6"/>
  <c r="T83" i="6"/>
  <c r="T205" i="6"/>
  <c r="T133" i="6"/>
  <c r="T189" i="6"/>
  <c r="T430" i="6"/>
  <c r="T532" i="6"/>
  <c r="T28" i="6"/>
  <c r="T149" i="6"/>
  <c r="T37" i="6"/>
  <c r="T272" i="6"/>
  <c r="T68" i="6"/>
  <c r="T128" i="6"/>
  <c r="T79" i="6"/>
  <c r="T242" i="6"/>
  <c r="T13" i="6"/>
  <c r="T267" i="6"/>
  <c r="T319" i="6"/>
  <c r="T529" i="6"/>
  <c r="T47" i="6"/>
  <c r="T134" i="6"/>
  <c r="T525" i="6"/>
  <c r="T559" i="6"/>
  <c r="T284" i="6"/>
  <c r="T283" i="6"/>
  <c r="T51" i="6"/>
  <c r="T280" i="6"/>
  <c r="T158" i="6"/>
  <c r="T570" i="6"/>
  <c r="T185" i="6"/>
  <c r="T487" i="6"/>
  <c r="T56" i="6"/>
  <c r="T96" i="6"/>
  <c r="T421" i="6"/>
  <c r="T397" i="6"/>
  <c r="T97" i="6"/>
  <c r="T473" i="6"/>
  <c r="T368" i="6"/>
  <c r="T228" i="6"/>
  <c r="T223" i="6"/>
  <c r="T314" i="6"/>
  <c r="T312" i="6"/>
  <c r="T292" i="6"/>
  <c r="T519" i="6"/>
  <c r="T183" i="6"/>
  <c r="T531" i="6"/>
  <c r="T214" i="6"/>
  <c r="T48" i="6"/>
  <c r="T342" i="6"/>
  <c r="T86" i="6"/>
  <c r="T234" i="6"/>
  <c r="T322" i="6"/>
  <c r="T480" i="6"/>
  <c r="T488" i="6"/>
  <c r="T191" i="6"/>
  <c r="T104" i="6"/>
  <c r="T338" i="6"/>
  <c r="T566" i="6"/>
  <c r="T552" i="6"/>
  <c r="T269" i="6"/>
  <c r="T511" i="6"/>
  <c r="T77" i="6"/>
  <c r="T377" i="6"/>
  <c r="T415" i="6"/>
  <c r="T546" i="6"/>
  <c r="T411" i="6"/>
  <c r="T248" i="6"/>
  <c r="T254" i="6"/>
  <c r="T33" i="6"/>
  <c r="T40" i="6"/>
  <c r="T460" i="6"/>
  <c r="T462" i="6"/>
  <c r="T41" i="6"/>
  <c r="T389" i="6"/>
  <c r="T273" i="6"/>
  <c r="T58" i="6"/>
  <c r="T539" i="6"/>
  <c r="T211" i="6"/>
  <c r="T202" i="6"/>
  <c r="T386" i="6"/>
  <c r="T278" i="6"/>
  <c r="T514" i="6"/>
  <c r="T316" i="6"/>
  <c r="T489" i="6"/>
  <c r="T259" i="6"/>
  <c r="T530" i="6"/>
  <c r="T554" i="6"/>
  <c r="T528" i="6"/>
  <c r="T438" i="6"/>
  <c r="T285" i="6"/>
  <c r="T484" i="6"/>
  <c r="T518" i="6"/>
  <c r="T526" i="6"/>
  <c r="T568" i="6"/>
  <c r="T275" i="6"/>
  <c r="T232" i="6"/>
  <c r="T14" i="6"/>
  <c r="T303" i="6"/>
  <c r="T220" i="6"/>
  <c r="T152" i="6"/>
  <c r="T224" i="6"/>
  <c r="T209" i="6"/>
  <c r="T373" i="6"/>
  <c r="T45" i="6"/>
  <c r="T27" i="6"/>
  <c r="T113" i="6"/>
  <c r="T9" i="6"/>
  <c r="T221" i="6"/>
  <c r="T344" i="6"/>
  <c r="T362" i="6"/>
  <c r="T492" i="6"/>
  <c r="T17" i="6"/>
  <c r="T360" i="6"/>
  <c r="T219" i="6"/>
  <c r="T174" i="6"/>
  <c r="T117" i="6"/>
  <c r="T61" i="6"/>
  <c r="T483" i="6"/>
  <c r="T501" i="6"/>
  <c r="T390" i="6"/>
  <c r="T374" i="6"/>
  <c r="T111" i="6"/>
  <c r="T348" i="6"/>
  <c r="T325" i="6"/>
  <c r="T320" i="6"/>
  <c r="T434" i="6"/>
  <c r="T425" i="6"/>
  <c r="T326" i="6"/>
  <c r="T359" i="6"/>
  <c r="T347" i="6"/>
  <c r="T402" i="6"/>
  <c r="T537" i="6"/>
  <c r="T212" i="6"/>
  <c r="T92" i="6"/>
  <c r="T82" i="6"/>
  <c r="T23" i="6"/>
  <c r="T436" i="6"/>
  <c r="T50" i="6"/>
  <c r="T257" i="6"/>
  <c r="T43" i="6"/>
  <c r="T197" i="6"/>
  <c r="T321" i="6"/>
  <c r="T557" i="6"/>
  <c r="T428" i="6"/>
  <c r="T398" i="6"/>
  <c r="T565" i="6"/>
  <c r="T533" i="6"/>
  <c r="T308" i="6"/>
  <c r="T231" i="6"/>
  <c r="T54" i="6"/>
  <c r="T444" i="6"/>
  <c r="T301" i="6"/>
  <c r="T304" i="6"/>
  <c r="T567" i="6"/>
  <c r="T60" i="6"/>
  <c r="T412" i="6"/>
  <c r="T233" i="6"/>
  <c r="T469" i="6"/>
  <c r="T190" i="6"/>
  <c r="T127" i="6"/>
  <c r="T246" i="6"/>
  <c r="T324" i="6"/>
  <c r="T72" i="6"/>
  <c r="T318" i="6"/>
  <c r="T199" i="6"/>
  <c r="T299" i="6"/>
  <c r="T297" i="6"/>
  <c r="T256" i="6"/>
  <c r="T470" i="6"/>
  <c r="T263" i="6"/>
  <c r="T132" i="6"/>
  <c r="T109" i="6"/>
  <c r="T55" i="6"/>
  <c r="T20" i="6"/>
  <c r="T349" i="6"/>
  <c r="T457" i="6"/>
  <c r="T410" i="6"/>
  <c r="T268" i="6"/>
  <c r="T94" i="6"/>
  <c r="T399" i="6"/>
  <c r="T396" i="6"/>
  <c r="T385" i="6"/>
  <c r="T541" i="6"/>
  <c r="T306" i="6"/>
  <c r="T76" i="6"/>
  <c r="T125" i="6"/>
  <c r="T11" i="6"/>
  <c r="T536" i="6"/>
  <c r="T409" i="6"/>
  <c r="T171" i="6"/>
  <c r="T461" i="6"/>
  <c r="T81" i="6"/>
  <c r="T426" i="6"/>
  <c r="T229" i="6"/>
  <c r="T261" i="6"/>
  <c r="T290" i="6"/>
  <c r="T298" i="6"/>
  <c r="T361" i="6"/>
  <c r="T165" i="6"/>
  <c r="T64" i="6"/>
  <c r="T31" i="6"/>
  <c r="T364" i="6"/>
  <c r="T135" i="6"/>
  <c r="T404" i="6"/>
  <c r="T160" i="6"/>
  <c r="T235" i="6"/>
  <c r="T523" i="6"/>
  <c r="T527" i="6"/>
  <c r="T335" i="6"/>
  <c r="T222" i="6"/>
  <c r="T329" i="6"/>
  <c r="T145" i="6"/>
  <c r="T203" i="6"/>
  <c r="T279" i="6"/>
  <c r="T120" i="6"/>
  <c r="T383" i="6"/>
  <c r="T84" i="6"/>
  <c r="T455" i="6"/>
  <c r="T167" i="6"/>
  <c r="T136" i="6"/>
  <c r="T380" i="6"/>
  <c r="T129" i="6"/>
  <c r="T341" i="6"/>
  <c r="T53" i="6"/>
  <c r="T75" i="6"/>
  <c r="T500" i="6"/>
  <c r="T507" i="6"/>
  <c r="T296" i="6"/>
  <c r="T66" i="6"/>
  <c r="T137" i="6"/>
  <c r="T432" i="6"/>
  <c r="T215" i="6"/>
  <c r="T239" i="6"/>
  <c r="T346" i="6"/>
  <c r="T192" i="6"/>
  <c r="T201" i="6"/>
  <c r="T70" i="6"/>
  <c r="T277" i="6"/>
  <c r="T57" i="6"/>
  <c r="T418" i="6"/>
  <c r="T252" i="6"/>
  <c r="T481" i="6"/>
  <c r="T355" i="6"/>
  <c r="T551" i="6"/>
  <c r="T330" i="6"/>
  <c r="T427" i="6"/>
  <c r="T538" i="6"/>
  <c r="T44" i="6"/>
  <c r="T118" i="6"/>
  <c r="T208" i="6"/>
  <c r="T521" i="6"/>
  <c r="T200" i="6"/>
  <c r="T437" i="6"/>
  <c r="T169" i="6"/>
  <c r="T309" i="6"/>
  <c r="T512" i="6"/>
  <c r="T21" i="6"/>
  <c r="T225" i="6"/>
  <c r="T449" i="6"/>
  <c r="T250" i="6"/>
  <c r="T543" i="6"/>
  <c r="T513" i="6"/>
  <c r="T213" i="6"/>
  <c r="T46" i="6"/>
  <c r="T300" i="6"/>
  <c r="T563" i="6"/>
  <c r="T42" i="6"/>
  <c r="T493" i="6"/>
  <c r="T38" i="6"/>
  <c r="T564" i="6"/>
  <c r="T509" i="6"/>
  <c r="T339" i="6"/>
  <c r="T534" i="6"/>
  <c r="T375" i="6"/>
  <c r="T520" i="6"/>
  <c r="T486" i="6"/>
  <c r="T448" i="6"/>
  <c r="T472" i="6"/>
  <c r="T405" i="6"/>
  <c r="T345" i="6"/>
  <c r="T156" i="6"/>
  <c r="T126" i="6"/>
  <c r="T159" i="6"/>
  <c r="T281" i="6"/>
  <c r="T187" i="6"/>
  <c r="T516" i="6"/>
  <c r="T251" i="6"/>
  <c r="T453" i="6"/>
  <c r="T524" i="6"/>
  <c r="T10" i="6"/>
  <c r="T238" i="6"/>
  <c r="T153" i="6"/>
  <c r="T59" i="6"/>
  <c r="T124" i="6"/>
  <c r="T151" i="6"/>
  <c r="T237" i="6"/>
  <c r="T207" i="6"/>
  <c r="T87" i="6"/>
  <c r="T545" i="6"/>
  <c r="T332" i="6"/>
  <c r="T403" i="6"/>
  <c r="T381" i="6"/>
  <c r="T510" i="6"/>
  <c r="T274" i="6"/>
  <c r="T264" i="6"/>
  <c r="T393" i="6"/>
  <c r="T131" i="6"/>
  <c r="T400" i="6"/>
  <c r="T29" i="6"/>
  <c r="T32" i="6"/>
  <c r="T80" i="6"/>
  <c r="T276" i="6"/>
  <c r="T30" i="6"/>
  <c r="T562" i="6"/>
  <c r="T173" i="6"/>
  <c r="T423" i="6"/>
  <c r="T271" i="6"/>
  <c r="T288" i="6"/>
  <c r="T161" i="6"/>
  <c r="T506" i="6"/>
  <c r="T445" i="6"/>
  <c r="T452" i="6"/>
  <c r="T553" i="6"/>
  <c r="T442" i="6"/>
  <c r="T451" i="6"/>
  <c r="T63" i="6"/>
  <c r="T18" i="6"/>
  <c r="T358" i="6"/>
  <c r="T387" i="6"/>
  <c r="T414" i="6"/>
  <c r="T138" i="6"/>
  <c r="T15" i="6"/>
  <c r="T195" i="6"/>
  <c r="T388" i="6"/>
  <c r="T490" i="6"/>
  <c r="T198" i="6"/>
  <c r="T142" i="6"/>
  <c r="T328" i="6"/>
  <c r="T265" i="6"/>
  <c r="T440" i="6"/>
  <c r="T119" i="6"/>
  <c r="T168" i="6"/>
  <c r="T465" i="6"/>
  <c r="T542" i="6"/>
  <c r="T370" i="6"/>
  <c r="T36" i="6"/>
  <c r="T91" i="6"/>
  <c r="T115" i="6"/>
  <c r="T352" i="6"/>
  <c r="T323" i="6"/>
  <c r="T78" i="6"/>
  <c r="T270" i="6"/>
  <c r="T102" i="6"/>
  <c r="T194" i="6"/>
  <c r="T179" i="6"/>
  <c r="T544" i="6"/>
  <c r="T419" i="6"/>
  <c r="T106" i="6"/>
  <c r="T186" i="6"/>
  <c r="T95" i="6"/>
  <c r="T497" i="6"/>
  <c r="T12" i="6"/>
  <c r="T98" i="6"/>
  <c r="T503" i="6"/>
  <c r="T286" i="6"/>
  <c r="T485" i="6"/>
  <c r="T74" i="6"/>
  <c r="T422" i="6"/>
  <c r="T310" i="6"/>
  <c r="T336" i="6"/>
  <c r="T163" i="6"/>
  <c r="T266" i="6"/>
  <c r="T100" i="6"/>
  <c r="T236" i="6"/>
  <c r="T467" i="6"/>
  <c r="T508" i="6"/>
  <c r="T114" i="6"/>
  <c r="T52" i="6"/>
  <c r="T351" i="6"/>
  <c r="T420" i="6"/>
  <c r="S109" i="4"/>
  <c r="S39" i="4"/>
  <c r="S472" i="4"/>
  <c r="S47" i="4"/>
  <c r="S550" i="4"/>
  <c r="S561" i="4"/>
  <c r="S238" i="4"/>
  <c r="S121" i="4"/>
  <c r="S19" i="4"/>
  <c r="S352" i="4"/>
  <c r="S407" i="4"/>
  <c r="S206" i="4"/>
  <c r="S82" i="4"/>
  <c r="S103" i="4"/>
  <c r="S336" i="4"/>
  <c r="S167" i="4"/>
  <c r="S258" i="4"/>
  <c r="S42" i="4"/>
  <c r="S417" i="4"/>
  <c r="S391" i="4"/>
  <c r="S51" i="4"/>
  <c r="S229" i="4"/>
  <c r="S422" i="4"/>
  <c r="S355" i="4"/>
  <c r="S434" i="4"/>
  <c r="S165" i="4"/>
  <c r="S35" i="4"/>
  <c r="S283" i="4"/>
  <c r="S406" i="4"/>
  <c r="S12" i="4"/>
  <c r="S249" i="4"/>
  <c r="S279" i="4"/>
  <c r="S342" i="4"/>
  <c r="S541" i="4"/>
  <c r="S522" i="4"/>
  <c r="S40" i="4"/>
  <c r="S91" i="4"/>
  <c r="S475" i="4"/>
  <c r="S506" i="4"/>
  <c r="S74" i="4"/>
  <c r="S379" i="4"/>
  <c r="S252" i="4"/>
  <c r="S483" i="4"/>
  <c r="S213" i="4"/>
  <c r="S288" i="4"/>
  <c r="S378" i="4"/>
  <c r="S145" i="4"/>
  <c r="S345" i="4"/>
  <c r="S456" i="4"/>
  <c r="S25" i="4"/>
  <c r="S130" i="4"/>
  <c r="S110" i="4"/>
  <c r="S533" i="4"/>
  <c r="S54" i="4"/>
  <c r="S459" i="4"/>
  <c r="S516" i="4"/>
  <c r="S543" i="4"/>
  <c r="S388" i="4"/>
  <c r="S133" i="4"/>
  <c r="S147" i="4"/>
  <c r="S106" i="4"/>
  <c r="S457" i="4"/>
  <c r="S331" i="4"/>
  <c r="S377" i="4"/>
  <c r="S308" i="4"/>
  <c r="S150" i="4"/>
  <c r="S202" i="4"/>
  <c r="S181" i="4"/>
  <c r="S367" i="4"/>
  <c r="S305" i="4"/>
  <c r="S24" i="4"/>
  <c r="S263" i="4"/>
  <c r="S246" i="4"/>
  <c r="S162" i="4"/>
  <c r="S401" i="4"/>
  <c r="S502" i="4"/>
  <c r="S158" i="4"/>
  <c r="S81" i="4"/>
  <c r="S559" i="4"/>
  <c r="S184" i="4"/>
  <c r="S26" i="4"/>
  <c r="S527" i="4"/>
  <c r="S493" i="4"/>
  <c r="S100" i="4"/>
  <c r="S139" i="4"/>
  <c r="S303" i="4"/>
  <c r="S338" i="4"/>
  <c r="S266" i="4"/>
  <c r="S114" i="4"/>
  <c r="S310" i="4"/>
  <c r="S185" i="4"/>
  <c r="S507" i="4"/>
  <c r="S306" i="4"/>
  <c r="S198" i="4"/>
  <c r="S120" i="4"/>
  <c r="S192" i="4"/>
  <c r="S225" i="4"/>
  <c r="S424" i="4"/>
  <c r="S37" i="4"/>
  <c r="S46" i="4"/>
  <c r="S166" i="4"/>
  <c r="S551" i="4"/>
  <c r="S275" i="4"/>
  <c r="S381" i="4"/>
  <c r="S548" i="4"/>
  <c r="S311" i="4"/>
  <c r="S562" i="4"/>
  <c r="S116" i="4"/>
  <c r="S558" i="4"/>
  <c r="S489" i="4"/>
  <c r="S253" i="4"/>
  <c r="S293" i="4"/>
  <c r="S281" i="4"/>
  <c r="S429" i="4"/>
  <c r="S300" i="4"/>
  <c r="S140" i="4"/>
  <c r="S221" i="4"/>
  <c r="S123" i="4"/>
  <c r="S63" i="4"/>
  <c r="S79" i="4"/>
  <c r="S447" i="4"/>
  <c r="S10" i="4"/>
  <c r="S538" i="4"/>
  <c r="S240" i="4"/>
  <c r="S148" i="4"/>
  <c r="S479" i="4"/>
  <c r="S284" i="4"/>
  <c r="S384" i="4"/>
  <c r="S525" i="4"/>
  <c r="S259" i="4"/>
  <c r="S164" i="4"/>
  <c r="S488" i="4"/>
  <c r="S43" i="4"/>
  <c r="S441" i="4"/>
  <c r="S195" i="4"/>
  <c r="S324" i="4"/>
  <c r="S346" i="4"/>
  <c r="S446" i="4"/>
  <c r="S357" i="4"/>
  <c r="S519" i="4"/>
  <c r="S232" i="4"/>
  <c r="S36" i="4"/>
  <c r="S113" i="4"/>
  <c r="S124" i="4"/>
  <c r="S243" i="4"/>
  <c r="S132" i="4"/>
  <c r="S235" i="4"/>
  <c r="S212" i="4"/>
  <c r="S278" i="4"/>
  <c r="S320" i="4"/>
  <c r="S93" i="4"/>
  <c r="S70" i="4"/>
  <c r="S382" i="4"/>
  <c r="S193" i="4"/>
  <c r="S492" i="4"/>
  <c r="S316" i="4"/>
  <c r="S481" i="4"/>
  <c r="S491" i="4"/>
  <c r="S117" i="4"/>
  <c r="S452" i="4"/>
  <c r="S201" i="4"/>
  <c r="S476" i="4"/>
  <c r="S510" i="4"/>
  <c r="S301" i="4"/>
  <c r="S205" i="4"/>
  <c r="S191" i="4"/>
  <c r="S340" i="4"/>
  <c r="S254" i="4"/>
  <c r="S380" i="4"/>
  <c r="S160" i="4"/>
  <c r="S38" i="4"/>
  <c r="S251" i="4"/>
  <c r="S426" i="4"/>
  <c r="S333" i="4"/>
  <c r="S400" i="4"/>
  <c r="S65" i="4"/>
  <c r="S455" i="4"/>
  <c r="S408" i="4"/>
  <c r="S157" i="4"/>
  <c r="S29" i="4"/>
  <c r="S442" i="4"/>
  <c r="S399" i="4"/>
  <c r="S549" i="4"/>
  <c r="S539" i="4"/>
  <c r="S312" i="4"/>
  <c r="S76" i="4"/>
  <c r="S200" i="4"/>
  <c r="S372" i="4"/>
  <c r="S216" i="4"/>
  <c r="S445" i="4"/>
  <c r="S545" i="4"/>
  <c r="S134" i="4"/>
  <c r="S271" i="4"/>
  <c r="S264" i="4"/>
  <c r="S272" i="4"/>
  <c r="S64" i="4"/>
  <c r="S48" i="4"/>
  <c r="S565" i="4"/>
  <c r="S161" i="4"/>
  <c r="S187" i="4"/>
  <c r="S66" i="4"/>
  <c r="S332" i="4"/>
  <c r="S144" i="4"/>
  <c r="S473" i="4"/>
  <c r="S330" i="4"/>
  <c r="S557" i="4"/>
  <c r="S179" i="4"/>
  <c r="S31" i="4"/>
  <c r="S449" i="4"/>
  <c r="S153" i="4"/>
  <c r="S56" i="4"/>
  <c r="S409" i="4"/>
  <c r="S535" i="4"/>
  <c r="S546" i="4"/>
  <c r="S322" i="4"/>
  <c r="S122" i="4"/>
  <c r="S463" i="4"/>
  <c r="S435" i="4"/>
  <c r="S323" i="4"/>
  <c r="S494" i="4"/>
  <c r="S361" i="4"/>
  <c r="S496" i="4"/>
  <c r="S370" i="4"/>
  <c r="S566" i="4"/>
  <c r="S282" i="4"/>
  <c r="S9" i="4"/>
  <c r="S154" i="4"/>
  <c r="S60" i="4"/>
  <c r="S432" i="4"/>
  <c r="S467" i="4"/>
  <c r="S274" i="4"/>
  <c r="S156" i="4"/>
  <c r="S349" i="4"/>
  <c r="S105" i="4"/>
  <c r="S107" i="4"/>
  <c r="S540" i="4"/>
  <c r="S423" i="4"/>
  <c r="S227" i="4"/>
  <c r="S499" i="4"/>
  <c r="S99" i="4"/>
  <c r="S501" i="4"/>
  <c r="S518" i="4"/>
  <c r="S570" i="4"/>
  <c r="S421" i="4"/>
  <c r="S210" i="4"/>
  <c r="S487" i="4"/>
  <c r="S255" i="4"/>
  <c r="S371" i="4"/>
  <c r="S131" i="4"/>
  <c r="S173" i="4"/>
  <c r="S196" i="4"/>
  <c r="S18" i="4"/>
  <c r="S508" i="4"/>
  <c r="S22" i="4"/>
  <c r="S296" i="4"/>
  <c r="S211" i="4"/>
  <c r="S260" i="4"/>
  <c r="S27" i="4"/>
  <c r="S526" i="4"/>
  <c r="S118" i="4"/>
  <c r="S239" i="4"/>
  <c r="S359" i="4"/>
  <c r="S528" i="4"/>
  <c r="S387" i="4"/>
  <c r="S567" i="4"/>
  <c r="S471" i="4"/>
  <c r="S314" i="4"/>
  <c r="S500" i="4"/>
  <c r="S33" i="4"/>
  <c r="S62" i="4"/>
  <c r="S170" i="4"/>
  <c r="S431" i="4"/>
  <c r="S180" i="4"/>
  <c r="S98" i="4"/>
  <c r="S497" i="4"/>
  <c r="S67" i="4"/>
  <c r="S470" i="4"/>
  <c r="S413" i="4"/>
  <c r="S217" i="4"/>
  <c r="S218" i="4"/>
  <c r="S515" i="4"/>
  <c r="S521" i="4"/>
  <c r="S45" i="4"/>
  <c r="S321" i="4"/>
  <c r="S59" i="4"/>
  <c r="S440" i="4"/>
  <c r="S16" i="4"/>
  <c r="S220" i="4"/>
  <c r="S373" i="4"/>
  <c r="S485" i="4"/>
  <c r="S86" i="4"/>
  <c r="S233" i="4"/>
  <c r="S30" i="4"/>
  <c r="S168" i="4"/>
  <c r="S554" i="4"/>
  <c r="S199" i="4"/>
  <c r="S309" i="4"/>
  <c r="S313" i="4"/>
  <c r="S21" i="4"/>
  <c r="S299" i="4"/>
  <c r="S290" i="4"/>
  <c r="S438" i="4"/>
  <c r="S416" i="4"/>
  <c r="S270" i="4"/>
  <c r="S389" i="4"/>
  <c r="S420" i="4"/>
  <c r="S555" i="4"/>
  <c r="S141" i="4"/>
  <c r="S544" i="4"/>
  <c r="S490" i="4"/>
  <c r="S97" i="4"/>
  <c r="S84" i="4"/>
  <c r="S171" i="4"/>
  <c r="S126" i="4"/>
  <c r="S462" i="4"/>
  <c r="S430" i="4"/>
  <c r="S396" i="4"/>
  <c r="S112" i="4"/>
  <c r="S169" i="4"/>
  <c r="S486" i="4"/>
  <c r="S537" i="4"/>
  <c r="S329" i="4"/>
  <c r="S298" i="4"/>
  <c r="S334" i="4"/>
  <c r="S523" i="4"/>
  <c r="S203" i="4"/>
  <c r="S55" i="4"/>
  <c r="S34" i="4"/>
  <c r="S194" i="4"/>
  <c r="S286" i="4"/>
  <c r="S504" i="4"/>
  <c r="S366" i="4"/>
  <c r="S280" i="4"/>
  <c r="S231" i="4"/>
  <c r="S428" i="4"/>
  <c r="S242" i="4"/>
  <c r="S376" i="4"/>
  <c r="S374" i="4"/>
  <c r="S85" i="4"/>
  <c r="S482" i="4"/>
  <c r="S363" i="4"/>
  <c r="S11" i="4"/>
  <c r="S285" i="4"/>
  <c r="S556" i="4"/>
  <c r="S450" i="4"/>
  <c r="S383" i="4"/>
  <c r="S365" i="4"/>
  <c r="S354" i="4"/>
  <c r="S536" i="4"/>
  <c r="S269" i="4"/>
  <c r="S437" i="4"/>
  <c r="S189" i="4"/>
  <c r="S237" i="4"/>
  <c r="S77" i="4"/>
  <c r="S360" i="4"/>
  <c r="S410" i="4"/>
  <c r="S394" i="4"/>
  <c r="S350" i="4"/>
  <c r="S277" i="4"/>
  <c r="S58" i="4"/>
  <c r="S402" i="4"/>
  <c r="S404" i="4"/>
  <c r="S143" i="4"/>
  <c r="S208" i="4"/>
  <c r="S88" i="4"/>
  <c r="S362" i="4"/>
  <c r="S414" i="4"/>
  <c r="S411" i="4"/>
  <c r="S50" i="4"/>
  <c r="S390" i="4"/>
  <c r="S15" i="4"/>
  <c r="S49" i="4"/>
  <c r="S478" i="4"/>
  <c r="S443" i="4"/>
  <c r="S534" i="4"/>
  <c r="S503" i="4"/>
  <c r="S495" i="4"/>
  <c r="S368" i="4"/>
  <c r="S215" i="4"/>
  <c r="S32" i="4"/>
  <c r="S248" i="4"/>
  <c r="S57" i="4"/>
  <c r="S119" i="4"/>
  <c r="S529" i="4"/>
  <c r="S245" i="4"/>
  <c r="S104" i="4"/>
  <c r="S90" i="4"/>
  <c r="S302" i="4"/>
  <c r="S72" i="4"/>
  <c r="S78" i="4"/>
  <c r="S115" i="4"/>
  <c r="S267" i="4"/>
  <c r="S244" i="4"/>
  <c r="S325" i="4"/>
  <c r="S111" i="4"/>
  <c r="S135" i="4"/>
  <c r="S466" i="4"/>
  <c r="S328" i="4"/>
  <c r="S44" i="4"/>
  <c r="S142" i="4"/>
  <c r="S319" i="4"/>
  <c r="S341" i="4"/>
  <c r="S505" i="4"/>
  <c r="S262" i="4"/>
  <c r="S174" i="4"/>
  <c r="S433" i="4"/>
  <c r="S289" i="4"/>
  <c r="S92" i="4"/>
  <c r="S137" i="4"/>
  <c r="S256" i="4"/>
  <c r="S512" i="4"/>
  <c r="S291" i="4"/>
  <c r="S339" i="4"/>
  <c r="S14" i="4"/>
  <c r="S343" i="4"/>
  <c r="S178" i="4"/>
  <c r="S226" i="4"/>
  <c r="S188" i="4"/>
  <c r="S542" i="4"/>
  <c r="S163" i="4"/>
  <c r="S152" i="4"/>
  <c r="S327" i="4"/>
  <c r="S159" i="4"/>
  <c r="S68" i="4"/>
  <c r="S228" i="4"/>
  <c r="S197" i="4"/>
  <c r="S468" i="4"/>
  <c r="S292" i="4"/>
  <c r="S337" i="4"/>
  <c r="S89" i="4"/>
  <c r="S358" i="4"/>
  <c r="S52" i="4"/>
  <c r="S176" i="4"/>
  <c r="S241" i="4"/>
  <c r="S318" i="4"/>
  <c r="S393" i="4"/>
  <c r="S469" i="4"/>
  <c r="S128" i="4"/>
  <c r="S209" i="4"/>
  <c r="S568" i="4"/>
  <c r="S398" i="4"/>
  <c r="S427" i="4"/>
  <c r="S61" i="4"/>
  <c r="S351" i="4"/>
  <c r="S125" i="4"/>
  <c r="S71" i="4"/>
  <c r="S183" i="4"/>
  <c r="S531" i="4"/>
  <c r="S190" i="4"/>
  <c r="S307" i="4"/>
  <c r="S513" i="4"/>
  <c r="S175" i="4"/>
  <c r="S439" i="4"/>
  <c r="S261" i="4"/>
  <c r="S451" i="4"/>
  <c r="S564" i="4"/>
  <c r="S204" i="4"/>
  <c r="S547" i="4"/>
  <c r="S405" i="4"/>
  <c r="S326" i="4"/>
  <c r="S276" i="4"/>
  <c r="S250" i="4"/>
  <c r="S369" i="4"/>
  <c r="S480" i="4"/>
  <c r="S395" i="4"/>
  <c r="S75" i="4"/>
  <c r="S155" i="4"/>
  <c r="S23" i="4"/>
  <c r="S87" i="4"/>
  <c r="S474" i="4"/>
  <c r="S257" i="4"/>
  <c r="S553" i="4"/>
  <c r="S295" i="4"/>
  <c r="S94" i="4"/>
  <c r="S17" i="4"/>
  <c r="S236" i="4"/>
  <c r="S96" i="4"/>
  <c r="S83" i="4"/>
  <c r="S460" i="4"/>
  <c r="S73" i="4"/>
  <c r="S28" i="4"/>
  <c r="S149" i="4"/>
  <c r="S415" i="4"/>
  <c r="S524" i="4"/>
  <c r="S222" i="4"/>
  <c r="S511" i="4"/>
  <c r="S403" i="4"/>
  <c r="S127" i="4"/>
  <c r="S347" i="4"/>
  <c r="S552" i="4"/>
  <c r="S436" i="4"/>
  <c r="S13" i="4"/>
  <c r="S136" i="4"/>
  <c r="S20" i="4"/>
  <c r="S53" i="4"/>
  <c r="S224" i="4"/>
  <c r="S95" i="4"/>
  <c r="S207" i="4"/>
  <c r="S146" i="4"/>
  <c r="S514" i="4"/>
  <c r="S335" i="4"/>
  <c r="S177" i="4"/>
  <c r="S287" i="4"/>
  <c r="S498" i="4"/>
  <c r="S375" i="4"/>
  <c r="S294" i="4"/>
  <c r="S461" i="4"/>
  <c r="S138" i="4"/>
  <c r="S364" i="4"/>
  <c r="S520" i="4"/>
  <c r="S397" i="4"/>
  <c r="S151" i="4"/>
  <c r="S517" i="4"/>
  <c r="S234" i="4"/>
  <c r="S182" i="4"/>
  <c r="S419" i="4"/>
  <c r="S129" i="4"/>
  <c r="S484" i="4"/>
  <c r="S560" i="4"/>
  <c r="S80" i="4"/>
  <c r="S509" i="4"/>
  <c r="S223" i="4"/>
  <c r="S219" i="4"/>
  <c r="S353" i="4"/>
  <c r="S273" i="4"/>
  <c r="S532" i="4"/>
  <c r="S69" i="4"/>
  <c r="S102" i="4"/>
  <c r="S214" i="4"/>
  <c r="S477" i="4"/>
  <c r="S464" i="4"/>
  <c r="S356" i="4"/>
  <c r="S563" i="4"/>
  <c r="S108" i="4"/>
  <c r="S304" i="4"/>
  <c r="S385" i="4"/>
  <c r="S569" i="4"/>
  <c r="S247" i="4"/>
  <c r="S344" i="4"/>
  <c r="S412" i="4"/>
  <c r="S230" i="4"/>
  <c r="S348" i="4"/>
  <c r="S444" i="4"/>
  <c r="S315" i="4"/>
  <c r="S425" i="4"/>
  <c r="S418" i="4"/>
  <c r="S186" i="4"/>
  <c r="S265" i="4"/>
  <c r="S268" i="4"/>
  <c r="S101" i="4"/>
  <c r="S41" i="4"/>
  <c r="S317" i="4"/>
  <c r="S386" i="4"/>
  <c r="S458" i="4"/>
  <c r="S530" i="4"/>
  <c r="S453" i="4"/>
  <c r="S297" i="4"/>
  <c r="S465" i="4"/>
  <c r="S448" i="4"/>
  <c r="S454" i="4"/>
  <c r="S172" i="4"/>
  <c r="S392" i="4"/>
  <c r="S53" i="5"/>
  <c r="S74" i="5"/>
  <c r="S24" i="5"/>
  <c r="S34" i="5"/>
  <c r="S59" i="5"/>
  <c r="S37" i="5"/>
  <c r="S21" i="5"/>
  <c r="S18" i="5"/>
  <c r="S77" i="5"/>
  <c r="S55" i="5"/>
  <c r="S43" i="5"/>
  <c r="S54" i="5"/>
  <c r="S62" i="5"/>
  <c r="S69" i="5"/>
  <c r="S17" i="5"/>
  <c r="S40" i="5"/>
  <c r="S63" i="5"/>
  <c r="S22" i="5"/>
  <c r="S39" i="5"/>
  <c r="S58" i="5"/>
  <c r="S67" i="5"/>
  <c r="S15" i="5"/>
  <c r="S75" i="5"/>
  <c r="S42" i="5"/>
  <c r="S11" i="5"/>
  <c r="S32" i="5"/>
  <c r="S33" i="5"/>
  <c r="S70" i="5"/>
  <c r="S25" i="5"/>
  <c r="S78" i="5"/>
  <c r="S44" i="5"/>
  <c r="S26" i="5"/>
  <c r="S23" i="5"/>
  <c r="S29" i="5"/>
  <c r="S27" i="5"/>
  <c r="S48" i="5"/>
  <c r="S60" i="5"/>
  <c r="S71" i="5"/>
  <c r="S80" i="5"/>
  <c r="S72" i="5"/>
  <c r="S13" i="5"/>
  <c r="S73" i="5"/>
  <c r="S76" i="5"/>
  <c r="S38" i="5"/>
  <c r="S66" i="5"/>
  <c r="S12" i="5"/>
  <c r="S14" i="5"/>
  <c r="S47" i="5"/>
  <c r="S65" i="5"/>
  <c r="S68" i="5"/>
  <c r="S36" i="5"/>
  <c r="S20" i="5"/>
  <c r="S51" i="5"/>
  <c r="S41" i="5"/>
  <c r="S49" i="5"/>
  <c r="S46" i="5"/>
  <c r="S28" i="5"/>
  <c r="S19" i="5"/>
  <c r="S56" i="5"/>
  <c r="S50" i="5"/>
  <c r="S45" i="5"/>
  <c r="S10" i="5"/>
  <c r="S64" i="5"/>
  <c r="S9" i="5"/>
  <c r="S79" i="5"/>
  <c r="S30" i="5"/>
  <c r="S61" i="5"/>
  <c r="S16" i="5"/>
  <c r="S52" i="5"/>
  <c r="S35" i="5"/>
  <c r="S57" i="5"/>
  <c r="S31" i="5"/>
  <c r="B23" i="13"/>
  <c r="P7" i="5"/>
  <c r="P62" i="5"/>
  <c r="T62" i="5"/>
  <c r="V62" i="5"/>
  <c r="P7" i="4"/>
  <c r="P519" i="4"/>
  <c r="T519" i="4"/>
  <c r="V519" i="4"/>
  <c r="P563" i="4"/>
  <c r="T563" i="4"/>
  <c r="V563" i="4"/>
  <c r="P438" i="4"/>
  <c r="T438" i="4"/>
  <c r="V438" i="4"/>
  <c r="P450" i="4"/>
  <c r="T450" i="4"/>
  <c r="V450" i="4"/>
  <c r="P502" i="4"/>
  <c r="T502" i="4"/>
  <c r="V502" i="4"/>
  <c r="P540" i="4"/>
  <c r="T540" i="4"/>
  <c r="V540" i="4"/>
  <c r="P523" i="4"/>
  <c r="T523" i="4"/>
  <c r="V523" i="4"/>
  <c r="P498" i="4"/>
  <c r="T498" i="4"/>
  <c r="V498" i="4"/>
  <c r="P524" i="4"/>
  <c r="T524" i="4"/>
  <c r="V524" i="4"/>
  <c r="P506" i="4"/>
  <c r="T506" i="4"/>
  <c r="V506" i="4"/>
  <c r="P535" i="4"/>
  <c r="T535" i="4"/>
  <c r="V535" i="4"/>
  <c r="P422" i="4"/>
  <c r="T422" i="4"/>
  <c r="V422" i="4"/>
  <c r="P539" i="4"/>
  <c r="T539" i="4"/>
  <c r="V539" i="4"/>
  <c r="P79" i="5"/>
  <c r="T79" i="5"/>
  <c r="V79" i="5"/>
  <c r="P66" i="5"/>
  <c r="T66" i="5"/>
  <c r="V66" i="5"/>
  <c r="P47" i="5"/>
  <c r="T47" i="5"/>
  <c r="V47" i="5"/>
  <c r="P27" i="5"/>
  <c r="T27" i="5"/>
  <c r="V27" i="5"/>
  <c r="P64" i="5"/>
  <c r="T64" i="5"/>
  <c r="V64" i="5"/>
  <c r="P29" i="5"/>
  <c r="T29" i="5"/>
  <c r="V29" i="5"/>
  <c r="P24" i="5"/>
  <c r="T24" i="5"/>
  <c r="V24" i="5"/>
  <c r="P12" i="5"/>
  <c r="T12" i="5"/>
  <c r="V12" i="5"/>
  <c r="P16" i="5"/>
  <c r="T16" i="5"/>
  <c r="V16" i="5"/>
  <c r="P73" i="5"/>
  <c r="T73" i="5"/>
  <c r="V73" i="5"/>
  <c r="P33" i="5"/>
  <c r="T33" i="5"/>
  <c r="V33" i="5"/>
  <c r="P26" i="5"/>
  <c r="T26" i="5"/>
  <c r="V26" i="5"/>
  <c r="P22" i="5"/>
  <c r="T22" i="5"/>
  <c r="V22" i="5"/>
  <c r="P56" i="5"/>
  <c r="T56" i="5"/>
  <c r="V56" i="5"/>
  <c r="P35" i="5"/>
  <c r="T35" i="5"/>
  <c r="V35" i="5"/>
  <c r="P80" i="5"/>
  <c r="T80" i="5"/>
  <c r="V80" i="5"/>
  <c r="P36" i="5"/>
  <c r="T36" i="5"/>
  <c r="V36" i="5"/>
  <c r="P45" i="5"/>
  <c r="T45" i="5"/>
  <c r="V45" i="5"/>
  <c r="P70" i="5"/>
  <c r="T70" i="5"/>
  <c r="V70" i="5"/>
  <c r="P71" i="5"/>
  <c r="T71" i="5"/>
  <c r="V71" i="5"/>
  <c r="P23" i="5"/>
  <c r="T23" i="5"/>
  <c r="V23" i="5"/>
  <c r="P43" i="5"/>
  <c r="T43" i="5"/>
  <c r="V43" i="5"/>
  <c r="P57" i="5"/>
  <c r="T57" i="5"/>
  <c r="V57" i="5"/>
  <c r="P30" i="5"/>
  <c r="T30" i="5"/>
  <c r="V30" i="5"/>
  <c r="P52" i="5"/>
  <c r="T52" i="5"/>
  <c r="V52" i="5"/>
  <c r="P60" i="5"/>
  <c r="T60" i="5"/>
  <c r="V60" i="5"/>
  <c r="P34" i="5"/>
  <c r="T34" i="5"/>
  <c r="V34" i="5"/>
  <c r="P48" i="5"/>
  <c r="T48" i="5"/>
  <c r="V48" i="5"/>
  <c r="P31" i="5"/>
  <c r="T31" i="5"/>
  <c r="V31" i="5"/>
  <c r="P13" i="5"/>
  <c r="T13" i="5"/>
  <c r="V13" i="5"/>
  <c r="P44" i="5"/>
  <c r="T44" i="5"/>
  <c r="V44" i="5"/>
  <c r="P14" i="5"/>
  <c r="T14" i="5"/>
  <c r="V14" i="5"/>
  <c r="P15" i="5"/>
  <c r="T15" i="5"/>
  <c r="V15" i="5"/>
  <c r="P51" i="5"/>
  <c r="T51" i="5"/>
  <c r="V51" i="5"/>
  <c r="P10" i="5"/>
  <c r="T10" i="5"/>
  <c r="V10" i="5"/>
  <c r="P46" i="5"/>
  <c r="T46" i="5"/>
  <c r="V46" i="5"/>
  <c r="P21" i="5"/>
  <c r="T21" i="5"/>
  <c r="V21" i="5"/>
  <c r="P32" i="5"/>
  <c r="T32" i="5"/>
  <c r="V32" i="5"/>
  <c r="P17" i="5"/>
  <c r="T17" i="5"/>
  <c r="V17" i="5"/>
  <c r="P19" i="5"/>
  <c r="T19" i="5"/>
  <c r="V19" i="5"/>
  <c r="P40" i="5"/>
  <c r="T40" i="5"/>
  <c r="V40" i="5"/>
  <c r="P42" i="5"/>
  <c r="T42" i="5"/>
  <c r="V42" i="5"/>
  <c r="P39" i="5"/>
  <c r="T39" i="5"/>
  <c r="V39" i="5"/>
  <c r="P41" i="5"/>
  <c r="T41" i="5"/>
  <c r="V41" i="5"/>
  <c r="P11" i="5"/>
  <c r="T11" i="5"/>
  <c r="V11" i="5"/>
  <c r="P38" i="5"/>
  <c r="T38" i="5"/>
  <c r="V38" i="5"/>
  <c r="P20" i="5"/>
  <c r="T20" i="5"/>
  <c r="V20" i="5"/>
  <c r="P49" i="5"/>
  <c r="T49" i="5"/>
  <c r="V49" i="5"/>
  <c r="P77" i="5"/>
  <c r="T77" i="5"/>
  <c r="V77" i="5"/>
  <c r="P28" i="5"/>
  <c r="T28" i="5"/>
  <c r="V28" i="5"/>
  <c r="P37" i="5"/>
  <c r="T37" i="5"/>
  <c r="V37" i="5"/>
  <c r="P50" i="5"/>
  <c r="T50" i="5"/>
  <c r="V50" i="5"/>
  <c r="P18" i="5"/>
  <c r="T18" i="5"/>
  <c r="V18" i="5"/>
  <c r="P25" i="5"/>
  <c r="T25" i="5"/>
  <c r="V25" i="5"/>
  <c r="P349" i="4"/>
  <c r="T349" i="4"/>
  <c r="V349" i="4"/>
  <c r="P164" i="4"/>
  <c r="T164" i="4"/>
  <c r="V164" i="4"/>
  <c r="P32" i="4"/>
  <c r="T32" i="4"/>
  <c r="V32" i="4"/>
  <c r="P554" i="4"/>
  <c r="T554" i="4"/>
  <c r="V554" i="4"/>
  <c r="P292" i="4"/>
  <c r="T292" i="4"/>
  <c r="V292" i="4"/>
  <c r="P567" i="4"/>
  <c r="T567" i="4"/>
  <c r="V567" i="4"/>
  <c r="P131" i="4"/>
  <c r="T131" i="4"/>
  <c r="V131" i="4"/>
  <c r="P159" i="4"/>
  <c r="T159" i="4"/>
  <c r="V159" i="4"/>
  <c r="P156" i="4"/>
  <c r="T156" i="4"/>
  <c r="V156" i="4"/>
  <c r="P192" i="4"/>
  <c r="T192" i="4"/>
  <c r="V192" i="4"/>
  <c r="P472" i="4"/>
  <c r="T472" i="4"/>
  <c r="V472" i="4"/>
  <c r="P405" i="4"/>
  <c r="T405" i="4"/>
  <c r="V405" i="4"/>
  <c r="P179" i="4"/>
  <c r="T179" i="4"/>
  <c r="V179" i="4"/>
  <c r="P510" i="4"/>
  <c r="T510" i="4"/>
  <c r="V510" i="4"/>
  <c r="P126" i="4"/>
  <c r="T126" i="4"/>
  <c r="V126" i="4"/>
  <c r="P511" i="4"/>
  <c r="T511" i="4"/>
  <c r="V511" i="4"/>
  <c r="P157" i="4"/>
  <c r="T157" i="4"/>
  <c r="V157" i="4"/>
  <c r="P258" i="4"/>
  <c r="T258" i="4"/>
  <c r="V258" i="4"/>
  <c r="P68" i="4"/>
  <c r="T68" i="4"/>
  <c r="V68" i="4"/>
  <c r="P325" i="4"/>
  <c r="T325" i="4"/>
  <c r="V325" i="4"/>
  <c r="P408" i="4"/>
  <c r="T408" i="4"/>
  <c r="V408" i="4"/>
  <c r="P85" i="4"/>
  <c r="T85" i="4"/>
  <c r="V85" i="4"/>
  <c r="P34" i="4"/>
  <c r="T34" i="4"/>
  <c r="V34" i="4"/>
  <c r="P273" i="4"/>
  <c r="T273" i="4"/>
  <c r="V273" i="4"/>
  <c r="P512" i="4"/>
  <c r="T512" i="4"/>
  <c r="V512" i="4"/>
  <c r="P461" i="4"/>
  <c r="T461" i="4"/>
  <c r="V461" i="4"/>
  <c r="P546" i="4"/>
  <c r="T546" i="4"/>
  <c r="V546" i="4"/>
  <c r="P200" i="4"/>
  <c r="T200" i="4"/>
  <c r="V200" i="4"/>
  <c r="P197" i="4"/>
  <c r="T197" i="4"/>
  <c r="V197" i="4"/>
  <c r="P225" i="4"/>
  <c r="T225" i="4"/>
  <c r="V225" i="4"/>
  <c r="P482" i="4"/>
  <c r="T482" i="4"/>
  <c r="V482" i="4"/>
  <c r="P322" i="4"/>
  <c r="T322" i="4"/>
  <c r="V322" i="4"/>
  <c r="P98" i="4"/>
  <c r="T98" i="4"/>
  <c r="V98" i="4"/>
  <c r="P288" i="4"/>
  <c r="T288" i="4"/>
  <c r="V288" i="4"/>
  <c r="P245" i="4"/>
  <c r="T245" i="4"/>
  <c r="V245" i="4"/>
  <c r="P314" i="4"/>
  <c r="T314" i="4"/>
  <c r="V314" i="4"/>
  <c r="P274" i="4"/>
  <c r="T274" i="4"/>
  <c r="V274" i="4"/>
  <c r="P528" i="4"/>
  <c r="T528" i="4"/>
  <c r="V528" i="4"/>
  <c r="P481" i="4"/>
  <c r="T481" i="4"/>
  <c r="V481" i="4"/>
  <c r="P286" i="4"/>
  <c r="T286" i="4"/>
  <c r="V286" i="4"/>
  <c r="P411" i="4"/>
  <c r="T411" i="4"/>
  <c r="V411" i="4"/>
  <c r="P464" i="4"/>
  <c r="T464" i="4"/>
  <c r="V464" i="4"/>
  <c r="P52" i="4"/>
  <c r="T52" i="4"/>
  <c r="V52" i="4"/>
  <c r="P336" i="4"/>
  <c r="T336" i="4"/>
  <c r="V336" i="4"/>
  <c r="P550" i="4"/>
  <c r="T550" i="4"/>
  <c r="V550" i="4"/>
  <c r="P275" i="4"/>
  <c r="T275" i="4"/>
  <c r="V275" i="4"/>
  <c r="P494" i="4"/>
  <c r="T494" i="4"/>
  <c r="V494" i="4"/>
  <c r="P345" i="4"/>
  <c r="T345" i="4"/>
  <c r="V345" i="4"/>
  <c r="P492" i="4"/>
  <c r="T492" i="4"/>
  <c r="V492" i="4"/>
  <c r="P269" i="4"/>
  <c r="T269" i="4"/>
  <c r="V269" i="4"/>
  <c r="P95" i="4"/>
  <c r="T95" i="4"/>
  <c r="V95" i="4"/>
  <c r="P127" i="4"/>
  <c r="T127" i="4"/>
  <c r="V127" i="4"/>
  <c r="P51" i="4"/>
  <c r="T51" i="4"/>
  <c r="V51" i="4"/>
  <c r="P139" i="4"/>
  <c r="T139" i="4"/>
  <c r="V139" i="4"/>
  <c r="P551" i="4"/>
  <c r="T551" i="4"/>
  <c r="V551" i="4"/>
  <c r="P549" i="4"/>
  <c r="T549" i="4"/>
  <c r="V549" i="4"/>
  <c r="P558" i="4"/>
  <c r="T558" i="4"/>
  <c r="V558" i="4"/>
  <c r="P445" i="4"/>
  <c r="T445" i="4"/>
  <c r="V445" i="4"/>
  <c r="P354" i="4"/>
  <c r="T354" i="4"/>
  <c r="V354" i="4"/>
  <c r="P99" i="4"/>
  <c r="T99" i="4"/>
  <c r="V99" i="4"/>
  <c r="P317" i="4"/>
  <c r="T317" i="4"/>
  <c r="V317" i="4"/>
  <c r="P320" i="4"/>
  <c r="T320" i="4"/>
  <c r="V320" i="4"/>
  <c r="P497" i="4"/>
  <c r="T497" i="4"/>
  <c r="V497" i="4"/>
  <c r="P118" i="4"/>
  <c r="T118" i="4"/>
  <c r="V118" i="4"/>
  <c r="P392" i="4"/>
  <c r="T392" i="4"/>
  <c r="V392" i="4"/>
  <c r="P568" i="4"/>
  <c r="T568" i="4"/>
  <c r="V568" i="4"/>
  <c r="P135" i="4"/>
  <c r="T135" i="4"/>
  <c r="V135" i="4"/>
  <c r="P329" i="4"/>
  <c r="T329" i="4"/>
  <c r="V329" i="4"/>
  <c r="P446" i="4"/>
  <c r="T446" i="4"/>
  <c r="V446" i="4"/>
  <c r="P407" i="4"/>
  <c r="T407" i="4"/>
  <c r="V407" i="4"/>
  <c r="P278" i="4"/>
  <c r="T278" i="4"/>
  <c r="V278" i="4"/>
  <c r="P97" i="4"/>
  <c r="T97" i="4"/>
  <c r="V97" i="4"/>
  <c r="P186" i="4"/>
  <c r="T186" i="4"/>
  <c r="V186" i="4"/>
  <c r="P436" i="4"/>
  <c r="T436" i="4"/>
  <c r="V436" i="4"/>
  <c r="P279" i="4"/>
  <c r="T279" i="4"/>
  <c r="V279" i="4"/>
  <c r="P16" i="4"/>
  <c r="T16" i="4"/>
  <c r="V16" i="4"/>
  <c r="P169" i="4"/>
  <c r="T169" i="4"/>
  <c r="V169" i="4"/>
  <c r="P57" i="4"/>
  <c r="T57" i="4"/>
  <c r="V57" i="4"/>
  <c r="P37" i="4"/>
  <c r="T37" i="4"/>
  <c r="V37" i="4"/>
  <c r="P40" i="4"/>
  <c r="T40" i="4"/>
  <c r="V40" i="4"/>
  <c r="P427" i="4"/>
  <c r="T427" i="4"/>
  <c r="V427" i="4"/>
  <c r="P277" i="4"/>
  <c r="T277" i="4"/>
  <c r="V277" i="4"/>
  <c r="P31" i="4"/>
  <c r="T31" i="4"/>
  <c r="V31" i="4"/>
  <c r="P247" i="4"/>
  <c r="T247" i="4"/>
  <c r="V247" i="4"/>
  <c r="P209" i="4"/>
  <c r="T209" i="4"/>
  <c r="V209" i="4"/>
  <c r="P66" i="4"/>
  <c r="T66" i="4"/>
  <c r="V66" i="4"/>
  <c r="P447" i="4"/>
  <c r="T447" i="4"/>
  <c r="V447" i="4"/>
  <c r="P323" i="4"/>
  <c r="T323" i="4"/>
  <c r="V323" i="4"/>
  <c r="P471" i="4"/>
  <c r="T471" i="4"/>
  <c r="V471" i="4"/>
  <c r="P91" i="4"/>
  <c r="T91" i="4"/>
  <c r="V91" i="4"/>
  <c r="P63" i="4"/>
  <c r="T63" i="4"/>
  <c r="V63" i="4"/>
  <c r="P78" i="4"/>
  <c r="T78" i="4"/>
  <c r="V78" i="4"/>
  <c r="P224" i="4"/>
  <c r="T224" i="4"/>
  <c r="V224" i="4"/>
  <c r="P569" i="4"/>
  <c r="T569" i="4"/>
  <c r="V569" i="4"/>
  <c r="P218" i="4"/>
  <c r="T218" i="4"/>
  <c r="V218" i="4"/>
  <c r="P380" i="4"/>
  <c r="T380" i="4"/>
  <c r="V380" i="4"/>
  <c r="P557" i="4"/>
  <c r="T557" i="4"/>
  <c r="V557" i="4"/>
  <c r="P210" i="4"/>
  <c r="T210" i="4"/>
  <c r="V210" i="4"/>
  <c r="P300" i="4"/>
  <c r="T300" i="4"/>
  <c r="V300" i="4"/>
  <c r="P455" i="4"/>
  <c r="T455" i="4"/>
  <c r="V455" i="4"/>
  <c r="P253" i="4"/>
  <c r="T253" i="4"/>
  <c r="V253" i="4"/>
  <c r="P114" i="4"/>
  <c r="T114" i="4"/>
  <c r="V114" i="4"/>
  <c r="P321" i="4"/>
  <c r="T321" i="4"/>
  <c r="V321" i="4"/>
  <c r="P413" i="4"/>
  <c r="T413" i="4"/>
  <c r="V413" i="4"/>
  <c r="P529" i="4"/>
  <c r="T529" i="4"/>
  <c r="V529" i="4"/>
  <c r="P174" i="4"/>
  <c r="T174" i="4"/>
  <c r="V174" i="4"/>
  <c r="P111" i="4"/>
  <c r="T111" i="4"/>
  <c r="V111" i="4"/>
  <c r="P261" i="4"/>
  <c r="T261" i="4"/>
  <c r="V261" i="4"/>
  <c r="P424" i="4"/>
  <c r="T424" i="4"/>
  <c r="V424" i="4"/>
  <c r="P71" i="4"/>
  <c r="T71" i="4"/>
  <c r="V71" i="4"/>
  <c r="P92" i="4"/>
  <c r="T92" i="4"/>
  <c r="V92" i="4"/>
  <c r="P359" i="4"/>
  <c r="T359" i="4"/>
  <c r="V359" i="4"/>
  <c r="P356" i="4"/>
  <c r="T356" i="4"/>
  <c r="V356" i="4"/>
  <c r="P231" i="4"/>
  <c r="T231" i="4"/>
  <c r="V231" i="4"/>
  <c r="P129" i="4"/>
  <c r="T129" i="4"/>
  <c r="V129" i="4"/>
  <c r="P385" i="4"/>
  <c r="T385" i="4"/>
  <c r="V385" i="4"/>
  <c r="P89" i="4"/>
  <c r="T89" i="4"/>
  <c r="V89" i="4"/>
  <c r="P548" i="4"/>
  <c r="T548" i="4"/>
  <c r="V548" i="4"/>
  <c r="P360" i="4"/>
  <c r="T360" i="4"/>
  <c r="V360" i="4"/>
  <c r="P220" i="4"/>
  <c r="T220" i="4"/>
  <c r="V220" i="4"/>
  <c r="P21" i="4"/>
  <c r="T21" i="4"/>
  <c r="V21" i="4"/>
  <c r="P130" i="4"/>
  <c r="T130" i="4"/>
  <c r="V130" i="4"/>
  <c r="P136" i="4"/>
  <c r="T136" i="4"/>
  <c r="V136" i="4"/>
  <c r="P428" i="4"/>
  <c r="T428" i="4"/>
  <c r="V428" i="4"/>
  <c r="P352" i="4"/>
  <c r="T352" i="4"/>
  <c r="V352" i="4"/>
  <c r="P248" i="4"/>
  <c r="T248" i="4"/>
  <c r="V248" i="4"/>
  <c r="P260" i="4"/>
  <c r="T260" i="4"/>
  <c r="V260" i="4"/>
  <c r="P448" i="4"/>
  <c r="T448" i="4"/>
  <c r="V448" i="4"/>
  <c r="P105" i="4"/>
  <c r="T105" i="4"/>
  <c r="V105" i="4"/>
  <c r="P90" i="4"/>
  <c r="T90" i="4"/>
  <c r="V90" i="4"/>
  <c r="P199" i="4"/>
  <c r="T199" i="4"/>
  <c r="V199" i="4"/>
  <c r="P541" i="4"/>
  <c r="T541" i="4"/>
  <c r="V541" i="4"/>
  <c r="P46" i="4"/>
  <c r="T46" i="4"/>
  <c r="V46" i="4"/>
  <c r="P132" i="4"/>
  <c r="T132" i="4"/>
  <c r="V132" i="4"/>
  <c r="P177" i="4"/>
  <c r="T177" i="4"/>
  <c r="V177" i="4"/>
  <c r="P559" i="4"/>
  <c r="T559" i="4"/>
  <c r="V559" i="4"/>
  <c r="P254" i="4"/>
  <c r="T254" i="4"/>
  <c r="V254" i="4"/>
  <c r="P17" i="4"/>
  <c r="T17" i="4"/>
  <c r="V17" i="4"/>
  <c r="P23" i="4"/>
  <c r="T23" i="4"/>
  <c r="V23" i="4"/>
  <c r="P140" i="4"/>
  <c r="T140" i="4"/>
  <c r="V140" i="4"/>
  <c r="P443" i="4"/>
  <c r="T443" i="4"/>
  <c r="V443" i="4"/>
  <c r="P507" i="4"/>
  <c r="T507" i="4"/>
  <c r="V507" i="4"/>
  <c r="P466" i="4"/>
  <c r="T466" i="4"/>
  <c r="V466" i="4"/>
  <c r="P182" i="4"/>
  <c r="T182" i="4"/>
  <c r="V182" i="4"/>
  <c r="P221" i="4"/>
  <c r="T221" i="4"/>
  <c r="V221" i="4"/>
  <c r="P426" i="4"/>
  <c r="T426" i="4"/>
  <c r="V426" i="4"/>
  <c r="P272" i="4"/>
  <c r="T272" i="4"/>
  <c r="V272" i="4"/>
  <c r="P256" i="4"/>
  <c r="T256" i="4"/>
  <c r="V256" i="4"/>
  <c r="P53" i="4"/>
  <c r="T53" i="4"/>
  <c r="V53" i="4"/>
  <c r="P364" i="4"/>
  <c r="T364" i="4"/>
  <c r="V364" i="4"/>
  <c r="P458" i="4"/>
  <c r="T458" i="4"/>
  <c r="V458" i="4"/>
  <c r="P312" i="4"/>
  <c r="T312" i="4"/>
  <c r="V312" i="4"/>
  <c r="P94" i="4"/>
  <c r="T94" i="4"/>
  <c r="V94" i="4"/>
  <c r="P372" i="4"/>
  <c r="T372" i="4"/>
  <c r="V372" i="4"/>
  <c r="P15" i="4"/>
  <c r="T15" i="4"/>
  <c r="V15" i="4"/>
  <c r="P268" i="4"/>
  <c r="T268" i="4"/>
  <c r="V268" i="4"/>
  <c r="P249" i="4"/>
  <c r="T249" i="4"/>
  <c r="V249" i="4"/>
  <c r="P344" i="4"/>
  <c r="T344" i="4"/>
  <c r="V344" i="4"/>
  <c r="P301" i="4"/>
  <c r="T301" i="4"/>
  <c r="V301" i="4"/>
  <c r="P217" i="4"/>
  <c r="T217" i="4"/>
  <c r="V217" i="4"/>
  <c r="P499" i="4"/>
  <c r="T499" i="4"/>
  <c r="V499" i="4"/>
  <c r="P150" i="4"/>
  <c r="T150" i="4"/>
  <c r="V150" i="4"/>
  <c r="P123" i="4"/>
  <c r="T123" i="4"/>
  <c r="V123" i="4"/>
  <c r="P489" i="4"/>
  <c r="T489" i="4"/>
  <c r="V489" i="4"/>
  <c r="P351" i="4"/>
  <c r="T351" i="4"/>
  <c r="V351" i="4"/>
  <c r="P313" i="4"/>
  <c r="T313" i="4"/>
  <c r="V313" i="4"/>
  <c r="P142" i="4"/>
  <c r="T142" i="4"/>
  <c r="V142" i="4"/>
  <c r="P151" i="4"/>
  <c r="T151" i="4"/>
  <c r="V151" i="4"/>
  <c r="P371" i="4"/>
  <c r="T371" i="4"/>
  <c r="V371" i="4"/>
  <c r="P441" i="4"/>
  <c r="T441" i="4"/>
  <c r="V441" i="4"/>
  <c r="P30" i="4"/>
  <c r="T30" i="4"/>
  <c r="V30" i="4"/>
  <c r="P470" i="4"/>
  <c r="T470" i="4"/>
  <c r="V470" i="4"/>
  <c r="P476" i="4"/>
  <c r="T476" i="4"/>
  <c r="V476" i="4"/>
  <c r="P242" i="4"/>
  <c r="T242" i="4"/>
  <c r="V242" i="4"/>
  <c r="P289" i="4"/>
  <c r="T289" i="4"/>
  <c r="V289" i="4"/>
  <c r="P18" i="4"/>
  <c r="T18" i="4"/>
  <c r="V18" i="4"/>
  <c r="P555" i="4"/>
  <c r="T555" i="4"/>
  <c r="V555" i="4"/>
  <c r="P232" i="4"/>
  <c r="T232" i="4"/>
  <c r="V232" i="4"/>
  <c r="P54" i="4"/>
  <c r="T54" i="4"/>
  <c r="V54" i="4"/>
  <c r="P532" i="4"/>
  <c r="T532" i="4"/>
  <c r="V532" i="4"/>
  <c r="P358" i="4"/>
  <c r="T358" i="4"/>
  <c r="V358" i="4"/>
  <c r="P434" i="4"/>
  <c r="T434" i="4"/>
  <c r="V434" i="4"/>
  <c r="P363" i="4"/>
  <c r="T363" i="4"/>
  <c r="V363" i="4"/>
  <c r="P183" i="4"/>
  <c r="T183" i="4"/>
  <c r="V183" i="4"/>
  <c r="P83" i="4"/>
  <c r="T83" i="4"/>
  <c r="V83" i="4"/>
  <c r="P378" i="4"/>
  <c r="T378" i="4"/>
  <c r="V378" i="4"/>
  <c r="P10" i="4"/>
  <c r="T10" i="4"/>
  <c r="V10" i="4"/>
  <c r="P60" i="4"/>
  <c r="T60" i="4"/>
  <c r="V60" i="4"/>
  <c r="P165" i="4"/>
  <c r="T165" i="4"/>
  <c r="V165" i="4"/>
  <c r="P270" i="4"/>
  <c r="T270" i="4"/>
  <c r="V270" i="4"/>
  <c r="P387" i="4"/>
  <c r="T387" i="4"/>
  <c r="V387" i="4"/>
  <c r="P369" i="4"/>
  <c r="T369" i="4"/>
  <c r="V369" i="4"/>
  <c r="P22" i="4"/>
  <c r="T22" i="4"/>
  <c r="V22" i="4"/>
  <c r="P361" i="4"/>
  <c r="T361" i="4"/>
  <c r="V361" i="4"/>
  <c r="P348" i="4"/>
  <c r="T348" i="4"/>
  <c r="V348" i="4"/>
  <c r="P35" i="4"/>
  <c r="T35" i="4"/>
  <c r="V35" i="4"/>
  <c r="P495" i="4"/>
  <c r="T495" i="4"/>
  <c r="V495" i="4"/>
  <c r="P198" i="4"/>
  <c r="T198" i="4"/>
  <c r="V198" i="4"/>
  <c r="P451" i="4"/>
  <c r="T451" i="4"/>
  <c r="V451" i="4"/>
  <c r="P547" i="4"/>
  <c r="T547" i="4"/>
  <c r="V547" i="4"/>
  <c r="P394" i="4"/>
  <c r="T394" i="4"/>
  <c r="V394" i="4"/>
  <c r="P82" i="4"/>
  <c r="T82" i="4"/>
  <c r="V82" i="4"/>
  <c r="P552" i="4"/>
  <c r="T552" i="4"/>
  <c r="V552" i="4"/>
  <c r="P282" i="4"/>
  <c r="T282" i="4"/>
  <c r="V282" i="4"/>
  <c r="P160" i="4"/>
  <c r="T160" i="4"/>
  <c r="V160" i="4"/>
  <c r="P173" i="4"/>
  <c r="T173" i="4"/>
  <c r="V173" i="4"/>
  <c r="P480" i="4"/>
  <c r="T480" i="4"/>
  <c r="V480" i="4"/>
  <c r="P155" i="4"/>
  <c r="T155" i="4"/>
  <c r="V155" i="4"/>
  <c r="P41" i="4"/>
  <c r="T41" i="4"/>
  <c r="V41" i="4"/>
  <c r="P429" i="4"/>
  <c r="T429" i="4"/>
  <c r="V429" i="4"/>
  <c r="P468" i="4"/>
  <c r="T468" i="4"/>
  <c r="V468" i="4"/>
  <c r="P526" i="4"/>
  <c r="T526" i="4"/>
  <c r="V526" i="4"/>
  <c r="P206" i="4"/>
  <c r="T206" i="4"/>
  <c r="V206" i="4"/>
  <c r="P168" i="4"/>
  <c r="T168" i="4"/>
  <c r="V168" i="4"/>
  <c r="P306" i="4"/>
  <c r="T306" i="4"/>
  <c r="V306" i="4"/>
  <c r="P514" i="4"/>
  <c r="T514" i="4"/>
  <c r="V514" i="4"/>
  <c r="P423" i="4"/>
  <c r="T423" i="4"/>
  <c r="V423" i="4"/>
  <c r="P390" i="4"/>
  <c r="T390" i="4"/>
  <c r="V390" i="4"/>
  <c r="P59" i="4"/>
  <c r="T59" i="4"/>
  <c r="V59" i="4"/>
  <c r="P145" i="4"/>
  <c r="T145" i="4"/>
  <c r="V145" i="4"/>
  <c r="P333" i="4"/>
  <c r="T333" i="4"/>
  <c r="V333" i="4"/>
  <c r="P228" i="4"/>
  <c r="T228" i="4"/>
  <c r="V228" i="4"/>
  <c r="P201" i="4"/>
  <c r="T201" i="4"/>
  <c r="V201" i="4"/>
  <c r="P77" i="4"/>
  <c r="T77" i="4"/>
  <c r="V77" i="4"/>
  <c r="P454" i="4"/>
  <c r="T454" i="4"/>
  <c r="V454" i="4"/>
  <c r="P14" i="4"/>
  <c r="T14" i="4"/>
  <c r="V14" i="4"/>
  <c r="P38" i="4"/>
  <c r="T38" i="4"/>
  <c r="V38" i="4"/>
  <c r="P107" i="4"/>
  <c r="T107" i="4"/>
  <c r="V107" i="4"/>
  <c r="P106" i="4"/>
  <c r="T106" i="4"/>
  <c r="V106" i="4"/>
  <c r="P505" i="4"/>
  <c r="T505" i="4"/>
  <c r="V505" i="4"/>
  <c r="P262" i="4"/>
  <c r="T262" i="4"/>
  <c r="V262" i="4"/>
  <c r="P570" i="4"/>
  <c r="T570" i="4"/>
  <c r="V570" i="4"/>
  <c r="P141" i="4"/>
  <c r="T141" i="4"/>
  <c r="V141" i="4"/>
  <c r="P520" i="4"/>
  <c r="T520" i="4"/>
  <c r="V520" i="4"/>
  <c r="P163" i="4"/>
  <c r="T163" i="4"/>
  <c r="V163" i="4"/>
  <c r="P343" i="4"/>
  <c r="T343" i="4"/>
  <c r="V343" i="4"/>
  <c r="P316" i="4"/>
  <c r="T316" i="4"/>
  <c r="V316" i="4"/>
  <c r="P112" i="4"/>
  <c r="T112" i="4"/>
  <c r="V112" i="4"/>
  <c r="P383" i="4"/>
  <c r="T383" i="4"/>
  <c r="V383" i="4"/>
  <c r="P457" i="4"/>
  <c r="T457" i="4"/>
  <c r="V457" i="4"/>
  <c r="P25" i="4"/>
  <c r="T25" i="4"/>
  <c r="V25" i="4"/>
  <c r="P294" i="4"/>
  <c r="T294" i="4"/>
  <c r="V294" i="4"/>
  <c r="P459" i="4"/>
  <c r="T459" i="4"/>
  <c r="V459" i="4"/>
  <c r="P271" i="4"/>
  <c r="T271" i="4"/>
  <c r="V271" i="4"/>
  <c r="P490" i="4"/>
  <c r="T490" i="4"/>
  <c r="V490" i="4"/>
  <c r="P416" i="4"/>
  <c r="T416" i="4"/>
  <c r="V416" i="4"/>
  <c r="P143" i="4"/>
  <c r="T143" i="4"/>
  <c r="V143" i="4"/>
  <c r="P187" i="4"/>
  <c r="T187" i="4"/>
  <c r="V187" i="4"/>
  <c r="P384" i="4"/>
  <c r="T384" i="4"/>
  <c r="V384" i="4"/>
  <c r="P475" i="4"/>
  <c r="T475" i="4"/>
  <c r="V475" i="4"/>
  <c r="P284" i="4"/>
  <c r="T284" i="4"/>
  <c r="V284" i="4"/>
  <c r="P81" i="4"/>
  <c r="T81" i="4"/>
  <c r="V81" i="4"/>
  <c r="P44" i="4"/>
  <c r="T44" i="4"/>
  <c r="V44" i="4"/>
  <c r="P331" i="4"/>
  <c r="T331" i="4"/>
  <c r="V331" i="4"/>
  <c r="P402" i="4"/>
  <c r="T402" i="4"/>
  <c r="V402" i="4"/>
  <c r="P27" i="4"/>
  <c r="T27" i="4"/>
  <c r="V27" i="4"/>
  <c r="P473" i="4"/>
  <c r="T473" i="4"/>
  <c r="V473" i="4"/>
  <c r="P42" i="4"/>
  <c r="T42" i="4"/>
  <c r="V42" i="4"/>
  <c r="P158" i="4"/>
  <c r="T158" i="4"/>
  <c r="V158" i="4"/>
  <c r="P370" i="4"/>
  <c r="T370" i="4"/>
  <c r="V370" i="4"/>
  <c r="P208" i="4"/>
  <c r="T208" i="4"/>
  <c r="V208" i="4"/>
  <c r="P267" i="4"/>
  <c r="T267" i="4"/>
  <c r="V267" i="4"/>
  <c r="P93" i="4"/>
  <c r="T93" i="4"/>
  <c r="V93" i="4"/>
  <c r="P265" i="4"/>
  <c r="T265" i="4"/>
  <c r="V265" i="4"/>
  <c r="P250" i="4"/>
  <c r="T250" i="4"/>
  <c r="V250" i="4"/>
  <c r="P308" i="4"/>
  <c r="T308" i="4"/>
  <c r="V308" i="4"/>
  <c r="P122" i="4"/>
  <c r="T122" i="4"/>
  <c r="V122" i="4"/>
  <c r="P418" i="4"/>
  <c r="T418" i="4"/>
  <c r="V418" i="4"/>
  <c r="P444" i="4"/>
  <c r="T444" i="4"/>
  <c r="V444" i="4"/>
  <c r="P166" i="4"/>
  <c r="T166" i="4"/>
  <c r="V166" i="4"/>
  <c r="P194" i="4"/>
  <c r="T194" i="4"/>
  <c r="V194" i="4"/>
  <c r="P430" i="4"/>
  <c r="T430" i="4"/>
  <c r="V430" i="4"/>
  <c r="P259" i="4"/>
  <c r="T259" i="4"/>
  <c r="V259" i="4"/>
  <c r="P13" i="4"/>
  <c r="T13" i="4"/>
  <c r="V13" i="4"/>
  <c r="P64" i="4"/>
  <c r="T64" i="4"/>
  <c r="V64" i="4"/>
  <c r="P410" i="4"/>
  <c r="T410" i="4"/>
  <c r="V410" i="4"/>
  <c r="P205" i="4"/>
  <c r="T205" i="4"/>
  <c r="V205" i="4"/>
  <c r="P96" i="4"/>
  <c r="T96" i="4"/>
  <c r="V96" i="4"/>
  <c r="P527" i="4"/>
  <c r="T527" i="4"/>
  <c r="V527" i="4"/>
  <c r="P491" i="4"/>
  <c r="T491" i="4"/>
  <c r="V491" i="4"/>
  <c r="P181" i="4"/>
  <c r="T181" i="4"/>
  <c r="V181" i="4"/>
  <c r="P237" i="4"/>
  <c r="T237" i="4"/>
  <c r="V237" i="4"/>
  <c r="P393" i="4"/>
  <c r="T393" i="4"/>
  <c r="V393" i="4"/>
  <c r="P252" i="4"/>
  <c r="T252" i="4"/>
  <c r="V252" i="4"/>
  <c r="P396" i="4"/>
  <c r="T396" i="4"/>
  <c r="V396" i="4"/>
  <c r="P162" i="4"/>
  <c r="T162" i="4"/>
  <c r="V162" i="4"/>
  <c r="P144" i="4"/>
  <c r="T144" i="4"/>
  <c r="V144" i="4"/>
  <c r="P342" i="4"/>
  <c r="T342" i="4"/>
  <c r="V342" i="4"/>
  <c r="P513" i="4"/>
  <c r="T513" i="4"/>
  <c r="V513" i="4"/>
  <c r="P469" i="4"/>
  <c r="T469" i="4"/>
  <c r="V469" i="4"/>
  <c r="P184" i="4"/>
  <c r="T184" i="4"/>
  <c r="V184" i="4"/>
  <c r="P425" i="4"/>
  <c r="T425" i="4"/>
  <c r="V425" i="4"/>
  <c r="P534" i="4"/>
  <c r="T534" i="4"/>
  <c r="V534" i="4"/>
  <c r="P196" i="4"/>
  <c r="T196" i="4"/>
  <c r="V196" i="4"/>
  <c r="P283" i="4"/>
  <c r="T283" i="4"/>
  <c r="V283" i="4"/>
  <c r="P202" i="4"/>
  <c r="T202" i="4"/>
  <c r="V202" i="4"/>
  <c r="P460" i="4"/>
  <c r="T460" i="4"/>
  <c r="V460" i="4"/>
  <c r="P556" i="4"/>
  <c r="T556" i="4"/>
  <c r="V556" i="4"/>
  <c r="P121" i="4"/>
  <c r="T121" i="4"/>
  <c r="V121" i="4"/>
  <c r="P311" i="4"/>
  <c r="T311" i="4"/>
  <c r="V311" i="4"/>
  <c r="P330" i="4"/>
  <c r="T330" i="4"/>
  <c r="V330" i="4"/>
  <c r="P487" i="4"/>
  <c r="T487" i="4"/>
  <c r="V487" i="4"/>
  <c r="P207" i="4"/>
  <c r="T207" i="4"/>
  <c r="V207" i="4"/>
  <c r="P327" i="4"/>
  <c r="T327" i="4"/>
  <c r="V327" i="4"/>
  <c r="P119" i="4"/>
  <c r="T119" i="4"/>
  <c r="V119" i="4"/>
  <c r="P134" i="4"/>
  <c r="T134" i="4"/>
  <c r="V134" i="4"/>
  <c r="P65" i="4"/>
  <c r="T65" i="4"/>
  <c r="V65" i="4"/>
  <c r="P251" i="4"/>
  <c r="T251" i="4"/>
  <c r="V251" i="4"/>
  <c r="P110" i="4"/>
  <c r="T110" i="4"/>
  <c r="V110" i="4"/>
  <c r="P439" i="4"/>
  <c r="T439" i="4"/>
  <c r="V439" i="4"/>
  <c r="P161" i="4"/>
  <c r="T161" i="4"/>
  <c r="V161" i="4"/>
  <c r="P115" i="4"/>
  <c r="T115" i="4"/>
  <c r="V115" i="4"/>
  <c r="P266" i="4"/>
  <c r="T266" i="4"/>
  <c r="V266" i="4"/>
  <c r="P406" i="4"/>
  <c r="T406" i="4"/>
  <c r="V406" i="4"/>
  <c r="P391" i="4"/>
  <c r="T391" i="4"/>
  <c r="V391" i="4"/>
  <c r="P350" i="4"/>
  <c r="T350" i="4"/>
  <c r="V350" i="4"/>
  <c r="P235" i="4"/>
  <c r="T235" i="4"/>
  <c r="V235" i="4"/>
  <c r="P47" i="4"/>
  <c r="T47" i="4"/>
  <c r="V47" i="4"/>
  <c r="P462" i="4"/>
  <c r="T462" i="4"/>
  <c r="V462" i="4"/>
  <c r="P280" i="4"/>
  <c r="T280" i="4"/>
  <c r="V280" i="4"/>
  <c r="P362" i="4"/>
  <c r="T362" i="4"/>
  <c r="V362" i="4"/>
  <c r="P456" i="4"/>
  <c r="T456" i="4"/>
  <c r="V456" i="4"/>
  <c r="P240" i="4"/>
  <c r="T240" i="4"/>
  <c r="V240" i="4"/>
  <c r="P404" i="4"/>
  <c r="T404" i="4"/>
  <c r="V404" i="4"/>
  <c r="P403" i="4"/>
  <c r="T403" i="4"/>
  <c r="V403" i="4"/>
  <c r="P414" i="4"/>
  <c r="T414" i="4"/>
  <c r="V414" i="4"/>
  <c r="P399" i="4"/>
  <c r="T399" i="4"/>
  <c r="V399" i="4"/>
  <c r="P395" i="4"/>
  <c r="T395" i="4"/>
  <c r="V395" i="4"/>
  <c r="P56" i="4"/>
  <c r="T56" i="4"/>
  <c r="V56" i="4"/>
  <c r="P133" i="4"/>
  <c r="T133" i="4"/>
  <c r="V133" i="4"/>
  <c r="P45" i="4"/>
  <c r="T45" i="4"/>
  <c r="V45" i="4"/>
  <c r="P203" i="4"/>
  <c r="T203" i="4"/>
  <c r="V203" i="4"/>
  <c r="P188" i="4"/>
  <c r="T188" i="4"/>
  <c r="V188" i="4"/>
  <c r="P375" i="4"/>
  <c r="T375" i="4"/>
  <c r="V375" i="4"/>
  <c r="P483" i="4"/>
  <c r="T483" i="4"/>
  <c r="V483" i="4"/>
  <c r="P124" i="4"/>
  <c r="T124" i="4"/>
  <c r="V124" i="4"/>
  <c r="P43" i="4"/>
  <c r="T43" i="4"/>
  <c r="V43" i="4"/>
  <c r="P366" i="4"/>
  <c r="T366" i="4"/>
  <c r="V366" i="4"/>
  <c r="P544" i="4"/>
  <c r="T544" i="4"/>
  <c r="V544" i="4"/>
  <c r="P102" i="4"/>
  <c r="T102" i="4"/>
  <c r="V102" i="4"/>
  <c r="P337" i="4"/>
  <c r="T337" i="4"/>
  <c r="V337" i="4"/>
  <c r="P518" i="4"/>
  <c r="T518" i="4"/>
  <c r="V518" i="4"/>
  <c r="P379" i="4"/>
  <c r="T379" i="4"/>
  <c r="V379" i="4"/>
  <c r="P328" i="4"/>
  <c r="T328" i="4"/>
  <c r="V328" i="4"/>
  <c r="P120" i="4"/>
  <c r="T120" i="4"/>
  <c r="V120" i="4"/>
  <c r="P493" i="4"/>
  <c r="T493" i="4"/>
  <c r="V493" i="4"/>
  <c r="P299" i="4"/>
  <c r="T299" i="4"/>
  <c r="V299" i="4"/>
  <c r="P74" i="4"/>
  <c r="T74" i="4"/>
  <c r="V74" i="4"/>
  <c r="P543" i="4"/>
  <c r="T543" i="4"/>
  <c r="V543" i="4"/>
  <c r="P36" i="4"/>
  <c r="T36" i="4"/>
  <c r="V36" i="4"/>
  <c r="P484" i="4"/>
  <c r="T484" i="4"/>
  <c r="V484" i="4"/>
  <c r="P474" i="4"/>
  <c r="T474" i="4"/>
  <c r="V474" i="4"/>
  <c r="P467" i="4"/>
  <c r="T467" i="4"/>
  <c r="V467" i="4"/>
  <c r="P219" i="4"/>
  <c r="T219" i="4"/>
  <c r="V219" i="4"/>
  <c r="P125" i="4"/>
  <c r="T125" i="4"/>
  <c r="V125" i="4"/>
  <c r="P297" i="4"/>
  <c r="T297" i="4"/>
  <c r="V297" i="4"/>
  <c r="P100" i="4"/>
  <c r="T100" i="4"/>
  <c r="V100" i="4"/>
  <c r="P310" i="4"/>
  <c r="T310" i="4"/>
  <c r="V310" i="4"/>
  <c r="P332" i="4"/>
  <c r="T332" i="4"/>
  <c r="V332" i="4"/>
  <c r="P236" i="4"/>
  <c r="T236" i="4"/>
  <c r="V236" i="4"/>
  <c r="P213" i="4"/>
  <c r="T213" i="4"/>
  <c r="V213" i="4"/>
  <c r="P193" i="4"/>
  <c r="T193" i="4"/>
  <c r="V193" i="4"/>
  <c r="P285" i="4"/>
  <c r="T285" i="4"/>
  <c r="V285" i="4"/>
  <c r="P293" i="4"/>
  <c r="T293" i="4"/>
  <c r="V293" i="4"/>
  <c r="P290" i="4"/>
  <c r="T290" i="4"/>
  <c r="V290" i="4"/>
  <c r="P281" i="4"/>
  <c r="T281" i="4"/>
  <c r="V281" i="4"/>
  <c r="P104" i="4"/>
  <c r="T104" i="4"/>
  <c r="V104" i="4"/>
  <c r="P180" i="4"/>
  <c r="T180" i="4"/>
  <c r="V180" i="4"/>
  <c r="P86" i="4"/>
  <c r="T86" i="4"/>
  <c r="V86" i="4"/>
  <c r="P170" i="4"/>
  <c r="T170" i="4"/>
  <c r="V170" i="4"/>
  <c r="P324" i="4"/>
  <c r="T324" i="4"/>
  <c r="V324" i="4"/>
  <c r="P11" i="4"/>
  <c r="T11" i="4"/>
  <c r="V11" i="4"/>
  <c r="P530" i="4"/>
  <c r="T530" i="4"/>
  <c r="V530" i="4"/>
  <c r="P239" i="4"/>
  <c r="T239" i="4"/>
  <c r="V239" i="4"/>
  <c r="P412" i="4"/>
  <c r="T412" i="4"/>
  <c r="V412" i="4"/>
  <c r="P415" i="4"/>
  <c r="T415" i="4"/>
  <c r="V415" i="4"/>
  <c r="P508" i="4"/>
  <c r="T508" i="4"/>
  <c r="V508" i="4"/>
  <c r="P433" i="4"/>
  <c r="T433" i="4"/>
  <c r="V433" i="4"/>
  <c r="P154" i="4"/>
  <c r="T154" i="4"/>
  <c r="V154" i="4"/>
  <c r="P305" i="4"/>
  <c r="T305" i="4"/>
  <c r="V305" i="4"/>
  <c r="P465" i="4"/>
  <c r="T465" i="4"/>
  <c r="V465" i="4"/>
  <c r="P339" i="4"/>
  <c r="T339" i="4"/>
  <c r="V339" i="4"/>
  <c r="P355" i="4"/>
  <c r="T355" i="4"/>
  <c r="V355" i="4"/>
  <c r="P263" i="4"/>
  <c r="T263" i="4"/>
  <c r="V263" i="4"/>
  <c r="P222" i="4"/>
  <c r="T222" i="4"/>
  <c r="V222" i="4"/>
  <c r="P440" i="4"/>
  <c r="T440" i="4"/>
  <c r="V440" i="4"/>
  <c r="P234" i="4"/>
  <c r="T234" i="4"/>
  <c r="V234" i="4"/>
  <c r="P435" i="4"/>
  <c r="T435" i="4"/>
  <c r="V435" i="4"/>
  <c r="P244" i="4"/>
  <c r="T244" i="4"/>
  <c r="V244" i="4"/>
  <c r="P368" i="4"/>
  <c r="T368" i="4"/>
  <c r="V368" i="4"/>
  <c r="P103" i="4"/>
  <c r="T103" i="4"/>
  <c r="V103" i="4"/>
  <c r="P296" i="4"/>
  <c r="T296" i="4"/>
  <c r="V296" i="4"/>
  <c r="P302" i="4"/>
  <c r="T302" i="4"/>
  <c r="V302" i="4"/>
  <c r="P75" i="4"/>
  <c r="T75" i="4"/>
  <c r="V75" i="4"/>
  <c r="P128" i="4"/>
  <c r="T128" i="4"/>
  <c r="V128" i="4"/>
  <c r="P33" i="4"/>
  <c r="T33" i="4"/>
  <c r="V33" i="4"/>
  <c r="P335" i="4"/>
  <c r="T335" i="4"/>
  <c r="V335" i="4"/>
  <c r="P48" i="4"/>
  <c r="T48" i="4"/>
  <c r="V48" i="4"/>
  <c r="P229" i="4"/>
  <c r="T229" i="4"/>
  <c r="V229" i="4"/>
  <c r="P28" i="4"/>
  <c r="T28" i="4"/>
  <c r="V28" i="4"/>
  <c r="P24" i="4"/>
  <c r="T24" i="4"/>
  <c r="V24" i="4"/>
  <c r="P76" i="4"/>
  <c r="T76" i="4"/>
  <c r="V76" i="4"/>
  <c r="P516" i="4"/>
  <c r="T516" i="4"/>
  <c r="V516" i="4"/>
  <c r="P153" i="4"/>
  <c r="T153" i="4"/>
  <c r="V153" i="4"/>
  <c r="P347" i="4"/>
  <c r="T347" i="4"/>
  <c r="V347" i="4"/>
  <c r="P241" i="4"/>
  <c r="T241" i="4"/>
  <c r="V241" i="4"/>
  <c r="P72" i="4"/>
  <c r="T72" i="4"/>
  <c r="V72" i="4"/>
  <c r="P525" i="4"/>
  <c r="T525" i="4"/>
  <c r="V525" i="4"/>
  <c r="P204" i="4"/>
  <c r="T204" i="4"/>
  <c r="V204" i="4"/>
  <c r="P79" i="4"/>
  <c r="T79" i="4"/>
  <c r="V79" i="4"/>
  <c r="P463" i="4"/>
  <c r="T463" i="4"/>
  <c r="V463" i="4"/>
  <c r="P12" i="4"/>
  <c r="T12" i="4"/>
  <c r="V12" i="4"/>
  <c r="P442" i="4"/>
  <c r="T442" i="4"/>
  <c r="V442" i="4"/>
  <c r="P26" i="4"/>
  <c r="T26" i="4"/>
  <c r="V26" i="4"/>
  <c r="P291" i="4"/>
  <c r="T291" i="4"/>
  <c r="V291" i="4"/>
  <c r="P84" i="4"/>
  <c r="T84" i="4"/>
  <c r="V84" i="4"/>
  <c r="P478" i="4"/>
  <c r="T478" i="4"/>
  <c r="V478" i="4"/>
  <c r="P377" i="4"/>
  <c r="T377" i="4"/>
  <c r="V377" i="4"/>
  <c r="P20" i="4"/>
  <c r="T20" i="4"/>
  <c r="V20" i="4"/>
  <c r="P531" i="4"/>
  <c r="T531" i="4"/>
  <c r="V531" i="4"/>
  <c r="P149" i="4"/>
  <c r="T149" i="4"/>
  <c r="V149" i="4"/>
  <c r="P61" i="4"/>
  <c r="T61" i="4"/>
  <c r="V61" i="4"/>
  <c r="P560" i="4"/>
  <c r="T560" i="4"/>
  <c r="V560" i="4"/>
  <c r="P146" i="4"/>
  <c r="T146" i="4"/>
  <c r="V146" i="4"/>
  <c r="P175" i="4"/>
  <c r="T175" i="4"/>
  <c r="V175" i="4"/>
  <c r="P230" i="4"/>
  <c r="T230" i="4"/>
  <c r="V230" i="4"/>
  <c r="P453" i="4"/>
  <c r="T453" i="4"/>
  <c r="V453" i="4"/>
  <c r="P255" i="4"/>
  <c r="T255" i="4"/>
  <c r="V255" i="4"/>
  <c r="P29" i="4"/>
  <c r="T29" i="4"/>
  <c r="V29" i="4"/>
  <c r="P191" i="4"/>
  <c r="T191" i="4"/>
  <c r="V191" i="4"/>
  <c r="P388" i="4"/>
  <c r="T388" i="4"/>
  <c r="V388" i="4"/>
  <c r="P389" i="4"/>
  <c r="T389" i="4"/>
  <c r="V389" i="4"/>
  <c r="P189" i="4"/>
  <c r="T189" i="4"/>
  <c r="V189" i="4"/>
  <c r="P295" i="4"/>
  <c r="T295" i="4"/>
  <c r="V295" i="4"/>
  <c r="P287" i="4"/>
  <c r="T287" i="4"/>
  <c r="V287" i="4"/>
  <c r="P326" i="4"/>
  <c r="T326" i="4"/>
  <c r="V326" i="4"/>
  <c r="P109" i="4"/>
  <c r="T109" i="4"/>
  <c r="V109" i="4"/>
  <c r="P346" i="4"/>
  <c r="T346" i="4"/>
  <c r="V346" i="4"/>
  <c r="P117" i="4"/>
  <c r="T117" i="4"/>
  <c r="V117" i="4"/>
  <c r="P565" i="4"/>
  <c r="T565" i="4"/>
  <c r="V565" i="4"/>
  <c r="P148" i="4"/>
  <c r="T148" i="4"/>
  <c r="V148" i="4"/>
  <c r="P338" i="4"/>
  <c r="T338" i="4"/>
  <c r="V338" i="4"/>
  <c r="P233" i="4"/>
  <c r="T233" i="4"/>
  <c r="V233" i="4"/>
  <c r="P147" i="4"/>
  <c r="T147" i="4"/>
  <c r="V147" i="4"/>
  <c r="P108" i="4"/>
  <c r="T108" i="4"/>
  <c r="V108" i="4"/>
  <c r="P334" i="4"/>
  <c r="T334" i="4"/>
  <c r="V334" i="4"/>
  <c r="P214" i="4"/>
  <c r="T214" i="4"/>
  <c r="V214" i="4"/>
  <c r="P116" i="4"/>
  <c r="T116" i="4"/>
  <c r="V116" i="4"/>
  <c r="P80" i="4"/>
  <c r="T80" i="4"/>
  <c r="V80" i="4"/>
  <c r="P566" i="4"/>
  <c r="T566" i="4"/>
  <c r="V566" i="4"/>
  <c r="P216" i="4"/>
  <c r="T216" i="4"/>
  <c r="V216" i="4"/>
  <c r="P298" i="4"/>
  <c r="T298" i="4"/>
  <c r="V298" i="4"/>
  <c r="P172" i="4"/>
  <c r="T172" i="4"/>
  <c r="V172" i="4"/>
  <c r="P88" i="4"/>
  <c r="T88" i="4"/>
  <c r="V88" i="4"/>
  <c r="P50" i="4"/>
  <c r="T50" i="4"/>
  <c r="V50" i="4"/>
  <c r="P171" i="4"/>
  <c r="T171" i="4"/>
  <c r="V171" i="4"/>
  <c r="P564" i="4"/>
  <c r="T564" i="4"/>
  <c r="V564" i="4"/>
  <c r="P264" i="4"/>
  <c r="T264" i="4"/>
  <c r="V264" i="4"/>
  <c r="P432" i="4"/>
  <c r="T432" i="4"/>
  <c r="V432" i="4"/>
  <c r="P376" i="4"/>
  <c r="T376" i="4"/>
  <c r="V376" i="4"/>
  <c r="P70" i="4"/>
  <c r="T70" i="4"/>
  <c r="V70" i="4"/>
  <c r="P318" i="4"/>
  <c r="T318" i="4"/>
  <c r="V318" i="4"/>
  <c r="P276" i="4"/>
  <c r="T276" i="4"/>
  <c r="V276" i="4"/>
  <c r="P486" i="4"/>
  <c r="T486" i="4"/>
  <c r="V486" i="4"/>
  <c r="P341" i="4"/>
  <c r="T341" i="4"/>
  <c r="V341" i="4"/>
  <c r="P185" i="4"/>
  <c r="T185" i="4"/>
  <c r="V185" i="4"/>
  <c r="P503" i="4"/>
  <c r="T503" i="4"/>
  <c r="V503" i="4"/>
  <c r="P101" i="4"/>
  <c r="T101" i="4"/>
  <c r="V101" i="4"/>
  <c r="P243" i="4"/>
  <c r="T243" i="4"/>
  <c r="V243" i="4"/>
  <c r="P137" i="4"/>
  <c r="T137" i="4"/>
  <c r="V137" i="4"/>
  <c r="P485" i="4"/>
  <c r="T485" i="4"/>
  <c r="V485" i="4"/>
  <c r="P398" i="4"/>
  <c r="T398" i="4"/>
  <c r="V398" i="4"/>
  <c r="P367" i="4"/>
  <c r="T367" i="4"/>
  <c r="V367" i="4"/>
  <c r="P195" i="4"/>
  <c r="T195" i="4"/>
  <c r="V195" i="4"/>
  <c r="P87" i="4"/>
  <c r="T87" i="4"/>
  <c r="V87" i="4"/>
  <c r="P409" i="4"/>
  <c r="T409" i="4"/>
  <c r="V409" i="4"/>
  <c r="P176" i="4"/>
  <c r="T176" i="4"/>
  <c r="V176" i="4"/>
  <c r="P545" i="4"/>
  <c r="T545" i="4"/>
  <c r="V545" i="4"/>
  <c r="P246" i="4"/>
  <c r="T246" i="4"/>
  <c r="V246" i="4"/>
  <c r="P303" i="4"/>
  <c r="T303" i="4"/>
  <c r="V303" i="4"/>
  <c r="P67" i="4"/>
  <c r="T67" i="4"/>
  <c r="V67" i="4"/>
  <c r="P211" i="4"/>
  <c r="T211" i="4"/>
  <c r="V211" i="4"/>
  <c r="P167" i="4"/>
  <c r="T167" i="4"/>
  <c r="V167" i="4"/>
  <c r="P452" i="4"/>
  <c r="T452" i="4"/>
  <c r="V452" i="4"/>
  <c r="P477" i="4"/>
  <c r="T477" i="4"/>
  <c r="V477" i="4"/>
  <c r="P382" i="4"/>
  <c r="T382" i="4"/>
  <c r="V382" i="4"/>
  <c r="P138" i="4"/>
  <c r="T138" i="4"/>
  <c r="V138" i="4"/>
  <c r="P400" i="4"/>
  <c r="T400" i="4"/>
  <c r="V400" i="4"/>
  <c r="P353" i="4"/>
  <c r="T353" i="4"/>
  <c r="V353" i="4"/>
  <c r="P73" i="4"/>
  <c r="T73" i="4"/>
  <c r="V73" i="4"/>
  <c r="P49" i="4"/>
  <c r="T49" i="4"/>
  <c r="V49" i="4"/>
  <c r="P257" i="4"/>
  <c r="T257" i="4"/>
  <c r="V257" i="4"/>
  <c r="P215" i="4"/>
  <c r="T215" i="4"/>
  <c r="V215" i="4"/>
  <c r="P39" i="4"/>
  <c r="T39" i="4"/>
  <c r="V39" i="4"/>
  <c r="P178" i="4"/>
  <c r="T178" i="4"/>
  <c r="V178" i="4"/>
  <c r="P315" i="4"/>
  <c r="T315" i="4"/>
  <c r="V315" i="4"/>
  <c r="P212" i="4"/>
  <c r="T212" i="4"/>
  <c r="V212" i="4"/>
  <c r="P190" i="4"/>
  <c r="T190" i="4"/>
  <c r="V190" i="4"/>
  <c r="P509" i="4"/>
  <c r="T509" i="4"/>
  <c r="V509" i="4"/>
  <c r="P479" i="4"/>
  <c r="T479" i="4"/>
  <c r="V479" i="4"/>
  <c r="P238" i="4"/>
  <c r="T238" i="4"/>
  <c r="V238" i="4"/>
  <c r="P307" i="4"/>
  <c r="T307" i="4"/>
  <c r="V307" i="4"/>
  <c r="P401" i="4"/>
  <c r="T401" i="4"/>
  <c r="V401" i="4"/>
  <c r="P62" i="4"/>
  <c r="T62" i="4"/>
  <c r="V62" i="4"/>
  <c r="P357" i="4"/>
  <c r="T357" i="4"/>
  <c r="V357" i="4"/>
  <c r="P309" i="4"/>
  <c r="T309" i="4"/>
  <c r="V309" i="4"/>
  <c r="P340" i="4"/>
  <c r="T340" i="4"/>
  <c r="V340" i="4"/>
  <c r="P542" i="4"/>
  <c r="T542" i="4"/>
  <c r="V542" i="4"/>
  <c r="P226" i="4"/>
  <c r="T226" i="4"/>
  <c r="V226" i="4"/>
  <c r="P55" i="4"/>
  <c r="T55" i="4"/>
  <c r="V55" i="4"/>
  <c r="P488" i="4"/>
  <c r="T488" i="4"/>
  <c r="V488" i="4"/>
  <c r="P386" i="4"/>
  <c r="T386" i="4"/>
  <c r="V386" i="4"/>
  <c r="P152" i="4"/>
  <c r="T152" i="4"/>
  <c r="V152" i="4"/>
  <c r="P58" i="4"/>
  <c r="T58" i="4"/>
  <c r="V58" i="4"/>
  <c r="P19" i="4"/>
  <c r="T19" i="4"/>
  <c r="V19" i="4"/>
  <c r="P562" i="4"/>
  <c r="T562" i="4"/>
  <c r="V562" i="4"/>
  <c r="P227" i="4"/>
  <c r="T227" i="4"/>
  <c r="V227" i="4"/>
  <c r="P417" i="4"/>
  <c r="T417" i="4"/>
  <c r="V417" i="4"/>
  <c r="P381" i="4"/>
  <c r="T381" i="4"/>
  <c r="V381" i="4"/>
  <c r="P113" i="4"/>
  <c r="T113" i="4"/>
  <c r="V113" i="4"/>
  <c r="P319" i="4"/>
  <c r="T319" i="4"/>
  <c r="V319" i="4"/>
  <c r="P365" i="4"/>
  <c r="T365" i="4"/>
  <c r="V365" i="4"/>
  <c r="P69" i="4"/>
  <c r="T69" i="4"/>
  <c r="V69" i="4"/>
  <c r="P501" i="4"/>
  <c r="T501" i="4"/>
  <c r="V501" i="4"/>
  <c r="P304" i="4"/>
  <c r="T304" i="4"/>
  <c r="V304" i="4"/>
  <c r="P397" i="4"/>
  <c r="T397" i="4"/>
  <c r="V397" i="4"/>
  <c r="P553" i="4"/>
  <c r="T553" i="4"/>
  <c r="V553" i="4"/>
  <c r="P373" i="4"/>
  <c r="T373" i="4"/>
  <c r="V373" i="4"/>
  <c r="P431" i="4"/>
  <c r="T431" i="4"/>
  <c r="V431" i="4"/>
  <c r="P515" i="4"/>
  <c r="T515" i="4"/>
  <c r="V515" i="4"/>
  <c r="P374" i="4"/>
  <c r="T374" i="4"/>
  <c r="V374" i="4"/>
  <c r="P223" i="4"/>
  <c r="T223" i="4"/>
  <c r="V223" i="4"/>
  <c r="P9" i="5"/>
  <c r="T9" i="5"/>
  <c r="V9" i="5"/>
  <c r="P9" i="4"/>
  <c r="T9" i="4"/>
  <c r="V9" i="4"/>
  <c r="P419" i="4"/>
  <c r="T419" i="4"/>
  <c r="V419" i="4"/>
  <c r="P420" i="4"/>
  <c r="T420" i="4"/>
  <c r="V420" i="4"/>
  <c r="P421" i="4"/>
  <c r="T421" i="4"/>
  <c r="V421" i="4"/>
  <c r="P437" i="4"/>
  <c r="T437" i="4"/>
  <c r="V437" i="4"/>
  <c r="P449" i="4"/>
  <c r="T449" i="4"/>
  <c r="V449" i="4"/>
  <c r="P496" i="4"/>
  <c r="T496" i="4"/>
  <c r="V496" i="4"/>
  <c r="P500" i="4"/>
  <c r="T500" i="4"/>
  <c r="V500" i="4"/>
  <c r="P504" i="4"/>
  <c r="T504" i="4"/>
  <c r="V504" i="4"/>
  <c r="P517" i="4"/>
  <c r="T517" i="4"/>
  <c r="V517" i="4"/>
  <c r="P521" i="4"/>
  <c r="T521" i="4"/>
  <c r="V521" i="4"/>
  <c r="P522" i="4"/>
  <c r="T522" i="4"/>
  <c r="V522" i="4"/>
  <c r="P533" i="4"/>
  <c r="T533" i="4"/>
  <c r="V533" i="4"/>
  <c r="P536" i="4"/>
  <c r="T536" i="4"/>
  <c r="V536" i="4"/>
  <c r="P537" i="4"/>
  <c r="T537" i="4"/>
  <c r="V537" i="4"/>
  <c r="P538" i="4"/>
  <c r="T538" i="4"/>
  <c r="V538" i="4"/>
  <c r="P561" i="4"/>
  <c r="T561" i="4"/>
  <c r="V561" i="4"/>
  <c r="P53" i="5"/>
  <c r="T53" i="5"/>
  <c r="V53" i="5"/>
  <c r="P54" i="5"/>
  <c r="T54" i="5"/>
  <c r="V54" i="5"/>
  <c r="P55" i="5"/>
  <c r="T55" i="5"/>
  <c r="V55" i="5"/>
  <c r="P58" i="5"/>
  <c r="T58" i="5"/>
  <c r="V58" i="5"/>
  <c r="P59" i="5"/>
  <c r="T59" i="5"/>
  <c r="V59" i="5"/>
  <c r="P61" i="5"/>
  <c r="T61" i="5"/>
  <c r="V61" i="5"/>
  <c r="P63" i="5"/>
  <c r="T63" i="5"/>
  <c r="V63" i="5"/>
  <c r="P65" i="5"/>
  <c r="T65" i="5"/>
  <c r="V65" i="5"/>
  <c r="P67" i="5"/>
  <c r="T67" i="5"/>
  <c r="V67" i="5"/>
  <c r="P68" i="5"/>
  <c r="T68" i="5"/>
  <c r="V68" i="5"/>
  <c r="P69" i="5"/>
  <c r="T69" i="5"/>
  <c r="V69" i="5"/>
  <c r="P72" i="5"/>
  <c r="T72" i="5"/>
  <c r="V72" i="5"/>
  <c r="P74" i="5"/>
  <c r="T74" i="5"/>
  <c r="V74" i="5"/>
  <c r="P75" i="5"/>
  <c r="T75" i="5"/>
  <c r="V75" i="5"/>
  <c r="P76" i="5"/>
  <c r="T76" i="5"/>
  <c r="V76" i="5"/>
  <c r="P78" i="5"/>
  <c r="T78" i="5"/>
  <c r="V78" i="5"/>
  <c r="W575" i="4"/>
  <c r="W522" i="4"/>
  <c r="X522" i="4"/>
  <c r="Y522" i="4"/>
  <c r="W521" i="4"/>
  <c r="X521" i="4"/>
  <c r="Y521" i="4"/>
  <c r="W504" i="4"/>
  <c r="X504" i="4"/>
  <c r="Y504" i="4"/>
  <c r="W517" i="4"/>
  <c r="X517" i="4"/>
  <c r="Y517" i="4"/>
  <c r="W561" i="4"/>
  <c r="X561" i="4"/>
  <c r="Y561" i="4"/>
  <c r="W419" i="4"/>
  <c r="X419" i="4"/>
  <c r="Y419" i="4"/>
  <c r="W533" i="4"/>
  <c r="X533" i="4"/>
  <c r="Y533" i="4"/>
  <c r="W449" i="4"/>
  <c r="X449" i="4"/>
  <c r="Y449" i="4"/>
  <c r="W437" i="4"/>
  <c r="X437" i="4"/>
  <c r="Y437" i="4"/>
  <c r="W536" i="4"/>
  <c r="X536" i="4"/>
  <c r="Y536" i="4"/>
  <c r="W496" i="4"/>
  <c r="X496" i="4"/>
  <c r="Y496" i="4"/>
  <c r="W500" i="4"/>
  <c r="X500" i="4"/>
  <c r="Y500" i="4"/>
  <c r="W537" i="4"/>
  <c r="X537" i="4"/>
  <c r="Y537" i="4"/>
  <c r="Q7" i="6"/>
  <c r="Q9" i="6"/>
  <c r="U9" i="6"/>
  <c r="V9" i="6"/>
  <c r="Q10" i="6"/>
  <c r="U10" i="6"/>
  <c r="Q11" i="6"/>
  <c r="U11" i="6"/>
  <c r="Q12" i="6"/>
  <c r="U12" i="6"/>
  <c r="Q13" i="6"/>
  <c r="U13" i="6"/>
  <c r="Q14" i="6"/>
  <c r="U14" i="6"/>
  <c r="Q15" i="6"/>
  <c r="U15" i="6"/>
  <c r="Q16" i="6"/>
  <c r="U16" i="6"/>
  <c r="Q17" i="6"/>
  <c r="U17" i="6"/>
  <c r="Q18" i="6"/>
  <c r="U18" i="6"/>
  <c r="Q19" i="6"/>
  <c r="U19" i="6"/>
  <c r="Q20" i="6"/>
  <c r="U20" i="6"/>
  <c r="Q21" i="6"/>
  <c r="U21" i="6"/>
  <c r="Q22" i="6"/>
  <c r="U22" i="6"/>
  <c r="Q23" i="6"/>
  <c r="U23" i="6"/>
  <c r="Q24" i="6"/>
  <c r="U24" i="6"/>
  <c r="Q25" i="6"/>
  <c r="U25" i="6"/>
  <c r="Q26" i="6"/>
  <c r="U26" i="6"/>
  <c r="Q27" i="6"/>
  <c r="U27" i="6"/>
  <c r="Q28" i="6"/>
  <c r="U28" i="6"/>
  <c r="Q29" i="6"/>
  <c r="U29" i="6"/>
  <c r="Q30" i="6"/>
  <c r="U30" i="6"/>
  <c r="Q31" i="6"/>
  <c r="U31" i="6"/>
  <c r="Q32" i="6"/>
  <c r="U32" i="6"/>
  <c r="Q33" i="6"/>
  <c r="U33" i="6"/>
  <c r="Q34" i="6"/>
  <c r="U34" i="6"/>
  <c r="Q35" i="6"/>
  <c r="U35" i="6"/>
  <c r="Q36" i="6"/>
  <c r="U36" i="6"/>
  <c r="Q37" i="6"/>
  <c r="U37" i="6"/>
  <c r="Q38" i="6"/>
  <c r="U38" i="6"/>
  <c r="Q39" i="6"/>
  <c r="U39" i="6"/>
  <c r="Q40" i="6"/>
  <c r="U40" i="6"/>
  <c r="Q41" i="6"/>
  <c r="U41" i="6"/>
  <c r="Q42" i="6"/>
  <c r="U42" i="6"/>
  <c r="Q43" i="6"/>
  <c r="U43" i="6"/>
  <c r="Q44" i="6"/>
  <c r="U44" i="6"/>
  <c r="Q45" i="6"/>
  <c r="U45" i="6"/>
  <c r="Q46" i="6"/>
  <c r="U46" i="6"/>
  <c r="Q47" i="6"/>
  <c r="U47" i="6"/>
  <c r="Q48" i="6"/>
  <c r="U48" i="6"/>
  <c r="Q49" i="6"/>
  <c r="U49" i="6"/>
  <c r="Q50" i="6"/>
  <c r="U50" i="6"/>
  <c r="Q51" i="6"/>
  <c r="U51" i="6"/>
  <c r="Q52" i="6"/>
  <c r="U52" i="6"/>
  <c r="Q53" i="6"/>
  <c r="U53" i="6"/>
  <c r="Q54" i="6"/>
  <c r="U54" i="6"/>
  <c r="Q55" i="6"/>
  <c r="U55" i="6"/>
  <c r="Q56" i="6"/>
  <c r="U56" i="6"/>
  <c r="Q57" i="6"/>
  <c r="U57" i="6"/>
  <c r="Q58" i="6"/>
  <c r="U58" i="6"/>
  <c r="Q59" i="6"/>
  <c r="U59" i="6"/>
  <c r="Q60" i="6"/>
  <c r="U60" i="6"/>
  <c r="Q61" i="6"/>
  <c r="U61" i="6"/>
  <c r="Q62" i="6"/>
  <c r="U62" i="6"/>
  <c r="Q63" i="6"/>
  <c r="U63" i="6"/>
  <c r="Q64" i="6"/>
  <c r="U64" i="6"/>
  <c r="Q65" i="6"/>
  <c r="U65" i="6"/>
  <c r="Q66" i="6"/>
  <c r="U66" i="6"/>
  <c r="Q67" i="6"/>
  <c r="U67" i="6"/>
  <c r="Q68" i="6"/>
  <c r="U68" i="6"/>
  <c r="Q69" i="6"/>
  <c r="U69" i="6"/>
  <c r="Q70" i="6"/>
  <c r="U70" i="6"/>
  <c r="Q71" i="6"/>
  <c r="U71" i="6"/>
  <c r="Q72" i="6"/>
  <c r="U72" i="6"/>
  <c r="Q73" i="6"/>
  <c r="U73" i="6"/>
  <c r="Q74" i="6"/>
  <c r="U74" i="6"/>
  <c r="Q75" i="6"/>
  <c r="U75" i="6"/>
  <c r="Q76" i="6"/>
  <c r="U76" i="6"/>
  <c r="Q77" i="6"/>
  <c r="U77" i="6"/>
  <c r="Q78" i="6"/>
  <c r="U78" i="6"/>
  <c r="Q79" i="6"/>
  <c r="U79" i="6"/>
  <c r="Q80" i="6"/>
  <c r="U80" i="6"/>
  <c r="Q81" i="6"/>
  <c r="U81" i="6"/>
  <c r="Q82" i="6"/>
  <c r="U82" i="6"/>
  <c r="Q83" i="6"/>
  <c r="U83" i="6"/>
  <c r="Q84" i="6"/>
  <c r="U84" i="6"/>
  <c r="Q85" i="6"/>
  <c r="U85" i="6"/>
  <c r="Q86" i="6"/>
  <c r="U86" i="6"/>
  <c r="Q87" i="6"/>
  <c r="U87" i="6"/>
  <c r="Q88" i="6"/>
  <c r="U88" i="6"/>
  <c r="Q89" i="6"/>
  <c r="U89" i="6"/>
  <c r="Q90" i="6"/>
  <c r="U90" i="6"/>
  <c r="Q91" i="6"/>
  <c r="U91" i="6"/>
  <c r="Q92" i="6"/>
  <c r="U92" i="6"/>
  <c r="Q93" i="6"/>
  <c r="U93" i="6"/>
  <c r="Q94" i="6"/>
  <c r="U94" i="6"/>
  <c r="Q95" i="6"/>
  <c r="U95" i="6"/>
  <c r="Q96" i="6"/>
  <c r="U96" i="6"/>
  <c r="Q97" i="6"/>
  <c r="U97" i="6"/>
  <c r="Q98" i="6"/>
  <c r="U98" i="6"/>
  <c r="Q99" i="6"/>
  <c r="U99" i="6"/>
  <c r="Q100" i="6"/>
  <c r="U100" i="6"/>
  <c r="Q101" i="6"/>
  <c r="U101" i="6"/>
  <c r="Q102" i="6"/>
  <c r="U102" i="6"/>
  <c r="Q103" i="6"/>
  <c r="U103" i="6"/>
  <c r="Q104" i="6"/>
  <c r="U104" i="6"/>
  <c r="Q105" i="6"/>
  <c r="U105" i="6"/>
  <c r="Q106" i="6"/>
  <c r="U106" i="6"/>
  <c r="Q107" i="6"/>
  <c r="U107" i="6"/>
  <c r="Q108" i="6"/>
  <c r="U108" i="6"/>
  <c r="Q109" i="6"/>
  <c r="U109" i="6"/>
  <c r="Q110" i="6"/>
  <c r="U110" i="6"/>
  <c r="Q111" i="6"/>
  <c r="U111" i="6"/>
  <c r="Q112" i="6"/>
  <c r="U112" i="6"/>
  <c r="Q113" i="6"/>
  <c r="U113" i="6"/>
  <c r="Q114" i="6"/>
  <c r="U114" i="6"/>
  <c r="Q115" i="6"/>
  <c r="U115" i="6"/>
  <c r="Q116" i="6"/>
  <c r="U116" i="6"/>
  <c r="Q117" i="6"/>
  <c r="U117" i="6"/>
  <c r="Q118" i="6"/>
  <c r="U118" i="6"/>
  <c r="Q119" i="6"/>
  <c r="U119" i="6"/>
  <c r="Q120" i="6"/>
  <c r="U120" i="6"/>
  <c r="Q121" i="6"/>
  <c r="U121" i="6"/>
  <c r="Q122" i="6"/>
  <c r="U122" i="6"/>
  <c r="Q123" i="6"/>
  <c r="U123" i="6"/>
  <c r="Q124" i="6"/>
  <c r="U124" i="6"/>
  <c r="Q125" i="6"/>
  <c r="U125" i="6"/>
  <c r="Q126" i="6"/>
  <c r="U126" i="6"/>
  <c r="Q127" i="6"/>
  <c r="U127" i="6"/>
  <c r="Q128" i="6"/>
  <c r="U128" i="6"/>
  <c r="Q129" i="6"/>
  <c r="U129" i="6"/>
  <c r="Q130" i="6"/>
  <c r="U130" i="6"/>
  <c r="Q131" i="6"/>
  <c r="U131" i="6"/>
  <c r="Q132" i="6"/>
  <c r="U132" i="6"/>
  <c r="Q133" i="6"/>
  <c r="U133" i="6"/>
  <c r="Q134" i="6"/>
  <c r="U134" i="6"/>
  <c r="Q135" i="6"/>
  <c r="U135" i="6"/>
  <c r="Q136" i="6"/>
  <c r="U136" i="6"/>
  <c r="Q137" i="6"/>
  <c r="U137" i="6"/>
  <c r="Q138" i="6"/>
  <c r="U138" i="6"/>
  <c r="Q139" i="6"/>
  <c r="U139" i="6"/>
  <c r="Q140" i="6"/>
  <c r="U140" i="6"/>
  <c r="Q141" i="6"/>
  <c r="U141" i="6"/>
  <c r="Q142" i="6"/>
  <c r="U142" i="6"/>
  <c r="Q143" i="6"/>
  <c r="U143" i="6"/>
  <c r="Q144" i="6"/>
  <c r="U144" i="6"/>
  <c r="Q145" i="6"/>
  <c r="U145" i="6"/>
  <c r="Q146" i="6"/>
  <c r="U146" i="6"/>
  <c r="Q147" i="6"/>
  <c r="U147" i="6"/>
  <c r="Q148" i="6"/>
  <c r="U148" i="6"/>
  <c r="Q149" i="6"/>
  <c r="U149" i="6"/>
  <c r="Q150" i="6"/>
  <c r="U150" i="6"/>
  <c r="Q151" i="6"/>
  <c r="U151" i="6"/>
  <c r="Q152" i="6"/>
  <c r="U152" i="6"/>
  <c r="Q153" i="6"/>
  <c r="U153" i="6"/>
  <c r="Q154" i="6"/>
  <c r="U154" i="6"/>
  <c r="Q155" i="6"/>
  <c r="U155" i="6"/>
  <c r="Q156" i="6"/>
  <c r="U156" i="6"/>
  <c r="Q157" i="6"/>
  <c r="U157" i="6"/>
  <c r="Q158" i="6"/>
  <c r="U158" i="6"/>
  <c r="Q159" i="6"/>
  <c r="U159" i="6"/>
  <c r="Q160" i="6"/>
  <c r="U160" i="6"/>
  <c r="Q161" i="6"/>
  <c r="U161" i="6"/>
  <c r="Q162" i="6"/>
  <c r="U162" i="6"/>
  <c r="Q163" i="6"/>
  <c r="U163" i="6"/>
  <c r="Q164" i="6"/>
  <c r="U164" i="6"/>
  <c r="Q165" i="6"/>
  <c r="U165" i="6"/>
  <c r="Q166" i="6"/>
  <c r="U166" i="6"/>
  <c r="Q167" i="6"/>
  <c r="U167" i="6"/>
  <c r="Q168" i="6"/>
  <c r="U168" i="6"/>
  <c r="Q169" i="6"/>
  <c r="U169" i="6"/>
  <c r="Q170" i="6"/>
  <c r="U170" i="6"/>
  <c r="Q171" i="6"/>
  <c r="U171" i="6"/>
  <c r="Q172" i="6"/>
  <c r="U172" i="6"/>
  <c r="Q173" i="6"/>
  <c r="U173" i="6"/>
  <c r="Q174" i="6"/>
  <c r="U174" i="6"/>
  <c r="Q175" i="6"/>
  <c r="U175" i="6"/>
  <c r="Q176" i="6"/>
  <c r="U176" i="6"/>
  <c r="Q177" i="6"/>
  <c r="U177" i="6"/>
  <c r="Q178" i="6"/>
  <c r="U178" i="6"/>
  <c r="Q179" i="6"/>
  <c r="U179" i="6"/>
  <c r="Q180" i="6"/>
  <c r="U180" i="6"/>
  <c r="Q181" i="6"/>
  <c r="U181" i="6"/>
  <c r="Q182" i="6"/>
  <c r="U182" i="6"/>
  <c r="Q183" i="6"/>
  <c r="U183" i="6"/>
  <c r="Q184" i="6"/>
  <c r="U184" i="6"/>
  <c r="Q185" i="6"/>
  <c r="U185" i="6"/>
  <c r="Q186" i="6"/>
  <c r="U186" i="6"/>
  <c r="Q187" i="6"/>
  <c r="U187" i="6"/>
  <c r="Q188" i="6"/>
  <c r="U188" i="6"/>
  <c r="Q189" i="6"/>
  <c r="U189" i="6"/>
  <c r="Q190" i="6"/>
  <c r="U190" i="6"/>
  <c r="Q191" i="6"/>
  <c r="U191" i="6"/>
  <c r="Q192" i="6"/>
  <c r="U192" i="6"/>
  <c r="Q193" i="6"/>
  <c r="U193" i="6"/>
  <c r="Q194" i="6"/>
  <c r="U194" i="6"/>
  <c r="Q195" i="6"/>
  <c r="U195" i="6"/>
  <c r="Q196" i="6"/>
  <c r="U196" i="6"/>
  <c r="Q197" i="6"/>
  <c r="U197" i="6"/>
  <c r="Q198" i="6"/>
  <c r="U198" i="6"/>
  <c r="Q199" i="6"/>
  <c r="U199" i="6"/>
  <c r="Q200" i="6"/>
  <c r="U200" i="6"/>
  <c r="Q201" i="6"/>
  <c r="U201" i="6"/>
  <c r="Q202" i="6"/>
  <c r="U202" i="6"/>
  <c r="Q203" i="6"/>
  <c r="U203" i="6"/>
  <c r="Q204" i="6"/>
  <c r="U204" i="6"/>
  <c r="Q205" i="6"/>
  <c r="U205" i="6"/>
  <c r="Q206" i="6"/>
  <c r="U206" i="6"/>
  <c r="Q207" i="6"/>
  <c r="U207" i="6"/>
  <c r="Q208" i="6"/>
  <c r="U208" i="6"/>
  <c r="Q209" i="6"/>
  <c r="U209" i="6"/>
  <c r="Q210" i="6"/>
  <c r="U210" i="6"/>
  <c r="Q211" i="6"/>
  <c r="U211" i="6"/>
  <c r="Q212" i="6"/>
  <c r="U212" i="6"/>
  <c r="Q213" i="6"/>
  <c r="U213" i="6"/>
  <c r="Q214" i="6"/>
  <c r="U214" i="6"/>
  <c r="Q215" i="6"/>
  <c r="U215" i="6"/>
  <c r="Q216" i="6"/>
  <c r="U216" i="6"/>
  <c r="Q217" i="6"/>
  <c r="U217" i="6"/>
  <c r="Q218" i="6"/>
  <c r="U218" i="6"/>
  <c r="Q219" i="6"/>
  <c r="U219" i="6"/>
  <c r="Q220" i="6"/>
  <c r="U220" i="6"/>
  <c r="Q221" i="6"/>
  <c r="U221" i="6"/>
  <c r="Q222" i="6"/>
  <c r="U222" i="6"/>
  <c r="Q223" i="6"/>
  <c r="U223" i="6"/>
  <c r="Q224" i="6"/>
  <c r="U224" i="6"/>
  <c r="Q225" i="6"/>
  <c r="U225" i="6"/>
  <c r="Q226" i="6"/>
  <c r="U226" i="6"/>
  <c r="Q227" i="6"/>
  <c r="U227" i="6"/>
  <c r="Q228" i="6"/>
  <c r="U228" i="6"/>
  <c r="Q229" i="6"/>
  <c r="U229" i="6"/>
  <c r="Q230" i="6"/>
  <c r="U230" i="6"/>
  <c r="Q231" i="6"/>
  <c r="U231" i="6"/>
  <c r="Q232" i="6"/>
  <c r="U232" i="6"/>
  <c r="Q233" i="6"/>
  <c r="U233" i="6"/>
  <c r="Q234" i="6"/>
  <c r="U234" i="6"/>
  <c r="Q235" i="6"/>
  <c r="U235" i="6"/>
  <c r="Q236" i="6"/>
  <c r="U236" i="6"/>
  <c r="Q237" i="6"/>
  <c r="U237" i="6"/>
  <c r="Q238" i="6"/>
  <c r="U238" i="6"/>
  <c r="Q239" i="6"/>
  <c r="U239" i="6"/>
  <c r="Q240" i="6"/>
  <c r="U240" i="6"/>
  <c r="Q241" i="6"/>
  <c r="U241" i="6"/>
  <c r="Q242" i="6"/>
  <c r="U242" i="6"/>
  <c r="Q243" i="6"/>
  <c r="U243" i="6"/>
  <c r="Q244" i="6"/>
  <c r="U244" i="6"/>
  <c r="Q245" i="6"/>
  <c r="U245" i="6"/>
  <c r="Q246" i="6"/>
  <c r="U246" i="6"/>
  <c r="Q247" i="6"/>
  <c r="U247" i="6"/>
  <c r="Q248" i="6"/>
  <c r="U248" i="6"/>
  <c r="Q249" i="6"/>
  <c r="U249" i="6"/>
  <c r="Q250" i="6"/>
  <c r="U250" i="6"/>
  <c r="Q251" i="6"/>
  <c r="U251" i="6"/>
  <c r="Q252" i="6"/>
  <c r="U252" i="6"/>
  <c r="Q253" i="6"/>
  <c r="U253" i="6"/>
  <c r="Q254" i="6"/>
  <c r="U254" i="6"/>
  <c r="Q255" i="6"/>
  <c r="U255" i="6"/>
  <c r="Q256" i="6"/>
  <c r="U256" i="6"/>
  <c r="Q257" i="6"/>
  <c r="U257" i="6"/>
  <c r="Q258" i="6"/>
  <c r="U258" i="6"/>
  <c r="Q259" i="6"/>
  <c r="U259" i="6"/>
  <c r="Q260" i="6"/>
  <c r="U260" i="6"/>
  <c r="Q261" i="6"/>
  <c r="U261" i="6"/>
  <c r="Q262" i="6"/>
  <c r="U262" i="6"/>
  <c r="Q263" i="6"/>
  <c r="U263" i="6"/>
  <c r="Q264" i="6"/>
  <c r="U264" i="6"/>
  <c r="Q265" i="6"/>
  <c r="U265" i="6"/>
  <c r="Q266" i="6"/>
  <c r="U266" i="6"/>
  <c r="Q267" i="6"/>
  <c r="U267" i="6"/>
  <c r="Q268" i="6"/>
  <c r="U268" i="6"/>
  <c r="Q269" i="6"/>
  <c r="U269" i="6"/>
  <c r="Q270" i="6"/>
  <c r="U270" i="6"/>
  <c r="Q271" i="6"/>
  <c r="U271" i="6"/>
  <c r="Q272" i="6"/>
  <c r="U272" i="6"/>
  <c r="Q273" i="6"/>
  <c r="U273" i="6"/>
  <c r="Q274" i="6"/>
  <c r="U274" i="6"/>
  <c r="Q275" i="6"/>
  <c r="U275" i="6"/>
  <c r="Q276" i="6"/>
  <c r="U276" i="6"/>
  <c r="Q277" i="6"/>
  <c r="U277" i="6"/>
  <c r="Q278" i="6"/>
  <c r="U278" i="6"/>
  <c r="Q279" i="6"/>
  <c r="U279" i="6"/>
  <c r="Q280" i="6"/>
  <c r="U280" i="6"/>
  <c r="Q281" i="6"/>
  <c r="U281" i="6"/>
  <c r="Q282" i="6"/>
  <c r="U282" i="6"/>
  <c r="Q283" i="6"/>
  <c r="U283" i="6"/>
  <c r="Q284" i="6"/>
  <c r="U284" i="6"/>
  <c r="Q285" i="6"/>
  <c r="U285" i="6"/>
  <c r="Q286" i="6"/>
  <c r="U286" i="6"/>
  <c r="Q287" i="6"/>
  <c r="U287" i="6"/>
  <c r="Q288" i="6"/>
  <c r="U288" i="6"/>
  <c r="Q289" i="6"/>
  <c r="U289" i="6"/>
  <c r="Q290" i="6"/>
  <c r="U290" i="6"/>
  <c r="Q291" i="6"/>
  <c r="U291" i="6"/>
  <c r="Q292" i="6"/>
  <c r="U292" i="6"/>
  <c r="Q293" i="6"/>
  <c r="U293" i="6"/>
  <c r="Q294" i="6"/>
  <c r="U294" i="6"/>
  <c r="Q295" i="6"/>
  <c r="U295" i="6"/>
  <c r="Q296" i="6"/>
  <c r="U296" i="6"/>
  <c r="Q297" i="6"/>
  <c r="U297" i="6"/>
  <c r="Q298" i="6"/>
  <c r="U298" i="6"/>
  <c r="Q299" i="6"/>
  <c r="U299" i="6"/>
  <c r="Q300" i="6"/>
  <c r="U300" i="6"/>
  <c r="Q301" i="6"/>
  <c r="U301" i="6"/>
  <c r="Q302" i="6"/>
  <c r="U302" i="6"/>
  <c r="Q303" i="6"/>
  <c r="U303" i="6"/>
  <c r="Q304" i="6"/>
  <c r="U304" i="6"/>
  <c r="Q305" i="6"/>
  <c r="U305" i="6"/>
  <c r="Q306" i="6"/>
  <c r="U306" i="6"/>
  <c r="Q307" i="6"/>
  <c r="U307" i="6"/>
  <c r="Q308" i="6"/>
  <c r="U308" i="6"/>
  <c r="Q309" i="6"/>
  <c r="U309" i="6"/>
  <c r="Q310" i="6"/>
  <c r="U310" i="6"/>
  <c r="Q311" i="6"/>
  <c r="U311" i="6"/>
  <c r="Q312" i="6"/>
  <c r="U312" i="6"/>
  <c r="Q313" i="6"/>
  <c r="U313" i="6"/>
  <c r="Q314" i="6"/>
  <c r="U314" i="6"/>
  <c r="Q315" i="6"/>
  <c r="U315" i="6"/>
  <c r="Q316" i="6"/>
  <c r="U316" i="6"/>
  <c r="Q317" i="6"/>
  <c r="U317" i="6"/>
  <c r="Q318" i="6"/>
  <c r="U318" i="6"/>
  <c r="Q319" i="6"/>
  <c r="U319" i="6"/>
  <c r="Q320" i="6"/>
  <c r="U320" i="6"/>
  <c r="Q321" i="6"/>
  <c r="U321" i="6"/>
  <c r="Q322" i="6"/>
  <c r="U322" i="6"/>
  <c r="Q323" i="6"/>
  <c r="U323" i="6"/>
  <c r="Q324" i="6"/>
  <c r="U324" i="6"/>
  <c r="Q325" i="6"/>
  <c r="U325" i="6"/>
  <c r="Q326" i="6"/>
  <c r="U326" i="6"/>
  <c r="Q327" i="6"/>
  <c r="U327" i="6"/>
  <c r="Q328" i="6"/>
  <c r="U328" i="6"/>
  <c r="Q329" i="6"/>
  <c r="U329" i="6"/>
  <c r="Q330" i="6"/>
  <c r="U330" i="6"/>
  <c r="Q331" i="6"/>
  <c r="U331" i="6"/>
  <c r="Q332" i="6"/>
  <c r="U332" i="6"/>
  <c r="Q333" i="6"/>
  <c r="U333" i="6"/>
  <c r="Q334" i="6"/>
  <c r="U334" i="6"/>
  <c r="Q335" i="6"/>
  <c r="U335" i="6"/>
  <c r="Q336" i="6"/>
  <c r="U336" i="6"/>
  <c r="Q337" i="6"/>
  <c r="U337" i="6"/>
  <c r="Q338" i="6"/>
  <c r="U338" i="6"/>
  <c r="Q339" i="6"/>
  <c r="U339" i="6"/>
  <c r="Q340" i="6"/>
  <c r="U340" i="6"/>
  <c r="Q341" i="6"/>
  <c r="U341" i="6"/>
  <c r="Q342" i="6"/>
  <c r="U342" i="6"/>
  <c r="Q343" i="6"/>
  <c r="U343" i="6"/>
  <c r="Q344" i="6"/>
  <c r="U344" i="6"/>
  <c r="Q345" i="6"/>
  <c r="U345" i="6"/>
  <c r="Q346" i="6"/>
  <c r="U346" i="6"/>
  <c r="Q347" i="6"/>
  <c r="U347" i="6"/>
  <c r="Q348" i="6"/>
  <c r="U348" i="6"/>
  <c r="Q349" i="6"/>
  <c r="U349" i="6"/>
  <c r="Q350" i="6"/>
  <c r="U350" i="6"/>
  <c r="Q351" i="6"/>
  <c r="U351" i="6"/>
  <c r="Q352" i="6"/>
  <c r="U352" i="6"/>
  <c r="Q353" i="6"/>
  <c r="U353" i="6"/>
  <c r="Q354" i="6"/>
  <c r="U354" i="6"/>
  <c r="Q355" i="6"/>
  <c r="U355" i="6"/>
  <c r="Q356" i="6"/>
  <c r="U356" i="6"/>
  <c r="Q357" i="6"/>
  <c r="U357" i="6"/>
  <c r="Q358" i="6"/>
  <c r="U358" i="6"/>
  <c r="Q359" i="6"/>
  <c r="U359" i="6"/>
  <c r="Q360" i="6"/>
  <c r="U360" i="6"/>
  <c r="Q361" i="6"/>
  <c r="U361" i="6"/>
  <c r="Q362" i="6"/>
  <c r="U362" i="6"/>
  <c r="Q363" i="6"/>
  <c r="U363" i="6"/>
  <c r="Q364" i="6"/>
  <c r="U364" i="6"/>
  <c r="Q365" i="6"/>
  <c r="U365" i="6"/>
  <c r="Q366" i="6"/>
  <c r="U366" i="6"/>
  <c r="Q367" i="6"/>
  <c r="U367" i="6"/>
  <c r="Q368" i="6"/>
  <c r="U368" i="6"/>
  <c r="Q369" i="6"/>
  <c r="U369" i="6"/>
  <c r="Q370" i="6"/>
  <c r="U370" i="6"/>
  <c r="Q371" i="6"/>
  <c r="U371" i="6"/>
  <c r="Q372" i="6"/>
  <c r="U372" i="6"/>
  <c r="Q373" i="6"/>
  <c r="U373" i="6"/>
  <c r="Q374" i="6"/>
  <c r="U374" i="6"/>
  <c r="Q375" i="6"/>
  <c r="U375" i="6"/>
  <c r="Q376" i="6"/>
  <c r="U376" i="6"/>
  <c r="Q377" i="6"/>
  <c r="U377" i="6"/>
  <c r="Q378" i="6"/>
  <c r="U378" i="6"/>
  <c r="Q379" i="6"/>
  <c r="U379" i="6"/>
  <c r="Q380" i="6"/>
  <c r="U380" i="6"/>
  <c r="Q381" i="6"/>
  <c r="U381" i="6"/>
  <c r="Q382" i="6"/>
  <c r="U382" i="6"/>
  <c r="Q383" i="6"/>
  <c r="U383" i="6"/>
  <c r="Q384" i="6"/>
  <c r="U384" i="6"/>
  <c r="Q385" i="6"/>
  <c r="U385" i="6"/>
  <c r="Q386" i="6"/>
  <c r="U386" i="6"/>
  <c r="Q387" i="6"/>
  <c r="U387" i="6"/>
  <c r="Q388" i="6"/>
  <c r="U388" i="6"/>
  <c r="Q389" i="6"/>
  <c r="U389" i="6"/>
  <c r="Q390" i="6"/>
  <c r="U390" i="6"/>
  <c r="Q391" i="6"/>
  <c r="U391" i="6"/>
  <c r="Q392" i="6"/>
  <c r="U392" i="6"/>
  <c r="Q393" i="6"/>
  <c r="U393" i="6"/>
  <c r="Q394" i="6"/>
  <c r="U394" i="6"/>
  <c r="Q395" i="6"/>
  <c r="U395" i="6"/>
  <c r="Q396" i="6"/>
  <c r="U396" i="6"/>
  <c r="Q397" i="6"/>
  <c r="U397" i="6"/>
  <c r="Q398" i="6"/>
  <c r="U398" i="6"/>
  <c r="Q399" i="6"/>
  <c r="U399" i="6"/>
  <c r="Q400" i="6"/>
  <c r="U400" i="6"/>
  <c r="Q401" i="6"/>
  <c r="U401" i="6"/>
  <c r="Q402" i="6"/>
  <c r="U402" i="6"/>
  <c r="Q403" i="6"/>
  <c r="U403" i="6"/>
  <c r="Q404" i="6"/>
  <c r="U404" i="6"/>
  <c r="Q405" i="6"/>
  <c r="U405" i="6"/>
  <c r="Q406" i="6"/>
  <c r="U406" i="6"/>
  <c r="Q407" i="6"/>
  <c r="U407" i="6"/>
  <c r="Q408" i="6"/>
  <c r="U408" i="6"/>
  <c r="Q409" i="6"/>
  <c r="U409" i="6"/>
  <c r="Q410" i="6"/>
  <c r="U410" i="6"/>
  <c r="Q411" i="6"/>
  <c r="U411" i="6"/>
  <c r="Q412" i="6"/>
  <c r="U412" i="6"/>
  <c r="Q413" i="6"/>
  <c r="U413" i="6"/>
  <c r="Q414" i="6"/>
  <c r="U414" i="6"/>
  <c r="Q415" i="6"/>
  <c r="U415" i="6"/>
  <c r="Q416" i="6"/>
  <c r="U416" i="6"/>
  <c r="Q417" i="6"/>
  <c r="U417" i="6"/>
  <c r="Q418" i="6"/>
  <c r="U418" i="6"/>
  <c r="Q419" i="6"/>
  <c r="U419" i="6"/>
  <c r="Q420" i="6"/>
  <c r="U420" i="6"/>
  <c r="Q421" i="6"/>
  <c r="U421" i="6"/>
  <c r="Q422" i="6"/>
  <c r="U422" i="6"/>
  <c r="Q423" i="6"/>
  <c r="U423" i="6"/>
  <c r="Q424" i="6"/>
  <c r="U424" i="6"/>
  <c r="Q425" i="6"/>
  <c r="U425" i="6"/>
  <c r="Q426" i="6"/>
  <c r="U426" i="6"/>
  <c r="Q427" i="6"/>
  <c r="U427" i="6"/>
  <c r="Q428" i="6"/>
  <c r="U428" i="6"/>
  <c r="Q429" i="6"/>
  <c r="U429" i="6"/>
  <c r="Q430" i="6"/>
  <c r="U430" i="6"/>
  <c r="Q431" i="6"/>
  <c r="U431" i="6"/>
  <c r="Q432" i="6"/>
  <c r="U432" i="6"/>
  <c r="Q433" i="6"/>
  <c r="U433" i="6"/>
  <c r="Q434" i="6"/>
  <c r="U434" i="6"/>
  <c r="Q435" i="6"/>
  <c r="U435" i="6"/>
  <c r="Q436" i="6"/>
  <c r="U436" i="6"/>
  <c r="Q437" i="6"/>
  <c r="U437" i="6"/>
  <c r="Q438" i="6"/>
  <c r="U438" i="6"/>
  <c r="Q439" i="6"/>
  <c r="U439" i="6"/>
  <c r="Q440" i="6"/>
  <c r="U440" i="6"/>
  <c r="Q441" i="6"/>
  <c r="U441" i="6"/>
  <c r="Q442" i="6"/>
  <c r="U442" i="6"/>
  <c r="Q443" i="6"/>
  <c r="U443" i="6"/>
  <c r="Q444" i="6"/>
  <c r="U444" i="6"/>
  <c r="Q445" i="6"/>
  <c r="U445" i="6"/>
  <c r="Q446" i="6"/>
  <c r="U446" i="6"/>
  <c r="Q447" i="6"/>
  <c r="U447" i="6"/>
  <c r="Q448" i="6"/>
  <c r="U448" i="6"/>
  <c r="Q449" i="6"/>
  <c r="U449" i="6"/>
  <c r="Q450" i="6"/>
  <c r="U450" i="6"/>
  <c r="Q451" i="6"/>
  <c r="U451" i="6"/>
  <c r="Q452" i="6"/>
  <c r="U452" i="6"/>
  <c r="Q453" i="6"/>
  <c r="U453" i="6"/>
  <c r="Q454" i="6"/>
  <c r="U454" i="6"/>
  <c r="Q455" i="6"/>
  <c r="U455" i="6"/>
  <c r="Q456" i="6"/>
  <c r="U456" i="6"/>
  <c r="Q457" i="6"/>
  <c r="U457" i="6"/>
  <c r="Q458" i="6"/>
  <c r="U458" i="6"/>
  <c r="Q459" i="6"/>
  <c r="U459" i="6"/>
  <c r="Q460" i="6"/>
  <c r="U460" i="6"/>
  <c r="Q461" i="6"/>
  <c r="U461" i="6"/>
  <c r="Q462" i="6"/>
  <c r="U462" i="6"/>
  <c r="Q463" i="6"/>
  <c r="U463" i="6"/>
  <c r="Q464" i="6"/>
  <c r="U464" i="6"/>
  <c r="Q465" i="6"/>
  <c r="U465" i="6"/>
  <c r="Q466" i="6"/>
  <c r="U466" i="6"/>
  <c r="Q467" i="6"/>
  <c r="U467" i="6"/>
  <c r="Q468" i="6"/>
  <c r="U468" i="6"/>
  <c r="Q469" i="6"/>
  <c r="U469" i="6"/>
  <c r="Q470" i="6"/>
  <c r="U470" i="6"/>
  <c r="Q471" i="6"/>
  <c r="U471" i="6"/>
  <c r="Q472" i="6"/>
  <c r="U472" i="6"/>
  <c r="Q473" i="6"/>
  <c r="U473" i="6"/>
  <c r="Q474" i="6"/>
  <c r="U474" i="6"/>
  <c r="Q475" i="6"/>
  <c r="U475" i="6"/>
  <c r="Q476" i="6"/>
  <c r="U476" i="6"/>
  <c r="Q477" i="6"/>
  <c r="U477" i="6"/>
  <c r="Q478" i="6"/>
  <c r="U478" i="6"/>
  <c r="Q479" i="6"/>
  <c r="U479" i="6"/>
  <c r="Q480" i="6"/>
  <c r="U480" i="6"/>
  <c r="Q481" i="6"/>
  <c r="U481" i="6"/>
  <c r="Q482" i="6"/>
  <c r="U482" i="6"/>
  <c r="Q483" i="6"/>
  <c r="U483" i="6"/>
  <c r="Q484" i="6"/>
  <c r="U484" i="6"/>
  <c r="Q485" i="6"/>
  <c r="U485" i="6"/>
  <c r="Q486" i="6"/>
  <c r="U486" i="6"/>
  <c r="Q487" i="6"/>
  <c r="U487" i="6"/>
  <c r="Q488" i="6"/>
  <c r="U488" i="6"/>
  <c r="Q489" i="6"/>
  <c r="U489" i="6"/>
  <c r="Q490" i="6"/>
  <c r="U490" i="6"/>
  <c r="Q491" i="6"/>
  <c r="U491" i="6"/>
  <c r="Q492" i="6"/>
  <c r="U492" i="6"/>
  <c r="Q493" i="6"/>
  <c r="U493" i="6"/>
  <c r="Q494" i="6"/>
  <c r="U494" i="6"/>
  <c r="Q495" i="6"/>
  <c r="U495" i="6"/>
  <c r="Q496" i="6"/>
  <c r="U496" i="6"/>
  <c r="Q497" i="6"/>
  <c r="U497" i="6"/>
  <c r="Q498" i="6"/>
  <c r="U498" i="6"/>
  <c r="Q499" i="6"/>
  <c r="U499" i="6"/>
  <c r="Q500" i="6"/>
  <c r="U500" i="6"/>
  <c r="Q501" i="6"/>
  <c r="U501" i="6"/>
  <c r="Q502" i="6"/>
  <c r="U502" i="6"/>
  <c r="Q503" i="6"/>
  <c r="U503" i="6"/>
  <c r="Q504" i="6"/>
  <c r="U504" i="6"/>
  <c r="Q505" i="6"/>
  <c r="U505" i="6"/>
  <c r="Q506" i="6"/>
  <c r="U506" i="6"/>
  <c r="Q507" i="6"/>
  <c r="U507" i="6"/>
  <c r="Q508" i="6"/>
  <c r="U508" i="6"/>
  <c r="Q509" i="6"/>
  <c r="U509" i="6"/>
  <c r="Q510" i="6"/>
  <c r="U510" i="6"/>
  <c r="Q511" i="6"/>
  <c r="U511" i="6"/>
  <c r="Q512" i="6"/>
  <c r="U512" i="6"/>
  <c r="Q513" i="6"/>
  <c r="U513" i="6"/>
  <c r="Q514" i="6"/>
  <c r="U514" i="6"/>
  <c r="Q515" i="6"/>
  <c r="U515" i="6"/>
  <c r="Q516" i="6"/>
  <c r="U516" i="6"/>
  <c r="Q517" i="6"/>
  <c r="U517" i="6"/>
  <c r="Q518" i="6"/>
  <c r="U518" i="6"/>
  <c r="Q519" i="6"/>
  <c r="U519" i="6"/>
  <c r="Q520" i="6"/>
  <c r="U520" i="6"/>
  <c r="Q521" i="6"/>
  <c r="U521" i="6"/>
  <c r="Q522" i="6"/>
  <c r="U522" i="6"/>
  <c r="Q523" i="6"/>
  <c r="U523" i="6"/>
  <c r="Q524" i="6"/>
  <c r="U524" i="6"/>
  <c r="Q525" i="6"/>
  <c r="U525" i="6"/>
  <c r="Q526" i="6"/>
  <c r="U526" i="6"/>
  <c r="Q527" i="6"/>
  <c r="U527" i="6"/>
  <c r="Q528" i="6"/>
  <c r="U528" i="6"/>
  <c r="Q529" i="6"/>
  <c r="U529" i="6"/>
  <c r="Q530" i="6"/>
  <c r="U530" i="6"/>
  <c r="Q531" i="6"/>
  <c r="U531" i="6"/>
  <c r="Q532" i="6"/>
  <c r="U532" i="6"/>
  <c r="Q533" i="6"/>
  <c r="U533" i="6"/>
  <c r="Q534" i="6"/>
  <c r="U534" i="6"/>
  <c r="Q535" i="6"/>
  <c r="U535" i="6"/>
  <c r="Q536" i="6"/>
  <c r="U536" i="6"/>
  <c r="Q537" i="6"/>
  <c r="U537" i="6"/>
  <c r="Q538" i="6"/>
  <c r="U538" i="6"/>
  <c r="Q539" i="6"/>
  <c r="U539" i="6"/>
  <c r="Q540" i="6"/>
  <c r="U540" i="6"/>
  <c r="Q541" i="6"/>
  <c r="U541" i="6"/>
  <c r="Q542" i="6"/>
  <c r="U542" i="6"/>
  <c r="Q543" i="6"/>
  <c r="U543" i="6"/>
  <c r="Q544" i="6"/>
  <c r="U544" i="6"/>
  <c r="Q545" i="6"/>
  <c r="U545" i="6"/>
  <c r="Q546" i="6"/>
  <c r="U546" i="6"/>
  <c r="Q547" i="6"/>
  <c r="U547" i="6"/>
  <c r="Q548" i="6"/>
  <c r="U548" i="6"/>
  <c r="Q549" i="6"/>
  <c r="U549" i="6"/>
  <c r="Q550" i="6"/>
  <c r="U550" i="6"/>
  <c r="Q551" i="6"/>
  <c r="U551" i="6"/>
  <c r="Q552" i="6"/>
  <c r="U552" i="6"/>
  <c r="Q553" i="6"/>
  <c r="U553" i="6"/>
  <c r="Q554" i="6"/>
  <c r="U554" i="6"/>
  <c r="Q555" i="6"/>
  <c r="U555" i="6"/>
  <c r="Q556" i="6"/>
  <c r="U556" i="6"/>
  <c r="Q557" i="6"/>
  <c r="U557" i="6"/>
  <c r="Q558" i="6"/>
  <c r="U558" i="6"/>
  <c r="Q559" i="6"/>
  <c r="U559" i="6"/>
  <c r="Q560" i="6"/>
  <c r="U560" i="6"/>
  <c r="Q561" i="6"/>
  <c r="U561" i="6"/>
  <c r="Q562" i="6"/>
  <c r="U562" i="6"/>
  <c r="Q563" i="6"/>
  <c r="U563" i="6"/>
  <c r="Q564" i="6"/>
  <c r="U564" i="6"/>
  <c r="Q565" i="6"/>
  <c r="U565" i="6"/>
  <c r="Q566" i="6"/>
  <c r="U566" i="6"/>
  <c r="Q567" i="6"/>
  <c r="U567" i="6"/>
  <c r="Q568" i="6"/>
  <c r="U568" i="6"/>
  <c r="Q569" i="6"/>
  <c r="U569" i="6"/>
  <c r="Q570" i="6"/>
  <c r="U570" i="6"/>
  <c r="W76" i="5"/>
  <c r="X76" i="5"/>
  <c r="Y76" i="5"/>
  <c r="V200" i="6"/>
  <c r="V274" i="6"/>
  <c r="V158" i="6"/>
  <c r="V39" i="6"/>
  <c r="V149" i="6"/>
  <c r="V118" i="6"/>
  <c r="V289" i="6"/>
  <c r="V233" i="6"/>
  <c r="V15" i="6"/>
  <c r="V482" i="6"/>
  <c r="V501" i="6"/>
  <c r="V338" i="6"/>
  <c r="V544" i="6"/>
  <c r="V467" i="6"/>
  <c r="V388" i="6"/>
  <c r="V403" i="6"/>
  <c r="V409" i="6"/>
  <c r="V560" i="6"/>
  <c r="V528" i="6"/>
  <c r="V438" i="6"/>
  <c r="V98" i="6"/>
  <c r="V245" i="6"/>
  <c r="V428" i="6"/>
  <c r="V305" i="6"/>
  <c r="V212" i="6"/>
  <c r="V539" i="6"/>
  <c r="V169" i="6"/>
  <c r="V159" i="6"/>
  <c r="V134" i="6"/>
  <c r="V299" i="6"/>
  <c r="V302" i="6"/>
  <c r="V56" i="6"/>
  <c r="V53" i="6"/>
  <c r="V216" i="6"/>
  <c r="V93" i="6"/>
  <c r="V225" i="6"/>
  <c r="V152" i="6"/>
  <c r="V85" i="6"/>
  <c r="V488" i="6"/>
  <c r="V280" i="6"/>
  <c r="V569" i="6"/>
  <c r="V21" i="6"/>
  <c r="V291" i="6"/>
  <c r="V365" i="6"/>
  <c r="V58" i="6"/>
  <c r="V79" i="6"/>
  <c r="V434" i="6"/>
  <c r="V173" i="6"/>
  <c r="V141" i="6"/>
  <c r="V445" i="6"/>
  <c r="V30" i="6"/>
  <c r="V208" i="6"/>
  <c r="V447" i="6"/>
  <c r="V368" i="6"/>
  <c r="V145" i="6"/>
  <c r="V55" i="6"/>
  <c r="V267" i="6"/>
  <c r="V210" i="6"/>
  <c r="V550" i="6"/>
  <c r="V529" i="6"/>
  <c r="V151" i="6"/>
  <c r="V252" i="6"/>
  <c r="V430" i="6"/>
  <c r="V432" i="6"/>
  <c r="V408" i="6"/>
  <c r="V341" i="6"/>
  <c r="V160" i="6"/>
  <c r="V81" i="6"/>
  <c r="V496" i="6"/>
  <c r="V165" i="6"/>
  <c r="V546" i="6"/>
  <c r="V537" i="6"/>
  <c r="V406" i="6"/>
  <c r="V307" i="6"/>
  <c r="V178" i="6"/>
  <c r="V397" i="6"/>
  <c r="V325" i="6"/>
  <c r="V378" i="6"/>
  <c r="V204" i="6"/>
  <c r="V374" i="6"/>
  <c r="V214" i="6"/>
  <c r="V362" i="6"/>
  <c r="V185" i="6"/>
  <c r="V324" i="6"/>
  <c r="V271" i="6"/>
  <c r="V520" i="6"/>
  <c r="V219" i="6"/>
  <c r="V306" i="6"/>
  <c r="V181" i="6"/>
  <c r="V125" i="6"/>
  <c r="V135" i="6"/>
  <c r="V429" i="6"/>
  <c r="V500" i="6"/>
  <c r="V142" i="6"/>
  <c r="V350" i="6"/>
  <c r="V510" i="6"/>
  <c r="V386" i="6"/>
  <c r="V436" i="6"/>
  <c r="V373" i="6"/>
  <c r="V308" i="6"/>
  <c r="V276" i="6"/>
  <c r="V439" i="6"/>
  <c r="V54" i="6"/>
  <c r="V188" i="6"/>
  <c r="V174" i="6"/>
  <c r="V547" i="6"/>
  <c r="V332" i="6"/>
  <c r="V405" i="6"/>
  <c r="V358" i="6"/>
  <c r="V331" i="6"/>
  <c r="V301" i="6"/>
  <c r="V238" i="6"/>
  <c r="V553" i="6"/>
  <c r="V422" i="6"/>
  <c r="V209" i="6"/>
  <c r="V383" i="6"/>
  <c r="V522" i="6"/>
  <c r="V555" i="6"/>
  <c r="V46" i="6"/>
  <c r="V131" i="6"/>
  <c r="V455" i="6"/>
  <c r="V393" i="6"/>
  <c r="V83" i="6"/>
  <c r="V534" i="6"/>
  <c r="V226" i="6"/>
  <c r="V61" i="6"/>
  <c r="V218" i="6"/>
  <c r="V170" i="6"/>
  <c r="V35" i="6"/>
  <c r="V264" i="6"/>
  <c r="V29" i="6"/>
  <c r="V265" i="6"/>
  <c r="V67" i="6"/>
  <c r="V163" i="6"/>
  <c r="V360" i="6"/>
  <c r="V558" i="6"/>
  <c r="V279" i="6"/>
  <c r="V375" i="6"/>
  <c r="V157" i="6"/>
  <c r="V285" i="6"/>
  <c r="V355" i="6"/>
  <c r="V16" i="6"/>
  <c r="V249" i="6"/>
  <c r="V531" i="6"/>
  <c r="V193" i="6"/>
  <c r="V371" i="6"/>
  <c r="V33" i="6"/>
  <c r="V370" i="6"/>
  <c r="V197" i="6"/>
  <c r="V94" i="6"/>
  <c r="V330" i="6"/>
  <c r="V453" i="6"/>
  <c r="V240" i="6"/>
  <c r="V60" i="6"/>
  <c r="V372" i="6"/>
  <c r="V27" i="6"/>
  <c r="V228" i="6"/>
  <c r="V385" i="6"/>
  <c r="V517" i="6"/>
  <c r="V296" i="6"/>
  <c r="V232" i="6"/>
  <c r="V263" i="6"/>
  <c r="V335" i="6"/>
  <c r="V120" i="6"/>
  <c r="V366" i="6"/>
  <c r="V565" i="6"/>
  <c r="V77" i="6"/>
  <c r="V456" i="6"/>
  <c r="V180" i="6"/>
  <c r="V179" i="6"/>
  <c r="V484" i="6"/>
  <c r="V146" i="6"/>
  <c r="V43" i="6"/>
  <c r="V427" i="6"/>
  <c r="V441" i="6"/>
  <c r="V351" i="6"/>
  <c r="V187" i="6"/>
  <c r="V75" i="6"/>
  <c r="V298" i="6"/>
  <c r="V424" i="6"/>
  <c r="V396" i="6"/>
  <c r="V551" i="6"/>
  <c r="V251" i="6"/>
  <c r="V148" i="6"/>
  <c r="V549" i="6"/>
  <c r="V167" i="6"/>
  <c r="V95" i="6"/>
  <c r="V213" i="6"/>
  <c r="V59" i="6"/>
  <c r="V295" i="6"/>
  <c r="V535" i="6"/>
  <c r="V57" i="6"/>
  <c r="V47" i="6"/>
  <c r="V418" i="6"/>
  <c r="V313" i="6"/>
  <c r="V476" i="6"/>
  <c r="V311" i="6"/>
  <c r="V399" i="6"/>
  <c r="V512" i="6"/>
  <c r="V65" i="6"/>
  <c r="V186" i="6"/>
  <c r="V132" i="6"/>
  <c r="V536" i="6"/>
  <c r="V116" i="6"/>
  <c r="V277" i="6"/>
  <c r="V509" i="6"/>
  <c r="V333" i="6"/>
  <c r="V322" i="6"/>
  <c r="V570" i="6"/>
  <c r="V34" i="6"/>
  <c r="V469" i="6"/>
  <c r="V294" i="6"/>
  <c r="V352" i="6"/>
  <c r="V340" i="6"/>
  <c r="V129" i="6"/>
  <c r="V229" i="6"/>
  <c r="V51" i="6"/>
  <c r="V391" i="6"/>
  <c r="V66" i="6"/>
  <c r="V292" i="6"/>
  <c r="V452" i="6"/>
  <c r="V511" i="6"/>
  <c r="V10" i="6"/>
  <c r="V272" i="6"/>
  <c r="V13" i="6"/>
  <c r="V359" i="6"/>
  <c r="V489" i="6"/>
  <c r="V566" i="6"/>
  <c r="V483" i="6"/>
  <c r="V241" i="6"/>
  <c r="V205" i="6"/>
  <c r="V323" i="6"/>
  <c r="V147" i="6"/>
  <c r="V211" i="6"/>
  <c r="V502" i="6"/>
  <c r="V481" i="6"/>
  <c r="V507" i="6"/>
  <c r="V532" i="6"/>
  <c r="V524" i="6"/>
  <c r="V411" i="6"/>
  <c r="V454" i="6"/>
  <c r="V321" i="6"/>
  <c r="V161" i="6"/>
  <c r="V343" i="6"/>
  <c r="V442" i="6"/>
  <c r="V314" i="6"/>
  <c r="V126" i="6"/>
  <c r="V235" i="6"/>
  <c r="V379" i="6"/>
  <c r="V52" i="6"/>
  <c r="V73" i="6"/>
  <c r="V490" i="6"/>
  <c r="V198" i="6"/>
  <c r="V80" i="6"/>
  <c r="V150" i="6"/>
  <c r="V182" i="6"/>
  <c r="V44" i="6"/>
  <c r="V472" i="6"/>
  <c r="V196" i="6"/>
  <c r="V69" i="6"/>
  <c r="V492" i="6"/>
  <c r="V282" i="6"/>
  <c r="V40" i="6"/>
  <c r="V367" i="6"/>
  <c r="V561" i="6"/>
  <c r="V139" i="6"/>
  <c r="V387" i="6"/>
  <c r="V117" i="6"/>
  <c r="V449" i="6"/>
  <c r="V563" i="6"/>
  <c r="V545" i="6"/>
  <c r="V495" i="6"/>
  <c r="V26" i="6"/>
  <c r="V459" i="6"/>
  <c r="V508" i="6"/>
  <c r="V88" i="6"/>
  <c r="V41" i="6"/>
  <c r="V250" i="6"/>
  <c r="V25" i="6"/>
  <c r="V407" i="6"/>
  <c r="V417" i="6"/>
  <c r="V344" i="6"/>
  <c r="V486" i="6"/>
  <c r="V503" i="6"/>
  <c r="V513" i="6"/>
  <c r="V162" i="6"/>
  <c r="V284" i="6"/>
  <c r="V230" i="6"/>
  <c r="V106" i="6"/>
  <c r="V201" i="6"/>
  <c r="V71" i="6"/>
  <c r="V115" i="6"/>
  <c r="V242" i="6"/>
  <c r="V270" i="6"/>
  <c r="V154" i="6"/>
  <c r="V144" i="6"/>
  <c r="V138" i="6"/>
  <c r="V425" i="6"/>
  <c r="V155" i="6"/>
  <c r="V123" i="6"/>
  <c r="V493" i="6"/>
  <c r="V172" i="6"/>
  <c r="V281" i="6"/>
  <c r="V478" i="6"/>
  <c r="V168" i="6"/>
  <c r="V542" i="6"/>
  <c r="V121" i="6"/>
  <c r="V96" i="6"/>
  <c r="V293" i="6"/>
  <c r="V38" i="6"/>
  <c r="V357" i="6"/>
  <c r="V303" i="6"/>
  <c r="V206" i="6"/>
  <c r="V320" i="6"/>
  <c r="V435" i="6"/>
  <c r="V339" i="6"/>
  <c r="V124" i="6"/>
  <c r="V107" i="6"/>
  <c r="V50" i="6"/>
  <c r="V11" i="6"/>
  <c r="V48" i="6"/>
  <c r="V376" i="6"/>
  <c r="V14" i="6"/>
  <c r="V471" i="6"/>
  <c r="V247" i="6"/>
  <c r="V287" i="6"/>
  <c r="V222" i="6"/>
  <c r="V540" i="6"/>
  <c r="V498" i="6"/>
  <c r="V164" i="6"/>
  <c r="V31" i="6"/>
  <c r="V221" i="6"/>
  <c r="V100" i="6"/>
  <c r="V273" i="6"/>
  <c r="V491" i="6"/>
  <c r="V82" i="6"/>
  <c r="V76" i="6"/>
  <c r="V404" i="6"/>
  <c r="V259" i="6"/>
  <c r="V101" i="6"/>
  <c r="V18" i="6"/>
  <c r="V353" i="6"/>
  <c r="V110" i="6"/>
  <c r="V102" i="6"/>
  <c r="V224" i="6"/>
  <c r="V464" i="6"/>
  <c r="V315" i="6"/>
  <c r="V140" i="6"/>
  <c r="V20" i="6"/>
  <c r="V505" i="6"/>
  <c r="V450" i="6"/>
  <c r="V552" i="6"/>
  <c r="V564" i="6"/>
  <c r="V514" i="6"/>
  <c r="V348" i="6"/>
  <c r="V318" i="6"/>
  <c r="V568" i="6"/>
  <c r="V236" i="6"/>
  <c r="V557" i="6"/>
  <c r="V380" i="6"/>
  <c r="V463" i="6"/>
  <c r="V334" i="6"/>
  <c r="V446" i="6"/>
  <c r="V414" i="6"/>
  <c r="V17" i="6"/>
  <c r="V42" i="6"/>
  <c r="V516" i="6"/>
  <c r="V237" i="6"/>
  <c r="V37" i="6"/>
  <c r="V400" i="6"/>
  <c r="V556" i="6"/>
  <c r="V64" i="6"/>
  <c r="V381" i="6"/>
  <c r="V255" i="6"/>
  <c r="V412" i="6"/>
  <c r="V382" i="6"/>
  <c r="V269" i="6"/>
  <c r="V36" i="6"/>
  <c r="V300" i="6"/>
  <c r="V477" i="6"/>
  <c r="V475" i="6"/>
  <c r="V89" i="6"/>
  <c r="V518" i="6"/>
  <c r="V559" i="6"/>
  <c r="V176" i="6"/>
  <c r="V538" i="6"/>
  <c r="V253" i="6"/>
  <c r="V244" i="6"/>
  <c r="V426" i="6"/>
  <c r="V487" i="6"/>
  <c r="V63" i="6"/>
  <c r="V474" i="6"/>
  <c r="V234" i="6"/>
  <c r="V317" i="6"/>
  <c r="V304" i="6"/>
  <c r="V103" i="6"/>
  <c r="V458" i="6"/>
  <c r="V354" i="6"/>
  <c r="V402" i="6"/>
  <c r="V437" i="6"/>
  <c r="V543" i="6"/>
  <c r="V97" i="6"/>
  <c r="V191" i="6"/>
  <c r="V504" i="6"/>
  <c r="V84" i="6"/>
  <c r="V261" i="6"/>
  <c r="V329" i="6"/>
  <c r="V462" i="6"/>
  <c r="V78" i="6"/>
  <c r="V153" i="6"/>
  <c r="V533" i="6"/>
  <c r="V275" i="6"/>
  <c r="V254" i="6"/>
  <c r="V328" i="6"/>
  <c r="V114" i="6"/>
  <c r="V392" i="6"/>
  <c r="V530" i="6"/>
  <c r="V23" i="6"/>
  <c r="V92" i="6"/>
  <c r="V485" i="6"/>
  <c r="V554" i="6"/>
  <c r="V231" i="6"/>
  <c r="V177" i="6"/>
  <c r="V401" i="6"/>
  <c r="V260" i="6"/>
  <c r="V127" i="6"/>
  <c r="V349" i="6"/>
  <c r="V112" i="6"/>
  <c r="V337" i="6"/>
  <c r="V288" i="6"/>
  <c r="V215" i="6"/>
  <c r="V361" i="6"/>
  <c r="V395" i="6"/>
  <c r="V519" i="6"/>
  <c r="V19" i="6"/>
  <c r="V384" i="6"/>
  <c r="V415" i="6"/>
  <c r="V461" i="6"/>
  <c r="V363" i="6"/>
  <c r="V521" i="6"/>
  <c r="V525" i="6"/>
  <c r="V413" i="6"/>
  <c r="V327" i="6"/>
  <c r="V223" i="6"/>
  <c r="V562" i="6"/>
  <c r="V377" i="6"/>
  <c r="V72" i="6"/>
  <c r="V90" i="6"/>
  <c r="V479" i="6"/>
  <c r="V258" i="6"/>
  <c r="V312" i="6"/>
  <c r="V239" i="6"/>
  <c r="V457" i="6"/>
  <c r="V192" i="6"/>
  <c r="V194" i="6"/>
  <c r="V113" i="6"/>
  <c r="V12" i="6"/>
  <c r="V398" i="6"/>
  <c r="V480" i="6"/>
  <c r="V203" i="6"/>
  <c r="V266" i="6"/>
  <c r="V466" i="6"/>
  <c r="V190" i="6"/>
  <c r="V217" i="6"/>
  <c r="V91" i="6"/>
  <c r="V364" i="6"/>
  <c r="V497" i="6"/>
  <c r="V130" i="6"/>
  <c r="V286" i="6"/>
  <c r="V45" i="6"/>
  <c r="V523" i="6"/>
  <c r="V32" i="6"/>
  <c r="V494" i="6"/>
  <c r="V526" i="6"/>
  <c r="V136" i="6"/>
  <c r="V527" i="6"/>
  <c r="V22" i="6"/>
  <c r="V346" i="6"/>
  <c r="V567" i="6"/>
  <c r="V465" i="6"/>
  <c r="V326" i="6"/>
  <c r="V473" i="6"/>
  <c r="V356" i="6"/>
  <c r="V389" i="6"/>
  <c r="V207" i="6"/>
  <c r="V541" i="6"/>
  <c r="V128" i="6"/>
  <c r="V369" i="6"/>
  <c r="V133" i="6"/>
  <c r="V336" i="6"/>
  <c r="V309" i="6"/>
  <c r="V199" i="6"/>
  <c r="V468" i="6"/>
  <c r="V175" i="6"/>
  <c r="V347" i="6"/>
  <c r="V243" i="6"/>
  <c r="V444" i="6"/>
  <c r="V319" i="6"/>
  <c r="V49" i="6"/>
  <c r="V499" i="6"/>
  <c r="V283" i="6"/>
  <c r="V448" i="6"/>
  <c r="V420" i="6"/>
  <c r="V410" i="6"/>
  <c r="V28" i="6"/>
  <c r="V87" i="6"/>
  <c r="V183" i="6"/>
  <c r="V256" i="6"/>
  <c r="V122" i="6"/>
  <c r="V440" i="6"/>
  <c r="V74" i="6"/>
  <c r="V297" i="6"/>
  <c r="V423" i="6"/>
  <c r="V290" i="6"/>
  <c r="V109" i="6"/>
  <c r="V111" i="6"/>
  <c r="V310" i="6"/>
  <c r="V268" i="6"/>
  <c r="V246" i="6"/>
  <c r="V195" i="6"/>
  <c r="V166" i="6"/>
  <c r="V119" i="6"/>
  <c r="V416" i="6"/>
  <c r="V506" i="6"/>
  <c r="V470" i="6"/>
  <c r="V390" i="6"/>
  <c r="V394" i="6"/>
  <c r="V99" i="6"/>
  <c r="V137" i="6"/>
  <c r="V105" i="6"/>
  <c r="V345" i="6"/>
  <c r="V421" i="6"/>
  <c r="V70" i="6"/>
  <c r="V104" i="6"/>
  <c r="V515" i="6"/>
  <c r="V433" i="6"/>
  <c r="V342" i="6"/>
  <c r="V262" i="6"/>
  <c r="V419" i="6"/>
  <c r="V189" i="6"/>
  <c r="V451" i="6"/>
  <c r="V316" i="6"/>
  <c r="V156" i="6"/>
  <c r="V460" i="6"/>
  <c r="V431" i="6"/>
  <c r="V62" i="6"/>
  <c r="V24" i="6"/>
  <c r="V171" i="6"/>
  <c r="V86" i="6"/>
  <c r="V443" i="6"/>
  <c r="V202" i="6"/>
  <c r="V184" i="6"/>
  <c r="V227" i="6"/>
  <c r="V548" i="6"/>
  <c r="V143" i="6"/>
  <c r="V220" i="6"/>
  <c r="V248" i="6"/>
  <c r="V278" i="6"/>
  <c r="V108" i="6"/>
  <c r="V257" i="6"/>
  <c r="V68" i="6"/>
  <c r="W59" i="5"/>
  <c r="X59" i="5"/>
  <c r="Y59" i="5"/>
  <c r="O9" i="7"/>
  <c r="O17" i="7"/>
  <c r="S17" i="7"/>
  <c r="T17" i="7"/>
  <c r="C31" i="18"/>
  <c r="W421" i="4"/>
  <c r="X421" i="4"/>
  <c r="Y421" i="4"/>
  <c r="W420" i="4"/>
  <c r="X420" i="4"/>
  <c r="Y420" i="4"/>
  <c r="W538" i="4"/>
  <c r="X538" i="4"/>
  <c r="Y538" i="4"/>
  <c r="W61" i="5"/>
  <c r="X61" i="5"/>
  <c r="Y61" i="5"/>
  <c r="W72" i="5"/>
  <c r="X72" i="5"/>
  <c r="Y72" i="5"/>
  <c r="W53" i="5"/>
  <c r="X53" i="5"/>
  <c r="Y53" i="5"/>
  <c r="W54" i="5"/>
  <c r="X54" i="5"/>
  <c r="Y54" i="5"/>
  <c r="W55" i="5"/>
  <c r="X55" i="5"/>
  <c r="Y55" i="5"/>
  <c r="W78" i="5"/>
  <c r="X78" i="5"/>
  <c r="Y78" i="5"/>
  <c r="W74" i="5"/>
  <c r="X74" i="5"/>
  <c r="Y74" i="5"/>
  <c r="W63" i="5"/>
  <c r="X63" i="5"/>
  <c r="Y63" i="5"/>
  <c r="W75" i="5"/>
  <c r="X75" i="5"/>
  <c r="Y75" i="5"/>
  <c r="W69" i="5"/>
  <c r="X69" i="5"/>
  <c r="Y69" i="5"/>
  <c r="W58" i="5"/>
  <c r="X58" i="5"/>
  <c r="Y58" i="5"/>
  <c r="W65" i="5"/>
  <c r="X65" i="5"/>
  <c r="Y65" i="5"/>
  <c r="W67" i="5"/>
  <c r="X67" i="5"/>
  <c r="Y67" i="5"/>
  <c r="W68" i="5"/>
  <c r="X68" i="5"/>
  <c r="Y68" i="5"/>
  <c r="B19" i="18"/>
  <c r="B31" i="18"/>
  <c r="B34" i="18"/>
  <c r="W576" i="4"/>
  <c r="W577" i="4"/>
  <c r="W7" i="4"/>
  <c r="W9" i="4"/>
  <c r="X9" i="4"/>
  <c r="Y9" i="4"/>
  <c r="W10" i="4"/>
  <c r="W11" i="4"/>
  <c r="W12" i="4"/>
  <c r="W13" i="4"/>
  <c r="W14" i="4"/>
  <c r="W15" i="4"/>
  <c r="W16" i="4"/>
  <c r="W17" i="4"/>
  <c r="W18" i="4"/>
  <c r="W19" i="4"/>
  <c r="W20" i="4"/>
  <c r="W21" i="4"/>
  <c r="W22" i="4"/>
  <c r="W23" i="4"/>
  <c r="W24" i="4"/>
  <c r="W25" i="4"/>
  <c r="W26" i="4"/>
  <c r="W27" i="4"/>
  <c r="W28" i="4"/>
  <c r="W29" i="4"/>
  <c r="W30" i="4"/>
  <c r="W31" i="4"/>
  <c r="W32" i="4"/>
  <c r="W33" i="4"/>
  <c r="W34" i="4"/>
  <c r="W35" i="4"/>
  <c r="W36" i="4"/>
  <c r="W37" i="4"/>
  <c r="W38" i="4"/>
  <c r="W39" i="4"/>
  <c r="W40" i="4"/>
  <c r="W41" i="4"/>
  <c r="W42" i="4"/>
  <c r="W43" i="4"/>
  <c r="W44" i="4"/>
  <c r="W45" i="4"/>
  <c r="W46" i="4"/>
  <c r="W47" i="4"/>
  <c r="W48" i="4"/>
  <c r="W49" i="4"/>
  <c r="W50" i="4"/>
  <c r="W51" i="4"/>
  <c r="W52" i="4"/>
  <c r="W53" i="4"/>
  <c r="W54" i="4"/>
  <c r="W55" i="4"/>
  <c r="W56" i="4"/>
  <c r="W57" i="4"/>
  <c r="W58" i="4"/>
  <c r="W59" i="4"/>
  <c r="W60" i="4"/>
  <c r="W61" i="4"/>
  <c r="W62" i="4"/>
  <c r="W63" i="4"/>
  <c r="W64" i="4"/>
  <c r="W65" i="4"/>
  <c r="W66" i="4"/>
  <c r="W67" i="4"/>
  <c r="W68" i="4"/>
  <c r="W69" i="4"/>
  <c r="W70" i="4"/>
  <c r="W71" i="4"/>
  <c r="W72" i="4"/>
  <c r="W73" i="4"/>
  <c r="W74" i="4"/>
  <c r="W75" i="4"/>
  <c r="W76" i="4"/>
  <c r="W77" i="4"/>
  <c r="W78" i="4"/>
  <c r="W79" i="4"/>
  <c r="W80" i="4"/>
  <c r="W81" i="4"/>
  <c r="W82" i="4"/>
  <c r="W83" i="4"/>
  <c r="W84" i="4"/>
  <c r="W85" i="4"/>
  <c r="W86" i="4"/>
  <c r="W87" i="4"/>
  <c r="W88" i="4"/>
  <c r="W89" i="4"/>
  <c r="W90" i="4"/>
  <c r="W91" i="4"/>
  <c r="W92" i="4"/>
  <c r="W93" i="4"/>
  <c r="W94" i="4"/>
  <c r="W95" i="4"/>
  <c r="W96" i="4"/>
  <c r="W97" i="4"/>
  <c r="W98" i="4"/>
  <c r="W99" i="4"/>
  <c r="W100" i="4"/>
  <c r="W101" i="4"/>
  <c r="W102" i="4"/>
  <c r="W103" i="4"/>
  <c r="W104" i="4"/>
  <c r="W105" i="4"/>
  <c r="W106" i="4"/>
  <c r="W107" i="4"/>
  <c r="W108" i="4"/>
  <c r="W109" i="4"/>
  <c r="W110" i="4"/>
  <c r="W111" i="4"/>
  <c r="W112" i="4"/>
  <c r="W113" i="4"/>
  <c r="W114" i="4"/>
  <c r="W115" i="4"/>
  <c r="W116" i="4"/>
  <c r="W117" i="4"/>
  <c r="W118" i="4"/>
  <c r="W119" i="4"/>
  <c r="W120" i="4"/>
  <c r="W121" i="4"/>
  <c r="W122" i="4"/>
  <c r="W123" i="4"/>
  <c r="W124" i="4"/>
  <c r="W125" i="4"/>
  <c r="W126" i="4"/>
  <c r="W127" i="4"/>
  <c r="W128" i="4"/>
  <c r="W129" i="4"/>
  <c r="W130" i="4"/>
  <c r="W131" i="4"/>
  <c r="W132" i="4"/>
  <c r="W133" i="4"/>
  <c r="W134" i="4"/>
  <c r="W135" i="4"/>
  <c r="W136" i="4"/>
  <c r="W137" i="4"/>
  <c r="W138" i="4"/>
  <c r="W139" i="4"/>
  <c r="W140" i="4"/>
  <c r="W141" i="4"/>
  <c r="W142" i="4"/>
  <c r="W143" i="4"/>
  <c r="W144" i="4"/>
  <c r="W145" i="4"/>
  <c r="W146" i="4"/>
  <c r="W147" i="4"/>
  <c r="W148" i="4"/>
  <c r="W149" i="4"/>
  <c r="W150" i="4"/>
  <c r="W151" i="4"/>
  <c r="W152" i="4"/>
  <c r="W153" i="4"/>
  <c r="W154" i="4"/>
  <c r="W155" i="4"/>
  <c r="W156" i="4"/>
  <c r="W157" i="4"/>
  <c r="W158" i="4"/>
  <c r="W159" i="4"/>
  <c r="W160" i="4"/>
  <c r="W161" i="4"/>
  <c r="W162" i="4"/>
  <c r="W163" i="4"/>
  <c r="W164" i="4"/>
  <c r="W165" i="4"/>
  <c r="W166" i="4"/>
  <c r="W167" i="4"/>
  <c r="W168" i="4"/>
  <c r="W169" i="4"/>
  <c r="W170" i="4"/>
  <c r="W171" i="4"/>
  <c r="W172" i="4"/>
  <c r="W173" i="4"/>
  <c r="W174" i="4"/>
  <c r="W175" i="4"/>
  <c r="W176" i="4"/>
  <c r="W177" i="4"/>
  <c r="W178" i="4"/>
  <c r="W179" i="4"/>
  <c r="W180" i="4"/>
  <c r="W181" i="4"/>
  <c r="W182" i="4"/>
  <c r="W183" i="4"/>
  <c r="W184" i="4"/>
  <c r="W185" i="4"/>
  <c r="W186" i="4"/>
  <c r="W187" i="4"/>
  <c r="W188" i="4"/>
  <c r="W189" i="4"/>
  <c r="W190" i="4"/>
  <c r="W191" i="4"/>
  <c r="W192" i="4"/>
  <c r="W193" i="4"/>
  <c r="W194" i="4"/>
  <c r="W195" i="4"/>
  <c r="W196" i="4"/>
  <c r="W197" i="4"/>
  <c r="W198" i="4"/>
  <c r="W199" i="4"/>
  <c r="W200" i="4"/>
  <c r="W201" i="4"/>
  <c r="W202" i="4"/>
  <c r="W203" i="4"/>
  <c r="W204" i="4"/>
  <c r="W205" i="4"/>
  <c r="W206" i="4"/>
  <c r="W207" i="4"/>
  <c r="W208" i="4"/>
  <c r="W209" i="4"/>
  <c r="W210" i="4"/>
  <c r="W211" i="4"/>
  <c r="W212" i="4"/>
  <c r="W213" i="4"/>
  <c r="W214" i="4"/>
  <c r="W215" i="4"/>
  <c r="W216" i="4"/>
  <c r="W217" i="4"/>
  <c r="W218" i="4"/>
  <c r="W219" i="4"/>
  <c r="W220" i="4"/>
  <c r="W221" i="4"/>
  <c r="W222" i="4"/>
  <c r="W223" i="4"/>
  <c r="W224" i="4"/>
  <c r="W225" i="4"/>
  <c r="W226" i="4"/>
  <c r="W227" i="4"/>
  <c r="W228" i="4"/>
  <c r="W229" i="4"/>
  <c r="W230" i="4"/>
  <c r="W231" i="4"/>
  <c r="W232" i="4"/>
  <c r="W233" i="4"/>
  <c r="W234" i="4"/>
  <c r="W235" i="4"/>
  <c r="W236" i="4"/>
  <c r="W237" i="4"/>
  <c r="W238" i="4"/>
  <c r="W239" i="4"/>
  <c r="W240" i="4"/>
  <c r="W241" i="4"/>
  <c r="W242" i="4"/>
  <c r="W243" i="4"/>
  <c r="W244" i="4"/>
  <c r="W245" i="4"/>
  <c r="W246" i="4"/>
  <c r="W247" i="4"/>
  <c r="W248" i="4"/>
  <c r="W249" i="4"/>
  <c r="W250" i="4"/>
  <c r="W251" i="4"/>
  <c r="W252" i="4"/>
  <c r="W253" i="4"/>
  <c r="W254" i="4"/>
  <c r="W255" i="4"/>
  <c r="W256" i="4"/>
  <c r="W257" i="4"/>
  <c r="W258" i="4"/>
  <c r="W259" i="4"/>
  <c r="W260" i="4"/>
  <c r="W261" i="4"/>
  <c r="W262" i="4"/>
  <c r="W263" i="4"/>
  <c r="W264" i="4"/>
  <c r="W265" i="4"/>
  <c r="W266" i="4"/>
  <c r="W267" i="4"/>
  <c r="W268" i="4"/>
  <c r="W269" i="4"/>
  <c r="W270" i="4"/>
  <c r="W271" i="4"/>
  <c r="W272" i="4"/>
  <c r="W273" i="4"/>
  <c r="W274" i="4"/>
  <c r="W275" i="4"/>
  <c r="W276" i="4"/>
  <c r="W277" i="4"/>
  <c r="W278" i="4"/>
  <c r="W279" i="4"/>
  <c r="W280" i="4"/>
  <c r="W281" i="4"/>
  <c r="W282" i="4"/>
  <c r="W283" i="4"/>
  <c r="W284" i="4"/>
  <c r="W285" i="4"/>
  <c r="W286" i="4"/>
  <c r="W287" i="4"/>
  <c r="W288" i="4"/>
  <c r="W289" i="4"/>
  <c r="W290" i="4"/>
  <c r="W291" i="4"/>
  <c r="W292" i="4"/>
  <c r="W293" i="4"/>
  <c r="W294" i="4"/>
  <c r="W295" i="4"/>
  <c r="W296" i="4"/>
  <c r="W297" i="4"/>
  <c r="W298" i="4"/>
  <c r="W299" i="4"/>
  <c r="W300" i="4"/>
  <c r="W301" i="4"/>
  <c r="W302" i="4"/>
  <c r="W303" i="4"/>
  <c r="W304" i="4"/>
  <c r="W305" i="4"/>
  <c r="W306" i="4"/>
  <c r="W307" i="4"/>
  <c r="W308" i="4"/>
  <c r="W309" i="4"/>
  <c r="W310" i="4"/>
  <c r="W311" i="4"/>
  <c r="W312" i="4"/>
  <c r="W313" i="4"/>
  <c r="W314" i="4"/>
  <c r="W315" i="4"/>
  <c r="W316" i="4"/>
  <c r="W317" i="4"/>
  <c r="W318" i="4"/>
  <c r="W319" i="4"/>
  <c r="W320" i="4"/>
  <c r="W321" i="4"/>
  <c r="W322" i="4"/>
  <c r="W323" i="4"/>
  <c r="W324" i="4"/>
  <c r="W325" i="4"/>
  <c r="W326" i="4"/>
  <c r="W327" i="4"/>
  <c r="W328" i="4"/>
  <c r="W329" i="4"/>
  <c r="W330" i="4"/>
  <c r="W331" i="4"/>
  <c r="W332" i="4"/>
  <c r="W333" i="4"/>
  <c r="W334" i="4"/>
  <c r="W335" i="4"/>
  <c r="W336" i="4"/>
  <c r="W337" i="4"/>
  <c r="W338" i="4"/>
  <c r="W339" i="4"/>
  <c r="W340" i="4"/>
  <c r="W341" i="4"/>
  <c r="W342" i="4"/>
  <c r="W343" i="4"/>
  <c r="W344" i="4"/>
  <c r="W345" i="4"/>
  <c r="W346" i="4"/>
  <c r="W347" i="4"/>
  <c r="W348" i="4"/>
  <c r="W349" i="4"/>
  <c r="W350" i="4"/>
  <c r="W351" i="4"/>
  <c r="W352" i="4"/>
  <c r="W353" i="4"/>
  <c r="W354" i="4"/>
  <c r="W355" i="4"/>
  <c r="W356" i="4"/>
  <c r="W357" i="4"/>
  <c r="W358" i="4"/>
  <c r="W359" i="4"/>
  <c r="W360" i="4"/>
  <c r="W361" i="4"/>
  <c r="W362" i="4"/>
  <c r="W363" i="4"/>
  <c r="W364" i="4"/>
  <c r="W365" i="4"/>
  <c r="W366" i="4"/>
  <c r="W367" i="4"/>
  <c r="W368" i="4"/>
  <c r="W369" i="4"/>
  <c r="W370" i="4"/>
  <c r="W371" i="4"/>
  <c r="W372" i="4"/>
  <c r="W373" i="4"/>
  <c r="W374" i="4"/>
  <c r="W375" i="4"/>
  <c r="W376" i="4"/>
  <c r="W377" i="4"/>
  <c r="W378" i="4"/>
  <c r="W379" i="4"/>
  <c r="W380" i="4"/>
  <c r="W381" i="4"/>
  <c r="W382" i="4"/>
  <c r="W383" i="4"/>
  <c r="W384" i="4"/>
  <c r="W385" i="4"/>
  <c r="W386" i="4"/>
  <c r="W387" i="4"/>
  <c r="W388" i="4"/>
  <c r="W389" i="4"/>
  <c r="W390" i="4"/>
  <c r="W391" i="4"/>
  <c r="W392" i="4"/>
  <c r="W393" i="4"/>
  <c r="W394" i="4"/>
  <c r="W395" i="4"/>
  <c r="W396" i="4"/>
  <c r="W397" i="4"/>
  <c r="W398" i="4"/>
  <c r="W399" i="4"/>
  <c r="W400" i="4"/>
  <c r="W401" i="4"/>
  <c r="W402" i="4"/>
  <c r="W403" i="4"/>
  <c r="W404" i="4"/>
  <c r="W405" i="4"/>
  <c r="W406" i="4"/>
  <c r="W407" i="4"/>
  <c r="W408" i="4"/>
  <c r="W409" i="4"/>
  <c r="W410" i="4"/>
  <c r="W411" i="4"/>
  <c r="W412" i="4"/>
  <c r="W413" i="4"/>
  <c r="W414" i="4"/>
  <c r="W415" i="4"/>
  <c r="W416" i="4"/>
  <c r="W417" i="4"/>
  <c r="W418" i="4"/>
  <c r="W422" i="4"/>
  <c r="W423" i="4"/>
  <c r="W424" i="4"/>
  <c r="W425" i="4"/>
  <c r="W426" i="4"/>
  <c r="W427" i="4"/>
  <c r="W428" i="4"/>
  <c r="W429" i="4"/>
  <c r="W430" i="4"/>
  <c r="W431" i="4"/>
  <c r="W432" i="4"/>
  <c r="W433" i="4"/>
  <c r="W434" i="4"/>
  <c r="W435" i="4"/>
  <c r="W436" i="4"/>
  <c r="W438" i="4"/>
  <c r="W439" i="4"/>
  <c r="W440" i="4"/>
  <c r="W441" i="4"/>
  <c r="W442" i="4"/>
  <c r="W443" i="4"/>
  <c r="W444" i="4"/>
  <c r="W445" i="4"/>
  <c r="W446" i="4"/>
  <c r="W447" i="4"/>
  <c r="W448" i="4"/>
  <c r="W450" i="4"/>
  <c r="W451" i="4"/>
  <c r="W452" i="4"/>
  <c r="W453" i="4"/>
  <c r="W454" i="4"/>
  <c r="W455" i="4"/>
  <c r="W456" i="4"/>
  <c r="W457" i="4"/>
  <c r="W458" i="4"/>
  <c r="W459" i="4"/>
  <c r="W460" i="4"/>
  <c r="W461" i="4"/>
  <c r="W462" i="4"/>
  <c r="W463" i="4"/>
  <c r="W464" i="4"/>
  <c r="W465" i="4"/>
  <c r="W466" i="4"/>
  <c r="W467" i="4"/>
  <c r="W468" i="4"/>
  <c r="W469" i="4"/>
  <c r="W470" i="4"/>
  <c r="W471" i="4"/>
  <c r="W472" i="4"/>
  <c r="W473" i="4"/>
  <c r="W474" i="4"/>
  <c r="W475" i="4"/>
  <c r="W476" i="4"/>
  <c r="W477" i="4"/>
  <c r="W478" i="4"/>
  <c r="W479" i="4"/>
  <c r="W480" i="4"/>
  <c r="W481" i="4"/>
  <c r="W482" i="4"/>
  <c r="W483" i="4"/>
  <c r="W484" i="4"/>
  <c r="W485" i="4"/>
  <c r="W486" i="4"/>
  <c r="W487" i="4"/>
  <c r="W488" i="4"/>
  <c r="W489" i="4"/>
  <c r="W490" i="4"/>
  <c r="W491" i="4"/>
  <c r="W492" i="4"/>
  <c r="W493" i="4"/>
  <c r="W494" i="4"/>
  <c r="W495" i="4"/>
  <c r="W497" i="4"/>
  <c r="W498" i="4"/>
  <c r="W499" i="4"/>
  <c r="W501" i="4"/>
  <c r="W502" i="4"/>
  <c r="W503" i="4"/>
  <c r="W505" i="4"/>
  <c r="W506" i="4"/>
  <c r="W507" i="4"/>
  <c r="W508" i="4"/>
  <c r="W509" i="4"/>
  <c r="W510" i="4"/>
  <c r="W511" i="4"/>
  <c r="W512" i="4"/>
  <c r="W513" i="4"/>
  <c r="W514" i="4"/>
  <c r="W515" i="4"/>
  <c r="W516" i="4"/>
  <c r="W518" i="4"/>
  <c r="W519" i="4"/>
  <c r="W520" i="4"/>
  <c r="W523" i="4"/>
  <c r="W524" i="4"/>
  <c r="W525" i="4"/>
  <c r="W526" i="4"/>
  <c r="W527" i="4"/>
  <c r="W528" i="4"/>
  <c r="W529" i="4"/>
  <c r="W530" i="4"/>
  <c r="W531" i="4"/>
  <c r="W532" i="4"/>
  <c r="W534" i="4"/>
  <c r="W535" i="4"/>
  <c r="W539" i="4"/>
  <c r="W540" i="4"/>
  <c r="W541" i="4"/>
  <c r="W542" i="4"/>
  <c r="W543" i="4"/>
  <c r="W544" i="4"/>
  <c r="W545" i="4"/>
  <c r="W546" i="4"/>
  <c r="W547" i="4"/>
  <c r="W548" i="4"/>
  <c r="W549" i="4"/>
  <c r="W550" i="4"/>
  <c r="W551" i="4"/>
  <c r="W552" i="4"/>
  <c r="W553" i="4"/>
  <c r="W554" i="4"/>
  <c r="W555" i="4"/>
  <c r="W556" i="4"/>
  <c r="W557" i="4"/>
  <c r="W558" i="4"/>
  <c r="W559" i="4"/>
  <c r="W560" i="4"/>
  <c r="W562" i="4"/>
  <c r="W563" i="4"/>
  <c r="W564" i="4"/>
  <c r="W565" i="4"/>
  <c r="W566" i="4"/>
  <c r="W567" i="4"/>
  <c r="W568" i="4"/>
  <c r="W569" i="4"/>
  <c r="W570" i="4"/>
  <c r="W7" i="5"/>
  <c r="W9" i="5"/>
  <c r="X9" i="5"/>
  <c r="Y9" i="5"/>
  <c r="W10" i="5"/>
  <c r="W11" i="5"/>
  <c r="W12" i="5"/>
  <c r="W13" i="5"/>
  <c r="W14" i="5"/>
  <c r="W15" i="5"/>
  <c r="W16" i="5"/>
  <c r="W17" i="5"/>
  <c r="W18" i="5"/>
  <c r="W19" i="5"/>
  <c r="W20" i="5"/>
  <c r="W21" i="5"/>
  <c r="W22" i="5"/>
  <c r="W23" i="5"/>
  <c r="W24" i="5"/>
  <c r="W25" i="5"/>
  <c r="W26" i="5"/>
  <c r="W27" i="5"/>
  <c r="W28" i="5"/>
  <c r="W29" i="5"/>
  <c r="W30" i="5"/>
  <c r="W31" i="5"/>
  <c r="W32" i="5"/>
  <c r="W33" i="5"/>
  <c r="W34" i="5"/>
  <c r="W35" i="5"/>
  <c r="W36" i="5"/>
  <c r="W37" i="5"/>
  <c r="W38" i="5"/>
  <c r="W39" i="5"/>
  <c r="W40" i="5"/>
  <c r="W41" i="5"/>
  <c r="W42" i="5"/>
  <c r="W43" i="5"/>
  <c r="W44" i="5"/>
  <c r="W45" i="5"/>
  <c r="W46" i="5"/>
  <c r="W47" i="5"/>
  <c r="W48" i="5"/>
  <c r="W49" i="5"/>
  <c r="W50" i="5"/>
  <c r="W51" i="5"/>
  <c r="W52" i="5"/>
  <c r="W56" i="5"/>
  <c r="W57" i="5"/>
  <c r="W60" i="5"/>
  <c r="W62" i="5"/>
  <c r="W64" i="5"/>
  <c r="W66" i="5"/>
  <c r="W70" i="5"/>
  <c r="W71" i="5"/>
  <c r="W73" i="5"/>
  <c r="W77" i="5"/>
  <c r="W79" i="5"/>
  <c r="W80" i="5"/>
  <c r="X223" i="4"/>
  <c r="Y223" i="4"/>
  <c r="X374" i="4"/>
  <c r="Y374" i="4"/>
  <c r="X515" i="4"/>
  <c r="Y515" i="4"/>
  <c r="X431" i="4"/>
  <c r="Y431" i="4"/>
  <c r="X373" i="4"/>
  <c r="Y373" i="4"/>
  <c r="X553" i="4"/>
  <c r="Y553" i="4"/>
  <c r="X397" i="4"/>
  <c r="Y397" i="4"/>
  <c r="X304" i="4"/>
  <c r="Y304" i="4"/>
  <c r="X501" i="4"/>
  <c r="Y501" i="4"/>
  <c r="X69" i="4"/>
  <c r="Y69" i="4"/>
  <c r="X365" i="4"/>
  <c r="Y365" i="4"/>
  <c r="X319" i="4"/>
  <c r="Y319" i="4"/>
  <c r="X113" i="4"/>
  <c r="Y113" i="4"/>
  <c r="X381" i="4"/>
  <c r="Y381" i="4"/>
  <c r="X417" i="4"/>
  <c r="Y417" i="4"/>
  <c r="X227" i="4"/>
  <c r="Y227" i="4"/>
  <c r="X562" i="4"/>
  <c r="Y562" i="4"/>
  <c r="X19" i="4"/>
  <c r="Y19" i="4"/>
  <c r="X58" i="4"/>
  <c r="Y58" i="4"/>
  <c r="X152" i="4"/>
  <c r="Y152" i="4"/>
  <c r="X386" i="4"/>
  <c r="Y386" i="4"/>
  <c r="X488" i="4"/>
  <c r="Y488" i="4"/>
  <c r="X55" i="4"/>
  <c r="Y55" i="4"/>
  <c r="X226" i="4"/>
  <c r="Y226" i="4"/>
  <c r="X542" i="4"/>
  <c r="Y542" i="4"/>
  <c r="X340" i="4"/>
  <c r="Y340" i="4"/>
  <c r="X309" i="4"/>
  <c r="Y309" i="4"/>
  <c r="X357" i="4"/>
  <c r="Y357" i="4"/>
  <c r="X62" i="4"/>
  <c r="Y62" i="4"/>
  <c r="X401" i="4"/>
  <c r="Y401" i="4"/>
  <c r="X307" i="4"/>
  <c r="Y307" i="4"/>
  <c r="X238" i="4"/>
  <c r="Y238" i="4"/>
  <c r="X479" i="4"/>
  <c r="Y479" i="4"/>
  <c r="X509" i="4"/>
  <c r="Y509" i="4"/>
  <c r="X190" i="4"/>
  <c r="Y190" i="4"/>
  <c r="X212" i="4"/>
  <c r="Y212" i="4"/>
  <c r="X315" i="4"/>
  <c r="Y315" i="4"/>
  <c r="X178" i="4"/>
  <c r="Y178" i="4"/>
  <c r="X39" i="4"/>
  <c r="Y39" i="4"/>
  <c r="X215" i="4"/>
  <c r="Y215" i="4"/>
  <c r="X257" i="4"/>
  <c r="Y257" i="4"/>
  <c r="X49" i="4"/>
  <c r="Y49" i="4"/>
  <c r="X73" i="4"/>
  <c r="Y73" i="4"/>
  <c r="X353" i="4"/>
  <c r="Y353" i="4"/>
  <c r="X400" i="4"/>
  <c r="Y400" i="4"/>
  <c r="X138" i="4"/>
  <c r="Y138" i="4"/>
  <c r="X382" i="4"/>
  <c r="Y382" i="4"/>
  <c r="X477" i="4"/>
  <c r="Y477" i="4"/>
  <c r="X452" i="4"/>
  <c r="Y452" i="4"/>
  <c r="X167" i="4"/>
  <c r="Y167" i="4"/>
  <c r="X211" i="4"/>
  <c r="Y211" i="4"/>
  <c r="X67" i="4"/>
  <c r="Y67" i="4"/>
  <c r="X303" i="4"/>
  <c r="Y303" i="4"/>
  <c r="X246" i="4"/>
  <c r="Y246" i="4"/>
  <c r="X545" i="4"/>
  <c r="Y545" i="4"/>
  <c r="X176" i="4"/>
  <c r="Y176" i="4"/>
  <c r="X409" i="4"/>
  <c r="Y409" i="4"/>
  <c r="X87" i="4"/>
  <c r="Y87" i="4"/>
  <c r="X195" i="4"/>
  <c r="Y195" i="4"/>
  <c r="X367" i="4"/>
  <c r="Y367" i="4"/>
  <c r="X398" i="4"/>
  <c r="Y398" i="4"/>
  <c r="X485" i="4"/>
  <c r="Y485" i="4"/>
  <c r="X137" i="4"/>
  <c r="Y137" i="4"/>
  <c r="X243" i="4"/>
  <c r="Y243" i="4"/>
  <c r="X101" i="4"/>
  <c r="Y101" i="4"/>
  <c r="X503" i="4"/>
  <c r="Y503" i="4"/>
  <c r="X185" i="4"/>
  <c r="Y185" i="4"/>
  <c r="X341" i="4"/>
  <c r="Y341" i="4"/>
  <c r="X486" i="4"/>
  <c r="Y486" i="4"/>
  <c r="X276" i="4"/>
  <c r="Y276" i="4"/>
  <c r="X318" i="4"/>
  <c r="Y318" i="4"/>
  <c r="X70" i="4"/>
  <c r="Y70" i="4"/>
  <c r="X376" i="4"/>
  <c r="Y376" i="4"/>
  <c r="X432" i="4"/>
  <c r="Y432" i="4"/>
  <c r="X264" i="4"/>
  <c r="Y264" i="4"/>
  <c r="X564" i="4"/>
  <c r="Y564" i="4"/>
  <c r="X171" i="4"/>
  <c r="Y171" i="4"/>
  <c r="X50" i="4"/>
  <c r="Y50" i="4"/>
  <c r="X88" i="4"/>
  <c r="Y88" i="4"/>
  <c r="X172" i="4"/>
  <c r="Y172" i="4"/>
  <c r="X298" i="4"/>
  <c r="Y298" i="4"/>
  <c r="X216" i="4"/>
  <c r="Y216" i="4"/>
  <c r="X566" i="4"/>
  <c r="Y566" i="4"/>
  <c r="X80" i="4"/>
  <c r="Y80" i="4"/>
  <c r="X116" i="4"/>
  <c r="Y116" i="4"/>
  <c r="X214" i="4"/>
  <c r="Y214" i="4"/>
  <c r="X334" i="4"/>
  <c r="Y334" i="4"/>
  <c r="X108" i="4"/>
  <c r="Y108" i="4"/>
  <c r="X147" i="4"/>
  <c r="Y147" i="4"/>
  <c r="X233" i="4"/>
  <c r="Y233" i="4"/>
  <c r="X338" i="4"/>
  <c r="Y338" i="4"/>
  <c r="X148" i="4"/>
  <c r="Y148" i="4"/>
  <c r="X565" i="4"/>
  <c r="Y565" i="4"/>
  <c r="X117" i="4"/>
  <c r="Y117" i="4"/>
  <c r="X346" i="4"/>
  <c r="Y346" i="4"/>
  <c r="X109" i="4"/>
  <c r="Y109" i="4"/>
  <c r="X326" i="4"/>
  <c r="Y326" i="4"/>
  <c r="X287" i="4"/>
  <c r="Y287" i="4"/>
  <c r="X295" i="4"/>
  <c r="Y295" i="4"/>
  <c r="X189" i="4"/>
  <c r="Y189" i="4"/>
  <c r="X389" i="4"/>
  <c r="Y389" i="4"/>
  <c r="X388" i="4"/>
  <c r="Y388" i="4"/>
  <c r="X191" i="4"/>
  <c r="Y191" i="4"/>
  <c r="X29" i="4"/>
  <c r="Y29" i="4"/>
  <c r="X255" i="4"/>
  <c r="Y255" i="4"/>
  <c r="X453" i="4"/>
  <c r="Y453" i="4"/>
  <c r="X230" i="4"/>
  <c r="Y230" i="4"/>
  <c r="X175" i="4"/>
  <c r="Y175" i="4"/>
  <c r="X146" i="4"/>
  <c r="Y146" i="4"/>
  <c r="X560" i="4"/>
  <c r="Y560" i="4"/>
  <c r="X61" i="4"/>
  <c r="Y61" i="4"/>
  <c r="X149" i="4"/>
  <c r="Y149" i="4"/>
  <c r="X531" i="4"/>
  <c r="Y531" i="4"/>
  <c r="X20" i="4"/>
  <c r="Y20" i="4"/>
  <c r="X377" i="4"/>
  <c r="Y377" i="4"/>
  <c r="X478" i="4"/>
  <c r="Y478" i="4"/>
  <c r="X84" i="4"/>
  <c r="Y84" i="4"/>
  <c r="X291" i="4"/>
  <c r="Y291" i="4"/>
  <c r="X26" i="4"/>
  <c r="Y26" i="4"/>
  <c r="X442" i="4"/>
  <c r="Y442" i="4"/>
  <c r="X12" i="4"/>
  <c r="Y12" i="4"/>
  <c r="X463" i="4"/>
  <c r="Y463" i="4"/>
  <c r="X79" i="4"/>
  <c r="Y79" i="4"/>
  <c r="X204" i="4"/>
  <c r="Y204" i="4"/>
  <c r="X525" i="4"/>
  <c r="Y525" i="4"/>
  <c r="X72" i="4"/>
  <c r="Y72" i="4"/>
  <c r="X241" i="4"/>
  <c r="Y241" i="4"/>
  <c r="X347" i="4"/>
  <c r="Y347" i="4"/>
  <c r="X153" i="4"/>
  <c r="Y153" i="4"/>
  <c r="X516" i="4"/>
  <c r="Y516" i="4"/>
  <c r="X76" i="4"/>
  <c r="Y76" i="4"/>
  <c r="X24" i="4"/>
  <c r="Y24" i="4"/>
  <c r="X28" i="4"/>
  <c r="Y28" i="4"/>
  <c r="X229" i="4"/>
  <c r="Y229" i="4"/>
  <c r="X48" i="4"/>
  <c r="Y48" i="4"/>
  <c r="X335" i="4"/>
  <c r="Y335" i="4"/>
  <c r="X33" i="4"/>
  <c r="Y33" i="4"/>
  <c r="X128" i="4"/>
  <c r="Y128" i="4"/>
  <c r="X75" i="4"/>
  <c r="Y75" i="4"/>
  <c r="X302" i="4"/>
  <c r="Y302" i="4"/>
  <c r="X296" i="4"/>
  <c r="Y296" i="4"/>
  <c r="X103" i="4"/>
  <c r="Y103" i="4"/>
  <c r="X368" i="4"/>
  <c r="Y368" i="4"/>
  <c r="X244" i="4"/>
  <c r="Y244" i="4"/>
  <c r="X435" i="4"/>
  <c r="Y435" i="4"/>
  <c r="X234" i="4"/>
  <c r="Y234" i="4"/>
  <c r="X440" i="4"/>
  <c r="Y440" i="4"/>
  <c r="X222" i="4"/>
  <c r="Y222" i="4"/>
  <c r="X263" i="4"/>
  <c r="Y263" i="4"/>
  <c r="X355" i="4"/>
  <c r="Y355" i="4"/>
  <c r="X339" i="4"/>
  <c r="Y339" i="4"/>
  <c r="X465" i="4"/>
  <c r="Y465" i="4"/>
  <c r="X305" i="4"/>
  <c r="Y305" i="4"/>
  <c r="X154" i="4"/>
  <c r="Y154" i="4"/>
  <c r="X433" i="4"/>
  <c r="Y433" i="4"/>
  <c r="X508" i="4"/>
  <c r="Y508" i="4"/>
  <c r="X415" i="4"/>
  <c r="Y415" i="4"/>
  <c r="X412" i="4"/>
  <c r="Y412" i="4"/>
  <c r="X239" i="4"/>
  <c r="Y239" i="4"/>
  <c r="X530" i="4"/>
  <c r="Y530" i="4"/>
  <c r="X11" i="4"/>
  <c r="Y11" i="4"/>
  <c r="X324" i="4"/>
  <c r="Y324" i="4"/>
  <c r="X170" i="4"/>
  <c r="Y170" i="4"/>
  <c r="X86" i="4"/>
  <c r="Y86" i="4"/>
  <c r="X180" i="4"/>
  <c r="Y180" i="4"/>
  <c r="X104" i="4"/>
  <c r="Y104" i="4"/>
  <c r="X281" i="4"/>
  <c r="Y281" i="4"/>
  <c r="X290" i="4"/>
  <c r="Y290" i="4"/>
  <c r="X293" i="4"/>
  <c r="Y293" i="4"/>
  <c r="X285" i="4"/>
  <c r="Y285" i="4"/>
  <c r="X193" i="4"/>
  <c r="Y193" i="4"/>
  <c r="X213" i="4"/>
  <c r="Y213" i="4"/>
  <c r="X236" i="4"/>
  <c r="Y236" i="4"/>
  <c r="X332" i="4"/>
  <c r="Y332" i="4"/>
  <c r="X310" i="4"/>
  <c r="Y310" i="4"/>
  <c r="X100" i="4"/>
  <c r="Y100" i="4"/>
  <c r="X297" i="4"/>
  <c r="Y297" i="4"/>
  <c r="X125" i="4"/>
  <c r="Y125" i="4"/>
  <c r="X219" i="4"/>
  <c r="Y219" i="4"/>
  <c r="X467" i="4"/>
  <c r="Y467" i="4"/>
  <c r="X474" i="4"/>
  <c r="Y474" i="4"/>
  <c r="X484" i="4"/>
  <c r="Y484" i="4"/>
  <c r="X36" i="4"/>
  <c r="Y36" i="4"/>
  <c r="X543" i="4"/>
  <c r="Y543" i="4"/>
  <c r="X74" i="4"/>
  <c r="Y74" i="4"/>
  <c r="X299" i="4"/>
  <c r="Y299" i="4"/>
  <c r="X493" i="4"/>
  <c r="Y493" i="4"/>
  <c r="X120" i="4"/>
  <c r="Y120" i="4"/>
  <c r="X328" i="4"/>
  <c r="Y328" i="4"/>
  <c r="X379" i="4"/>
  <c r="Y379" i="4"/>
  <c r="X518" i="4"/>
  <c r="Y518" i="4"/>
  <c r="X337" i="4"/>
  <c r="Y337" i="4"/>
  <c r="X102" i="4"/>
  <c r="Y102" i="4"/>
  <c r="X544" i="4"/>
  <c r="Y544" i="4"/>
  <c r="X366" i="4"/>
  <c r="Y366" i="4"/>
  <c r="X43" i="4"/>
  <c r="Y43" i="4"/>
  <c r="X124" i="4"/>
  <c r="Y124" i="4"/>
  <c r="X483" i="4"/>
  <c r="Y483" i="4"/>
  <c r="X375" i="4"/>
  <c r="Y375" i="4"/>
  <c r="X188" i="4"/>
  <c r="Y188" i="4"/>
  <c r="X203" i="4"/>
  <c r="Y203" i="4"/>
  <c r="X45" i="4"/>
  <c r="Y45" i="4"/>
  <c r="X133" i="4"/>
  <c r="Y133" i="4"/>
  <c r="X56" i="4"/>
  <c r="Y56" i="4"/>
  <c r="X395" i="4"/>
  <c r="Y395" i="4"/>
  <c r="X399" i="4"/>
  <c r="Y399" i="4"/>
  <c r="X414" i="4"/>
  <c r="Y414" i="4"/>
  <c r="X403" i="4"/>
  <c r="Y403" i="4"/>
  <c r="X404" i="4"/>
  <c r="Y404" i="4"/>
  <c r="X240" i="4"/>
  <c r="Y240" i="4"/>
  <c r="X456" i="4"/>
  <c r="Y456" i="4"/>
  <c r="X362" i="4"/>
  <c r="Y362" i="4"/>
  <c r="X280" i="4"/>
  <c r="Y280" i="4"/>
  <c r="X462" i="4"/>
  <c r="Y462" i="4"/>
  <c r="X47" i="4"/>
  <c r="Y47" i="4"/>
  <c r="X235" i="4"/>
  <c r="Y235" i="4"/>
  <c r="X350" i="4"/>
  <c r="Y350" i="4"/>
  <c r="X391" i="4"/>
  <c r="Y391" i="4"/>
  <c r="X406" i="4"/>
  <c r="Y406" i="4"/>
  <c r="X266" i="4"/>
  <c r="Y266" i="4"/>
  <c r="X115" i="4"/>
  <c r="Y115" i="4"/>
  <c r="X161" i="4"/>
  <c r="Y161" i="4"/>
  <c r="X439" i="4"/>
  <c r="Y439" i="4"/>
  <c r="X110" i="4"/>
  <c r="Y110" i="4"/>
  <c r="X251" i="4"/>
  <c r="Y251" i="4"/>
  <c r="X65" i="4"/>
  <c r="Y65" i="4"/>
  <c r="X134" i="4"/>
  <c r="Y134" i="4"/>
  <c r="X119" i="4"/>
  <c r="Y119" i="4"/>
  <c r="X327" i="4"/>
  <c r="Y327" i="4"/>
  <c r="X207" i="4"/>
  <c r="Y207" i="4"/>
  <c r="X487" i="4"/>
  <c r="Y487" i="4"/>
  <c r="X330" i="4"/>
  <c r="Y330" i="4"/>
  <c r="X311" i="4"/>
  <c r="Y311" i="4"/>
  <c r="X121" i="4"/>
  <c r="Y121" i="4"/>
  <c r="X556" i="4"/>
  <c r="Y556" i="4"/>
  <c r="X460" i="4"/>
  <c r="Y460" i="4"/>
  <c r="X202" i="4"/>
  <c r="Y202" i="4"/>
  <c r="X283" i="4"/>
  <c r="Y283" i="4"/>
  <c r="X196" i="4"/>
  <c r="Y196" i="4"/>
  <c r="X534" i="4"/>
  <c r="Y534" i="4"/>
  <c r="X425" i="4"/>
  <c r="Y425" i="4"/>
  <c r="X184" i="4"/>
  <c r="Y184" i="4"/>
  <c r="X469" i="4"/>
  <c r="Y469" i="4"/>
  <c r="X513" i="4"/>
  <c r="Y513" i="4"/>
  <c r="X342" i="4"/>
  <c r="Y342" i="4"/>
  <c r="X144" i="4"/>
  <c r="Y144" i="4"/>
  <c r="X162" i="4"/>
  <c r="Y162" i="4"/>
  <c r="X396" i="4"/>
  <c r="Y396" i="4"/>
  <c r="X252" i="4"/>
  <c r="Y252" i="4"/>
  <c r="X393" i="4"/>
  <c r="Y393" i="4"/>
  <c r="X237" i="4"/>
  <c r="Y237" i="4"/>
  <c r="X181" i="4"/>
  <c r="Y181" i="4"/>
  <c r="X491" i="4"/>
  <c r="Y491" i="4"/>
  <c r="X527" i="4"/>
  <c r="Y527" i="4"/>
  <c r="X96" i="4"/>
  <c r="Y96" i="4"/>
  <c r="X205" i="4"/>
  <c r="Y205" i="4"/>
  <c r="X410" i="4"/>
  <c r="Y410" i="4"/>
  <c r="X64" i="4"/>
  <c r="Y64" i="4"/>
  <c r="X13" i="4"/>
  <c r="Y13" i="4"/>
  <c r="X259" i="4"/>
  <c r="Y259" i="4"/>
  <c r="X430" i="4"/>
  <c r="Y430" i="4"/>
  <c r="X194" i="4"/>
  <c r="Y194" i="4"/>
  <c r="X166" i="4"/>
  <c r="Y166" i="4"/>
  <c r="X444" i="4"/>
  <c r="Y444" i="4"/>
  <c r="X418" i="4"/>
  <c r="Y418" i="4"/>
  <c r="X122" i="4"/>
  <c r="Y122" i="4"/>
  <c r="X308" i="4"/>
  <c r="Y308" i="4"/>
  <c r="X250" i="4"/>
  <c r="Y250" i="4"/>
  <c r="X265" i="4"/>
  <c r="Y265" i="4"/>
  <c r="X93" i="4"/>
  <c r="Y93" i="4"/>
  <c r="X267" i="4"/>
  <c r="Y267" i="4"/>
  <c r="X208" i="4"/>
  <c r="Y208" i="4"/>
  <c r="X370" i="4"/>
  <c r="Y370" i="4"/>
  <c r="X158" i="4"/>
  <c r="Y158" i="4"/>
  <c r="X42" i="4"/>
  <c r="Y42" i="4"/>
  <c r="X473" i="4"/>
  <c r="Y473" i="4"/>
  <c r="X27" i="4"/>
  <c r="Y27" i="4"/>
  <c r="X402" i="4"/>
  <c r="Y402" i="4"/>
  <c r="X331" i="4"/>
  <c r="Y331" i="4"/>
  <c r="X44" i="4"/>
  <c r="Y44" i="4"/>
  <c r="X81" i="4"/>
  <c r="Y81" i="4"/>
  <c r="X284" i="4"/>
  <c r="Y284" i="4"/>
  <c r="X475" i="4"/>
  <c r="Y475" i="4"/>
  <c r="X384" i="4"/>
  <c r="Y384" i="4"/>
  <c r="X187" i="4"/>
  <c r="Y187" i="4"/>
  <c r="X143" i="4"/>
  <c r="Y143" i="4"/>
  <c r="X416" i="4"/>
  <c r="Y416" i="4"/>
  <c r="X490" i="4"/>
  <c r="Y490" i="4"/>
  <c r="X271" i="4"/>
  <c r="Y271" i="4"/>
  <c r="X459" i="4"/>
  <c r="Y459" i="4"/>
  <c r="X294" i="4"/>
  <c r="Y294" i="4"/>
  <c r="X25" i="4"/>
  <c r="Y25" i="4"/>
  <c r="X457" i="4"/>
  <c r="Y457" i="4"/>
  <c r="X383" i="4"/>
  <c r="Y383" i="4"/>
  <c r="X112" i="4"/>
  <c r="Y112" i="4"/>
  <c r="X316" i="4"/>
  <c r="Y316" i="4"/>
  <c r="X343" i="4"/>
  <c r="Y343" i="4"/>
  <c r="X163" i="4"/>
  <c r="Y163" i="4"/>
  <c r="X520" i="4"/>
  <c r="Y520" i="4"/>
  <c r="X141" i="4"/>
  <c r="Y141" i="4"/>
  <c r="X570" i="4"/>
  <c r="Y570" i="4"/>
  <c r="X262" i="4"/>
  <c r="Y262" i="4"/>
  <c r="X505" i="4"/>
  <c r="Y505" i="4"/>
  <c r="X106" i="4"/>
  <c r="Y106" i="4"/>
  <c r="X107" i="4"/>
  <c r="Y107" i="4"/>
  <c r="X38" i="4"/>
  <c r="Y38" i="4"/>
  <c r="X14" i="4"/>
  <c r="Y14" i="4"/>
  <c r="X454" i="4"/>
  <c r="Y454" i="4"/>
  <c r="X77" i="4"/>
  <c r="Y77" i="4"/>
  <c r="X201" i="4"/>
  <c r="Y201" i="4"/>
  <c r="X228" i="4"/>
  <c r="Y228" i="4"/>
  <c r="X333" i="4"/>
  <c r="Y333" i="4"/>
  <c r="X145" i="4"/>
  <c r="Y145" i="4"/>
  <c r="X59" i="4"/>
  <c r="Y59" i="4"/>
  <c r="X390" i="4"/>
  <c r="Y390" i="4"/>
  <c r="X423" i="4"/>
  <c r="Y423" i="4"/>
  <c r="X514" i="4"/>
  <c r="Y514" i="4"/>
  <c r="X306" i="4"/>
  <c r="Y306" i="4"/>
  <c r="X168" i="4"/>
  <c r="Y168" i="4"/>
  <c r="X206" i="4"/>
  <c r="Y206" i="4"/>
  <c r="X526" i="4"/>
  <c r="Y526" i="4"/>
  <c r="X468" i="4"/>
  <c r="Y468" i="4"/>
  <c r="X429" i="4"/>
  <c r="Y429" i="4"/>
  <c r="X41" i="4"/>
  <c r="Y41" i="4"/>
  <c r="X155" i="4"/>
  <c r="Y155" i="4"/>
  <c r="X480" i="4"/>
  <c r="Y480" i="4"/>
  <c r="X173" i="4"/>
  <c r="Y173" i="4"/>
  <c r="X160" i="4"/>
  <c r="Y160" i="4"/>
  <c r="X282" i="4"/>
  <c r="Y282" i="4"/>
  <c r="X552" i="4"/>
  <c r="Y552" i="4"/>
  <c r="X82" i="4"/>
  <c r="Y82" i="4"/>
  <c r="X394" i="4"/>
  <c r="Y394" i="4"/>
  <c r="X547" i="4"/>
  <c r="Y547" i="4"/>
  <c r="X451" i="4"/>
  <c r="Y451" i="4"/>
  <c r="X198" i="4"/>
  <c r="Y198" i="4"/>
  <c r="X495" i="4"/>
  <c r="Y495" i="4"/>
  <c r="X35" i="4"/>
  <c r="Y35" i="4"/>
  <c r="X348" i="4"/>
  <c r="Y348" i="4"/>
  <c r="X361" i="4"/>
  <c r="Y361" i="4"/>
  <c r="X22" i="4"/>
  <c r="Y22" i="4"/>
  <c r="X369" i="4"/>
  <c r="Y369" i="4"/>
  <c r="X387" i="4"/>
  <c r="Y387" i="4"/>
  <c r="X270" i="4"/>
  <c r="Y270" i="4"/>
  <c r="X165" i="4"/>
  <c r="Y165" i="4"/>
  <c r="X60" i="4"/>
  <c r="Y60" i="4"/>
  <c r="X10" i="4"/>
  <c r="Y10" i="4"/>
  <c r="X378" i="4"/>
  <c r="Y378" i="4"/>
  <c r="X83" i="4"/>
  <c r="Y83" i="4"/>
  <c r="X183" i="4"/>
  <c r="Y183" i="4"/>
  <c r="X363" i="4"/>
  <c r="Y363" i="4"/>
  <c r="X434" i="4"/>
  <c r="Y434" i="4"/>
  <c r="X358" i="4"/>
  <c r="Y358" i="4"/>
  <c r="X532" i="4"/>
  <c r="Y532" i="4"/>
  <c r="X54" i="4"/>
  <c r="Y54" i="4"/>
  <c r="X232" i="4"/>
  <c r="Y232" i="4"/>
  <c r="X555" i="4"/>
  <c r="Y555" i="4"/>
  <c r="X18" i="4"/>
  <c r="Y18" i="4"/>
  <c r="X289" i="4"/>
  <c r="Y289" i="4"/>
  <c r="X242" i="4"/>
  <c r="Y242" i="4"/>
  <c r="X476" i="4"/>
  <c r="Y476" i="4"/>
  <c r="X470" i="4"/>
  <c r="Y470" i="4"/>
  <c r="X30" i="4"/>
  <c r="Y30" i="4"/>
  <c r="X441" i="4"/>
  <c r="Y441" i="4"/>
  <c r="X371" i="4"/>
  <c r="Y371" i="4"/>
  <c r="X151" i="4"/>
  <c r="Y151" i="4"/>
  <c r="X142" i="4"/>
  <c r="Y142" i="4"/>
  <c r="X313" i="4"/>
  <c r="Y313" i="4"/>
  <c r="X351" i="4"/>
  <c r="Y351" i="4"/>
  <c r="X489" i="4"/>
  <c r="Y489" i="4"/>
  <c r="X123" i="4"/>
  <c r="Y123" i="4"/>
  <c r="X150" i="4"/>
  <c r="Y150" i="4"/>
  <c r="X499" i="4"/>
  <c r="Y499" i="4"/>
  <c r="X217" i="4"/>
  <c r="Y217" i="4"/>
  <c r="X301" i="4"/>
  <c r="Y301" i="4"/>
  <c r="X344" i="4"/>
  <c r="Y344" i="4"/>
  <c r="X249" i="4"/>
  <c r="Y249" i="4"/>
  <c r="X268" i="4"/>
  <c r="Y268" i="4"/>
  <c r="X15" i="4"/>
  <c r="Y15" i="4"/>
  <c r="X372" i="4"/>
  <c r="Y372" i="4"/>
  <c r="X94" i="4"/>
  <c r="Y94" i="4"/>
  <c r="X312" i="4"/>
  <c r="Y312" i="4"/>
  <c r="X458" i="4"/>
  <c r="Y458" i="4"/>
  <c r="X364" i="4"/>
  <c r="Y364" i="4"/>
  <c r="X53" i="4"/>
  <c r="Y53" i="4"/>
  <c r="X256" i="4"/>
  <c r="Y256" i="4"/>
  <c r="X272" i="4"/>
  <c r="Y272" i="4"/>
  <c r="X426" i="4"/>
  <c r="Y426" i="4"/>
  <c r="X221" i="4"/>
  <c r="Y221" i="4"/>
  <c r="X182" i="4"/>
  <c r="Y182" i="4"/>
  <c r="X466" i="4"/>
  <c r="Y466" i="4"/>
  <c r="X507" i="4"/>
  <c r="Y507" i="4"/>
  <c r="X443" i="4"/>
  <c r="Y443" i="4"/>
  <c r="X140" i="4"/>
  <c r="Y140" i="4"/>
  <c r="X23" i="4"/>
  <c r="Y23" i="4"/>
  <c r="X17" i="4"/>
  <c r="Y17" i="4"/>
  <c r="X254" i="4"/>
  <c r="Y254" i="4"/>
  <c r="X559" i="4"/>
  <c r="Y559" i="4"/>
  <c r="X177" i="4"/>
  <c r="Y177" i="4"/>
  <c r="X132" i="4"/>
  <c r="Y132" i="4"/>
  <c r="X46" i="4"/>
  <c r="Y46" i="4"/>
  <c r="X541" i="4"/>
  <c r="Y541" i="4"/>
  <c r="X199" i="4"/>
  <c r="Y199" i="4"/>
  <c r="X90" i="4"/>
  <c r="Y90" i="4"/>
  <c r="X105" i="4"/>
  <c r="Y105" i="4"/>
  <c r="X448" i="4"/>
  <c r="Y448" i="4"/>
  <c r="X260" i="4"/>
  <c r="Y260" i="4"/>
  <c r="X248" i="4"/>
  <c r="Y248" i="4"/>
  <c r="X352" i="4"/>
  <c r="Y352" i="4"/>
  <c r="X428" i="4"/>
  <c r="Y428" i="4"/>
  <c r="X136" i="4"/>
  <c r="Y136" i="4"/>
  <c r="X130" i="4"/>
  <c r="Y130" i="4"/>
  <c r="X21" i="4"/>
  <c r="Y21" i="4"/>
  <c r="X220" i="4"/>
  <c r="Y220" i="4"/>
  <c r="X360" i="4"/>
  <c r="Y360" i="4"/>
  <c r="X548" i="4"/>
  <c r="Y548" i="4"/>
  <c r="X89" i="4"/>
  <c r="Y89" i="4"/>
  <c r="X385" i="4"/>
  <c r="Y385" i="4"/>
  <c r="X129" i="4"/>
  <c r="Y129" i="4"/>
  <c r="X231" i="4"/>
  <c r="Y231" i="4"/>
  <c r="X356" i="4"/>
  <c r="Y356" i="4"/>
  <c r="X359" i="4"/>
  <c r="Y359" i="4"/>
  <c r="X92" i="4"/>
  <c r="Y92" i="4"/>
  <c r="X71" i="4"/>
  <c r="Y71" i="4"/>
  <c r="X424" i="4"/>
  <c r="Y424" i="4"/>
  <c r="X261" i="4"/>
  <c r="Y261" i="4"/>
  <c r="X111" i="4"/>
  <c r="Y111" i="4"/>
  <c r="X174" i="4"/>
  <c r="Y174" i="4"/>
  <c r="X529" i="4"/>
  <c r="Y529" i="4"/>
  <c r="X413" i="4"/>
  <c r="Y413" i="4"/>
  <c r="X321" i="4"/>
  <c r="Y321" i="4"/>
  <c r="X114" i="4"/>
  <c r="Y114" i="4"/>
  <c r="X253" i="4"/>
  <c r="Y253" i="4"/>
  <c r="X455" i="4"/>
  <c r="Y455" i="4"/>
  <c r="X300" i="4"/>
  <c r="Y300" i="4"/>
  <c r="X210" i="4"/>
  <c r="Y210" i="4"/>
  <c r="X557" i="4"/>
  <c r="Y557" i="4"/>
  <c r="X380" i="4"/>
  <c r="Y380" i="4"/>
  <c r="X218" i="4"/>
  <c r="Y218" i="4"/>
  <c r="X569" i="4"/>
  <c r="Y569" i="4"/>
  <c r="X224" i="4"/>
  <c r="Y224" i="4"/>
  <c r="X78" i="4"/>
  <c r="Y78" i="4"/>
  <c r="X63" i="4"/>
  <c r="Y63" i="4"/>
  <c r="X91" i="4"/>
  <c r="Y91" i="4"/>
  <c r="X471" i="4"/>
  <c r="Y471" i="4"/>
  <c r="X323" i="4"/>
  <c r="Y323" i="4"/>
  <c r="X447" i="4"/>
  <c r="Y447" i="4"/>
  <c r="X66" i="4"/>
  <c r="Y66" i="4"/>
  <c r="X209" i="4"/>
  <c r="Y209" i="4"/>
  <c r="X247" i="4"/>
  <c r="Y247" i="4"/>
  <c r="X31" i="4"/>
  <c r="Y31" i="4"/>
  <c r="X277" i="4"/>
  <c r="Y277" i="4"/>
  <c r="X427" i="4"/>
  <c r="Y427" i="4"/>
  <c r="X40" i="4"/>
  <c r="Y40" i="4"/>
  <c r="X37" i="4"/>
  <c r="Y37" i="4"/>
  <c r="X57" i="4"/>
  <c r="Y57" i="4"/>
  <c r="X169" i="4"/>
  <c r="Y169" i="4"/>
  <c r="X16" i="4"/>
  <c r="Y16" i="4"/>
  <c r="X279" i="4"/>
  <c r="Y279" i="4"/>
  <c r="X436" i="4"/>
  <c r="Y436" i="4"/>
  <c r="X186" i="4"/>
  <c r="Y186" i="4"/>
  <c r="X97" i="4"/>
  <c r="Y97" i="4"/>
  <c r="X278" i="4"/>
  <c r="Y278" i="4"/>
  <c r="X407" i="4"/>
  <c r="Y407" i="4"/>
  <c r="X446" i="4"/>
  <c r="Y446" i="4"/>
  <c r="X329" i="4"/>
  <c r="Y329" i="4"/>
  <c r="X135" i="4"/>
  <c r="Y135" i="4"/>
  <c r="X568" i="4"/>
  <c r="Y568" i="4"/>
  <c r="X392" i="4"/>
  <c r="Y392" i="4"/>
  <c r="X118" i="4"/>
  <c r="Y118" i="4"/>
  <c r="X497" i="4"/>
  <c r="Y497" i="4"/>
  <c r="X320" i="4"/>
  <c r="Y320" i="4"/>
  <c r="X317" i="4"/>
  <c r="Y317" i="4"/>
  <c r="X99" i="4"/>
  <c r="Y99" i="4"/>
  <c r="X354" i="4"/>
  <c r="Y354" i="4"/>
  <c r="X445" i="4"/>
  <c r="Y445" i="4"/>
  <c r="X558" i="4"/>
  <c r="Y558" i="4"/>
  <c r="X549" i="4"/>
  <c r="Y549" i="4"/>
  <c r="X551" i="4"/>
  <c r="Y551" i="4"/>
  <c r="X139" i="4"/>
  <c r="Y139" i="4"/>
  <c r="X51" i="4"/>
  <c r="Y51" i="4"/>
  <c r="X127" i="4"/>
  <c r="Y127" i="4"/>
  <c r="X95" i="4"/>
  <c r="Y95" i="4"/>
  <c r="X269" i="4"/>
  <c r="Y269" i="4"/>
  <c r="X492" i="4"/>
  <c r="Y492" i="4"/>
  <c r="X345" i="4"/>
  <c r="Y345" i="4"/>
  <c r="X494" i="4"/>
  <c r="Y494" i="4"/>
  <c r="X275" i="4"/>
  <c r="Y275" i="4"/>
  <c r="X550" i="4"/>
  <c r="Y550" i="4"/>
  <c r="X336" i="4"/>
  <c r="Y336" i="4"/>
  <c r="X52" i="4"/>
  <c r="Y52" i="4"/>
  <c r="X464" i="4"/>
  <c r="Y464" i="4"/>
  <c r="X411" i="4"/>
  <c r="Y411" i="4"/>
  <c r="X286" i="4"/>
  <c r="Y286" i="4"/>
  <c r="X481" i="4"/>
  <c r="Y481" i="4"/>
  <c r="X528" i="4"/>
  <c r="Y528" i="4"/>
  <c r="X274" i="4"/>
  <c r="Y274" i="4"/>
  <c r="X314" i="4"/>
  <c r="Y314" i="4"/>
  <c r="X245" i="4"/>
  <c r="Y245" i="4"/>
  <c r="X288" i="4"/>
  <c r="Y288" i="4"/>
  <c r="X98" i="4"/>
  <c r="Y98" i="4"/>
  <c r="X322" i="4"/>
  <c r="Y322" i="4"/>
  <c r="X482" i="4"/>
  <c r="Y482" i="4"/>
  <c r="X225" i="4"/>
  <c r="Y225" i="4"/>
  <c r="X197" i="4"/>
  <c r="Y197" i="4"/>
  <c r="X200" i="4"/>
  <c r="Y200" i="4"/>
  <c r="X546" i="4"/>
  <c r="Y546" i="4"/>
  <c r="X461" i="4"/>
  <c r="Y461" i="4"/>
  <c r="X512" i="4"/>
  <c r="Y512" i="4"/>
  <c r="X273" i="4"/>
  <c r="Y273" i="4"/>
  <c r="X34" i="4"/>
  <c r="Y34" i="4"/>
  <c r="X85" i="4"/>
  <c r="Y85" i="4"/>
  <c r="X408" i="4"/>
  <c r="Y408" i="4"/>
  <c r="X325" i="4"/>
  <c r="Y325" i="4"/>
  <c r="X68" i="4"/>
  <c r="Y68" i="4"/>
  <c r="X258" i="4"/>
  <c r="Y258" i="4"/>
  <c r="X157" i="4"/>
  <c r="Y157" i="4"/>
  <c r="X511" i="4"/>
  <c r="Y511" i="4"/>
  <c r="X126" i="4"/>
  <c r="Y126" i="4"/>
  <c r="X510" i="4"/>
  <c r="Y510" i="4"/>
  <c r="X179" i="4"/>
  <c r="Y179" i="4"/>
  <c r="X405" i="4"/>
  <c r="Y405" i="4"/>
  <c r="X472" i="4"/>
  <c r="Y472" i="4"/>
  <c r="X192" i="4"/>
  <c r="Y192" i="4"/>
  <c r="X156" i="4"/>
  <c r="Y156" i="4"/>
  <c r="X159" i="4"/>
  <c r="Y159" i="4"/>
  <c r="X131" i="4"/>
  <c r="Y131" i="4"/>
  <c r="X567" i="4"/>
  <c r="Y567" i="4"/>
  <c r="X292" i="4"/>
  <c r="Y292" i="4"/>
  <c r="X554" i="4"/>
  <c r="Y554" i="4"/>
  <c r="X32" i="4"/>
  <c r="Y32" i="4"/>
  <c r="X164" i="4"/>
  <c r="Y164" i="4"/>
  <c r="X349" i="4"/>
  <c r="Y349" i="4"/>
  <c r="X25" i="5"/>
  <c r="Y25" i="5"/>
  <c r="X18" i="5"/>
  <c r="Y18" i="5"/>
  <c r="X50" i="5"/>
  <c r="Y50" i="5"/>
  <c r="X37" i="5"/>
  <c r="Y37" i="5"/>
  <c r="X28" i="5"/>
  <c r="Y28" i="5"/>
  <c r="X77" i="5"/>
  <c r="Y77" i="5"/>
  <c r="X49" i="5"/>
  <c r="Y49" i="5"/>
  <c r="X20" i="5"/>
  <c r="Y20" i="5"/>
  <c r="X38" i="5"/>
  <c r="Y38" i="5"/>
  <c r="X11" i="5"/>
  <c r="Y11" i="5"/>
  <c r="X41" i="5"/>
  <c r="Y41" i="5"/>
  <c r="X39" i="5"/>
  <c r="Y39" i="5"/>
  <c r="X42" i="5"/>
  <c r="Y42" i="5"/>
  <c r="X40" i="5"/>
  <c r="Y40" i="5"/>
  <c r="X19" i="5"/>
  <c r="Y19" i="5"/>
  <c r="X17" i="5"/>
  <c r="Y17" i="5"/>
  <c r="X32" i="5"/>
  <c r="Y32" i="5"/>
  <c r="X21" i="5"/>
  <c r="Y21" i="5"/>
  <c r="X46" i="5"/>
  <c r="Y46" i="5"/>
  <c r="X10" i="5"/>
  <c r="Y10" i="5"/>
  <c r="X51" i="5"/>
  <c r="Y51" i="5"/>
  <c r="X15" i="5"/>
  <c r="Y15" i="5"/>
  <c r="X14" i="5"/>
  <c r="Y14" i="5"/>
  <c r="X44" i="5"/>
  <c r="Y44" i="5"/>
  <c r="X13" i="5"/>
  <c r="Y13" i="5"/>
  <c r="X31" i="5"/>
  <c r="Y31" i="5"/>
  <c r="X48" i="5"/>
  <c r="Y48" i="5"/>
  <c r="X34" i="5"/>
  <c r="Y34" i="5"/>
  <c r="X60" i="5"/>
  <c r="Y60" i="5"/>
  <c r="X52" i="5"/>
  <c r="Y52" i="5"/>
  <c r="X30" i="5"/>
  <c r="Y30" i="5"/>
  <c r="X57" i="5"/>
  <c r="Y57" i="5"/>
  <c r="X43" i="5"/>
  <c r="Y43" i="5"/>
  <c r="X23" i="5"/>
  <c r="Y23" i="5"/>
  <c r="X71" i="5"/>
  <c r="Y71" i="5"/>
  <c r="X70" i="5"/>
  <c r="Y70" i="5"/>
  <c r="X45" i="5"/>
  <c r="Y45" i="5"/>
  <c r="X36" i="5"/>
  <c r="Y36" i="5"/>
  <c r="X80" i="5"/>
  <c r="Y80" i="5"/>
  <c r="X35" i="5"/>
  <c r="Y35" i="5"/>
  <c r="X56" i="5"/>
  <c r="Y56" i="5"/>
  <c r="X22" i="5"/>
  <c r="Y22" i="5"/>
  <c r="X26" i="5"/>
  <c r="Y26" i="5"/>
  <c r="X33" i="5"/>
  <c r="Y33" i="5"/>
  <c r="X73" i="5"/>
  <c r="Y73" i="5"/>
  <c r="X16" i="5"/>
  <c r="Y16" i="5"/>
  <c r="X12" i="5"/>
  <c r="Y12" i="5"/>
  <c r="X24" i="5"/>
  <c r="Y24" i="5"/>
  <c r="X29" i="5"/>
  <c r="Y29" i="5"/>
  <c r="X64" i="5"/>
  <c r="Y64" i="5"/>
  <c r="X27" i="5"/>
  <c r="Y27" i="5"/>
  <c r="X47" i="5"/>
  <c r="Y47" i="5"/>
  <c r="X66" i="5"/>
  <c r="Y66" i="5"/>
  <c r="X79" i="5"/>
  <c r="Y79" i="5"/>
  <c r="X539" i="4"/>
  <c r="Y539" i="4"/>
  <c r="X422" i="4"/>
  <c r="Y422" i="4"/>
  <c r="X535" i="4"/>
  <c r="Y535" i="4"/>
  <c r="X506" i="4"/>
  <c r="Y506" i="4"/>
  <c r="X524" i="4"/>
  <c r="Y524" i="4"/>
  <c r="X498" i="4"/>
  <c r="Y498" i="4"/>
  <c r="X523" i="4"/>
  <c r="Y523" i="4"/>
  <c r="X540" i="4"/>
  <c r="Y540" i="4"/>
  <c r="X502" i="4"/>
  <c r="Y502" i="4"/>
  <c r="X450" i="4"/>
  <c r="Y450" i="4"/>
  <c r="X438" i="4"/>
  <c r="Y438" i="4"/>
  <c r="X563" i="4"/>
  <c r="Y563" i="4"/>
  <c r="X519" i="4"/>
  <c r="Y519" i="4"/>
  <c r="X62" i="5"/>
  <c r="Y62" i="5"/>
  <c r="C34" i="18"/>
</calcChain>
</file>

<file path=xl/sharedStrings.xml><?xml version="1.0" encoding="utf-8"?>
<sst xmlns="http://schemas.openxmlformats.org/spreadsheetml/2006/main" count="4307" uniqueCount="1436">
  <si>
    <t>Afschrijftermijn</t>
  </si>
  <si>
    <t>Effect omzet</t>
  </si>
  <si>
    <t>Effect tarieven</t>
  </si>
  <si>
    <t>Entry</t>
  </si>
  <si>
    <t>Exit</t>
  </si>
  <si>
    <t>BERGEN OP ZOOM (PHILLIP MORRIS HOLLAND)</t>
  </si>
  <si>
    <t>PERNIS (WILMAR)</t>
  </si>
  <si>
    <t>PERNIS (KOOLE)</t>
  </si>
  <si>
    <t>Inflatie van investeringsjaar naar…</t>
  </si>
  <si>
    <t>TI KC</t>
  </si>
  <si>
    <t>Jaarlijkse afschrijving met inflatie</t>
  </si>
  <si>
    <t xml:space="preserve">Jaarlijkse cpi </t>
  </si>
  <si>
    <t>Cpi-tabel</t>
  </si>
  <si>
    <t>naar:</t>
  </si>
  <si>
    <t>CPI overzicht</t>
  </si>
  <si>
    <t>WACC</t>
  </si>
  <si>
    <t>X-factoren</t>
  </si>
  <si>
    <t>Input</t>
  </si>
  <si>
    <t>Parameters</t>
  </si>
  <si>
    <t>Totaal 2013</t>
  </si>
  <si>
    <t>Max risico GTS (25%*20% van de prognose)</t>
  </si>
  <si>
    <t xml:space="preserve">Netto risico GTS </t>
  </si>
  <si>
    <t>Nacalculeren excl heffingsrente</t>
  </si>
  <si>
    <t>Opbrengsten 2013</t>
  </si>
  <si>
    <t>Kwaliteitsconversie</t>
  </si>
  <si>
    <t>PG APELDOORN-EDE (LIANDER)</t>
  </si>
  <si>
    <t>PG OOSTBETUWE (LIANDER)</t>
  </si>
  <si>
    <t>PG HOORN (LIANDER)</t>
  </si>
  <si>
    <t>BERGERMEER (TAQA-UGS)</t>
  </si>
  <si>
    <t>WIERINGERMEER (ENRGIE COMB. W'MEER-RNB)</t>
  </si>
  <si>
    <t>DEN HAAG (HTM)</t>
  </si>
  <si>
    <t>NIEUW HINKELOORD (DELTA-ZBL)</t>
  </si>
  <si>
    <t>SCHOONEBEEK (NAM)</t>
  </si>
  <si>
    <t>BUDEL (NEDZINK BV)</t>
  </si>
  <si>
    <t>MAASTRICHT (KONINKLIJKE MOSA BV)</t>
  </si>
  <si>
    <t>BLERICK (NEDRI SPANSTAAL BV)</t>
  </si>
  <si>
    <t>SWALMEN (CARGILL BV MALT DIVISION)</t>
  </si>
  <si>
    <t>EINDHOVEN (DAF TRUCKS NV)</t>
  </si>
  <si>
    <t>EMMEN (EMMTEC SERVICES BV)</t>
  </si>
  <si>
    <t>FRANEKER (HUHTAMAKI NL BV)</t>
  </si>
  <si>
    <t>FOXHOL (AVEBE BA)</t>
  </si>
  <si>
    <t>EERBEEK (MAYR-MELNHOF EERBEEK BV)</t>
  </si>
  <si>
    <t>HILVARENBEEK (FLUXYS)</t>
  </si>
  <si>
    <t>VLIEGHUIS (RWE)</t>
  </si>
  <si>
    <t>S-GRAVENVOEREN (FLUXYS)</t>
  </si>
  <si>
    <t>BALGZAND (NAM-HC)</t>
  </si>
  <si>
    <t>BALGZAND (NAM-LC)</t>
  </si>
  <si>
    <t>BALGZAND (NAM-NOGAT)</t>
  </si>
  <si>
    <t>BOTLEK (ESSO FLEXICOKER)</t>
  </si>
  <si>
    <t>GARIJP (VERMILION ENERGY)</t>
  </si>
  <si>
    <t>GRIJPSKERK (NAM)</t>
  </si>
  <si>
    <t>HARLINGEN (VERMILION ENERGY)</t>
  </si>
  <si>
    <t>MIDDENMEER (VERMILION ENERGY)</t>
  </si>
  <si>
    <t>VRIES (NAM)</t>
  </si>
  <si>
    <t>ZELZATE (FLUXYS)</t>
  </si>
  <si>
    <t>ALKMAAR (TAQA)</t>
  </si>
  <si>
    <t>VLIEGHUIS (RWE-UGS KALLE)</t>
  </si>
  <si>
    <t>ENSCHEDE (NUON-UGS EPE)</t>
  </si>
  <si>
    <t>OUDE STATENZIJL (EWE-H)</t>
  </si>
  <si>
    <t>TILBURG (AGRISTO BV)</t>
  </si>
  <si>
    <t>GELDROP (ENEXIS)</t>
  </si>
  <si>
    <t>ROOSENDAAL (ENEXIS)</t>
  </si>
  <si>
    <t>ZEVENBERGEN (ENEXIS)</t>
  </si>
  <si>
    <t>MAARHEEZE (PHILIPS LIGHTING BV)</t>
  </si>
  <si>
    <t>MAASTRICHT (STF. GEBR. KLINKERS BV)</t>
  </si>
  <si>
    <t>BUDEL (NYRSTAR BV)</t>
  </si>
  <si>
    <t>MAASTRICHT (ENCI BV)</t>
  </si>
  <si>
    <t>DONGEN (TROBAS GELATINE BV)</t>
  </si>
  <si>
    <t>MAASTRICHT (O-I MANUFACTURING NL BV)</t>
  </si>
  <si>
    <t>BEESEL (ST. JORIS KERAMISCHE IND. BV)</t>
  </si>
  <si>
    <t>KESSEL (KLEIWARENFABRIEK JOOSTEN BV)</t>
  </si>
  <si>
    <t>EYGELSHOVEN (STF. NIEVELSTEEN BV)</t>
  </si>
  <si>
    <t>TEGELEN (WIENERBERGER JANSSEN DINGS)</t>
  </si>
  <si>
    <t>WEERT (ROTO SMEETS BV)</t>
  </si>
  <si>
    <t>BORN (NEDCAR BV)</t>
  </si>
  <si>
    <t>MAASTRICHT (ANKERPOORT)</t>
  </si>
  <si>
    <t>OSS (BALL PACKAGING EUROPE BV)</t>
  </si>
  <si>
    <t>OOSTEREND (ENEXIS)</t>
  </si>
  <si>
    <t>VLIELAND (ENEXIS)</t>
  </si>
  <si>
    <t>WIJHE (MEESTER STEGEMAN CV)</t>
  </si>
  <si>
    <t>PEIZE (ENEXIS)</t>
  </si>
  <si>
    <t>JOURE (DOUWE EGBERTS CT-S BV)</t>
  </si>
  <si>
    <t>ANGEREN (STF. HUISSENSWAARD BV)</t>
  </si>
  <si>
    <t>VROOMSHOOP (NCO)</t>
  </si>
  <si>
    <t>PANNERDEN (WIENERBERGER KIJFWAARD OOST)</t>
  </si>
  <si>
    <t>LOBITH (WAALSTF. DE BYLANDT BV)</t>
  </si>
  <si>
    <t>NIJVERDAL/HELLENDOORN (ENEXIS)</t>
  </si>
  <si>
    <t>VRIEZENVEEN (NCO)</t>
  </si>
  <si>
    <t>HOOGEVEEN ALTEVEERSTRAAT (DOC KAAS)</t>
  </si>
  <si>
    <t>DELFZIJL (PPG INDUSTRIES CHEMICALS BV)</t>
  </si>
  <si>
    <t>APELDOORN (KIWA GASTEC NV)</t>
  </si>
  <si>
    <t>NEEDE (DAWO EPS BV)</t>
  </si>
  <si>
    <t>OLDENZAAL (NCO)</t>
  </si>
  <si>
    <t>HENGELO (AKZO NOBEL ENERGIE BV)</t>
  </si>
  <si>
    <t>COEVORDEN (RENDO)</t>
  </si>
  <si>
    <t>WINSCHOTEN (PHILIPS LIGHTING BV)</t>
  </si>
  <si>
    <t>DELFZIJL (DOW BENELUX BV)</t>
  </si>
  <si>
    <t>BALKBRUG (RENDO)</t>
  </si>
  <si>
    <t>SAPPEMEER (ESKA GRAPHIC BOARD BV)</t>
  </si>
  <si>
    <t>MILLINGEN A/D RIJN (LIANDER)</t>
  </si>
  <si>
    <t>NUNSPEET (LIANDER)</t>
  </si>
  <si>
    <t>NES (STEDIN)</t>
  </si>
  <si>
    <t>SCHOONEBEEK (DSM RESINS BV)</t>
  </si>
  <si>
    <t>ERLECOM (WIENERBERGER ERLECOM)</t>
  </si>
  <si>
    <t>DRACHTEN (FENNER DUNLOP BV)</t>
  </si>
  <si>
    <t>HOOGEZAND (ESKA GRAPHIC BOARD BV)</t>
  </si>
  <si>
    <t>AZEWIJN (STF. DE NIJVERHEID BV)</t>
  </si>
  <si>
    <t>MALDEN (LIANDER)</t>
  </si>
  <si>
    <t>VIERVERLATEN (SUIKERUNIE)</t>
  </si>
  <si>
    <t>DINXPERLO (LIANDER)</t>
  </si>
  <si>
    <t>NORG (ENEXIS)</t>
  </si>
  <si>
    <t>DEVENTER (AKZO NOBEL POLYMER CHEM. BV)</t>
  </si>
  <si>
    <t>Wheeling</t>
  </si>
  <si>
    <t>Connection</t>
  </si>
  <si>
    <t>Diversion</t>
  </si>
  <si>
    <t>ANJUM (NAM)</t>
  </si>
  <si>
    <t>ANNERVEEN (NAM)</t>
  </si>
  <si>
    <t>HERTEN (SOLVAY CHEMIE BV)</t>
  </si>
  <si>
    <t>CUYK (NUTRICIA BV)</t>
  </si>
  <si>
    <t>HELMOND (VLISCO BV)</t>
  </si>
  <si>
    <t>SON (RENDAC BV)</t>
  </si>
  <si>
    <t>APELDOORN (OWENS CORNING VEIL NL BV)</t>
  </si>
  <si>
    <t>HARDERWIJK (KALKZANDSTF. HARDERWIJK BV)</t>
  </si>
  <si>
    <t>GIESBEEK (LIANDER)</t>
  </si>
  <si>
    <t>LOSSER (ENEXIS)</t>
  </si>
  <si>
    <t>ENTER (NCO)</t>
  </si>
  <si>
    <t>ZUTPHEN PARKSTRAAT (LIANDER)</t>
  </si>
  <si>
    <t>DOETINCHEM (PAPIERFABRIEK DOETINCHEM BV)</t>
  </si>
  <si>
    <t>OUDE PEKELA (STRATING STEENINDUSTRIE BV)</t>
  </si>
  <si>
    <t>GEESBRUG (RENDO)</t>
  </si>
  <si>
    <t>RIJSSEN (ENEXIS)</t>
  </si>
  <si>
    <t>GENDT (STF. DE ZANDBERG BV)</t>
  </si>
  <si>
    <t>HINDELOOPEN (ENEXIS)</t>
  </si>
  <si>
    <t>EERBEEK (SCA DE HOOP ENERGIE BV)</t>
  </si>
  <si>
    <t>SPIJK (LIANDER)</t>
  </si>
  <si>
    <t>ZUTPHEN DE HOVEN (LIANDER)</t>
  </si>
  <si>
    <t>VEENDAM (NEDMAG INDUSTRIES BV)</t>
  </si>
  <si>
    <t>HETEREN (WIENERBERGER HETEREN)</t>
  </si>
  <si>
    <t>NIJMEGEN DE OOY (LIANDER)</t>
  </si>
  <si>
    <t>ECHTELD (WIENERBERGER SCHIPPERSWAARD BV)</t>
  </si>
  <si>
    <t>FARMSUM (ZEOLYST CV)</t>
  </si>
  <si>
    <t>DEEST (WIENERBERGER NARVIK DAKPANNEN)</t>
  </si>
  <si>
    <t>KLAZIENAVEEN (ESSENT ENERGIE PROD-WKC)</t>
  </si>
  <si>
    <t>COLLENDOORNERVEEN (GZI NAM BV)</t>
  </si>
  <si>
    <t>HENGELO (TWENCE AFVALSCHEIDING)</t>
  </si>
  <si>
    <t>ERICA (ESSENT ENERGIE PROD-WKC)</t>
  </si>
  <si>
    <t>Afwijkend tarieven voorstel?</t>
  </si>
  <si>
    <t>Tarief zonder opslagen</t>
  </si>
  <si>
    <t>opslag NPD</t>
  </si>
  <si>
    <t>opslag MFA</t>
  </si>
  <si>
    <t>ENTRY</t>
  </si>
  <si>
    <t>Controle: binnen bandbreedte?</t>
  </si>
  <si>
    <t>Onderkant bandbreedte</t>
  </si>
  <si>
    <t>Bovenkant bandbreedte</t>
  </si>
  <si>
    <t>Eenheid</t>
  </si>
  <si>
    <t>Overige</t>
  </si>
  <si>
    <t>nacalculatie Besef</t>
  </si>
  <si>
    <t>Tabel 2 - Rekenvolumina</t>
  </si>
  <si>
    <t>Tabel 6 - Nieuwe producten en diensten</t>
  </si>
  <si>
    <t>Verdeelsleutel voor tarieven</t>
  </si>
  <si>
    <t>Kosten-omzet</t>
  </si>
  <si>
    <t>TARIEVENMODULE</t>
  </si>
  <si>
    <t>Legenda</t>
  </si>
  <si>
    <t>GEEL = Informatiecel die het resultaat is van een berekening</t>
  </si>
  <si>
    <t>BLAUW = Informatiecel die het eindresultaat geeft van een berekening</t>
  </si>
  <si>
    <t>Alle bedragen zijn in Euro's</t>
  </si>
  <si>
    <t>MP</t>
  </si>
  <si>
    <t>MP OMSCHRIJVING</t>
  </si>
  <si>
    <t>BRUMMEN (LIANDER)</t>
  </si>
  <si>
    <t>SPIJK (BV STF. SPIJK)</t>
  </si>
  <si>
    <t>SUAMEER (SONAC BURGUM BV)</t>
  </si>
  <si>
    <t>DELFT (DSM FOOD SPECIALTIES BV)</t>
  </si>
  <si>
    <t>MAASVLAKTE (E.ON BENELUX ENERGY BV)</t>
  </si>
  <si>
    <t>MAASVLAKTE (ECT DELTA TERMINAL BV)</t>
  </si>
  <si>
    <t>MAASSLUIS (STEDIN)</t>
  </si>
  <si>
    <t>ROTTERDAM (ENCI BV)</t>
  </si>
  <si>
    <t>ZOETERMEER (NUTRICIA BV)</t>
  </si>
  <si>
    <t>ROZENBURG (STEDIN)</t>
  </si>
  <si>
    <t>AMSTERDAM (SONNEBORN BV)</t>
  </si>
  <si>
    <t>GORINCHEM (PURAC BIOCHEM BV)</t>
  </si>
  <si>
    <t>BOSKOOP (LIANDER)</t>
  </si>
  <si>
    <t>HILVERSUM DE MEENT (LIANDER)</t>
  </si>
  <si>
    <t>HOEK VAN HOLLAND (STEDIN)</t>
  </si>
  <si>
    <t>DORDRECHT (DESCO CV)</t>
  </si>
  <si>
    <t>PURMEREND CANTERWEG (LIANDER)</t>
  </si>
  <si>
    <t>DEN HAAG (E.ON BENELUX ENERGY BV)</t>
  </si>
  <si>
    <t>ALBLASSERDAM (NEDSTAAL BV)</t>
  </si>
  <si>
    <t>EUROPOORT (BP RAFFINADERIJ ROTTERDAM BV)</t>
  </si>
  <si>
    <t>MAURIK (LIANDER)</t>
  </si>
  <si>
    <t>WASSENAAR (LIANDER)</t>
  </si>
  <si>
    <t>OUDERKERK A/D AMSTEL (STEDIN)</t>
  </si>
  <si>
    <t>ZOETERWOUDE (HEINEKEN NL BV)</t>
  </si>
  <si>
    <t>MAASVLAKTE DISTRIPARK (STEDIN)</t>
  </si>
  <si>
    <t>AMSTERDAM (ALBEMARLE CATALYSTS COMPANY)</t>
  </si>
  <si>
    <t>AMSTERDAM (ICL FERTILIZERS EUR.)</t>
  </si>
  <si>
    <t>BOTLEK (VOPAK TERMINAL CHEMIEHAVEN BV)</t>
  </si>
  <si>
    <t>EUROPOORT (EXXON MOBIL CHEMICAL NL BV)</t>
  </si>
  <si>
    <t>DIEMEN (NUON POWER GENERATION BV)</t>
  </si>
  <si>
    <t>BOTLEK (CLIMAX MOLYBDENUM BV)</t>
  </si>
  <si>
    <t>BOTLEK (ASFALT CENTRALE ROTTERDAM BV)</t>
  </si>
  <si>
    <t>ROTTERDAM (E.ON BENELUX ENERGY-ROCA)</t>
  </si>
  <si>
    <t>EEMNES (ASFALTPRODUCTIE DE EEM BV)</t>
  </si>
  <si>
    <t>WORMERVEER (LODERS CROKLAAN B.V.)</t>
  </si>
  <si>
    <t>BERGEN NH. (LIANDER)</t>
  </si>
  <si>
    <t>BOTLEK (CABOT BV)</t>
  </si>
  <si>
    <t>WOERDEN (MONIER BV WOERDEN)</t>
  </si>
  <si>
    <t>BOTLEK (ALUMINIUM &amp; CHEMIE ROTTERDAM BV)</t>
  </si>
  <si>
    <t>EGMOND AAN ZEE (LIANDER)</t>
  </si>
  <si>
    <t>HAZERSWOUDE (AVERY DENNISON GRAPHICS EU)</t>
  </si>
  <si>
    <t>PUTTERSHOEK (SUIKERUNIE)</t>
  </si>
  <si>
    <t>TEXEL (LIANDER)</t>
  </si>
  <si>
    <t>ROTTERDAM (GATE)</t>
  </si>
  <si>
    <t>OUDE STATENZIJL (ETZEL-EKB-H)</t>
  </si>
  <si>
    <t>ENSCHEDE (ENECO-UGS EPE)</t>
  </si>
  <si>
    <t>OUDE STATENZIJL (ETZEL-CRYSTAL-H)</t>
  </si>
  <si>
    <t>ROTTERDAM (ENECOGEN VOF)</t>
  </si>
  <si>
    <t>ROZENBURG (AIR LIQUIDE-HERACLES)</t>
  </si>
  <si>
    <t>EEMSHAVEN (NUON MAGNUMCENTRALE)</t>
  </si>
  <si>
    <t>BADHOEVEDORP (LIANDER)</t>
  </si>
  <si>
    <t>NIEUW VENNEP (LIANDER)</t>
  </si>
  <si>
    <t>PG RIJSSENHOUT (LIANDER)</t>
  </si>
  <si>
    <t>ROTTERDAM-AIR PRODUCTS NL BV</t>
  </si>
  <si>
    <t>STEENDEREN (AVIKO BV)</t>
  </si>
  <si>
    <t>DINTELOORD (TUINBOUW DINTELOORD)</t>
  </si>
  <si>
    <t>HELMOND (NEDSCHROEF HELMOND BV)</t>
  </si>
  <si>
    <t>DE STEEG (GE ENERGY EUROPE BV)</t>
  </si>
  <si>
    <t>SITTARD (ENEXIS)</t>
  </si>
  <si>
    <t>TEGELEN (MONIER BV TEGELEN)</t>
  </si>
  <si>
    <t>VOERENDAAL (ENEXIS)</t>
  </si>
  <si>
    <t>NUTH (ENEXIS)</t>
  </si>
  <si>
    <t>NEDERWEERT (ENEXIS)</t>
  </si>
  <si>
    <t>OUD GASTEL (ENEXIS)</t>
  </si>
  <si>
    <t>VEGHEL (MASTERFOODS BV)</t>
  </si>
  <si>
    <t>VLISSINGEN (PECHINEY NL NV)</t>
  </si>
  <si>
    <t>OOSTRUM (RIXONA BV)</t>
  </si>
  <si>
    <t>DINTELOORD (SUIKERUNIE)</t>
  </si>
  <si>
    <t>ACHT (VDL ETG EINDHOVEN BV)</t>
  </si>
  <si>
    <t>OUDENBOSCH (HUNTER DOUGLAS EUROPE BV)</t>
  </si>
  <si>
    <t>OEFFELT (STF. ENGELS BV)</t>
  </si>
  <si>
    <t>TILBURG (IFF NL BV)</t>
  </si>
  <si>
    <t>BERGEN OP ZOOM (NUPLEX RESINS BV)</t>
  </si>
  <si>
    <t>ROOSENDAAL (PHILIPS LIGHTING BV)</t>
  </si>
  <si>
    <t>DRUNEN (WARTSILA PROPULSION NL BV)</t>
  </si>
  <si>
    <t>HEDIKHUIZEN (STF. HEDIKHUIZEN BV)</t>
  </si>
  <si>
    <t>BREDA (INEOS NOVA NETHERLANDS BV)</t>
  </si>
  <si>
    <t>OSS (UNILEVER BESTFOODS NL)</t>
  </si>
  <si>
    <t>BERGEN OP ZOOM (ASFALTPRODUKTIE MIJ BV)</t>
  </si>
  <si>
    <t>BEEK EN DONK (HITMETAL/THIBODRAAD BV)</t>
  </si>
  <si>
    <t>ST. OEDENRODE (AHREND PROD. BEDRIJF BV)</t>
  </si>
  <si>
    <t>TERNEUZEN (DOW BENELUX BV)</t>
  </si>
  <si>
    <t>MIDDELBURG (EASTMAN CHEMICAL BV)</t>
  </si>
  <si>
    <t>SAS VAN GENT (GLASFABRIEK SAS VAN GENT)</t>
  </si>
  <si>
    <t>ZONNEMAIRE (DELTA)</t>
  </si>
  <si>
    <t>WEERT TRANCHEEWEG (STEDIN)</t>
  </si>
  <si>
    <t>DEN BOSCH (ESSENT ENERGY-WKC HEINEKEN)</t>
  </si>
  <si>
    <t>MAASTRICHT (SAPPI MAASTRICHT BV)</t>
  </si>
  <si>
    <t>ALKMAAR (TAQA - PGI)</t>
  </si>
  <si>
    <t>LISSERBROEK/ABBENES (LIANDER)</t>
  </si>
  <si>
    <t>MAASVLAKTE (LYONDELL BAYER MANUF. VOF)</t>
  </si>
  <si>
    <t>MAASVLAKTE (E.ON BENELUX ENERGY BV-UMCL)</t>
  </si>
  <si>
    <t>BOEKELO (GROLSCH BIERBROUWERIJ BV)</t>
  </si>
  <si>
    <t>AMSTERDAM (STARBUCKS MANUF. EMEA BV)</t>
  </si>
  <si>
    <t>HOOGEVEEN BUITENVAART (DOC KAAS)</t>
  </si>
  <si>
    <t>BOTLEK (RIJNMOND ENERGY CV)</t>
  </si>
  <si>
    <t>DE STEEG (FACILITY SERVICES HAVELAND BV)</t>
  </si>
  <si>
    <t>BLEISWIJK (TUINBOUWCOMBINATIE)</t>
  </si>
  <si>
    <t>PERNIS (AIR LIQUIDE PERGEN)</t>
  </si>
  <si>
    <t>SPIJK GLD. (WELLMAN RECYCLING)</t>
  </si>
  <si>
    <t>DELFZIJL (FMC)</t>
  </si>
  <si>
    <t>ROTTERDAM (ABENGOA BIOENERGY NL BV)</t>
  </si>
  <si>
    <t>DELFZIJL (BIO-METHANOL CHEMIE NL BV)</t>
  </si>
  <si>
    <t>BOTLEK DISTRIPARK (WESTLAND)</t>
  </si>
  <si>
    <t>ROTTERDAM (EUROMAX TERMINAL)</t>
  </si>
  <si>
    <t>Dienst:</t>
  </si>
  <si>
    <t>EUR per verhandelde dienst</t>
  </si>
  <si>
    <t xml:space="preserve">Kwaliteitsconversie </t>
  </si>
  <si>
    <t>ARNHEM (DE KLEEF BV)</t>
  </si>
  <si>
    <t>SCHARSTERBRUG (PHOENIX BV)</t>
  </si>
  <si>
    <t>NIJMEGEN (MEAD JOHNSON BV)</t>
  </si>
  <si>
    <t>LELYSTAD (MCCAIN FOODS HOLLAND BV)</t>
  </si>
  <si>
    <t>GASSELTERNIJVEEN (AVEBE BA)</t>
  </si>
  <si>
    <t>ZWIJNDRECHT (UNIMILLS BV)</t>
  </si>
  <si>
    <t>ROTTERDAM (CEREXAGRI BV)</t>
  </si>
  <si>
    <t>BOTLEK (CARGILL BV)</t>
  </si>
  <si>
    <t>MAASVLAKTE (IOI LODERS CROKLAAN OILS BV)</t>
  </si>
  <si>
    <t>EUROPOORT NECKARWEG (VOPAK TERMINAL BV)</t>
  </si>
  <si>
    <t>BOTLEK (HUNTSMAN HOLLAND BV)</t>
  </si>
  <si>
    <t>MARKNESSE (TUINBOUW LUTTELGEEST)</t>
  </si>
  <si>
    <t>PG GENNEP (ENEXIS)</t>
  </si>
  <si>
    <t>PG STEENBERGEN (ENEXIS)</t>
  </si>
  <si>
    <t>PG THONISSE (DELTA)</t>
  </si>
  <si>
    <t>BEEK (UTILITY SUPPORT GROUP BV G-GAS)</t>
  </si>
  <si>
    <t>OUDE STATENZIJL (GUD-G)[OBEBG]</t>
  </si>
  <si>
    <t>OUDE STATENZIJL (GUD-H)[OBEBH]</t>
  </si>
  <si>
    <t>PG GASSELTERNIJVEENSCHEMOND (ENEXIS)</t>
  </si>
  <si>
    <t>PG HARDERWIJK (LIANDER)</t>
  </si>
  <si>
    <t>PG RODEN (ENEXIS)</t>
  </si>
  <si>
    <t>PG SCHEEMDERZWAAG (ENEXIS)</t>
  </si>
  <si>
    <t>HARDERWIJK (SAPA PROFILES)</t>
  </si>
  <si>
    <t>PG DRACHTEN (LIANDER)</t>
  </si>
  <si>
    <t>NUNSPEET (NESTLE NL BV)</t>
  </si>
  <si>
    <t>PG SAAKSUM (ENEXIS)</t>
  </si>
  <si>
    <t>PG MARKNESSE (ENEXIS)</t>
  </si>
  <si>
    <t>PG HAREN (ENEXIS)</t>
  </si>
  <si>
    <t>PG DIEREN (LIANDER)</t>
  </si>
  <si>
    <t>PG ENSCHEDE (ENEXIS)</t>
  </si>
  <si>
    <t>PG BUINERVEEN (ENEXIS)</t>
  </si>
  <si>
    <t>PG HARDENBERG (NCO)</t>
  </si>
  <si>
    <t>PG KAMPEN (ENEXIS)</t>
  </si>
  <si>
    <t>HENGELO (THALES NL BV)</t>
  </si>
  <si>
    <t>PG DEVENTER (ENEXIS)</t>
  </si>
  <si>
    <t>PG DEN HELDER (LIANDER)</t>
  </si>
  <si>
    <t>PG ZOETERMEER (STEDIN)</t>
  </si>
  <si>
    <t>PG DELFT (STEDIN)</t>
  </si>
  <si>
    <t>PG WESTZAAN (LIANDER)</t>
  </si>
  <si>
    <t>PG ZALTBOMMEL (LIANDER)</t>
  </si>
  <si>
    <t>PG HAARLEM (LIANDER)</t>
  </si>
  <si>
    <t>PG AMSTELVEEN (STEDIN)</t>
  </si>
  <si>
    <t>PG BLEISWIJK (STEDIN)</t>
  </si>
  <si>
    <t>PG DORDRECHT (STEDIN)</t>
  </si>
  <si>
    <t>PG ROTTERDAM (STEDIN)</t>
  </si>
  <si>
    <t>UTRECHT (NUON POWER GENERATION BV)</t>
  </si>
  <si>
    <t>PG IJMUIDEN (LIANDER)</t>
  </si>
  <si>
    <t>PG BEVERWIJK (STEDIN)</t>
  </si>
  <si>
    <t>PG NAALDWIJK (WESTLAND)</t>
  </si>
  <si>
    <t>PURMEREND BAANSTEE (LIANDER)</t>
  </si>
  <si>
    <t>AMSTERDAM (NUON POWER GENERATION BV)</t>
  </si>
  <si>
    <t>PG VLAARDINGEN (STEDIN)</t>
  </si>
  <si>
    <t>OUDENHOORN (FARMFRITES BV)</t>
  </si>
  <si>
    <t>PG ZEIST (STEDIN)</t>
  </si>
  <si>
    <t>BOTLEK (SARGEANT TERMINALS BV)</t>
  </si>
  <si>
    <t>EUROPOORT (GREIF NL BV)</t>
  </si>
  <si>
    <t>AMSTERDAM (EUROTANK AMSTERDAM BV)</t>
  </si>
  <si>
    <t>BOTLEK (AKZO NOBEL INDUSTRIAL CHEM BV)</t>
  </si>
  <si>
    <t>PG MOERKAPELLE (LIANDER)</t>
  </si>
  <si>
    <t>BOTLEK (ESSO NL BV)</t>
  </si>
  <si>
    <t>BOTLEK (HOYER NL BV)</t>
  </si>
  <si>
    <t>PERNIS (SHELL NL RAFFINADERIJ BV)</t>
  </si>
  <si>
    <t>TILBURG (FUJIFILM MANUFACTUR. EUROPE BV)</t>
  </si>
  <si>
    <t>PG MAASTRICHT (ENEXIS)</t>
  </si>
  <si>
    <t>PG GRONSVELD (ENEXIS)</t>
  </si>
  <si>
    <t>PG WEERT (STEDIN)</t>
  </si>
  <si>
    <t>DRUNEN (SAPA PROFILES)</t>
  </si>
  <si>
    <t>GEERTRUIDENBERG (ESSENT ENERGIE-AMERC)</t>
  </si>
  <si>
    <t>DONGEN (COCA-COLA ENTERPRISES NL BV)</t>
  </si>
  <si>
    <t>DONGEN (ARDAGH GLASS DONGEN BV)</t>
  </si>
  <si>
    <t>PG WABEWEST (DELTA)</t>
  </si>
  <si>
    <t>PG SCHOONDIJKE (DELTA)</t>
  </si>
  <si>
    <t>PG AXTER (DELTA)</t>
  </si>
  <si>
    <t>PG KRUILAND (DELTA)</t>
  </si>
  <si>
    <t>PG HOESAS (DELTA)</t>
  </si>
  <si>
    <t>GRIJPSKERK (NAM - UGS)</t>
  </si>
  <si>
    <t>NORG (NAM - UGS)</t>
  </si>
  <si>
    <t>HOOGEZAND (PARKER HANNIFIN BV)</t>
  </si>
  <si>
    <t>PG HOLESTEEN (DELTA)</t>
  </si>
  <si>
    <t>SLUISKIL (YARA BV-G-GAS)</t>
  </si>
  <si>
    <t>GELEEN (UTILITY SUPPORT GROUP BV H_GAS)</t>
  </si>
  <si>
    <t>BEMMEL (NETWERB. ENERGY CONNECTION )</t>
  </si>
  <si>
    <t>PG FRIESLAND ZUID-OOST (ENEXIS)</t>
  </si>
  <si>
    <t>PG FRIESLAND NOORD-WEST (ENEXIS)</t>
  </si>
  <si>
    <t>PG FRIESLAND ZUID-WEST (ENEXIS)</t>
  </si>
  <si>
    <t>PG FRIESLAND MIDDEN (ENEXIS)</t>
  </si>
  <si>
    <t>PG WESTSTELLINGWERF (ENEXIS)</t>
  </si>
  <si>
    <t>SCHIEDAM (STEDIN)</t>
  </si>
  <si>
    <t>PG HOUTEN (STEDIN)</t>
  </si>
  <si>
    <t>PG HOOGLAND (STEDIN)</t>
  </si>
  <si>
    <t>PG VEENENDAAL (STEDIN)</t>
  </si>
  <si>
    <t>PG HELDEN (ENEXIS)</t>
  </si>
  <si>
    <t>PG HOOGEVEEN (RENDO)</t>
  </si>
  <si>
    <t>PG ECHTEN (RENDO)</t>
  </si>
  <si>
    <t>PG ALMELO (NCO)</t>
  </si>
  <si>
    <t>NG DEN HAAG (STEDIN)</t>
  </si>
  <si>
    <t>NG GOUDA (STEDIN)</t>
  </si>
  <si>
    <t>PG BERGEIJK (ENEXIS)</t>
  </si>
  <si>
    <t>PG BERGEN OP ZOOM (ENEXIS)</t>
  </si>
  <si>
    <t>PG BREDA (ENEXIS)</t>
  </si>
  <si>
    <t>PG DONGEN (ENEXIS)</t>
  </si>
  <si>
    <t>PG ETTEN-LEUR (ENEXIS)</t>
  </si>
  <si>
    <t>PG GILZE (ENEXIS)</t>
  </si>
  <si>
    <t>PG VLIJMEN (ENEXIS)</t>
  </si>
  <si>
    <t>PG ARCEN (ENEXIS)</t>
  </si>
  <si>
    <t>PG GELEEN (ENEXIS)</t>
  </si>
  <si>
    <t>PG HEERLEN (ENEXIS)</t>
  </si>
  <si>
    <t>PG HERKENBOSCH (ENEXIS)</t>
  </si>
  <si>
    <t>PG KERKRADE (ENEXIS)</t>
  </si>
  <si>
    <t>PG ROERMOND (ENEXIS)</t>
  </si>
  <si>
    <t>PG VENLO (ENEXIS)</t>
  </si>
  <si>
    <t>PG ASSEN (ENEXIS)</t>
  </si>
  <si>
    <t>PG DELFZIJL (ENEXIS)</t>
  </si>
  <si>
    <t>PG GRONINGEN STAD (ENEXIS)</t>
  </si>
  <si>
    <t>PG HENGELO (ENEXIS)</t>
  </si>
  <si>
    <t>PG MIDWOLDA (ENEXIS)</t>
  </si>
  <si>
    <t>PG OMMEN (ENEXIS)</t>
  </si>
  <si>
    <t>PG RAALTE (ENEXIS)</t>
  </si>
  <si>
    <t>PG WINSCHOTEN (ENEXIS)</t>
  </si>
  <si>
    <t>PG ZWOLLE (ENEXIS)</t>
  </si>
  <si>
    <t>PG ALKMAAR (LIANDER)</t>
  </si>
  <si>
    <t>PG ALMERE (LIANDER)</t>
  </si>
  <si>
    <t>PG AMSTERDAM (LIANDER)</t>
  </si>
  <si>
    <t>PG ARNHEM (LIANDER)</t>
  </si>
  <si>
    <t>PG BARNEVELD (LIANDER)</t>
  </si>
  <si>
    <t>PG DRUTEN (LIANDER)</t>
  </si>
  <si>
    <t>PG EEFDE (LIANDER)</t>
  </si>
  <si>
    <t>PG ELST (LIANDER)</t>
  </si>
  <si>
    <t>PG GELDERMALSEN (LIANDER)</t>
  </si>
  <si>
    <t>PG HEERENVEEN (LIANDER)</t>
  </si>
  <si>
    <t>PG LELYSTAD (LIANDER)</t>
  </si>
  <si>
    <t>PG NIJMEGEN (LIANDER)</t>
  </si>
  <si>
    <t>PG WAARDENBURG (LIANDER)</t>
  </si>
  <si>
    <t>PG WEZEP (LIANDER)</t>
  </si>
  <si>
    <t>PG ZEVENAAR (LIANDER)</t>
  </si>
  <si>
    <t>ZANDVLIET (WINGAS-H)</t>
  </si>
  <si>
    <t>PG GROENLO (LIANDER)</t>
  </si>
  <si>
    <t>PG DOETINCHEM (LIANDER)</t>
  </si>
  <si>
    <t>PG ALPHEN A/D RIJN (LIANDER)</t>
  </si>
  <si>
    <t>ZWIJNDRECHT (HERCULES BV)</t>
  </si>
  <si>
    <t>EUROPOORT (MAFINA BV)</t>
  </si>
  <si>
    <t>OPHEUSDEN (WIENERBERGER WOLFSWAARD)</t>
  </si>
  <si>
    <t>NIJMEGEN (SAPPI NIJMEGEN BV)</t>
  </si>
  <si>
    <t>DELFZIJL (AKZO ZOUTCHEMIE)</t>
  </si>
  <si>
    <t>LEEUWARDEN (ESSENT tbv FCDF)</t>
  </si>
  <si>
    <t>BIDDINGHUIZEN (WALIBI WORLD BV)</t>
  </si>
  <si>
    <t>TER APELKANAAL (AVEBE BA)</t>
  </si>
  <si>
    <t>LELYSTAD (CIDC)</t>
  </si>
  <si>
    <t>DELFZIJL (LAFARGE GIPS BV)</t>
  </si>
  <si>
    <t>KOOG A/D ZAAN (ADM COCOA BV)</t>
  </si>
  <si>
    <t>EUROPOORT (ADM)</t>
  </si>
  <si>
    <t>SASSENHEIM (AKZO NOBEL CAR REFINISHES)</t>
  </si>
  <si>
    <t>SLUISKIL (YARA BV H-GAS)</t>
  </si>
  <si>
    <t>Totaal</t>
  </si>
  <si>
    <t>BOTLEK (ALMATIS BV)</t>
  </si>
  <si>
    <t>VLAARDINGEN (TESSENDERLO CHEMIE BV)</t>
  </si>
  <si>
    <t>VELSEN NOORD (LIANDER)</t>
  </si>
  <si>
    <t>VOLENDAM (LIANDER)</t>
  </si>
  <si>
    <t>MONNICKENDAM (LIANDER)</t>
  </si>
  <si>
    <t>WORMER (ADM COCOA BV)</t>
  </si>
  <si>
    <t>BOTLEK (TRONOX PIGMENTS HOLLAND BV)</t>
  </si>
  <si>
    <t>SCHIPHOL (AFBP CV)</t>
  </si>
  <si>
    <t>EUROPOORT MOEZELWEG (VOPAK TERMINAL BV)</t>
  </si>
  <si>
    <t>MIDDELHARNIS (STEDIN)</t>
  </si>
  <si>
    <t>ROSSUM (LIANDER)</t>
  </si>
  <si>
    <t>ASPEREN (STEDIN)</t>
  </si>
  <si>
    <t>DEN HAAG (HAC BV)</t>
  </si>
  <si>
    <t>EUROPOORT (CALDIC BV)</t>
  </si>
  <si>
    <t>DUIVENDRECHT (STEDIN)</t>
  </si>
  <si>
    <t>BOTLEK (ODFJELL TERMINALS ROTTERDAM BV)</t>
  </si>
  <si>
    <t>BOTLEK (LBC ROTTERDAM BV)</t>
  </si>
  <si>
    <t>BOTLEK (JDB ECOTECHNIEK)</t>
  </si>
  <si>
    <t>PERNIS (AVR INDUSTRIAL WASTE NV)</t>
  </si>
  <si>
    <t>HALFWEG (STEDIN)</t>
  </si>
  <si>
    <t>ABBENBROEK (STEDIN)</t>
  </si>
  <si>
    <t>OUDENHOORN RUIGENDIJK (STEDIN)</t>
  </si>
  <si>
    <t>BOTLEK (KEPPEL VEROLME BV)</t>
  </si>
  <si>
    <t>BERGSCHENHOEK WILD. KADE (STEDIN)</t>
  </si>
  <si>
    <t>AMSTERDAM (NUGRO VOF)</t>
  </si>
  <si>
    <t>BOTLEK (AIR PRODUCTS NL BV)</t>
  </si>
  <si>
    <t>HAAFTEN (WIENERBERGER HAAFTEN)</t>
  </si>
  <si>
    <t>VELSEN (PF. CROWN VAN GELDER NV)</t>
  </si>
  <si>
    <t>BOTLEK (SERVICE TERMINAL ROTTERDAM VOF)</t>
  </si>
  <si>
    <t>VUREN (XELLA CELLENBETON NL BV)</t>
  </si>
  <si>
    <t>KROMMENIE (FORBO FLOORING CORAL NV)</t>
  </si>
  <si>
    <t>VELSEN (NUON POWER GENERATION BV)</t>
  </si>
  <si>
    <t>PERNIS (ARGOS TERMINALS BV)</t>
  </si>
  <si>
    <t>AMSTERDAM OCEANENWEG (CARGILL BV)</t>
  </si>
  <si>
    <t>AMSTERDAM COENHAVENWEG (CARGILL BV)</t>
  </si>
  <si>
    <t>ABBEKERK (GRASDROGERIJ HARTOG BV)</t>
  </si>
  <si>
    <t>EUROPOORT (KUWAIT PETROLEUM BV)</t>
  </si>
  <si>
    <t>MOERDIJK (ARDAGH GLASS BV)</t>
  </si>
  <si>
    <t>GELEEN (ESSENT ENERGY-WKC SWENTIBOLD)</t>
  </si>
  <si>
    <t>SOMEREN (KIEVITSAKKERS BV)</t>
  </si>
  <si>
    <t>TEGELEN (WIENERBERGER NARVIK DAKPANNEN)</t>
  </si>
  <si>
    <t>LIESHOUT (BAVARIA NV)</t>
  </si>
  <si>
    <t>KERKRADE (E-MAX)</t>
  </si>
  <si>
    <t>HELMOND (J.A. RAYMAKERS &amp; CO BV)</t>
  </si>
  <si>
    <t>KLUNDERT (SHELL NL CHEMIE BV)</t>
  </si>
  <si>
    <t>WEERT (FACILITIES WETERING BV)</t>
  </si>
  <si>
    <t>BARENDRECHT (NAM)</t>
  </si>
  <si>
    <t>BEDUM (NAM)</t>
  </si>
  <si>
    <t>BLIJA (NAM)</t>
  </si>
  <si>
    <t>BOTLEK (NAM)</t>
  </si>
  <si>
    <t>EMMEN GZI (NAM)</t>
  </si>
  <si>
    <t>GAAG (NAM)</t>
  </si>
  <si>
    <t>GROOTEGAST (NAM)</t>
  </si>
  <si>
    <t>KOOTSTERTILLE (NAM)</t>
  </si>
  <si>
    <t>MONSTER (NAM)</t>
  </si>
  <si>
    <t>UITHUIZEN (NGT)</t>
  </si>
  <si>
    <t>OUDE PEKELA (NAM)</t>
  </si>
  <si>
    <t>ROTTERDAM WESTGAS (NAM)</t>
  </si>
  <si>
    <t>GRONINGEN (NAM)</t>
  </si>
  <si>
    <t>TEN ARLO (NAM)</t>
  </si>
  <si>
    <t>URETERP (NAM)</t>
  </si>
  <si>
    <t>WARFFUM (NAM)</t>
  </si>
  <si>
    <t>EMDEN NPT (GASSCO)</t>
  </si>
  <si>
    <t>EMDEN EPT (GASSCO)</t>
  </si>
  <si>
    <t>ZANDVLIET (FLUXYS-H)</t>
  </si>
  <si>
    <t>JULIANADORP (BBL)</t>
  </si>
  <si>
    <t>MIDDELIE (NAM)</t>
  </si>
  <si>
    <t>EEMSHAVEN O</t>
  </si>
  <si>
    <t>Heffingsrente eerste kwartaal</t>
  </si>
  <si>
    <t>Heffingsrente tweede kwartaal</t>
  </si>
  <si>
    <t>Heffingsrente derde kwartaal</t>
  </si>
  <si>
    <t>Heffingsrente vierde kwartaal</t>
  </si>
  <si>
    <t>Jaarlijkse heffingsrente gerekend per helft van een jaar</t>
  </si>
  <si>
    <t>Heffingsrente tabel</t>
  </si>
  <si>
    <t>1+cpi</t>
  </si>
  <si>
    <t>Naam</t>
  </si>
  <si>
    <t>Afschrijvingstermijn</t>
  </si>
  <si>
    <t>Aandeel KC %</t>
  </si>
  <si>
    <t>Jaar</t>
  </si>
  <si>
    <t>CPI</t>
  </si>
  <si>
    <t>Bron: CBS</t>
  </si>
  <si>
    <t>Inflatie van:</t>
  </si>
  <si>
    <t>CPI tabel</t>
  </si>
  <si>
    <t>Aandeel OPEX op Investering</t>
  </si>
  <si>
    <t>Klasse</t>
  </si>
  <si>
    <t>01 Regionale leidingen</t>
  </si>
  <si>
    <t>02 Gasontvangstations</t>
  </si>
  <si>
    <t>03 Verremeting</t>
  </si>
  <si>
    <t>04 Terreinen</t>
  </si>
  <si>
    <t>05 Wegen en terreinvoorzieningen</t>
  </si>
  <si>
    <t>06 Utiliteitsgebouwen</t>
  </si>
  <si>
    <t>07 Dienstwoningen</t>
  </si>
  <si>
    <t>08 Inrichting gebouwen</t>
  </si>
  <si>
    <t>09 Bedrijfsinventaris</t>
  </si>
  <si>
    <t>10 Gereedschap</t>
  </si>
  <si>
    <t>11 Werktuigen</t>
  </si>
  <si>
    <t>12 Motorvoertuigen</t>
  </si>
  <si>
    <t>13 Aanhangwagens</t>
  </si>
  <si>
    <t>15 Compressorstations</t>
  </si>
  <si>
    <t>17 Mengstations</t>
  </si>
  <si>
    <t>18 Ijkinstallaties</t>
  </si>
  <si>
    <t>19 Stortgasinstallatie</t>
  </si>
  <si>
    <t>20 Kantoorgebouwen</t>
  </si>
  <si>
    <t>22 Regionaal hoofdtransportnet</t>
  </si>
  <si>
    <t>23 Brigittaleiding</t>
  </si>
  <si>
    <t>32 M&amp;R stations</t>
  </si>
  <si>
    <t>33 Exportstations</t>
  </si>
  <si>
    <t>34 Reduceerstations</t>
  </si>
  <si>
    <t>35 Injectiestations</t>
  </si>
  <si>
    <t>36 Luchtscheidingsunit</t>
  </si>
  <si>
    <t>Omschrijving</t>
  </si>
  <si>
    <t>Investering</t>
  </si>
  <si>
    <t>Datum ingebruikname</t>
  </si>
  <si>
    <t>Afschrijvingstermijnen</t>
  </si>
  <si>
    <t>Activaklasse</t>
  </si>
  <si>
    <t>KC</t>
  </si>
  <si>
    <t>14 Overig rollend materieel</t>
  </si>
  <si>
    <t>16 LNG installaties</t>
  </si>
  <si>
    <t>21 Hoofdtransportleiding</t>
  </si>
  <si>
    <t>Tabel 4 - Nacalculatie bonus/malus BESeF</t>
  </si>
  <si>
    <t>Risico GTS (25% van verschil prognose en realisatie)</t>
  </si>
  <si>
    <t>Investeringsbedrag</t>
  </si>
  <si>
    <t>Heffingsrente</t>
  </si>
  <si>
    <t>KC incl heffingsrente</t>
  </si>
  <si>
    <t>Realisatie BESeF BT</t>
  </si>
  <si>
    <t>Toerekenen aan tarief KC</t>
  </si>
  <si>
    <t>Primo</t>
  </si>
  <si>
    <t>Inv</t>
  </si>
  <si>
    <t>Niet geïnfleerde afs</t>
  </si>
  <si>
    <t>Afs geinfleerd</t>
  </si>
  <si>
    <t>Inflatie</t>
  </si>
  <si>
    <t>Ultimo</t>
  </si>
  <si>
    <t xml:space="preserve">Wheeling </t>
  </si>
  <si>
    <t>WACC 2014-2016</t>
  </si>
  <si>
    <t>X-factor transport 2014-2016</t>
  </si>
  <si>
    <t>X-factor kwaliteitsconversie 2014-2016</t>
  </si>
  <si>
    <t xml:space="preserve">X-factor balancering 2014-2016 </t>
  </si>
  <si>
    <t>X-factor aansluitpunt 2014-2016</t>
  </si>
  <si>
    <t xml:space="preserve"> </t>
  </si>
  <si>
    <t>Transport</t>
  </si>
  <si>
    <t>Balancering</t>
  </si>
  <si>
    <t>Verschil prognose en realisatie BESeF TT</t>
  </si>
  <si>
    <t>Risico GTS (25% van verschil prognose en realisatie) TT</t>
  </si>
  <si>
    <t>Max risico GTS (25%*20% van de prognose) TT</t>
  </si>
  <si>
    <t>Netto risico GTS TT</t>
  </si>
  <si>
    <t>Nacalculeren excl heffingsrente TT</t>
  </si>
  <si>
    <t>Verschil prognose en realisatie BESeF BT</t>
  </si>
  <si>
    <t>Risico GTS (25% van verschil prognose en realisatie) BT</t>
  </si>
  <si>
    <t>Max risico GTS (25%*20% van de prognose) BT</t>
  </si>
  <si>
    <t>Nacalculeren excl heffingsrente BT</t>
  </si>
  <si>
    <t>Toerekenen aan tarief Balancering</t>
  </si>
  <si>
    <t>Nacalculeren incl heffingsrente KC</t>
  </si>
  <si>
    <t>TT</t>
  </si>
  <si>
    <t>BT</t>
  </si>
  <si>
    <t>37 ICT middelen 1</t>
  </si>
  <si>
    <t>38 ICT middelen 2</t>
  </si>
  <si>
    <t>39 ICT middelen 3</t>
  </si>
  <si>
    <t>42 Vulgas</t>
  </si>
  <si>
    <t>43 Stikstof</t>
  </si>
  <si>
    <t>Transport (TT)</t>
  </si>
  <si>
    <t>Aandeel TT %</t>
  </si>
  <si>
    <t>AT</t>
  </si>
  <si>
    <t>Prognose BESeF</t>
  </si>
  <si>
    <t>Bestaande aansluiting</t>
  </si>
  <si>
    <t>Aandeel BT%</t>
  </si>
  <si>
    <t>TI TT</t>
  </si>
  <si>
    <t>TI BT</t>
  </si>
  <si>
    <t>BT incl heffingsrente</t>
  </si>
  <si>
    <t>TT incl heffingsrente</t>
  </si>
  <si>
    <t xml:space="preserve">Toegestane omzet 2014 </t>
  </si>
  <si>
    <t xml:space="preserve">Verschil toegestane omzet en gerealiseerde omzet </t>
  </si>
  <si>
    <t>Heffingsrente voor vergoeding in 2016 van omzet 2014</t>
  </si>
  <si>
    <t>Totaal gerealiseerde omzet 2014</t>
  </si>
  <si>
    <t>Gerealiseerde omzet Balancering 2014</t>
  </si>
  <si>
    <t>Gerealiseerde omzet Kwaliteitsconversie 2014</t>
  </si>
  <si>
    <t xml:space="preserve">Totaal gerealiseerde omzet 2014 </t>
  </si>
  <si>
    <t>Aansluitpunt</t>
  </si>
  <si>
    <t>Gerealiseerde omzetBestaande aansluiting 2014</t>
  </si>
  <si>
    <t>Gerealiseerde omzet Aansluitpunt 2014</t>
  </si>
  <si>
    <t xml:space="preserve">Nacalculeren incl heffingsrente </t>
  </si>
  <si>
    <t>Nacalculeren incl heffingsrente</t>
  </si>
  <si>
    <t>Omzet per taak</t>
  </si>
  <si>
    <t>Overboeking- en terugkoopregeling Transport</t>
  </si>
  <si>
    <t>Opbrengsten OBT-regeling 2014</t>
  </si>
  <si>
    <t xml:space="preserve">Kosten OBT-regeling 2014 </t>
  </si>
  <si>
    <t>Saldo OBT-regeling 2014</t>
  </si>
  <si>
    <t>50% verrekening winst/verlies via tarief 2016</t>
  </si>
  <si>
    <t>Extra inkomsten GTS verkregen uit veilingen 2014</t>
  </si>
  <si>
    <t>BAT</t>
  </si>
  <si>
    <t>omzet exit</t>
  </si>
  <si>
    <t>omzet entry</t>
  </si>
  <si>
    <t>omzet connection</t>
  </si>
  <si>
    <t>omzet wheeling</t>
  </si>
  <si>
    <t>omzet diversion</t>
  </si>
  <si>
    <t xml:space="preserve">Balancering </t>
  </si>
  <si>
    <t>Netto risico GTS BT</t>
  </si>
  <si>
    <t>RV connection</t>
  </si>
  <si>
    <t>OUDE STATENZIJL (ETZEL-FREYA-H)</t>
  </si>
  <si>
    <t>IJMUIDEN (WINTERSHALL)</t>
  </si>
  <si>
    <t>KOOG A/D ZAAN (TATE &amp; LYLE NL BV)</t>
  </si>
  <si>
    <t>NG BRIELLE (STEDIN)</t>
  </si>
  <si>
    <t>NG HEEMSTEDE (STEDIN)</t>
  </si>
  <si>
    <t>NG HOEKSE WAARD (STEDIN)</t>
  </si>
  <si>
    <t>NG KRIMPEN (STEDIN)</t>
  </si>
  <si>
    <t>NG LEERDAM (STEDIN)</t>
  </si>
  <si>
    <t>NG NOORD-OOST FRIESLAND (STEDIN)</t>
  </si>
  <si>
    <t>NG HILVERSUM (LIANDER)</t>
  </si>
  <si>
    <t>MAASBRACHT (ESSENT EP CLAUS CENTRALE-G)</t>
  </si>
  <si>
    <t>OOSTERBIERUM (LAMB WESTON)</t>
  </si>
  <si>
    <t>OUDE STATENZIJL (EWE JEMGUM)</t>
  </si>
  <si>
    <t>Totale inkomsten obv reserveringsprijs</t>
  </si>
  <si>
    <t>Totale inkomsten obv veilingprijs</t>
  </si>
  <si>
    <t>ORANJE = Verwijzing die ingevuld is door ACM</t>
  </si>
  <si>
    <t>Bron: x-factorbesluiten</t>
  </si>
  <si>
    <t>Verschil prognose en realisatie BESeF KC</t>
  </si>
  <si>
    <t>Transport (Entry/exit/connection)</t>
  </si>
  <si>
    <t>Tabel 7 - Marktfaciliterende activiteiten</t>
  </si>
  <si>
    <t>Aandeel BAT%</t>
  </si>
  <si>
    <t>TI BAT</t>
  </si>
  <si>
    <t>Nacalculeren incl heffingsrente totaal TT</t>
  </si>
  <si>
    <t>Opbrengsten 2012</t>
  </si>
  <si>
    <t>Aansluitpunt (AT)</t>
  </si>
  <si>
    <t>Kwaliteitsconversie (KC)</t>
  </si>
  <si>
    <t>BAT incl. heffingsrente</t>
  </si>
  <si>
    <t>Overdracht TT gebruiksrecht</t>
  </si>
  <si>
    <r>
      <t xml:space="preserve">Totaal effect moet </t>
    </r>
    <r>
      <rPr>
        <b/>
        <sz val="10"/>
        <rFont val="Arial"/>
        <family val="2"/>
      </rPr>
      <t>&gt;=</t>
    </r>
    <r>
      <rPr>
        <sz val="10"/>
        <rFont val="Arial"/>
        <family val="2"/>
      </rPr>
      <t>0 zijn</t>
    </r>
  </si>
  <si>
    <t>Incidentele correctie</t>
  </si>
  <si>
    <t>Entrypunt  gasopslag?</t>
  </si>
  <si>
    <t>Correctiefactor indien afwijkende verwachting rekenvolumes</t>
  </si>
  <si>
    <t>Tabel 5 - Uitbreidingsinvesteringen</t>
  </si>
  <si>
    <t>Gebruikt voor investering</t>
  </si>
  <si>
    <t>Totaal veilingpot vorig jaar</t>
  </si>
  <si>
    <t>Totaal veilingpot nieuw</t>
  </si>
  <si>
    <t>Omzet na korting</t>
  </si>
  <si>
    <t>Omzet voor korting</t>
  </si>
  <si>
    <t>Aansluitpunten</t>
  </si>
  <si>
    <t xml:space="preserve">Transport (Entry/exit/connection) </t>
  </si>
  <si>
    <t>Toerekenen aan Balancering</t>
  </si>
  <si>
    <t>Toerekenen aan Kwaliteitsconversie</t>
  </si>
  <si>
    <t>Toerekenen Bestaande aansluiting</t>
  </si>
  <si>
    <t>Toerekenen aan Aansluitpunt</t>
  </si>
  <si>
    <t>Totale toegestane omzet (incl. opslagen) 2014</t>
  </si>
  <si>
    <t>Toegestane omzet Transport 2016</t>
  </si>
  <si>
    <t>Toegestane omzet uit opslagen 2014</t>
  </si>
  <si>
    <t>Totaal gerealiseerde omzet 2014 TT (excl. omzet OBB-regeling)</t>
  </si>
  <si>
    <t>Rekenhoeveelheid 2013</t>
  </si>
  <si>
    <t>Tarief TT + BT 2013</t>
  </si>
  <si>
    <t>Tarief KC 2013</t>
  </si>
  <si>
    <t>OPEX 2012</t>
  </si>
  <si>
    <t xml:space="preserve">Realisatie (gerealiseerde omzet incl opslagen) </t>
  </si>
  <si>
    <t>Toegestane omzet Aansluitpunt  2016  (incl opslagen)</t>
  </si>
  <si>
    <t>opslag UI</t>
  </si>
  <si>
    <t>bron: Methodebesluit 2010-2013</t>
  </si>
  <si>
    <t>Marktfaciliterende activiteiten</t>
  </si>
  <si>
    <t>Veilinggelden interconnectiepunten</t>
  </si>
  <si>
    <t>TT (incl. BAT)</t>
  </si>
  <si>
    <t xml:space="preserve">Tabel 9 - incidentele correcties </t>
  </si>
  <si>
    <t>Tabel 10 - Entrytarieven</t>
  </si>
  <si>
    <t>Tabel 11 - Exittarieven</t>
  </si>
  <si>
    <t>Tabel 12 - Connectiontarieven</t>
  </si>
  <si>
    <t>WACC 2010-2013</t>
  </si>
  <si>
    <t>X-factor bestaande aansluiting 2014-2016</t>
  </si>
  <si>
    <t>Balancering (BT)</t>
  </si>
  <si>
    <t>Bestaande aansluiting (BAT)</t>
  </si>
  <si>
    <t>Verdeelsleutel per taak 2014-2016</t>
  </si>
  <si>
    <t>Exitpunt  gasopslag?</t>
  </si>
  <si>
    <t>EXIT (TT)</t>
  </si>
  <si>
    <t>MP Marktsegment</t>
  </si>
  <si>
    <t>EXIT (BAT)</t>
  </si>
  <si>
    <t>EXIT 
(CONNECTION)</t>
  </si>
  <si>
    <t>ja=1, nee=0</t>
  </si>
  <si>
    <t xml:space="preserve">BAT MP          </t>
  </si>
  <si>
    <t>CONNECTION MP</t>
  </si>
  <si>
    <t>ENTRY (BAT)</t>
  </si>
  <si>
    <t>Wettelijke taak</t>
  </si>
  <si>
    <t>EXIT (AT)</t>
  </si>
  <si>
    <t xml:space="preserve">AT MP          </t>
  </si>
  <si>
    <t>1=ja</t>
  </si>
  <si>
    <t>Toerekenen aan tarief TT (entry, exit, connection) en BAT</t>
  </si>
  <si>
    <t>ENTRY (AT)</t>
  </si>
  <si>
    <t>Connection MP</t>
  </si>
  <si>
    <t>Begininkomsten 2013 per taak</t>
  </si>
  <si>
    <t>Toegestane inkomsten 2014 per taak</t>
  </si>
  <si>
    <t>Aandeel OPEX op investering AT</t>
  </si>
  <si>
    <t>OPEX basis</t>
  </si>
  <si>
    <t xml:space="preserve"> Ja of nee</t>
  </si>
  <si>
    <t>Tabel 8 - Nacalculaties Omzetregulering, OBB en Veilinggelden - pas relevant per 2016</t>
  </si>
  <si>
    <t>Toegestane omzet Transport 2016 (excl opslagen)</t>
  </si>
  <si>
    <t>bron: Methodebesluit</t>
  </si>
  <si>
    <t>Tabel 3 - Tariefaanpassing</t>
  </si>
  <si>
    <t>Ratio aanpassing</t>
  </si>
  <si>
    <t>Bron: Methodebesluit</t>
  </si>
  <si>
    <t>Bron: Methodebesluit 2010-2013</t>
  </si>
  <si>
    <t>bron: Methodebesluiten</t>
  </si>
  <si>
    <t>Opbrengsten 2013 voor investeringen met opbrengsten lager dan kosten</t>
  </si>
  <si>
    <t>Realisatie BESeF TT incl. BAT</t>
  </si>
  <si>
    <t>OPEX 2010</t>
  </si>
  <si>
    <t>OPEX 2011</t>
  </si>
  <si>
    <t>Opbrengsten 2010</t>
  </si>
  <si>
    <t>Opbrengsten 2011</t>
  </si>
  <si>
    <t>Allocatie grenscapaciteit</t>
  </si>
  <si>
    <t>Uitbreiding Eucabo</t>
  </si>
  <si>
    <t>Portfolio stuursignaal</t>
  </si>
  <si>
    <t>Technisch beheer, licenties</t>
  </si>
  <si>
    <t>Samenwerking APX</t>
  </si>
  <si>
    <t>Vergroten liquiditeit op de within day markt</t>
  </si>
  <si>
    <t xml:space="preserve">Europese samenwerking </t>
  </si>
  <si>
    <t xml:space="preserve">Voorbereiding ENTSOG </t>
  </si>
  <si>
    <t>Transparantie deel 1 en 2</t>
  </si>
  <si>
    <t>Verbeteren transparantie en vervolg EU Transparancy platform II</t>
  </si>
  <si>
    <t>Transparantie deel 3</t>
  </si>
  <si>
    <t xml:space="preserve">Uitbreiding Transport Insight </t>
  </si>
  <si>
    <t>Nomineren</t>
  </si>
  <si>
    <t>Nomineren via internet</t>
  </si>
  <si>
    <t>Edig@s 4.0</t>
  </si>
  <si>
    <t>Bericht uitwisseling</t>
  </si>
  <si>
    <t>Transparantie deel 4</t>
  </si>
  <si>
    <t>Vervolg EU Transparancy platform III</t>
  </si>
  <si>
    <t xml:space="preserve">GC link </t>
  </si>
  <si>
    <t>Inpassing nieuwe gassen</t>
  </si>
  <si>
    <t>Wettelijke rapportage</t>
  </si>
  <si>
    <t>Leveringszekerheid</t>
  </si>
  <si>
    <t>Netnorm</t>
  </si>
  <si>
    <t>Ombouw aangeslotene</t>
  </si>
  <si>
    <t>PRISMA-capaciteit veiling</t>
  </si>
  <si>
    <t>Pilot veilen op grenspunten</t>
  </si>
  <si>
    <t xml:space="preserve">Netto kosten </t>
  </si>
  <si>
    <t>Budget MFA obv gemiddelde 2010-2012</t>
  </si>
  <si>
    <t>Kosten - opbrengsten 2010 in pp 2012</t>
  </si>
  <si>
    <t>Kosten - opbrengsten 2011 in pp 2012</t>
  </si>
  <si>
    <t>Kosten - opbrengsten 2012 in pp 2012</t>
  </si>
  <si>
    <t>Realisatie BESeF KC</t>
  </si>
  <si>
    <t>Berekening budget MFA 2014-2016</t>
  </si>
  <si>
    <t>EUR</t>
  </si>
  <si>
    <t>EUR/m3(n;35,17)/h/y</t>
  </si>
  <si>
    <t>m3(n;35,17)/h/y</t>
  </si>
  <si>
    <t>kWh/h/y</t>
  </si>
  <si>
    <t xml:space="preserve">40 Aansluitpunt </t>
  </si>
  <si>
    <t>41 Stikstofbuffer</t>
  </si>
  <si>
    <t>EUR/kWh/h/y</t>
  </si>
  <si>
    <t>EUR/kWh/hour/year</t>
  </si>
  <si>
    <t>EUR/gecontracteerde entry- en exitcapaciteit uitgedrukt in kWh/hour/year</t>
  </si>
  <si>
    <t>EUR/gecontracteerde entry- of exitcapaciteit voor BAT MP uitgedrukt in kWh/hour/year</t>
  </si>
  <si>
    <t>Compressorstations (latere activeringen Q1-Q2 2013)</t>
  </si>
  <si>
    <t>Leidingen</t>
  </si>
  <si>
    <t>Leidingen  (latere activeringen Q1-Q2 2013)</t>
  </si>
  <si>
    <t>Installaties (latere activeringen Q1-Q2 2013)</t>
  </si>
  <si>
    <t>M&amp;R stations (latere activeringen Q1-Q2 2013)</t>
  </si>
  <si>
    <t>Leidingen (latere activeringen Q1-Q2 2013)</t>
  </si>
  <si>
    <t>ja</t>
  </si>
  <si>
    <t>Gasontvangstations (latere activeringen Q1-Q2 2013)</t>
  </si>
  <si>
    <t>Stikstofbuffer Heiligerlee</t>
  </si>
  <si>
    <t>Mengstations (latere activeringen Q1-Q2 2013)</t>
  </si>
  <si>
    <t>Vulgas</t>
  </si>
  <si>
    <t>SLOE (DELTA)</t>
  </si>
  <si>
    <t>NG TILBURG (ENEXIS)</t>
  </si>
  <si>
    <t>NG DEN BOSCH (ENEXIS)</t>
  </si>
  <si>
    <t>MAASVLAKTE Q16 ORANJE NASSAU (ONE)</t>
  </si>
  <si>
    <t>DINXPERLO (BEW)</t>
  </si>
  <si>
    <t>RENKUM (PARENCO BV)</t>
  </si>
  <si>
    <t>BERGUM (GDF SUEZ ENERGIE NL NV)</t>
  </si>
  <si>
    <t>NIJMEGEN (GDF SUEZ ENERGIE NL NV)</t>
  </si>
  <si>
    <t>VUREN (SONAC VUREN BV)</t>
  </si>
  <si>
    <t>MOERDIJK (WKC VUILVERBRANDING)</t>
  </si>
  <si>
    <t>OSS (MERCK MSD OSS BV)</t>
  </si>
  <si>
    <t>LELYSTAD (GDF SUEZ ENERGIE NL NV-MAXIMA)</t>
  </si>
  <si>
    <t>OUDE STATENZIJL (GTG NORD-G)</t>
  </si>
  <si>
    <t>MAASVLAKTE (TAQA)</t>
  </si>
  <si>
    <t>OUDE STATENZIJL (ASTORA JEMGUM)</t>
  </si>
  <si>
    <t>Tabel 13 - Overige tarieven</t>
  </si>
  <si>
    <t>Tabel 14 - Controle</t>
  </si>
  <si>
    <t>Prisma</t>
  </si>
  <si>
    <t>Prisma Europees Boekingsplatform</t>
  </si>
  <si>
    <t xml:space="preserve">Toerekenen aan Transport (Entry/exit/connection) </t>
  </si>
  <si>
    <t>Toegestane omzet Balancering 2016 (excl opslagen)</t>
  </si>
  <si>
    <t>Toegestane omzet Kwaliteitsconversie 2016 (excl opslagen)</t>
  </si>
  <si>
    <t>Toegestane omzet Bestaande aansluiting 2016 (excl opslagen)</t>
  </si>
  <si>
    <t>WIT = Harde input</t>
  </si>
  <si>
    <t>Toegestane inkomsten 2015 per taak</t>
  </si>
  <si>
    <t>Nacalculeren incl heffingsrente totaal BT</t>
  </si>
  <si>
    <t>RV 2015</t>
  </si>
  <si>
    <t>aantal verhandelingen</t>
  </si>
  <si>
    <t>nvt voor 2015</t>
  </si>
  <si>
    <t>Verwijzing voor opmerking</t>
  </si>
  <si>
    <t>Richtlijnen en instructie bij de tarievenmodule</t>
  </si>
  <si>
    <t>Informatieverzoek van ACM in het kader van CODATA</t>
  </si>
  <si>
    <t>Onderwerp</t>
  </si>
  <si>
    <t>Doel van dit informatieverzoek</t>
  </si>
  <si>
    <t xml:space="preserve">Dit informatieverzoek dient ter verkrijging door ACM van  informatie ten behoeve van het vaststellen van het tarievenbesluit. </t>
  </si>
  <si>
    <t>Richtlijnen bij het CODATA informatieverzoek</t>
  </si>
  <si>
    <t>Algemene invulinstructie bij het CODATA informatieverzoek</t>
  </si>
  <si>
    <t xml:space="preserve">De opzet van de tabbladen en de in het model aangebrachte formules en verwijzingen mogen niet worden verwijderd of gewijzigd. Alleen de groen gekleurde cellen moeten worden ingevuld. Witte cellen (door ACM ingevulde gegevens), gele cellen (berekende waardes) en oranje cellen (verwijzingen) mogen niet worden ingevuld of gewijzigd. GTS mag, indien nodig, extra regels toevoegen of regels verwijderen in de lijsten met netwerkpunten. Daarnaast kan GTS in de tabel Incidenteel eventuele incidentele posten of correcties opnemen. </t>
  </si>
  <si>
    <t>Wanneer u nadere vragen heeft over de wijze waarop deze module ingevuld dient te worden, kunt u contact opnemen met de contactpersoon die onder aan deze pagina vermeld staat.</t>
  </si>
  <si>
    <t xml:space="preserve">ACM zal de door u ingevulde module integraal openbaar maken op haar website, www.acm.nl, met uitzondering van gegevens die op basis van de vertrouwelijkheidsgronden (artikelen 10 en 11) uit de Wet openbaarheid bestuur van openbaarmaking (hierna: Wob) uitgezonderd moeten worden. In verband hiermee verzoekt ACM GTS om uitdrukkelijk en gemotiveerd aan te geven of, en zo ja, welke gegevens naar het oordeel van GTS in het licht van de Wob vertrouwelijk dienen te blijven. U kunt dit aangeven in de toelichting bij het ingediende tarievenvoorstel. ACM zal vervolgens met inachtneming van uw motivering besluiten of uitzondering van openbaarmaking van deze gegevens gerechtvaardigd is. </t>
  </si>
  <si>
    <t>In de werkbladen is telkens een kolom opgenomen waarin GTS een verwijzing voor een opmerking kan plaatsen. Op het werkblad Incidenteel kan GTS deze opmerkingen clusteren met verwijzing naar het nummer van een opmerking.</t>
  </si>
  <si>
    <t>Instructie bij het invullen van TAR_Tab2_Volumina</t>
  </si>
  <si>
    <t>Instructie bij het invullen van TAR_Tab5_Uitbereidingsinvesteringen</t>
  </si>
  <si>
    <t>Contactgegevens ACM ten behoeve van deze uitvraag</t>
  </si>
  <si>
    <t>Contactpersonen:</t>
  </si>
  <si>
    <t>Postbus 16326</t>
  </si>
  <si>
    <t>Tabel 1 - Adresgegevens</t>
  </si>
  <si>
    <t>Deadline:</t>
  </si>
  <si>
    <t>Datum van versturen GTS</t>
  </si>
  <si>
    <t>Naam bedrijf</t>
  </si>
  <si>
    <t>Gasunie Transport Services B.V.</t>
  </si>
  <si>
    <t>Adres</t>
  </si>
  <si>
    <t>Postbus 181</t>
  </si>
  <si>
    <t>Postcode</t>
  </si>
  <si>
    <t>9700 AD</t>
  </si>
  <si>
    <t>Plaats</t>
  </si>
  <si>
    <t>Groningen</t>
  </si>
  <si>
    <t>Contactpersoon</t>
  </si>
  <si>
    <t>Telefoonnummer</t>
  </si>
  <si>
    <t>Telefaxnummer</t>
  </si>
  <si>
    <t>E-mailadres</t>
  </si>
  <si>
    <t xml:space="preserve">Bij vragen: </t>
  </si>
  <si>
    <t>E-mailadres:</t>
  </si>
  <si>
    <t>DE-Tarievenbesluiten@acm.nl</t>
  </si>
  <si>
    <t>ACM</t>
  </si>
  <si>
    <t>2500 BH Den Haag</t>
  </si>
  <si>
    <t>E-mailadres: CODATA_netbeheerders@acm.nl</t>
  </si>
  <si>
    <t>CAPEX</t>
  </si>
  <si>
    <t>nee</t>
  </si>
  <si>
    <t>Toegestane inkomsten 2016 per taak</t>
  </si>
  <si>
    <t>OPEX</t>
  </si>
  <si>
    <t xml:space="preserve">CAPEX </t>
  </si>
  <si>
    <t>incl heffingsrente</t>
  </si>
  <si>
    <t>voor vergoeding in 2015</t>
  </si>
  <si>
    <t>Opbrengsten</t>
  </si>
  <si>
    <t xml:space="preserve">Kosten - opbrengsten </t>
  </si>
  <si>
    <t>incl. heffingsrente</t>
  </si>
  <si>
    <t>Kosten 2014&amp;2015 - Opbrengsten 2014</t>
  </si>
  <si>
    <t>NPD 2014 voor vergoeding in TV 2015</t>
  </si>
  <si>
    <t>Afschrijving 2013</t>
  </si>
  <si>
    <t>Heffingsrente voor vergoeding in 2015</t>
  </si>
  <si>
    <t>Nieuw in module 2015?</t>
  </si>
  <si>
    <t>OPEX BASIS</t>
  </si>
  <si>
    <t>primo:</t>
  </si>
  <si>
    <t>ultimo:</t>
  </si>
  <si>
    <t>GAW standen</t>
  </si>
  <si>
    <t xml:space="preserve">Inflatie van investeringsjaar naar: </t>
  </si>
  <si>
    <t>GAW</t>
  </si>
  <si>
    <t>ultimo 2013</t>
  </si>
  <si>
    <t>OPEX 2013</t>
  </si>
  <si>
    <t>Jaarlijkse afschrijving zonder inflatie</t>
  </si>
  <si>
    <t>CAPEX per jaar</t>
  </si>
  <si>
    <t>Aandeel per wettelijke taak</t>
  </si>
  <si>
    <t>BT %</t>
  </si>
  <si>
    <t>KC %</t>
  </si>
  <si>
    <t xml:space="preserve">dan kosten? </t>
  </si>
  <si>
    <t>ja of nee</t>
  </si>
  <si>
    <t>TT (incl. BAT) %</t>
  </si>
  <si>
    <t>Te vergoeden kosten in 2015</t>
  </si>
  <si>
    <t>Opbrengsten 2013 van investeringen met opbrengsten lager dan kosten excl. heffingsrente</t>
  </si>
  <si>
    <t>Opbrengsten 2013 van investeringen met opbrengsten lager dan kosten incl. heffingsrente</t>
  </si>
  <si>
    <t>Toegestane omzet BT 2015</t>
  </si>
  <si>
    <t>Toegestane omzet BAT 2015</t>
  </si>
  <si>
    <t>Toegestane omzet KC 2015</t>
  </si>
  <si>
    <t>1% van investering</t>
  </si>
  <si>
    <t>Kosten per wettelijke taak</t>
  </si>
  <si>
    <t>TT%</t>
  </si>
  <si>
    <t>BT%</t>
  </si>
  <si>
    <t>KC%</t>
  </si>
  <si>
    <t>NPD voor vergoeding in TV 2015</t>
  </si>
  <si>
    <t>bron: Methodebesluit 2014-2016</t>
  </si>
  <si>
    <t>GRIJS MET GRIJZE TEKST - Waarde die niet relevant is voor dit tarievenbesluit maar wel voor tarievenbesluiten in latere jaren</t>
  </si>
  <si>
    <t>Toegestane omzet  2015 incl opslagen</t>
  </si>
  <si>
    <t>Tarief 2014 excl opslagen</t>
  </si>
  <si>
    <t>Totaal tarief 2015 onafgerond</t>
  </si>
  <si>
    <t>Totaal tarief 2015 
afgerond</t>
  </si>
  <si>
    <t>Omzet 2013</t>
  </si>
  <si>
    <t>Tarieven 2013</t>
  </si>
  <si>
    <t>omgerekend RV 2015</t>
  </si>
  <si>
    <t>aangepast RV 2015</t>
  </si>
  <si>
    <t>Heffingsrente voor vergoeding in 2015 van kosten 2013</t>
  </si>
  <si>
    <t>Realisatie (financiële data 2013)</t>
  </si>
  <si>
    <t>Toegestane omzet Entry, Exit, connection 2015</t>
  </si>
  <si>
    <t>Toegestane omzet Balancering 2015</t>
  </si>
  <si>
    <t>Tarief 2014 excl opslagen en korting gasopslag</t>
  </si>
  <si>
    <t>Totaal entry tarief 2015 onafgerond</t>
  </si>
  <si>
    <t>Totaal entry tarief 2015 na korting opslag onafgerond</t>
  </si>
  <si>
    <t xml:space="preserve">Totaal entry tarief 2015  afgerond </t>
  </si>
  <si>
    <t>Totaal entry tarief 2015 incl BT en KC afgerond</t>
  </si>
  <si>
    <t>Vereiste omzet niet-gasopslag</t>
  </si>
  <si>
    <t>Vereiste tariefstijging niet gasopslag</t>
  </si>
  <si>
    <t>Totaal exit tarief 2015 na compensatie korting gasopslag</t>
  </si>
  <si>
    <t>Totaal entry tarief 2015 na compensatie korting</t>
  </si>
  <si>
    <t>Controle</t>
  </si>
  <si>
    <t>Omzet gasopslag na korting</t>
  </si>
  <si>
    <t>Totaal exit tarief 2015 onafgerond</t>
  </si>
  <si>
    <t>Totaal exit tarief 2015 na korting opslag onafgerond</t>
  </si>
  <si>
    <t xml:space="preserve">Totaal exit tarief 2015 afgerond </t>
  </si>
  <si>
    <t>Totaal exit tarief 2015 incl BT en KC afgerond</t>
  </si>
  <si>
    <t>Totaal connection tarief 2015 onafgerond</t>
  </si>
  <si>
    <t>Totaal connection tarief 2015 afgerond</t>
  </si>
  <si>
    <t>Heffingsrente voor verrekening in jaar 2015</t>
  </si>
  <si>
    <t>Gegevensuitvraag van de ACM in het kader van informatieverzoek tarievenvoorstel GTS 2015</t>
  </si>
  <si>
    <t>CAPEX 2013</t>
  </si>
  <si>
    <t>K-O 2013 incl heffingsrente</t>
  </si>
  <si>
    <t>MFA 2013 voor vergoeding in TV 2015</t>
  </si>
  <si>
    <t>Omzet niet gasopslag vóór compensatie</t>
  </si>
  <si>
    <t>MFA budget 2015</t>
  </si>
  <si>
    <t>Te vergoeden kosten/budget 2015</t>
  </si>
  <si>
    <t>ter vergoeding in tarieven 2015</t>
  </si>
  <si>
    <t xml:space="preserve">Infl van inv naar: </t>
  </si>
  <si>
    <t>OPEX + CAPEX</t>
  </si>
  <si>
    <t>OPEX + CAPEX BT</t>
  </si>
  <si>
    <t>OPEX + CAPEX KC</t>
  </si>
  <si>
    <t>OPEX + CAPEX incl heffingsrente</t>
  </si>
  <si>
    <t>BESeF 2009</t>
  </si>
  <si>
    <t>CPI 2009-2013</t>
  </si>
  <si>
    <t>Aansluitpunten entry</t>
  </si>
  <si>
    <t xml:space="preserve">Toegestane omzet Entry, Exit, Connection 2015 </t>
  </si>
  <si>
    <t xml:space="preserve"> obv 1% schatting?</t>
  </si>
  <si>
    <t>obv specifieke schatting</t>
  </si>
  <si>
    <t>obv schatting</t>
  </si>
  <si>
    <t>Type niet reguliere UI</t>
  </si>
  <si>
    <t>OPEX + CAPEX TT</t>
  </si>
  <si>
    <t>TT (excl. BAT)</t>
  </si>
  <si>
    <t>module 2015?</t>
  </si>
  <si>
    <t>Nieuw in</t>
  </si>
  <si>
    <t>termijn</t>
  </si>
  <si>
    <t>Afschrijvings-</t>
  </si>
  <si>
    <t xml:space="preserve">Niet-reguliere uitbreidingsinvesteringen opgegeven in tarievenmodule 2014  voor vergoeding kosten in 2015 én niet-reguliere uitbreidingsinvesteringen </t>
  </si>
  <si>
    <t>voor het eerst opgegeven in tarievenmodule 2015 voor vergoeding kosten (2013), 2014 en 2015 conform paragraaf 10.8 Methodebesluit</t>
  </si>
  <si>
    <t>incl. BAT</t>
  </si>
  <si>
    <t>ter verg.in tar. 2015
incl. heffingsrente</t>
  </si>
  <si>
    <t>excl. heffingsrente</t>
  </si>
  <si>
    <t>OPEX per jaar</t>
  </si>
  <si>
    <t>ter verg.in tar. 2015
excl. heffingsrente</t>
  </si>
  <si>
    <t xml:space="preserve">OPEX </t>
  </si>
  <si>
    <t xml:space="preserve">Opbrengsten 2013 hoger </t>
  </si>
  <si>
    <t>NPD - Aansluitpunten</t>
  </si>
  <si>
    <t xml:space="preserve">Nieuw in module 2015? </t>
  </si>
  <si>
    <t>Ja of Nee</t>
  </si>
  <si>
    <t xml:space="preserve">Kosten ter vergoeding in </t>
  </si>
  <si>
    <t>RV</t>
  </si>
  <si>
    <t xml:space="preserve">AT-tarief </t>
  </si>
  <si>
    <t>In EUR/kWh/h/y</t>
  </si>
  <si>
    <t>Totaal toe te rekenen kosten</t>
  </si>
  <si>
    <t>Te vergoeden kosten per taak</t>
  </si>
  <si>
    <t>TT(Entry/exit/connection)</t>
  </si>
  <si>
    <t>Aansluitingen in de zin van de bestaande aansluitingtaak:</t>
  </si>
  <si>
    <t xml:space="preserve">In dit tabblad zijn groene cellen opgenomen waarin GTS geschatte rekenvolumina kan invullen. Indien er geen afwijkend geschat rekenvolume van toepassing is, dient in deze groene cellen het berekende rekenvolume 2015 ingevuld te worden. </t>
  </si>
  <si>
    <t>GTS Tarievenvoorstel 2015</t>
  </si>
  <si>
    <t>Verslaglegging in dit informatieverzoek dient plaats te vinden met inachtneming van de Afspraken Financiële Informatieverzoeken 2014-2015-2016  voor GTS (hierna: AFI). De algemene grondslagen en bepalingen die in de hoofdstukken 1 en 2 van de AFI zijn opgenomen dienen bij elke tabel in dit dataverzoek in aanmerking te worden genomen. Waar de auditinstructie afwijkt van de AFI wat betreft de grondslagen waar op de aan te leveren informatie is gebaseerd, is de auditinstructie leidend. Indien de tarievenmodule (inclusief invulinstructie) en de auditinstructie wat betreft de door de accountant te controleren informatie tegenstrijdigheden opleveren, is de tarievenmodule  (inclusief invulinstructie) leidend.</t>
  </si>
  <si>
    <t>Wanneer u vragen heeft over de toepassing van de AFI bij het invullen van het CODATA informatieverzoek, wordt u verzocht contact op te nemen met de contactpersoon die onderaan deze pagina vermeld staat. Ook wanneer u nadere aanwijzingen nodig heeft voor de beoordeling van gegevens of bijzondere situaties in uw bedrijfsvoering in het licht van de AFI wordt u verzocht contact op te nemen met ACM.</t>
  </si>
  <si>
    <t xml:space="preserve">Schatting GTS afwijkend rekenvolume 2015 (in kWh/h/y) </t>
  </si>
  <si>
    <t xml:space="preserve">Totaal rekenvolume 2015 op basis van realisaties 2013 (in kWh/h/y) </t>
  </si>
  <si>
    <t>OPEX 2014</t>
  </si>
  <si>
    <t xml:space="preserve">Schatting rekenvolume: </t>
  </si>
  <si>
    <t>OPEX + CAPEX TT incl. BAT</t>
  </si>
  <si>
    <t>OPEX + CAPEX TT excl. BAT</t>
  </si>
  <si>
    <t>van investeringen uit 2013</t>
  </si>
  <si>
    <t>van investeringen uit 2014</t>
  </si>
  <si>
    <t>Percentage toe te rekenen aan TT</t>
  </si>
  <si>
    <t>Percentage toe te rekenen aan BAT</t>
  </si>
  <si>
    <t>Kosten toe te rekenen aan TT</t>
  </si>
  <si>
    <t>Kosten toe te rekenen aan BAT</t>
  </si>
  <si>
    <t xml:space="preserve">TT </t>
  </si>
  <si>
    <t>Te vergoeden kosten</t>
  </si>
  <si>
    <t>Splitsing van kosten UI's uit 2013 TT (incl. BAT) en TT (excl. BAT) over TT en BAT</t>
  </si>
  <si>
    <t xml:space="preserve">In de tabel ‘Rekenvolumina’ op het tabblad TAR_Tab2_Volumina zijn in kolom ‘Exit (BAT)’ en de kolom AC ‘Entry (BAT) groene cellen opgenomen waarin GTS voor elk punt dient aan te geven of het desbetreffende punt een aansluiting is de zin van de bestaande aansluitingtaak. GTS doet dit door in kolom J ‘Exit (BAT)’ een ‘1’ in te voeren in het geval het betreffende punt een aansluiting is met een industrieel punt (waaronder industrieën, elektriciteitscentrales en gesloten distributiepunten) dat voor 1 april 2011 in gebruik is genomen dan wel in aanbouw was en in kolom ‘Entry (BAT)’ een ‘1’ in te voeren in het geval het betreffende punt een aansluiting is met een gasopslag of met een productiepunt dat  voor 1 april 2011 in gebruik is genomen dan wel in aanbouw was. In de overige gevallen dient GTS in deze kolommen een ‘0’ in te voeren. </t>
  </si>
  <si>
    <t>Reguliere uitbreidingsinvesteringen in 2013 voor vergoeding kosten resterende maanden 2013 cf paragraaf 10.7 Methodebesluit</t>
  </si>
  <si>
    <t>Toegestane omzet 2015 per taak</t>
  </si>
  <si>
    <t>GROEN = Informatiecel die GTS dient in te vullen - dan wel reeds (op basis van openbare informatie door ACM) ingevulde informatiecel te controleren en indien nodig te wijzigen</t>
  </si>
  <si>
    <t xml:space="preserve">In dit tabblad (UI) zijn in kolom ‘Type niet reguliere UI’ groene cellen opgenomen waarin GTS voor elke niet-reguliere uitbreidingsinvestering dient aan te geven wat voor type niet-reguliere uitbereidingsinvestering de investering is (tussen haakjes staat welke tekst GTS in de groene cel dient in te vullen); een investering als bedoeld in artikel 39e van de Gaswet (artikel 39e Gw), een investering als bedoeld in artikel 39f derde lid van de Gaswet (artikel 39f Gw), een investering als bedoeld in artikel 54a derde lid van de Gaswet (artikel 54a Gw) of een investering als bedoeld in randnummer 244-246 van het methodebesluit 2014-2016 (overgang MB). Hierbij dient GTS investeringen zodanig onder te verdelen dat per rij slechts één kwalificatie mogelijk is. </t>
  </si>
  <si>
    <t>Bron: http://www.belastingdienst.nl/wps/wcm/connect/bldcontentnl/standaard_functies/prive/contact/rechten_en_plichten_bij_de_belastingdienst/rente/heffingsrente/overzicht_percentages_heffingsrente/</t>
  </si>
  <si>
    <t xml:space="preserve">Schatting GTS omzet shorthaul </t>
  </si>
  <si>
    <t>Schatting GTS omzet verlegging</t>
  </si>
  <si>
    <t>Schatting GTS omzet maatwerk</t>
  </si>
  <si>
    <t>Tariefaanpassing</t>
  </si>
  <si>
    <t>Schatting GTS omzet shorthaul 2015</t>
  </si>
  <si>
    <t>Schatting GTS omzet verlegging 2015</t>
  </si>
  <si>
    <t>Schatting GTS omzet maatwerk 2015</t>
  </si>
  <si>
    <t>Gerealiseerde omzet Transport 2014</t>
  </si>
  <si>
    <t>Tarief 2014*(1+cpi-x)</t>
  </si>
  <si>
    <t>Tarief aangepast aan toegestane inkomsten 2015</t>
  </si>
  <si>
    <t>Totale omzet obv geschatte RV 2015 * tarief 2014*(1+cpi-x)</t>
  </si>
  <si>
    <t>Correctie TI transport agv shorthaul</t>
  </si>
  <si>
    <t>Correctie TI transport agv verlegging</t>
  </si>
  <si>
    <t>Correctie TI transport agv maatwerk</t>
  </si>
  <si>
    <t>Subtotaal transport</t>
  </si>
  <si>
    <t>Totaal Transport</t>
  </si>
  <si>
    <t>Toegestane inkomsten 2015</t>
  </si>
  <si>
    <t>Schatting voor omzetten waar in het tarievenbesluit geen tarief voor wordt vastgesteld</t>
  </si>
  <si>
    <t>Omzet uit tarieven incl opslagen 2015 onafgerond * RV en diensten waarvoor geen tarief vastgesteld</t>
  </si>
  <si>
    <t xml:space="preserve">n.b. Betreft berekening om rekening te houden met inkomsten uit diensten waarvoor in het tarievenbesluit geen tarief wordt vastgesteld (shorthaul, verlegging en maatwerk). Het doel is om de tarieven zo goed mogelijk vast te stellen, zodat de verwachte totale omzet van GTS gelijk is aan de toegestane inkomsten voor 2015.  De verwachte totale omzet van GTS bestaat uit de omzet op basis van de vast te stellen tarieven vermenigvuldigd met de rekenvolumina én de verwachte omzet van diensten waar ACM geen tarief voor vaststelt.  </t>
  </si>
  <si>
    <t>OEFFELT (ENDINET)</t>
  </si>
  <si>
    <t>local distribution point</t>
  </si>
  <si>
    <t>LANDHORST (ENDINET)</t>
  </si>
  <si>
    <t>GOIRLE (DESSO BV)</t>
  </si>
  <si>
    <t>industrial point</t>
  </si>
  <si>
    <t>PG HOOGERHEIDE (ENEXIS B.V.)</t>
  </si>
  <si>
    <t>PG GIESSEN (ENEXIS B.V.)</t>
  </si>
  <si>
    <t>ALPHEN NB (ENEXIS B.V.)</t>
  </si>
  <si>
    <t>PG OOSTERHOUT (ENEXIS B.V.)</t>
  </si>
  <si>
    <t>MILL (ENDINET)</t>
  </si>
  <si>
    <t>CUYK (ENDINET)</t>
  </si>
  <si>
    <t>VUGHT (ENDINET)</t>
  </si>
  <si>
    <t>GRAVE (ENDINET)</t>
  </si>
  <si>
    <t>HILVARENBEEK (ENEXIS B.V.)</t>
  </si>
  <si>
    <t>HEUSDEN (ENEXIS B.V.)</t>
  </si>
  <si>
    <t>PRINSENBEEK (ENEXIS B.V.)</t>
  </si>
  <si>
    <t>PG SPRUNDEL (ENEXIS B.V.)</t>
  </si>
  <si>
    <t>SCHIJNDEL (ENDINET)</t>
  </si>
  <si>
    <t>BEEK EN DONK WEST (ENDINET)</t>
  </si>
  <si>
    <t>AARLE-RIXTEL (ENDINET)</t>
  </si>
  <si>
    <t>MEERSSEN (MEERSSEN PAPIER BV)</t>
  </si>
  <si>
    <t>EIJSDEN (UMICORE NL BV)</t>
  </si>
  <si>
    <t>VEGHEL (FRIESLANDCAMPINA)</t>
  </si>
  <si>
    <t>border point</t>
  </si>
  <si>
    <t>ZEVENAAR</t>
  </si>
  <si>
    <t>WINTERSWIJK (OGE)</t>
  </si>
  <si>
    <t>TEGELEN (OGE)</t>
  </si>
  <si>
    <t>BOCHOLTZ TENP (OGE - FLX TENP)</t>
  </si>
  <si>
    <t>HAANRADE (THYSSENGAS)</t>
  </si>
  <si>
    <t>OUDE STATENZIJL (OGE)</t>
  </si>
  <si>
    <t>OUDE STATENZIJL (GASCADE-H)</t>
  </si>
  <si>
    <t>ZUTPHEN (AURUBIS NETHERLANDS BV)</t>
  </si>
  <si>
    <t>ZWOLLE (GDF SUEZ ENERGIE NL NV)</t>
  </si>
  <si>
    <t>DELFZIJL (CONTITANK BV)</t>
  </si>
  <si>
    <t>ZWOLLE (SENSUS BV)</t>
  </si>
  <si>
    <t>LELYSTAD (GDF SUEZ ENERGIE NL NV-FLEVO)</t>
  </si>
  <si>
    <t>HOOGKERK (SMURFIT KAPPA SB BV)</t>
  </si>
  <si>
    <t>HOOGEZAND (QEW ENGINEERED RUBBER)</t>
  </si>
  <si>
    <t>COEVORDEN (SMURFIT KAPPA SB BV)</t>
  </si>
  <si>
    <t>NIJVERDAL (TEN CATE PROTECT BV)</t>
  </si>
  <si>
    <t>LOCHEM (FRIESLANDCAMPINA)</t>
  </si>
  <si>
    <t>LOENEN (SOLIDPACK BV)</t>
  </si>
  <si>
    <t>DELFZIJL (GDF SUEZ ENERGIE NL-EEMS 1-2)</t>
  </si>
  <si>
    <t>BEILEN (FRIESLANDCAMPINA DOMO)</t>
  </si>
  <si>
    <t>OUDE PEKELA (SMURFIT KAPPA SB BV)</t>
  </si>
  <si>
    <t>FARMSUM (CLD BV)</t>
  </si>
  <si>
    <t>NIEUWE PEKELA (SMURFIT KAPPA TWINCORR)</t>
  </si>
  <si>
    <t>ENSCHEDE (APOLLO VREDESTEIN)</t>
  </si>
  <si>
    <t>HETEREN (STEENFABRIEK RANDWIJK)</t>
  </si>
  <si>
    <t>SLOTEN (SLOTEN BV)</t>
  </si>
  <si>
    <t>LEEK (HUNTER DOUGLAS EUROPE BV)</t>
  </si>
  <si>
    <t>HAAKSBERGEN (ENEXIS)</t>
  </si>
  <si>
    <t>GROESBEEK (LIANDER)</t>
  </si>
  <si>
    <t>ZUIDWOLDE (RENDO)</t>
  </si>
  <si>
    <t>PG HOEVELAKEN (LIANDER)</t>
  </si>
  <si>
    <t>HAALDEREN (WIENERBERGER BEMMEL)</t>
  </si>
  <si>
    <t>DEEST (STF. VOGELENSANGH)</t>
  </si>
  <si>
    <t>LOBITH (LIANDER)</t>
  </si>
  <si>
    <t>WINSCHOTEN (PQ NL BV)</t>
  </si>
  <si>
    <t>DELFZIJL (DELESTO)</t>
  </si>
  <si>
    <t>NIJVERDAL (TEN CATE ADVANCED TEXT. BV)</t>
  </si>
  <si>
    <t>DELFZIJL (ALDEL BV)</t>
  </si>
  <si>
    <t>ENSCHEDE (VAN MERKSTEIJN PLASTICS BV)</t>
  </si>
  <si>
    <t>ENSCHEDE (ENNATUURLIJK WKC)</t>
  </si>
  <si>
    <t>LOENEN (SMURFIT KAPPA MNL GOLFKARTON)</t>
  </si>
  <si>
    <t>BAD NIEUWESCHANS (SMURFIT KAPPA SB BV)</t>
  </si>
  <si>
    <t>EERBEEK (SANDERS COLDENHOVE)</t>
  </si>
  <si>
    <t>ALMERE (NUON POWER GENERATION B.V.-WKC)</t>
  </si>
  <si>
    <t>WORKUM (FRIESLANDCAMPINA CHEESE)</t>
  </si>
  <si>
    <t>HENGELO (SIEMENS NEDERLAND NV)</t>
  </si>
  <si>
    <t>DELFZIJL (GDF SUEZ ENERGIE NL-EEMS 3-7)</t>
  </si>
  <si>
    <t>HARLINGEN (REC BV)</t>
  </si>
  <si>
    <t>SCHIPHOL WEST (SCHIPHOL GROUP)</t>
  </si>
  <si>
    <t>LEIDEN (E.ON BENELUX ENERGY BV-SV)</t>
  </si>
  <si>
    <t>BOTLEK (AIR LIQUIDE INDUSTRIE BV: SMR)</t>
  </si>
  <si>
    <t>BOTLEK (AIR LIQUIDE INDUSTRIE BV: ATR)</t>
  </si>
  <si>
    <t>BOTLEK (AIR LIQUIDE IND. BV: EUROGEN)</t>
  </si>
  <si>
    <t>BEVERWIJK (HHN-SDI)</t>
  </si>
  <si>
    <t>EUROPOORT (INDORAMA HOLDINGS ROTTERDAM)</t>
  </si>
  <si>
    <t>BOTLEK (RUBIS TERMINAL BV)</t>
  </si>
  <si>
    <t>VLAARDINGEN (UNILEVER R&amp;D)</t>
  </si>
  <si>
    <t>BOTLEK (EMERALD KALAMA CHEMICALS BV)</t>
  </si>
  <si>
    <t>EUROPOORT (OCI TERMINAL)</t>
  </si>
  <si>
    <t>KROMMENIE (FORBO FLOORING BV)</t>
  </si>
  <si>
    <t>IJMUIDEN (TATA STEEL IJMUIDEN BV)</t>
  </si>
  <si>
    <t>UITHOORN (KOPPERS NETHERLANDS BV)</t>
  </si>
  <si>
    <t>BOTLEK (KEMIRA POLYMERS MANUFACTORY)</t>
  </si>
  <si>
    <t>ALKMAAR (NV HVC)</t>
  </si>
  <si>
    <t>PG MOERDIJK (ENEXIS B.V.)</t>
  </si>
  <si>
    <t>EINDHOVEN (ENNATUURLIJK WKC)</t>
  </si>
  <si>
    <t>ROOSENDAAL (SENSUS BV)</t>
  </si>
  <si>
    <t>VLISSINGEN (ZEELAND REFINERY)</t>
  </si>
  <si>
    <t>HELMOND (ENNATUURLIJK SV)</t>
  </si>
  <si>
    <t>BORN (FRIESLANDCAMPINA CHEESE)</t>
  </si>
  <si>
    <t>ROERMOND (SMURFIT KAPPA ROERMOND PAPIER)</t>
  </si>
  <si>
    <t>MAASBRACHT (ESSENT ENERGIE PROD-CLAUSC)</t>
  </si>
  <si>
    <t>MAASHEES (ENDINET)</t>
  </si>
  <si>
    <t>ETTEN-LEUR (ST-GOBAIN CONSTR.PROD.NED)</t>
  </si>
  <si>
    <t>SWALMEN (VAN HOUTUM BV)</t>
  </si>
  <si>
    <t>SAS VAN GENT (ROSIER NEDERLAND BV)</t>
  </si>
  <si>
    <t>HEERLEN (SIBELCO BENELUX)</t>
  </si>
  <si>
    <t>KERKRADE (JINDAL FILMS EUR. KERKRADE BV)</t>
  </si>
  <si>
    <t>LANDGRAAF (XELLA CELLENBETON NL BV)</t>
  </si>
  <si>
    <t>production point</t>
  </si>
  <si>
    <t>storage</t>
  </si>
  <si>
    <t>OUDE STATENZIJL RENATO (OGE)</t>
  </si>
  <si>
    <t>PG DEURNE (ENDINET)</t>
  </si>
  <si>
    <t>PG EINDHOVEN (ENDINET)</t>
  </si>
  <si>
    <t>ENSCHEDE (RWE-UGS EPE)</t>
  </si>
  <si>
    <t>BORCULO (FRIESLANDCAMPINA DOMO)</t>
  </si>
  <si>
    <t>PG BOXMEER (ENDINET)</t>
  </si>
  <si>
    <t>closed distribution point</t>
  </si>
  <si>
    <t>ZUIDWENDING (UGS)</t>
  </si>
  <si>
    <t>RIJNMOND (MAASSTROOM ENERGIE CV)</t>
  </si>
  <si>
    <t>BOCHOLTZ VETSCHAU (THYSSENGAS)</t>
  </si>
  <si>
    <t>BOTLEK (VOPAK TERMINAL BV)</t>
  </si>
  <si>
    <t>NG WADDINXVEEN (STEDIN)</t>
  </si>
  <si>
    <t>MAASBREE (WAYLAND NOVA BV)</t>
  </si>
  <si>
    <t>MAASVLAKTE (NESTE OIL NETHERLANDS BV)</t>
  </si>
  <si>
    <t>PERNIS (RECYCLING KOMBINATIE REKO BV)</t>
  </si>
  <si>
    <t>NG UDEN-ZEELAND (ENDINET)</t>
  </si>
  <si>
    <t>NG OBN-MIDDEN (ENDINET)</t>
  </si>
  <si>
    <t>NG OBN-WEST (ENDINET)</t>
  </si>
  <si>
    <t>NG HELMOND-MILHEEZE-MIERLO (ENDINET)</t>
  </si>
  <si>
    <t>KOEDIJK (TAQA)</t>
  </si>
  <si>
    <t>WAALWIJK (VERMILION)</t>
  </si>
  <si>
    <t>virtual</t>
  </si>
  <si>
    <t>BRAKEL WIJK&amp;AALBURG (VERMILION)</t>
  </si>
  <si>
    <t>ZWOLLE (NATUURGAS OVERIJSSEL B.V.)</t>
  </si>
  <si>
    <t>OS 2005 MR Wijngaarden</t>
  </si>
  <si>
    <t>OS 2012 Fase 1</t>
  </si>
  <si>
    <t>OS 2012 Leiding Odiliapeel-Melick</t>
  </si>
  <si>
    <t>Mengstations</t>
  </si>
  <si>
    <t>Regionale leidingen</t>
  </si>
  <si>
    <t>Reduceerstations</t>
  </si>
  <si>
    <t>Exportstations</t>
  </si>
  <si>
    <t>IOS Westerschelde West - Cambron</t>
  </si>
  <si>
    <t>IOS Oudelandertocht</t>
  </si>
  <si>
    <t>Aanpassen MS Kootstertille</t>
  </si>
  <si>
    <t>Capaciteitsvergroting O-W CS Grijpskerk</t>
  </si>
  <si>
    <t>Gasontvangstations</t>
  </si>
  <si>
    <t>Compressorstations</t>
  </si>
  <si>
    <t>M&amp;R stations</t>
  </si>
  <si>
    <t>Toevoerleiding GOS Ommen en Vilsteren</t>
  </si>
  <si>
    <t>Workflow</t>
  </si>
  <si>
    <t>Carola</t>
  </si>
  <si>
    <t>ISAR-57 Workplace</t>
  </si>
  <si>
    <t>Optimaliseren Rapportage</t>
  </si>
  <si>
    <t>Flowmaster</t>
  </si>
  <si>
    <t>Storage uitbreiding DC</t>
  </si>
  <si>
    <t>Westertocht</t>
  </si>
  <si>
    <t>Vertaling EC gasvoorwaarden</t>
  </si>
  <si>
    <t>%</t>
  </si>
  <si>
    <t>Verdeelsleutels</t>
  </si>
  <si>
    <t>Verdeelsleutel naar taak TT, BT en BAT</t>
  </si>
  <si>
    <t>Subtabel kosten</t>
  </si>
  <si>
    <t>TOELICHTING</t>
  </si>
  <si>
    <t>Kosten 2014</t>
  </si>
  <si>
    <t>EUR pp 2014</t>
  </si>
  <si>
    <t>TOTAAL</t>
  </si>
  <si>
    <t>Subtabel opbrengsten</t>
  </si>
  <si>
    <t>EUR pp 2013</t>
  </si>
  <si>
    <t>Opbrengsten 2014</t>
  </si>
  <si>
    <t>Kosten - Opbrengsten 2013</t>
  </si>
  <si>
    <t>Kosten - Opbrengsten 2014</t>
  </si>
  <si>
    <t>Toe te rekenen kosten - opbrengsten incl. heffingsrente</t>
  </si>
  <si>
    <t>EUR pp 2015</t>
  </si>
  <si>
    <t>Kosten 2013</t>
  </si>
  <si>
    <t>Kostenbesparing BiB</t>
  </si>
  <si>
    <t>Terreinen</t>
  </si>
  <si>
    <t>ICT Middelen</t>
  </si>
  <si>
    <t>HEMRIK/DONKERBROEK (TULIP OIL)</t>
  </si>
  <si>
    <t>Tabel 15 - Toelichting</t>
  </si>
  <si>
    <t>Tabblad/Tabel</t>
  </si>
  <si>
    <t>Nummer/Cel</t>
  </si>
  <si>
    <t>Toelichting</t>
  </si>
  <si>
    <t>Voorblad</t>
  </si>
  <si>
    <t>Richtlijnen en instructie</t>
  </si>
  <si>
    <t>Tabel 1 Adresgegeves</t>
  </si>
  <si>
    <t>Tabel 2 Volumina</t>
  </si>
  <si>
    <t>Onderstaande nieuwe meetpunten (exit/connection) opgenomen:</t>
  </si>
  <si>
    <t>MP omschrijving</t>
  </si>
  <si>
    <t>Onderstaande nieuwe meetpunten (entry) opgenomen:</t>
  </si>
  <si>
    <t>Tabel 3 Tariefaanpassing</t>
  </si>
  <si>
    <t>Tabel 4 BESeF</t>
  </si>
  <si>
    <t>Tabel 5 UI</t>
  </si>
  <si>
    <t>Tabel 6 NPD</t>
  </si>
  <si>
    <t>Tabel 7 MFA</t>
  </si>
  <si>
    <t>Tabel 8 Nacalculaties 14-16</t>
  </si>
  <si>
    <t>Tabel 9 Incidenteel</t>
  </si>
  <si>
    <t>Tabel 10 Entrytarieven</t>
  </si>
  <si>
    <t>Tabel 11 Exittarieven</t>
  </si>
  <si>
    <t>Tabel 12 Connectiontarieven</t>
  </si>
  <si>
    <t>Tabel 13 Overige tarieven</t>
  </si>
  <si>
    <t>Tabel 14 Controle</t>
  </si>
  <si>
    <t>Tabel 15 Toelichting</t>
  </si>
  <si>
    <t>Tabel 17 Verwijderde MP's</t>
  </si>
  <si>
    <t>Capaciteitsvergroting O-W</t>
  </si>
  <si>
    <t>IOS Beverwijk- Wijngaarden</t>
  </si>
  <si>
    <t>Netnorm: correctie MFA nacalculatie uit TB13</t>
  </si>
  <si>
    <t>PRISMA: correctie MFA nacalculatie uit TB14</t>
  </si>
  <si>
    <t>PRISMA: correctie MFA budget 2014 uit TB14</t>
  </si>
  <si>
    <t>Netnorm: correctie MFA budget 2014 uit TB14</t>
  </si>
  <si>
    <t>IOS Aanpassingen diverse stations</t>
  </si>
  <si>
    <t>Stikstofbuffer (latere activeringen Q1-Q2 2013)</t>
  </si>
  <si>
    <t>Exportstations (latere activering)</t>
  </si>
  <si>
    <t>Mengstations (latere activering)</t>
  </si>
  <si>
    <t>OS 2012 Verlenging A-624-10</t>
  </si>
  <si>
    <t>Reduceerstations (latere activering)</t>
  </si>
  <si>
    <t>Regionale leidingen (latere activering)</t>
  </si>
  <si>
    <t>Compressorstations (latere activering)</t>
  </si>
  <si>
    <t>Leidingen (latere activering)</t>
  </si>
  <si>
    <t>Installaties (latere activering)</t>
  </si>
  <si>
    <t>Leidingen  (latere activering)</t>
  </si>
  <si>
    <t>M&amp;R stations (latere activering)</t>
  </si>
  <si>
    <t>Stikstofbuffer (latere activering)</t>
  </si>
  <si>
    <t>Uitbreiding functionaliteit Eagle</t>
  </si>
  <si>
    <t>Implementatie EPM 2010</t>
  </si>
  <si>
    <t>ICT Middelen (latere activering)</t>
  </si>
  <si>
    <t>NG LEIDEN (LIANDER)</t>
  </si>
  <si>
    <t>zie TAR_Tab 15_Toelichting: opm. betreft formule in gehele kolom F</t>
  </si>
  <si>
    <t>zie TAR_Tab 15_Toelichting: opm. betreft kolom E en P</t>
  </si>
  <si>
    <t>zie TAR_Tab 15_Toelichting: opm. betreft kolom D,E, O en P</t>
  </si>
  <si>
    <t>zie TAR_Tab 15_Toelichting: opm. betreft kolom X</t>
  </si>
  <si>
    <t>zie TAR_Tab 15_Toelichting: opm. betreft kolom T t/m X</t>
  </si>
  <si>
    <t>zie TAR_Tab 15_Toelichting: opm. betreft kolom AH</t>
  </si>
  <si>
    <t>zie TAR_Tab 15_Toelichting: opm. betreft kolom A t/m C</t>
  </si>
  <si>
    <t>zie TAR_Tab 15_Toelichting: opm. betreft kolom A,B en D</t>
  </si>
  <si>
    <t>zie TAR_Tab 15_Toelichting: opm. betreft kolom B</t>
  </si>
  <si>
    <t>OS 2005 CS Wijngaarden</t>
  </si>
  <si>
    <t>OS 2012 Koppelleidingen  –  Peak Shaver</t>
  </si>
  <si>
    <t>artikel 39e Gw</t>
  </si>
  <si>
    <t>artikel 54a Gw</t>
  </si>
  <si>
    <t>overgang MB</t>
  </si>
  <si>
    <t>zie TAR_Tab 15_Toelichting: opm. betreft kolommen D en F</t>
  </si>
  <si>
    <t>zie TAR_Tab 15_Toelichting: opm. betreft kolommen C en D</t>
  </si>
  <si>
    <t>zie TAR_Tab 15_Toelichting: opm. betreft kolom C</t>
  </si>
  <si>
    <t>zie TAR_Tab 15_Toelichting: opm.</t>
  </si>
  <si>
    <t>zie TAR_Tab 15_Toelichting: opm. betreft kolom I</t>
  </si>
  <si>
    <t>zie TAR_Tab 15_Toelichting: opm. betreft kolom E</t>
  </si>
  <si>
    <t>D-toets Heiligerlee</t>
  </si>
  <si>
    <t>MAASVLAKTE</t>
  </si>
  <si>
    <t>zie TAR_Tab 15_Toelichting: opm. betreft kolom D</t>
  </si>
  <si>
    <t>zie TAR_Tab 15_Toelichting: opm. betreft alle rode cellen in kolom D. LET OP: additionele opmerking bij regel 439 en 492</t>
  </si>
  <si>
    <t>regel 14</t>
  </si>
  <si>
    <t>Het tarief van overdracht TT en gebruiksrecht is overgenomen uit het tarievenbesluit 2013</t>
  </si>
  <si>
    <t>regel 70, 80 t/m 82</t>
  </si>
  <si>
    <t>De tarieven zijn overgenomen uit het tarievenbesluit 2013</t>
  </si>
  <si>
    <t>regel 73 en 83</t>
  </si>
  <si>
    <t>regel 420</t>
  </si>
  <si>
    <t>Het exit- en connectiontarief voor 301112-Emden NPT  is overgenomen uit het tarievenbesluit 2013</t>
  </si>
  <si>
    <t>regel 562 t/m 564</t>
  </si>
  <si>
    <t>regel 565</t>
  </si>
  <si>
    <t>301455-SLOE is in de plaats gekomen van netwerkpunt 301057-Vlissingen. Het tarief is overgenomen van 301057</t>
  </si>
  <si>
    <t>regel 566 en 567</t>
  </si>
  <si>
    <t>Betreft nieuwe netwerkpunten die in 2014 actief zijn geworden. Geen tarief en omzet in 2013.</t>
  </si>
  <si>
    <t>regel 568 t/m 573</t>
  </si>
  <si>
    <t>PERNIS (ARGOS TERMINALS BV)
Nieuw punt die in de loop van 2014 actief is geworden, maar nog niet in de tarieven module van 2014 was opgenomen.</t>
  </si>
  <si>
    <t>NG UDEN-ZEELAND (ENDINET)
Nieuw netwerkpunt door samenvoegen netgebieden van Endinet. De oude netwerkpunten zijn vervangen door deze nieuwe. Tarieven en omzet zijn berekend o.b.v. de tarieven en omzet van de oude netwerkpunten. Zie voor de berekening het overzicht in de bijlages voor netgebieden.</t>
  </si>
  <si>
    <t>NG OBN-MIDDEN (ENDINET)
Nieuw netwerkpunt door samenvoegen netgebieden van Endinet. De oude netwerkpunten zijn vervangen door deze nieuwe. Tarieven en omzet zijn berekend o.b.v. de tarieven en omzet van de oude netwerkpunten. Zie voor de berekening het overzicht in de bijlages voor netgebieden.</t>
  </si>
  <si>
    <t>NG OBN-WEST (ENDINET)
Nieuw netwerkpunt door samenvoegen netgebieden van Endinet. De oude netwerkpunten zijn vervangen door deze nieuwe. Tarieven en omzet zijn berekend o.b.v. de tarieven en omzet van de oude netwerkpunten. Zie voor de berekening het overzicht in de bijlages voor netgebieden.</t>
  </si>
  <si>
    <t>NG HELMOND-MILHEEZE-MIERLO (ENDINET)
Nieuw netwerkpunt door samenvoegen netgebieden van Endinet. De oude netwerkpunten zijn vervangen door deze nieuwe. Tarieven en omzet zijn berekend o.b.v. de tarieven en omzet van de oude netwerkpunten. Zie voor de berekening het overzicht in de bijlages voor netgebieden.</t>
  </si>
  <si>
    <t>NG LEIDEN (LIANDER)
Nieuw netwerkpunt door samenvoegen netgebieden van Liander. De oude netwerkpunten zijn vervangen door deze nieuwe. Tarieven en omzet zijn berekend o.b.v. de tarieven en omzet van de oude netwerkpunten. Zie voor de berekening het overzicht in de bijlages voor netgebieden.</t>
  </si>
  <si>
    <t>regel 180</t>
  </si>
  <si>
    <t>regel 31</t>
  </si>
  <si>
    <t>regel 19 t/m 30</t>
  </si>
  <si>
    <t xml:space="preserve">De door ACM ingevulde gegevens m.b.t. de MFA's 'Samenwerking APX' en 'Transparantie deel 3' (overgenomen uit tarievenbesluit 2014) zijn niet van toepassing voor het tarievenvoorstel 2015, want deze marktfaciliterende activiteiten zijn niet uitgevoerd in 2013. </t>
  </si>
  <si>
    <t>regel 29</t>
  </si>
  <si>
    <t>regel 128</t>
  </si>
  <si>
    <t xml:space="preserve">De door ACM ingevulde OPEX 2011 bij de MFA 'Netnorm' t.b.v. de berekening van het MFA budget 2014-2016 is gecorrigeerd (verminderd) met EUR 28.575 i.h.k.v. de incidentele correctie 'Netnorm correctie' (zie ook bijlage 8 toelichting incidenteel). Hierdoor daalt het MFA budget 2014 - 2016 met EUR 28.575 / 3 =  EUR 9.525 (pp 2011). </t>
  </si>
  <si>
    <t>regel 129</t>
  </si>
  <si>
    <t>regel 19</t>
  </si>
  <si>
    <t>regel 20</t>
  </si>
  <si>
    <t>regel 70 en 80</t>
  </si>
  <si>
    <t>regel 565 t/m 570</t>
  </si>
  <si>
    <t>regel 12</t>
  </si>
  <si>
    <t>regel 439</t>
  </si>
  <si>
    <t>Voor netwerkpunt 301187-PG FRIESLAND NOORD-WEST zal 1 goskoppeling verdwijnen in 2015. Daarom basistarief aangepast. Het netwerkpunt gaat van 8 naar 7 goskoppelingen</t>
  </si>
  <si>
    <t>regel 492</t>
  </si>
  <si>
    <t>Voor netwerkpunt 301271-PG NIJMEGEN zal 1 goskoppeling verdwijnen in 2015. Daarom basistarief aangepast. Het netwerkpunt gaat van 4 naar 3 goskoppelingen.</t>
  </si>
  <si>
    <t>dit betreft nieuwe punten. Zie toelichting bij tabel 11 Exittarieven</t>
  </si>
  <si>
    <t>regel 5</t>
  </si>
  <si>
    <t>Formule aangepast omdat de somproduct -formule niet tot de laatste regel doorrekende</t>
  </si>
  <si>
    <t>Tabel 16 Berek_BoB_Incident</t>
  </si>
  <si>
    <t>GTS heeft tabel 17 toegevoegd en daarin opgenomen alle verwijderde meetpunten. Het betreft verwijderde meetpunten uit het tarievenbesluit 2014 en verwijderde meetpuntenten voor 2015.</t>
  </si>
  <si>
    <t>Termijn</t>
  </si>
  <si>
    <t>TT+BT</t>
  </si>
  <si>
    <t>Afgeschreven termijn</t>
  </si>
  <si>
    <t>Jaarlijkse afschrijving (zonder inflatie)</t>
  </si>
  <si>
    <t>GAW primo</t>
  </si>
  <si>
    <t>GAW ultimo</t>
  </si>
  <si>
    <t>CAPEX per jaar TT+BT</t>
  </si>
  <si>
    <t>CAPEX per jaar KC</t>
  </si>
  <si>
    <t>Nieuw vanaf 2010?</t>
  </si>
  <si>
    <t>Nieuw vanaf 2011?</t>
  </si>
  <si>
    <t>Nieuw vanaf 2012?</t>
  </si>
  <si>
    <t>Aandeel TT+BT %</t>
  </si>
  <si>
    <t>OPEX (basis)</t>
  </si>
  <si>
    <t>OPEX 2010 TT+BT</t>
  </si>
  <si>
    <t>OPEX 2010 KC</t>
  </si>
  <si>
    <t>OPEX 2011 TT+BT</t>
  </si>
  <si>
    <t>OPEX 2011 KC</t>
  </si>
  <si>
    <t>OPEX TT+BT 2012</t>
  </si>
  <si>
    <t>OPEX KC 2012</t>
  </si>
  <si>
    <t>OPEX TT+BT 2013</t>
  </si>
  <si>
    <t>OPEX KC 2013</t>
  </si>
  <si>
    <t>Luchtscheidingsunit</t>
  </si>
  <si>
    <t>Tarief TT+BT 2013</t>
  </si>
  <si>
    <t>Te vergoeden kosten in 2013 exclusief heffingsrente</t>
  </si>
  <si>
    <t>Kwaliteitsconversietaak</t>
  </si>
  <si>
    <t>OPEX KC in pp betreffende jaar</t>
  </si>
  <si>
    <t>CAPEX KC in pp betreffende jaar</t>
  </si>
  <si>
    <t>Totale kosten KC in pp betreffende jaar</t>
  </si>
  <si>
    <t>Opbrengsten KC in pp betreffende jaar</t>
  </si>
  <si>
    <t>Kosten - opbrengsten KC in pp betreffende jaar</t>
  </si>
  <si>
    <t>Heffingsrente voor vergoeding in 2013 van kosten 201X</t>
  </si>
  <si>
    <t>Kosten - opbrengsten KC inclusief heffingsrente</t>
  </si>
  <si>
    <t>Totaal KC</t>
  </si>
  <si>
    <t>VERWIJDERDE EXIT NETWERKPUNTEN</t>
  </si>
  <si>
    <t>PG BERKEL-ENSCHOT (ENEXIS)</t>
  </si>
  <si>
    <t>inactief per 1-1-2014 (samenvoegen netgebieden Enexis)</t>
  </si>
  <si>
    <t>ZEELAND (OBRAGAS)</t>
  </si>
  <si>
    <t>inactief per 1-1-2015 (samenvoegen netgebieden Endinet)</t>
  </si>
  <si>
    <t>SON (OBRAGAS)</t>
  </si>
  <si>
    <t>PG DEN BOSCH (ENEXIS)</t>
  </si>
  <si>
    <t>UDEN (OBRAGAS)</t>
  </si>
  <si>
    <t>GEMERT (OBRAGAS)</t>
  </si>
  <si>
    <t>BOEKEL (OBRAGAS)</t>
  </si>
  <si>
    <t>ST. OEDENRODE (OBRAGAS)</t>
  </si>
  <si>
    <t>BELFELD (STEINZEUG-KERAMO)</t>
  </si>
  <si>
    <t>wordt uiterlijk 31-12-2014 inactief</t>
  </si>
  <si>
    <t>APELDOORN (ARCADIS AQUMEN FACILITY MAN.)</t>
  </si>
  <si>
    <t>DRUTEN (VION FOOD GROUP)</t>
  </si>
  <si>
    <t>DOORWERTH (WIENERBERGER DOORWERTH)</t>
  </si>
  <si>
    <t>HUIZEN (BN INTERNATIONAL BV)</t>
  </si>
  <si>
    <t>TIEL (GLAVERBEL NL BV)</t>
  </si>
  <si>
    <t>KATWIJK (LIANDER)</t>
  </si>
  <si>
    <t>inactief per 1-1-2015 (samenvoegen netgebied Liander)</t>
  </si>
  <si>
    <t>PURMEREND (NUON POWER GENERATION BV)</t>
  </si>
  <si>
    <t>PERNIS (AIR PRODUCTS BV)</t>
  </si>
  <si>
    <t>ROTTERDAM (E.ON BENELUX ENERGY-GALILEIC)</t>
  </si>
  <si>
    <t>GIESSENBURG (STEDIN)</t>
  </si>
  <si>
    <t>LIESHOUT (OBRAGAS)</t>
  </si>
  <si>
    <t>MIERLO (OBRAGAS)</t>
  </si>
  <si>
    <t>ETTEN-LEUR (SYNBRA TECHNOLOGY BV)</t>
  </si>
  <si>
    <t>VEGHEL KENNEDYLAAN (OBRAGAS)</t>
  </si>
  <si>
    <t>ETTEN-LEUR (KAPPA OUDENBOSCH GOLFKARTON)</t>
  </si>
  <si>
    <t>BRUNSSUM (WIENERBERGER PORISO)</t>
  </si>
  <si>
    <t>BUGGENUM (KLEIWARENFABRIEK BUGGENUM BV)</t>
  </si>
  <si>
    <t>OOSTERHOUT (VVE ZOETEWEI)</t>
  </si>
  <si>
    <t>OOSTERHOUT (CORUS TUBES BV)</t>
  </si>
  <si>
    <t>ETTEN-LEUR (HILL'S PET NUTR. MANUF. BV)</t>
  </si>
  <si>
    <t>MILHEEZE (OBRAGAS)</t>
  </si>
  <si>
    <t>VLISSINGEN (DELTIUS BV)</t>
  </si>
  <si>
    <t>Eemshaven E</t>
  </si>
  <si>
    <t>TERNEUZEN (ESSENT ENERGY-WKC ELSTA)</t>
  </si>
  <si>
    <t>BORCULO (MINNEWIT BV)</t>
  </si>
  <si>
    <t>PG HELMOND (OBRAGAS)</t>
  </si>
  <si>
    <t>PG VEGHEL EVERTSEN (OBRAGAS)</t>
  </si>
  <si>
    <t>PG BOXTEL (ENEXIS)</t>
  </si>
  <si>
    <t>PG ST MICHIELSGESTEL (ENEXIS)</t>
  </si>
  <si>
    <t>PG TILBURG (ENEXIS)</t>
  </si>
  <si>
    <t>PG LEIDEN (LIANDER)</t>
  </si>
  <si>
    <t>MOERDIJK (INTERGEN CENTRALE)</t>
  </si>
  <si>
    <t>VERWIJDERDE ENTRY NETWERKPUNTEN</t>
  </si>
  <si>
    <t>nvt</t>
  </si>
  <si>
    <t>zie TAR_TAB_16_Berek_Dtoets_Hlee: opm. betreft kolom H</t>
  </si>
  <si>
    <t>regel 28</t>
  </si>
  <si>
    <t>regel 32</t>
  </si>
  <si>
    <t>Correctie van de vergoeding voor het MFA budget in het tarievenbesluit 2014 i.h.k.v. incidentele correctie: 'Prisma correctie' (zie ook bijlage 8 toelichting incidenteel). De opgenomen vergoeding voor het MFA budget 2014 in het tarievenbesluit 2014 was EUR 55.614,44 (pp 2014) te laag vastgesteld (= EUR 158.650 / 3 = EUR 52.883,33, pp 2012).</t>
  </si>
  <si>
    <t>Correctie van de MFA nacalculatie 2012 in het tarievenbesluit 2014 i.h.k.v. incidentele correctie: 'Prisma correctie' (zie ook bijlage 8 toelichting incidenteel). De MFA nacalculatie 2012 in het tarievenbesluit 2014 was EUR 167.800,29 (pp 2014) te laag vastgesteld (= EUR 158.650, pp 2012).</t>
  </si>
  <si>
    <t>Correctie van de MFA nacalculatie 2011 in het tarievenbesluit 2013 i.h.k.v. incidentele correctie: 'Netnorm correctie' (zie ook bijlage 8 toelichting incidenteel). De MFA nacalculatie 2011 in het tarievenbesluit 2013 was EUR 30.032,36 (pp 2013) te hoog vastgesteld (= EUR 28.575, pp 2011).</t>
  </si>
  <si>
    <t>zie TAR_Tab 15_Toelichting: opm. betreft kolom N</t>
  </si>
  <si>
    <t>regel 30</t>
  </si>
  <si>
    <t>Formule aangepast zodat deze niet langer verwijst naar cel A2 op tab TAR-Tab 9_incidenteel, maar naar cel H39</t>
  </si>
  <si>
    <t>Formule aangepast zodat deze niet langer verwijst naar cel A2 op tab TAR-Tab 9_incidenteel, maar naar cel E39</t>
  </si>
  <si>
    <t>Formule aangepast zodat deze niet langer verwijst naar cel A2 op tab TAR-Tab 9_incidenteel, maar naar cel F39</t>
  </si>
  <si>
    <t>regel 7</t>
  </si>
  <si>
    <t>regel 8</t>
  </si>
  <si>
    <t>regel 9</t>
  </si>
  <si>
    <t>Formule aangepast zodat deze niet langer verwijst naar cel A2 op tab TAR-Tab 9_incidenteel, maar naar cel E43</t>
  </si>
  <si>
    <t>Formule aangepast zodat deze niet langer verwijst naar cel A2 op tab TAR-Tab 9_incidenteel, maar naar cel H43</t>
  </si>
  <si>
    <t>Formule aangepast zodat deze niet langer verwijst naar cel A2 op tab TAR-Tab 9_incidenteel, maar naar cel F43</t>
  </si>
  <si>
    <t>Kosten per incidentele correctie</t>
  </si>
  <si>
    <t>Opbrengsten per incidentele correctie</t>
  </si>
  <si>
    <t>Totaal incidentele correcties (subtabel kosten - subtabel opbrengsten)</t>
  </si>
  <si>
    <t>Formule aangepast zodat deze niet langer verwijst naar cel A2 op tab TAR-Tab 9_incidenteel, maar naar cel D39</t>
  </si>
  <si>
    <t>De formule in kolom B is aangepast en verwijst nu naar cel B174 (om rekening te houden met opbrengsten 2013). Deze formule verwees eerder naar cel B171 (en hield daardoor geen rekening met opbrengsten 2013).</t>
  </si>
  <si>
    <t xml:space="preserve">De door ACM ingevulde 'datum ingebruikname' in kolom D en 'investering' in kolom F (schattingen overgenomen uit tarievenbesluit 2014), is vervangen door gerealiseerde gegevens (zie ook bijlage 6 toelichting nieuwe producten en diensten). </t>
  </si>
  <si>
    <t xml:space="preserve">De MFA 'vertaling EC gasvoorwaarden' kent geen investeringsbedrag en derhalve ook geen afschrijvingstermijn en datum ingebruikname. Een goede werking van de tarievenmodule vereist echter dat de betreffende cellen in kolom C en D zijn ingevuld. Conform de andere MFA's zonder investeringsbedrag is daarom '1 januari' als datum ingebruikname en '5 jaar' als afschrijvingstermijn ingevuld. </t>
  </si>
  <si>
    <t xml:space="preserve">Zie tabblad TAR_TAB_16_Berek_Dtoets_Hlee voor een toelichting van het getal in cel H. </t>
  </si>
  <si>
    <t xml:space="preserve">De door ACM ingevulde opbrengsten 2012 bij de MFA 'Prisma' t.b.v. de berekening van het MFA budget 2014-2016 zijn gecorrigeerd (verminderd) met EUR 158.650 n.a.v. de incidentele correctie 'Prisma correctie' (zie ook bijlage 8 toelichting incidenteel). Hierdoor stijgt het jaarlijkse MFA budget 2014 - 2016 met EUR 158.650 / 3 = 52.883,33 (pp 2012).  </t>
  </si>
  <si>
    <t>Correctie van de vergoeding voor het MFA budget in het tarievenbesluit 2014 i.h.k.v. incidentele correctie: 'Netnorm correctie' (zie ook bijlage 8 toelichting incidenteel). De opgenomen vergoeding voor het MFA budget 2014 in het tarievenbesluit 2014 was EUR 10.277,35 (pp 2014) te hoog vastgesteld (= EUR 28.575 / 3 = EUR 9.525 pp 2011).</t>
  </si>
  <si>
    <t>zie TAR_Tab 15_Toelichting: opm. betreft kolom Z</t>
  </si>
  <si>
    <t>regel 6</t>
  </si>
  <si>
    <t xml:space="preserve">De formule in kolom Z is aangepast, de som.als functionaliteit is overbodig. Rekenvolumina van aansluitpunten zijn ook onderdeel van rekenvolumina entrypunten. </t>
  </si>
  <si>
    <t>Rode tekst = Celinhoud aangepast door GTS (waarde of formule)</t>
  </si>
  <si>
    <t xml:space="preserve">hele tabblad </t>
  </si>
  <si>
    <t>GTS heeft tabel 8 niet gecontroleerd of aangepast.</t>
  </si>
  <si>
    <t>inactief per 1-1-2012</t>
  </si>
  <si>
    <t>inactief per 2-8-2013</t>
  </si>
  <si>
    <t>geen exitpunt</t>
  </si>
  <si>
    <t xml:space="preserve">GTS heeft deze regel toegevoegd om aan te geven dat rode celinhoud door GTS is aangepast. Hierbij kan het gaan om waardes of formules. </t>
  </si>
  <si>
    <r>
      <t xml:space="preserve">BOCHOLTZ VETŜCHAU (THYSSENGAS)
</t>
    </r>
    <r>
      <rPr>
        <sz val="10"/>
        <rFont val="Arial"/>
        <family val="2"/>
      </rPr>
      <t xml:space="preserve">Dit netwerkpunt was niet opgenomen in de tarieven module 2014. Het tarief is later bepaald. Netwerkpunt derhalve toegevoegd. </t>
    </r>
  </si>
  <si>
    <t>kolom F</t>
  </si>
  <si>
    <t>De formules in kolom F zijn aangepast om te voorkomen dat Excel een 'foutmelding' geeft als bij een meetpunt geen omzet is ingevuld (in kolom D). 
n.b. GTS heeft nul ingevuld als de omzet niet is opgenomen in het IFD 2013, bijvoorbeeld omdat het netwerkpunt toen nog niet bestond.</t>
  </si>
  <si>
    <t>HEMRIK/DONKERBROEK (TULIP OIL)
Geplande ingebruikname datum: eind-2014. Tarief 2014 excl. opslagen voor exit is bepaald zodat tarief 2015 afgeleid kan worden. Zie opgenomen tarief in tabel 11.</t>
  </si>
  <si>
    <t>Tabel 16 - Berekening Incidentele Correctie D-Toets Heiligerlee</t>
  </si>
  <si>
    <t>Daadwerkelijk opgegeven in TV-13</t>
  </si>
  <si>
    <t xml:space="preserve">Opgave cf BoB13 </t>
  </si>
  <si>
    <t xml:space="preserve">Verschil pp 13 (op te geven Incidentele correctie) </t>
  </si>
  <si>
    <t>Tabel 17 - Verwijderde netwerkpunten</t>
  </si>
  <si>
    <t>Wijzingen conform Tabel 2.</t>
  </si>
  <si>
    <t>De tarieven van netwerkpunten met meer dan 1 goskoppeling, zijn onjuist; dit is gecorrigeerd. Aangepaste cellen zijn opgemaakt met een rode tekstkleur.</t>
  </si>
  <si>
    <t>Op dit tabblad kan het bedrag herleid worden die is ingevuld op TAB_9_Incidenteel cel H14. Het bedrag wordt berekend in cel B70</t>
  </si>
  <si>
    <t xml:space="preserve">  </t>
  </si>
  <si>
    <t>OS 2005 excl.  xxxxxxxxxx MR/CS Wijngaarden fase 2</t>
  </si>
  <si>
    <t>Aansluiting 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</si>
</sst>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3" formatCode="_ * #,##0.00_ ;_ * \-#,##0.00_ ;_ * &quot;-&quot;??_ ;_ @_ "/>
    <numFmt numFmtId="164" formatCode="_-* #,##0_-;_-* #,##0\-;_-* &quot;-&quot;_-;_-@_-"/>
    <numFmt numFmtId="165" formatCode="_-* #,##0.00_-;_-* #,##0.00\-;_-* &quot;-&quot;??_-;_-@_-"/>
    <numFmt numFmtId="166" formatCode="_(&quot;fl&quot;\ * #,##0.00_);_(&quot;fl&quot;\ * \(#,##0.00\);_(&quot;fl&quot;\ * &quot;-&quot;??_);_(@_)"/>
    <numFmt numFmtId="167" formatCode="0.000"/>
    <numFmt numFmtId="168" formatCode="_-[$€]\ * #,##0.00_-;_-[$€]\ * #,##0.00\-;_-[$€]\ * &quot;-&quot;??_-;_-@_-"/>
    <numFmt numFmtId="169" formatCode="0.0000"/>
    <numFmt numFmtId="170" formatCode="0.0"/>
    <numFmt numFmtId="171" formatCode="0.000000"/>
    <numFmt numFmtId="172" formatCode="#,##0.000"/>
    <numFmt numFmtId="173" formatCode="_-* #,##0_-;_-* #,##0\-;_-* &quot;-&quot;??_-;_-@_-"/>
    <numFmt numFmtId="174" formatCode="0.0%"/>
    <numFmt numFmtId="175" formatCode="_([$€]* #,##0.00_);_([$€]* \(#,##0.00\);_([$€]* &quot;-&quot;??_);_(@_)"/>
    <numFmt numFmtId="176" formatCode="0.0&quot;x&quot;;@_)"/>
    <numFmt numFmtId="177" formatCode="_-* #,##0.0000_-;_-* #,##0.0000\-;_-* &quot;-&quot;??_-;_-@_-"/>
    <numFmt numFmtId="178" formatCode="_(* #,##0.00_);_(* \(#,##0.00\);_(* &quot;-&quot;??_);_(@_)"/>
    <numFmt numFmtId="179" formatCode="_-* #,##0.000_-;_-* #,##0.000\-;_-* &quot;-&quot;??_-;_-@_-"/>
    <numFmt numFmtId="180" formatCode="_-&quot;€&quot;\ * #,##0.00_-;_-&quot;€&quot;\ * #,##0.00\-;_-&quot;€&quot;\ * &quot;-&quot;??_-;_-@_-"/>
    <numFmt numFmtId="181" formatCode="_ * #,##0.000_ ;_ * \-#,##0.000_ ;_ * &quot;-&quot;???_ ;_ @_ "/>
    <numFmt numFmtId="182" formatCode="d\ mmmm\ yyyy"/>
    <numFmt numFmtId="183" formatCode="#,##0_ ;\-#,##0\ "/>
    <numFmt numFmtId="184" formatCode="_ * #,##0_ ;_ * \-#,##0_ ;_ * &quot;-&quot;??_ ;_ @_ "/>
    <numFmt numFmtId="185" formatCode="#,##0.0"/>
    <numFmt numFmtId="186" formatCode="&quot;€&quot;\ #,##0.00"/>
  </numFmts>
  <fonts count="13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48"/>
      <name val="Arial"/>
      <family val="2"/>
    </font>
    <font>
      <sz val="12"/>
      <name val="Times New Roman"/>
      <family val="1"/>
    </font>
    <font>
      <sz val="10"/>
      <name val="Arial"/>
      <family val="2"/>
    </font>
    <font>
      <b/>
      <sz val="10"/>
      <name val="Arial"/>
      <family val="2"/>
    </font>
    <font>
      <b/>
      <sz val="12"/>
      <name val="Arial"/>
      <family val="2"/>
    </font>
    <font>
      <sz val="12"/>
      <name val="Arial"/>
      <family val="2"/>
    </font>
    <font>
      <sz val="12"/>
      <name val="DTLArgoT"/>
    </font>
    <font>
      <sz val="10"/>
      <name val="DTLArgoT"/>
    </font>
    <font>
      <b/>
      <sz val="12"/>
      <color indexed="10"/>
      <name val="Arial"/>
      <family val="2"/>
    </font>
    <font>
      <b/>
      <sz val="18"/>
      <color indexed="9"/>
      <name val="Arial"/>
      <family val="2"/>
    </font>
    <font>
      <b/>
      <sz val="10"/>
      <color indexed="9"/>
      <name val="Arial"/>
      <family val="2"/>
    </font>
    <font>
      <sz val="10"/>
      <color indexed="9"/>
      <name val="Arial"/>
      <family val="2"/>
    </font>
    <font>
      <sz val="10"/>
      <name val="ScalaSans"/>
      <family val="2"/>
    </font>
    <font>
      <sz val="8"/>
      <name val="Arial"/>
      <family val="2"/>
    </font>
    <font>
      <i/>
      <sz val="12"/>
      <color indexed="9"/>
      <name val="Arial"/>
      <family val="2"/>
    </font>
    <font>
      <sz val="10"/>
      <color indexed="8"/>
      <name val="Arial"/>
      <family val="2"/>
    </font>
    <font>
      <sz val="11"/>
      <color indexed="9"/>
      <name val="Calibri"/>
      <family val="2"/>
    </font>
    <font>
      <sz val="11"/>
      <color indexed="8"/>
      <name val="Calibri"/>
      <family val="2"/>
    </font>
    <font>
      <b/>
      <sz val="11"/>
      <color indexed="52"/>
      <name val="Calibri"/>
      <family val="2"/>
    </font>
    <font>
      <b/>
      <sz val="11"/>
      <color indexed="17"/>
      <name val="Calibri"/>
      <family val="2"/>
    </font>
    <font>
      <b/>
      <sz val="11"/>
      <color indexed="9"/>
      <name val="Calibri"/>
      <family val="2"/>
    </font>
    <font>
      <b/>
      <sz val="11"/>
      <color indexed="8"/>
      <name val="Calibri"/>
      <family val="2"/>
    </font>
    <font>
      <sz val="10"/>
      <color indexed="8"/>
      <name val="MS Sans Serif"/>
      <family val="2"/>
    </font>
    <font>
      <sz val="11"/>
      <color indexed="52"/>
      <name val="Calibri"/>
      <family val="2"/>
    </font>
    <font>
      <sz val="11"/>
      <color indexed="17"/>
      <name val="Calibri"/>
      <family val="2"/>
    </font>
    <font>
      <sz val="11"/>
      <color indexed="48"/>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63"/>
      <name val="Calibri"/>
      <family val="2"/>
    </font>
    <font>
      <sz val="8"/>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0"/>
      <color indexed="8"/>
      <name val="Arial"/>
      <family val="2"/>
    </font>
    <font>
      <b/>
      <sz val="18"/>
      <color indexed="56"/>
      <name val="Cambria"/>
      <family val="2"/>
    </font>
    <font>
      <i/>
      <sz val="11"/>
      <color indexed="23"/>
      <name val="Calibri"/>
      <family val="2"/>
    </font>
    <font>
      <sz val="11"/>
      <color indexed="10"/>
      <name val="Calibri"/>
      <family val="2"/>
    </font>
    <font>
      <sz val="11"/>
      <color indexed="14"/>
      <name val="Calibri"/>
      <family val="2"/>
    </font>
    <font>
      <b/>
      <sz val="11"/>
      <color indexed="9"/>
      <name val="Arial"/>
      <family val="2"/>
    </font>
    <font>
      <b/>
      <sz val="11"/>
      <color indexed="10"/>
      <name val="Arial"/>
      <family val="2"/>
    </font>
    <font>
      <sz val="10"/>
      <color indexed="10"/>
      <name val="Arial"/>
      <family val="2"/>
    </font>
    <font>
      <b/>
      <sz val="10"/>
      <color indexed="10"/>
      <name val="Arial"/>
      <family val="2"/>
    </font>
    <font>
      <sz val="9"/>
      <name val="Verdana"/>
      <family val="2"/>
    </font>
    <font>
      <b/>
      <sz val="10"/>
      <color indexed="8"/>
      <name val="Arial"/>
      <family val="2"/>
    </font>
    <font>
      <sz val="10"/>
      <color indexed="8"/>
      <name val="MS Sans Serif"/>
      <family val="2"/>
    </font>
    <font>
      <b/>
      <sz val="11"/>
      <name val="Arial"/>
      <family val="2"/>
    </font>
    <font>
      <sz val="11"/>
      <name val="Arial"/>
      <family val="2"/>
    </font>
    <font>
      <sz val="10"/>
      <color indexed="10"/>
      <name val="Arial"/>
      <family val="2"/>
    </font>
    <font>
      <sz val="10"/>
      <color indexed="22"/>
      <name val="Arial"/>
      <family val="2"/>
    </font>
    <font>
      <i/>
      <sz val="12"/>
      <name val="Arial"/>
      <family val="2"/>
    </font>
    <font>
      <sz val="10"/>
      <color rgb="FFFF0000"/>
      <name val="Arial"/>
      <family val="2"/>
    </font>
    <font>
      <sz val="10"/>
      <color theme="0"/>
      <name val="Arial"/>
      <family val="2"/>
    </font>
    <font>
      <b/>
      <sz val="10"/>
      <color rgb="FFFF0000"/>
      <name val="Arial"/>
      <family val="2"/>
    </font>
    <font>
      <b/>
      <sz val="11"/>
      <color rgb="FFFF0000"/>
      <name val="Arial"/>
      <family val="2"/>
    </font>
    <font>
      <b/>
      <sz val="18"/>
      <color rgb="FFFF0000"/>
      <name val="Arial"/>
      <family val="2"/>
    </font>
    <font>
      <b/>
      <sz val="10"/>
      <color theme="0"/>
      <name val="Arial"/>
      <family val="2"/>
    </font>
    <font>
      <sz val="10"/>
      <color indexed="8"/>
      <name val="Verdana"/>
      <family val="2"/>
    </font>
    <font>
      <sz val="10"/>
      <color indexed="9"/>
      <name val="Verdana"/>
      <family val="2"/>
    </font>
    <font>
      <b/>
      <sz val="10"/>
      <color indexed="63"/>
      <name val="Verdana"/>
      <family val="2"/>
    </font>
    <font>
      <b/>
      <sz val="10"/>
      <color indexed="52"/>
      <name val="Verdana"/>
      <family val="2"/>
    </font>
    <font>
      <sz val="10"/>
      <color indexed="62"/>
      <name val="Verdana"/>
      <family val="2"/>
    </font>
    <font>
      <b/>
      <sz val="10"/>
      <color indexed="8"/>
      <name val="Verdana"/>
      <family val="2"/>
    </font>
    <font>
      <i/>
      <sz val="10"/>
      <color indexed="23"/>
      <name val="Verdana"/>
      <family val="2"/>
    </font>
    <font>
      <sz val="10"/>
      <color indexed="17"/>
      <name val="Verdana"/>
      <family val="2"/>
    </font>
    <font>
      <sz val="10"/>
      <color indexed="20"/>
      <name val="Verdana"/>
      <family val="2"/>
    </font>
    <font>
      <b/>
      <sz val="15"/>
      <color indexed="56"/>
      <name val="Verdana"/>
      <family val="2"/>
    </font>
    <font>
      <b/>
      <sz val="13"/>
      <color indexed="56"/>
      <name val="Verdana"/>
      <family val="2"/>
    </font>
    <font>
      <b/>
      <sz val="11"/>
      <color indexed="56"/>
      <name val="Verdana"/>
      <family val="2"/>
    </font>
    <font>
      <sz val="10"/>
      <color indexed="52"/>
      <name val="Verdana"/>
      <family val="2"/>
    </font>
    <font>
      <sz val="10"/>
      <color indexed="10"/>
      <name val="Verdana"/>
      <family val="2"/>
    </font>
    <font>
      <b/>
      <sz val="10"/>
      <color indexed="9"/>
      <name val="Verdana"/>
      <family val="2"/>
    </font>
    <font>
      <i/>
      <sz val="12"/>
      <color rgb="FFFF0000"/>
      <name val="Arial"/>
      <family val="2"/>
    </font>
    <font>
      <sz val="12"/>
      <color theme="0"/>
      <name val="Arial"/>
      <family val="2"/>
    </font>
    <font>
      <b/>
      <sz val="18"/>
      <color theme="0"/>
      <name val="Arial"/>
      <family val="2"/>
    </font>
    <font>
      <i/>
      <sz val="12"/>
      <color theme="0"/>
      <name val="Arial"/>
      <family val="2"/>
    </font>
    <font>
      <b/>
      <sz val="10"/>
      <color rgb="FF92D050"/>
      <name val="Arial"/>
      <family val="2"/>
    </font>
    <font>
      <sz val="11"/>
      <color rgb="FFFF0000"/>
      <name val="Arial"/>
      <family val="2"/>
    </font>
    <font>
      <sz val="8"/>
      <color indexed="62"/>
      <name val="Arial"/>
      <family val="2"/>
    </font>
    <font>
      <sz val="10"/>
      <color theme="1"/>
      <name val="Arial"/>
      <family val="2"/>
    </font>
    <font>
      <sz val="10"/>
      <color rgb="FF7030A0"/>
      <name val="Arial"/>
      <family val="2"/>
    </font>
    <font>
      <b/>
      <sz val="10"/>
      <color rgb="FF7030A0"/>
      <name val="Arial"/>
      <family val="2"/>
    </font>
    <font>
      <b/>
      <sz val="11"/>
      <color theme="0"/>
      <name val="Arial"/>
      <family val="2"/>
    </font>
    <font>
      <i/>
      <sz val="10"/>
      <color indexed="9"/>
      <name val="Arial"/>
      <family val="2"/>
    </font>
    <font>
      <b/>
      <sz val="10"/>
      <color theme="9" tint="-0.249977111117893"/>
      <name val="Arial"/>
      <family val="2"/>
    </font>
    <font>
      <sz val="10"/>
      <color theme="9" tint="-0.249977111117893"/>
      <name val="Arial"/>
      <family val="2"/>
    </font>
    <font>
      <sz val="10"/>
      <color theme="9"/>
      <name val="Arial"/>
      <family val="2"/>
    </font>
    <font>
      <b/>
      <sz val="18"/>
      <name val="Arial"/>
      <family val="2"/>
    </font>
    <font>
      <u/>
      <sz val="12"/>
      <color indexed="12"/>
      <name val="Times New Roman"/>
      <family val="1"/>
    </font>
    <font>
      <sz val="12"/>
      <color rgb="FFFF0000"/>
      <name val="Arial"/>
      <family val="2"/>
    </font>
    <font>
      <b/>
      <sz val="12"/>
      <color theme="0"/>
      <name val="Arial"/>
      <family val="2"/>
    </font>
    <font>
      <i/>
      <sz val="10"/>
      <name val="Arial"/>
      <family val="2"/>
    </font>
    <font>
      <i/>
      <sz val="10"/>
      <color rgb="FFFF0000"/>
      <name val="Arial"/>
      <family val="2"/>
    </font>
    <font>
      <b/>
      <sz val="16"/>
      <color indexed="9"/>
      <name val="Arial"/>
      <family val="2"/>
    </font>
    <font>
      <sz val="16"/>
      <name val="Arial"/>
      <family val="2"/>
    </font>
    <font>
      <u/>
      <sz val="10"/>
      <color indexed="12"/>
      <name val="Arial"/>
      <family val="2"/>
    </font>
    <font>
      <sz val="10"/>
      <color indexed="39"/>
      <name val="Arial"/>
      <family val="2"/>
    </font>
    <font>
      <b/>
      <sz val="12"/>
      <color indexed="8"/>
      <name val="Arial"/>
      <family val="2"/>
    </font>
    <font>
      <b/>
      <sz val="16"/>
      <color indexed="23"/>
      <name val="Arial"/>
      <family val="2"/>
    </font>
    <font>
      <sz val="10"/>
      <color theme="0"/>
      <name val="ScalaSans"/>
      <family val="2"/>
    </font>
    <font>
      <sz val="11"/>
      <color theme="0"/>
      <name val="Arial"/>
      <family val="2"/>
    </font>
    <font>
      <strike/>
      <sz val="10"/>
      <color rgb="FFFF0000"/>
      <name val="Arial"/>
      <family val="2"/>
    </font>
    <font>
      <u/>
      <sz val="10"/>
      <color indexed="12"/>
      <name val="DTLArgoT"/>
    </font>
    <font>
      <u/>
      <sz val="10"/>
      <color theme="0"/>
      <name val="DTLArgoT"/>
    </font>
    <font>
      <sz val="10"/>
      <color theme="1" tint="0.499984740745262"/>
      <name val="Arial"/>
      <family val="2"/>
    </font>
    <font>
      <b/>
      <sz val="10"/>
      <color theme="1" tint="0.499984740745262"/>
      <name val="Arial"/>
      <family val="2"/>
    </font>
    <font>
      <b/>
      <sz val="12"/>
      <color theme="1" tint="0.499984740745262"/>
      <name val="Arial"/>
      <family val="2"/>
    </font>
    <font>
      <sz val="12"/>
      <color theme="1" tint="0.499984740745262"/>
      <name val="Arial"/>
      <family val="2"/>
    </font>
    <font>
      <sz val="10"/>
      <name val="Cambria"/>
      <family val="1"/>
    </font>
    <font>
      <sz val="10"/>
      <name val="Calibri"/>
      <family val="2"/>
      <scheme val="minor"/>
    </font>
    <font>
      <b/>
      <sz val="10"/>
      <color theme="1"/>
      <name val="Arial"/>
      <family val="2"/>
    </font>
    <font>
      <sz val="10"/>
      <color theme="0" tint="-0.499984740745262"/>
      <name val="Arial"/>
      <family val="2"/>
    </font>
    <font>
      <u/>
      <sz val="10"/>
      <name val="Arial"/>
      <family val="2"/>
    </font>
    <font>
      <sz val="10"/>
      <color theme="0" tint="-0.34998626667073579"/>
      <name val="Arial"/>
      <family val="2"/>
    </font>
    <font>
      <sz val="10"/>
      <color theme="1"/>
      <name val="Calibri"/>
      <family val="2"/>
      <scheme val="minor"/>
    </font>
    <font>
      <sz val="11"/>
      <color indexed="37"/>
      <name val="Calibri"/>
      <family val="2"/>
    </font>
    <font>
      <i/>
      <sz val="10"/>
      <color indexed="18"/>
      <name val="Arial"/>
      <family val="2"/>
    </font>
    <font>
      <b/>
      <sz val="15"/>
      <color indexed="62"/>
      <name val="Calibri"/>
      <family val="2"/>
    </font>
    <font>
      <b/>
      <sz val="13"/>
      <color indexed="62"/>
      <name val="Calibri"/>
      <family val="2"/>
    </font>
    <font>
      <b/>
      <sz val="11"/>
      <color indexed="62"/>
      <name val="Calibri"/>
      <family val="2"/>
    </font>
    <font>
      <sz val="10"/>
      <name val="Comic Sans MS"/>
      <family val="4"/>
    </font>
    <font>
      <b/>
      <sz val="12"/>
      <color rgb="FFFF0000"/>
      <name val="Arial"/>
      <family val="2"/>
    </font>
    <font>
      <sz val="12"/>
      <color rgb="FFFF0000"/>
      <name val="DTLArgoT"/>
    </font>
    <font>
      <sz val="11"/>
      <color theme="0"/>
      <name val="Calibri"/>
      <family val="2"/>
      <scheme val="minor"/>
    </font>
  </fonts>
  <fills count="103">
    <fill>
      <patternFill patternType="none"/>
    </fill>
    <fill>
      <patternFill patternType="gray125"/>
    </fill>
    <fill>
      <patternFill patternType="solid">
        <fgColor indexed="41"/>
      </patternFill>
    </fill>
    <fill>
      <patternFill patternType="solid">
        <fgColor indexed="40"/>
      </patternFill>
    </fill>
    <fill>
      <patternFill patternType="solid">
        <fgColor indexed="50"/>
      </patternFill>
    </fill>
    <fill>
      <patternFill patternType="solid">
        <fgColor indexed="35"/>
      </patternFill>
    </fill>
    <fill>
      <patternFill patternType="solid">
        <fgColor indexed="47"/>
      </patternFill>
    </fill>
    <fill>
      <patternFill patternType="solid">
        <fgColor indexed="22"/>
      </patternFill>
    </fill>
    <fill>
      <patternFill patternType="solid">
        <fgColor indexed="57"/>
      </patternFill>
    </fill>
    <fill>
      <patternFill patternType="solid">
        <fgColor indexed="24"/>
      </patternFill>
    </fill>
    <fill>
      <patternFill patternType="solid">
        <fgColor indexed="54"/>
      </patternFill>
    </fill>
    <fill>
      <patternFill patternType="solid">
        <fgColor indexed="58"/>
      </patternFill>
    </fill>
    <fill>
      <patternFill patternType="solid">
        <fgColor indexed="51"/>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2"/>
      </patternFill>
    </fill>
    <fill>
      <patternFill patternType="solid">
        <fgColor indexed="43"/>
      </patternFill>
    </fill>
    <fill>
      <patternFill patternType="solid">
        <fgColor indexed="26"/>
      </patternFill>
    </fill>
    <fill>
      <patternFill patternType="solid">
        <fgColor indexed="45"/>
      </patternFill>
    </fill>
    <fill>
      <patternFill patternType="solid">
        <fgColor indexed="43"/>
        <bgColor indexed="64"/>
      </patternFill>
    </fill>
    <fill>
      <patternFill patternType="solid">
        <fgColor indexed="49"/>
      </patternFill>
    </fill>
    <fill>
      <patternFill patternType="solid">
        <fgColor indexed="12"/>
      </patternFill>
    </fill>
    <fill>
      <patternFill patternType="solid">
        <fgColor indexed="10"/>
      </patternFill>
    </fill>
    <fill>
      <patternFill patternType="solid">
        <fgColor indexed="52"/>
      </patternFill>
    </fill>
    <fill>
      <patternFill patternType="solid">
        <fgColor indexed="53"/>
      </patternFill>
    </fill>
    <fill>
      <patternFill patternType="solid">
        <fgColor indexed="11"/>
      </patternFill>
    </fill>
    <fill>
      <patternFill patternType="lightUp">
        <fgColor indexed="48"/>
        <bgColor indexed="41"/>
      </patternFill>
    </fill>
    <fill>
      <patternFill patternType="solid">
        <fgColor indexed="23"/>
      </patternFill>
    </fill>
    <fill>
      <patternFill patternType="solid">
        <fgColor indexed="44"/>
      </patternFill>
    </fill>
    <fill>
      <patternFill patternType="solid">
        <fgColor indexed="9"/>
      </patternFill>
    </fill>
    <fill>
      <patternFill patternType="solid">
        <fgColor indexed="15"/>
      </patternFill>
    </fill>
    <fill>
      <patternFill patternType="solid">
        <fgColor indexed="20"/>
      </patternFill>
    </fill>
    <fill>
      <patternFill patternType="solid">
        <fgColor indexed="22"/>
        <bgColor indexed="64"/>
      </patternFill>
    </fill>
    <fill>
      <patternFill patternType="solid">
        <fgColor indexed="42"/>
        <bgColor indexed="64"/>
      </patternFill>
    </fill>
    <fill>
      <patternFill patternType="solid">
        <fgColor indexed="9"/>
        <bgColor indexed="64"/>
      </patternFill>
    </fill>
    <fill>
      <patternFill patternType="solid">
        <fgColor indexed="47"/>
        <bgColor indexed="64"/>
      </patternFill>
    </fill>
    <fill>
      <patternFill patternType="solid">
        <fgColor indexed="41"/>
        <bgColor indexed="64"/>
      </patternFill>
    </fill>
    <fill>
      <patternFill patternType="solid">
        <fgColor indexed="18"/>
        <bgColor indexed="64"/>
      </patternFill>
    </fill>
    <fill>
      <patternFill patternType="solid">
        <fgColor theme="0"/>
        <bgColor indexed="64"/>
      </patternFill>
    </fill>
    <fill>
      <patternFill patternType="solid">
        <fgColor indexed="31"/>
      </patternFill>
    </fill>
    <fill>
      <patternFill patternType="solid">
        <fgColor indexed="46"/>
      </patternFill>
    </fill>
    <fill>
      <patternFill patternType="solid">
        <fgColor indexed="27"/>
      </patternFill>
    </fill>
    <fill>
      <patternFill patternType="solid">
        <fgColor indexed="29"/>
      </patternFill>
    </fill>
    <fill>
      <patternFill patternType="solid">
        <fgColor indexed="30"/>
      </patternFill>
    </fill>
    <fill>
      <patternFill patternType="solid">
        <fgColor indexed="36"/>
      </patternFill>
    </fill>
    <fill>
      <patternFill patternType="solid">
        <fgColor indexed="62"/>
      </patternFill>
    </fill>
    <fill>
      <patternFill patternType="solid">
        <fgColor rgb="FFFFFF99"/>
        <bgColor indexed="64"/>
      </patternFill>
    </fill>
    <fill>
      <patternFill patternType="solid">
        <fgColor indexed="26"/>
        <bgColor indexed="64"/>
      </patternFill>
    </fill>
    <fill>
      <patternFill patternType="solid">
        <fgColor indexed="46"/>
        <bgColor indexed="64"/>
      </patternFill>
    </fill>
    <fill>
      <patternFill patternType="solid">
        <fgColor indexed="34"/>
        <bgColor indexed="64"/>
      </patternFill>
    </fill>
    <fill>
      <patternFill patternType="solid">
        <fgColor theme="0" tint="-0.249977111117893"/>
        <bgColor indexed="64"/>
      </patternFill>
    </fill>
    <fill>
      <patternFill patternType="solid">
        <fgColor rgb="FFCCFFFF"/>
        <bgColor indexed="64"/>
      </patternFill>
    </fill>
    <fill>
      <patternFill patternType="solid">
        <fgColor rgb="FF000080"/>
        <bgColor indexed="64"/>
      </patternFill>
    </fill>
    <fill>
      <patternFill patternType="solid">
        <fgColor indexed="9"/>
        <bgColor theme="0"/>
      </patternFill>
    </fill>
    <fill>
      <patternFill patternType="solid">
        <fgColor rgb="FFC0C0C0"/>
        <bgColor rgb="FF000000"/>
      </patternFill>
    </fill>
    <fill>
      <patternFill patternType="solid">
        <fgColor rgb="FFFFCC99"/>
        <bgColor indexed="64"/>
      </patternFill>
    </fill>
    <fill>
      <patternFill patternType="solid">
        <fgColor indexed="52"/>
        <bgColor indexed="64"/>
      </patternFill>
    </fill>
    <fill>
      <patternFill patternType="solid">
        <fgColor indexed="50"/>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3"/>
        <bgColor indexed="64"/>
      </patternFill>
    </fill>
    <fill>
      <patternFill patternType="solid">
        <fgColor indexed="57"/>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31"/>
        <bgColor indexed="64"/>
      </patternFill>
    </fill>
    <fill>
      <patternFill patternType="solid">
        <fgColor indexed="23"/>
        <bgColor indexed="64"/>
      </patternFill>
    </fill>
    <fill>
      <patternFill patternType="solid">
        <fgColor indexed="55"/>
        <bgColor indexed="64"/>
      </patternFill>
    </fill>
    <fill>
      <patternFill patternType="solid">
        <fgColor rgb="FFCCFFCC"/>
        <bgColor indexed="64"/>
      </patternFill>
    </fill>
    <fill>
      <patternFill patternType="solid">
        <fgColor rgb="FFFFFF99"/>
        <bgColor rgb="FFFFFF99"/>
      </patternFill>
    </fill>
    <fill>
      <patternFill patternType="solid">
        <fgColor theme="0" tint="-0.249977111117893"/>
        <bgColor rgb="FFFFFF99"/>
      </patternFill>
    </fill>
    <fill>
      <patternFill patternType="solid">
        <fgColor indexed="60"/>
        <bgColor indexed="64"/>
      </patternFill>
    </fill>
    <fill>
      <patternFill patternType="solid">
        <fgColor indexed="4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1"/>
        <bgColor indexed="64"/>
      </patternFill>
    </fill>
  </fills>
  <borders count="102">
    <border>
      <left/>
      <right/>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style="thin">
        <color indexed="48"/>
      </top>
      <bottom style="double">
        <color indexed="4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style="hair">
        <color indexed="64"/>
      </left>
      <right style="hair">
        <color indexed="64"/>
      </right>
      <top style="hair">
        <color indexed="64"/>
      </top>
      <bottom style="double">
        <color indexed="64"/>
      </bottom>
      <diagonal/>
    </border>
    <border>
      <left/>
      <right style="hair">
        <color indexed="64"/>
      </right>
      <top/>
      <bottom style="hair">
        <color indexed="64"/>
      </bottom>
      <diagonal/>
    </border>
    <border>
      <left/>
      <right style="hair">
        <color indexed="64"/>
      </right>
      <top/>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double">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diagonal/>
    </border>
    <border>
      <left/>
      <right style="hair">
        <color indexed="64"/>
      </right>
      <top style="medium">
        <color indexed="64"/>
      </top>
      <bottom style="hair">
        <color indexed="64"/>
      </bottom>
      <diagonal/>
    </border>
    <border>
      <left style="thin">
        <color indexed="64"/>
      </left>
      <right style="hair">
        <color indexed="64"/>
      </right>
      <top style="thin">
        <color indexed="64"/>
      </top>
      <bottom/>
      <diagonal/>
    </border>
    <border>
      <left style="thin">
        <color indexed="63"/>
      </left>
      <right style="thin">
        <color indexed="63"/>
      </right>
      <top style="thin">
        <color indexed="64"/>
      </top>
      <bottom style="thin">
        <color indexed="63"/>
      </bottom>
      <diagonal/>
    </border>
    <border>
      <left style="thin">
        <color indexed="64"/>
      </left>
      <right/>
      <top/>
      <bottom style="hair">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theme="0"/>
      </left>
      <right style="hair">
        <color theme="0"/>
      </right>
      <top/>
      <bottom style="hair">
        <color indexed="64"/>
      </bottom>
      <diagonal/>
    </border>
    <border>
      <left style="hair">
        <color theme="0"/>
      </left>
      <right/>
      <top/>
      <bottom/>
      <diagonal/>
    </border>
    <border>
      <left/>
      <right style="hair">
        <color theme="0"/>
      </right>
      <top/>
      <bottom/>
      <diagonal/>
    </border>
    <border>
      <left style="hair">
        <color theme="0"/>
      </left>
      <right/>
      <top/>
      <bottom style="hair">
        <color indexed="64"/>
      </bottom>
      <diagonal/>
    </border>
    <border>
      <left/>
      <right style="hair">
        <color theme="0"/>
      </right>
      <top/>
      <bottom style="hair">
        <color indexed="64"/>
      </bottom>
      <diagonal/>
    </border>
    <border>
      <left style="hair">
        <color theme="0"/>
      </left>
      <right style="hair">
        <color theme="0"/>
      </right>
      <top/>
      <bottom/>
      <diagonal/>
    </border>
    <border>
      <left/>
      <right style="thin">
        <color theme="0"/>
      </right>
      <top/>
      <bottom/>
      <diagonal/>
    </border>
    <border>
      <left style="thin">
        <color theme="0"/>
      </left>
      <right/>
      <top/>
      <bottom/>
      <diagonal/>
    </border>
    <border>
      <left style="hair">
        <color indexed="64"/>
      </left>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medium">
        <color indexed="64"/>
      </left>
      <right style="dashed">
        <color theme="1" tint="0.499984740745262"/>
      </right>
      <top style="medium">
        <color indexed="64"/>
      </top>
      <bottom style="dashed">
        <color theme="1" tint="0.499984740745262"/>
      </bottom>
      <diagonal/>
    </border>
    <border>
      <left style="dashed">
        <color theme="1" tint="0.499984740745262"/>
      </left>
      <right style="dashed">
        <color theme="1" tint="0.499984740745262"/>
      </right>
      <top style="medium">
        <color indexed="64"/>
      </top>
      <bottom style="dashed">
        <color theme="1" tint="0.499984740745262"/>
      </bottom>
      <diagonal/>
    </border>
    <border>
      <left style="dashed">
        <color theme="1" tint="0.499984740745262"/>
      </left>
      <right style="medium">
        <color indexed="64"/>
      </right>
      <top style="medium">
        <color indexed="64"/>
      </top>
      <bottom style="dashed">
        <color theme="1" tint="0.499984740745262"/>
      </bottom>
      <diagonal/>
    </border>
    <border>
      <left style="medium">
        <color indexed="64"/>
      </left>
      <right style="dashed">
        <color theme="1" tint="0.499984740745262"/>
      </right>
      <top style="dashed">
        <color theme="1" tint="0.499984740745262"/>
      </top>
      <bottom style="dashed">
        <color theme="1" tint="0.499984740745262"/>
      </bottom>
      <diagonal/>
    </border>
    <border>
      <left style="dashed">
        <color theme="1" tint="0.499984740745262"/>
      </left>
      <right style="medium">
        <color indexed="64"/>
      </right>
      <top style="dashed">
        <color theme="1" tint="0.499984740745262"/>
      </top>
      <bottom style="dashed">
        <color theme="1" tint="0.499984740745262"/>
      </bottom>
      <diagonal/>
    </border>
    <border>
      <left style="medium">
        <color indexed="64"/>
      </left>
      <right style="dashed">
        <color theme="1" tint="0.499984740745262"/>
      </right>
      <top style="dashed">
        <color theme="1" tint="0.499984740745262"/>
      </top>
      <bottom style="medium">
        <color indexed="64"/>
      </bottom>
      <diagonal/>
    </border>
    <border>
      <left style="dashed">
        <color theme="1" tint="0.499984740745262"/>
      </left>
      <right style="dashed">
        <color theme="1" tint="0.499984740745262"/>
      </right>
      <top style="dashed">
        <color theme="1" tint="0.499984740745262"/>
      </top>
      <bottom style="medium">
        <color indexed="64"/>
      </bottom>
      <diagonal/>
    </border>
    <border>
      <left style="dashed">
        <color theme="1" tint="0.499984740745262"/>
      </left>
      <right style="medium">
        <color indexed="64"/>
      </right>
      <top style="dashed">
        <color theme="1" tint="0.499984740745262"/>
      </top>
      <bottom style="medium">
        <color indexed="64"/>
      </bottom>
      <diagonal/>
    </border>
    <border>
      <left style="dashed">
        <color theme="1" tint="0.499984740745262"/>
      </left>
      <right style="dashed">
        <color theme="1" tint="0.499984740745262"/>
      </right>
      <top style="dashed">
        <color theme="1" tint="0.499984740745262"/>
      </top>
      <bottom/>
      <diagonal/>
    </border>
    <border>
      <left style="medium">
        <color indexed="64"/>
      </left>
      <right style="dashed">
        <color theme="1" tint="0.499984740745262"/>
      </right>
      <top style="dashed">
        <color theme="1" tint="0.499984740745262"/>
      </top>
      <bottom/>
      <diagonal/>
    </border>
    <border>
      <left style="dashed">
        <color theme="1" tint="0.499984740745262"/>
      </left>
      <right style="medium">
        <color indexed="64"/>
      </right>
      <top style="dashed">
        <color theme="1" tint="0.499984740745262"/>
      </top>
      <bottom/>
      <diagonal/>
    </border>
    <border>
      <left/>
      <right/>
      <top/>
      <bottom style="thick">
        <color indexed="48"/>
      </bottom>
      <diagonal/>
    </border>
    <border>
      <left/>
      <right/>
      <top/>
      <bottom style="thick">
        <color indexed="58"/>
      </bottom>
      <diagonal/>
    </border>
    <border>
      <left/>
      <right/>
      <top/>
      <bottom style="medium">
        <color indexed="5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454">
    <xf numFmtId="0" fontId="0" fillId="0" borderId="0"/>
    <xf numFmtId="0" fontId="14" fillId="0" borderId="0"/>
    <xf numFmtId="0" fontId="9" fillId="0" borderId="0"/>
    <xf numFmtId="0" fontId="6" fillId="0" borderId="0"/>
    <xf numFmtId="0" fontId="6" fillId="0" borderId="0"/>
    <xf numFmtId="0" fontId="6"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2"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3"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6" borderId="0" applyNumberFormat="0" applyBorder="0" applyAlignment="0" applyProtection="0"/>
    <xf numFmtId="0" fontId="18" fillId="11" borderId="0" applyNumberFormat="0" applyBorder="0" applyAlignment="0" applyProtection="0"/>
    <xf numFmtId="0" fontId="18" fillId="3"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23"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4" fillId="18" borderId="0" applyNumberFormat="0" applyBorder="0" applyAlignment="0" applyProtection="0"/>
    <xf numFmtId="0" fontId="24" fillId="26" borderId="0" applyNumberFormat="0" applyBorder="0" applyAlignment="0" applyProtection="0"/>
    <xf numFmtId="0" fontId="23" fillId="19" borderId="0" applyNumberFormat="0" applyBorder="0" applyAlignment="0" applyProtection="0"/>
    <xf numFmtId="0" fontId="23" fillId="16"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3" fillId="16" borderId="0" applyNumberFormat="0" applyBorder="0" applyAlignment="0" applyProtection="0"/>
    <xf numFmtId="0" fontId="23" fillId="29"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3" fillId="32" borderId="0" applyNumberFormat="0" applyBorder="0" applyAlignment="0" applyProtection="0"/>
    <xf numFmtId="0" fontId="26" fillId="33" borderId="2" applyNumberFormat="0" applyAlignment="0" applyProtection="0"/>
    <xf numFmtId="0" fontId="27" fillId="34" borderId="3" applyNumberFormat="0" applyAlignment="0" applyProtection="0"/>
    <xf numFmtId="0" fontId="28"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168" fontId="29" fillId="0" borderId="0" applyFont="0" applyFill="0" applyBorder="0" applyAlignment="0" applyProtection="0"/>
    <xf numFmtId="0" fontId="24" fillId="23" borderId="0" applyNumberFormat="0" applyBorder="0" applyAlignment="0" applyProtection="0"/>
    <xf numFmtId="0" fontId="33" fillId="6" borderId="1" applyNumberFormat="0" applyAlignment="0" applyProtection="0"/>
    <xf numFmtId="165" fontId="6" fillId="0" borderId="0" applyFont="0" applyFill="0" applyBorder="0" applyAlignment="0" applyProtection="0"/>
    <xf numFmtId="0" fontId="34" fillId="0" borderId="5" applyNumberFormat="0" applyFill="0" applyAlignment="0" applyProtection="0"/>
    <xf numFmtId="0" fontId="35" fillId="0" borderId="6" applyNumberFormat="0" applyFill="0" applyAlignment="0" applyProtection="0"/>
    <xf numFmtId="0" fontId="36" fillId="0" borderId="7" applyNumberFormat="0" applyFill="0" applyAlignment="0" applyProtection="0"/>
    <xf numFmtId="0" fontId="36" fillId="0" borderId="0" applyNumberFormat="0" applyFill="0" applyBorder="0" applyAlignment="0" applyProtection="0"/>
    <xf numFmtId="0" fontId="31" fillId="0" borderId="8" applyNumberFormat="0" applyFill="0" applyAlignment="0" applyProtection="0"/>
    <xf numFmtId="0" fontId="6" fillId="0" borderId="0" applyNumberFormat="0" applyFill="0" applyBorder="0" applyAlignment="0" applyProtection="0"/>
    <xf numFmtId="0" fontId="31" fillId="31" borderId="0" applyNumberFormat="0" applyBorder="0" applyAlignment="0" applyProtection="0"/>
    <xf numFmtId="0" fontId="56" fillId="0" borderId="0"/>
    <xf numFmtId="0" fontId="6" fillId="40" borderId="9" applyNumberFormat="0" applyFont="0" applyAlignment="0" applyProtection="0"/>
    <xf numFmtId="0" fontId="38" fillId="41" borderId="0" applyNumberFormat="0" applyBorder="0" applyAlignment="0" applyProtection="0"/>
    <xf numFmtId="9" fontId="6" fillId="0" borderId="0" applyFont="0" applyFill="0" applyBorder="0" applyAlignment="0" applyProtection="0"/>
    <xf numFmtId="4" fontId="40" fillId="39" borderId="2" applyNumberFormat="0" applyProtection="0">
      <alignment vertical="center"/>
    </xf>
    <xf numFmtId="4" fontId="40" fillId="39" borderId="2" applyNumberFormat="0" applyProtection="0">
      <alignment vertical="center"/>
    </xf>
    <xf numFmtId="4" fontId="40" fillId="42" borderId="2" applyNumberFormat="0" applyProtection="0">
      <alignment horizontal="left" vertical="center" indent="1"/>
    </xf>
    <xf numFmtId="0" fontId="41" fillId="39" borderId="11" applyNumberFormat="0" applyProtection="0">
      <alignment horizontal="left" vertical="top" indent="1"/>
    </xf>
    <xf numFmtId="4" fontId="40" fillId="43" borderId="2" applyNumberFormat="0" applyProtection="0">
      <alignment horizontal="left" vertical="center" indent="1"/>
    </xf>
    <xf numFmtId="4" fontId="40" fillId="41" borderId="2" applyNumberFormat="0" applyProtection="0">
      <alignment horizontal="right" vertical="center"/>
    </xf>
    <xf numFmtId="4" fontId="40" fillId="44" borderId="2" applyNumberFormat="0" applyProtection="0">
      <alignment horizontal="right" vertical="center"/>
    </xf>
    <xf numFmtId="4" fontId="40" fillId="45" borderId="12" applyNumberFormat="0" applyProtection="0">
      <alignment horizontal="right" vertical="center"/>
    </xf>
    <xf numFmtId="4" fontId="40" fillId="12" borderId="2" applyNumberFormat="0" applyProtection="0">
      <alignment horizontal="right" vertical="center"/>
    </xf>
    <xf numFmtId="4" fontId="40" fillId="46" borderId="2" applyNumberFormat="0" applyProtection="0">
      <alignment horizontal="right" vertical="center"/>
    </xf>
    <xf numFmtId="4" fontId="40" fillId="47" borderId="2" applyNumberFormat="0" applyProtection="0">
      <alignment horizontal="right" vertical="center"/>
    </xf>
    <xf numFmtId="4" fontId="40" fillId="8" borderId="2" applyNumberFormat="0" applyProtection="0">
      <alignment horizontal="right" vertical="center"/>
    </xf>
    <xf numFmtId="4" fontId="40" fillId="4" borderId="2" applyNumberFormat="0" applyProtection="0">
      <alignment horizontal="right" vertical="center"/>
    </xf>
    <xf numFmtId="4" fontId="40" fillId="48" borderId="2" applyNumberFormat="0" applyProtection="0">
      <alignment horizontal="right" vertical="center"/>
    </xf>
    <xf numFmtId="4" fontId="40" fillId="49" borderId="12" applyNumberFormat="0" applyProtection="0">
      <alignment horizontal="left" vertical="center" indent="1"/>
    </xf>
    <xf numFmtId="4" fontId="9" fillId="10" borderId="12" applyNumberFormat="0" applyProtection="0">
      <alignment horizontal="left" vertical="center" indent="1"/>
    </xf>
    <xf numFmtId="4" fontId="9" fillId="10" borderId="12" applyNumberFormat="0" applyProtection="0">
      <alignment horizontal="left" vertical="center" indent="1"/>
    </xf>
    <xf numFmtId="4" fontId="40" fillId="3" borderId="2" applyNumberFormat="0" applyProtection="0">
      <alignment horizontal="right" vertical="center"/>
    </xf>
    <xf numFmtId="4" fontId="40" fillId="2" borderId="12" applyNumberFormat="0" applyProtection="0">
      <alignment horizontal="left" vertical="center" indent="1"/>
    </xf>
    <xf numFmtId="4" fontId="40" fillId="3" borderId="12" applyNumberFormat="0" applyProtection="0">
      <alignment horizontal="left" vertical="center" indent="1"/>
    </xf>
    <xf numFmtId="0" fontId="40" fillId="7" borderId="2" applyNumberFormat="0" applyProtection="0">
      <alignment horizontal="left" vertical="center" indent="1"/>
    </xf>
    <xf numFmtId="0" fontId="20" fillId="10" borderId="11" applyNumberFormat="0" applyProtection="0">
      <alignment horizontal="left" vertical="top" indent="1"/>
    </xf>
    <xf numFmtId="0" fontId="40" fillId="50" borderId="2" applyNumberFormat="0" applyProtection="0">
      <alignment horizontal="left" vertical="center" indent="1"/>
    </xf>
    <xf numFmtId="0" fontId="20" fillId="3" borderId="11" applyNumberFormat="0" applyProtection="0">
      <alignment horizontal="left" vertical="top" indent="1"/>
    </xf>
    <xf numFmtId="0" fontId="40" fillId="51" borderId="2" applyNumberFormat="0" applyProtection="0">
      <alignment horizontal="left" vertical="center" indent="1"/>
    </xf>
    <xf numFmtId="0" fontId="20" fillId="51" borderId="11" applyNumberFormat="0" applyProtection="0">
      <alignment horizontal="left" vertical="top" indent="1"/>
    </xf>
    <xf numFmtId="0" fontId="40" fillId="2" borderId="2" applyNumberFormat="0" applyProtection="0">
      <alignment horizontal="left" vertical="center" indent="1"/>
    </xf>
    <xf numFmtId="0" fontId="20" fillId="2" borderId="11" applyNumberFormat="0" applyProtection="0">
      <alignment horizontal="left" vertical="top" indent="1"/>
    </xf>
    <xf numFmtId="0" fontId="20" fillId="52" borderId="13" applyNumberFormat="0">
      <protection locked="0"/>
    </xf>
    <xf numFmtId="0" fontId="42" fillId="10" borderId="14" applyBorder="0"/>
    <xf numFmtId="4" fontId="43" fillId="40" borderId="11" applyNumberFormat="0" applyProtection="0">
      <alignment vertical="center"/>
    </xf>
    <xf numFmtId="4" fontId="40" fillId="40" borderId="15" applyNumberFormat="0" applyProtection="0">
      <alignment vertical="center"/>
    </xf>
    <xf numFmtId="4" fontId="43" fillId="7" borderId="11" applyNumberFormat="0" applyProtection="0">
      <alignment horizontal="left" vertical="center" indent="1"/>
    </xf>
    <xf numFmtId="0" fontId="43" fillId="40" borderId="11" applyNumberFormat="0" applyProtection="0">
      <alignment horizontal="left" vertical="top" indent="1"/>
    </xf>
    <xf numFmtId="4" fontId="40" fillId="0" borderId="2" applyNumberFormat="0" applyProtection="0">
      <alignment horizontal="right" vertical="center"/>
    </xf>
    <xf numFmtId="4" fontId="40" fillId="52" borderId="2" applyNumberFormat="0" applyProtection="0">
      <alignment horizontal="right" vertical="center"/>
    </xf>
    <xf numFmtId="4" fontId="40" fillId="43" borderId="2" applyNumberFormat="0" applyProtection="0">
      <alignment horizontal="left" vertical="center" indent="1"/>
    </xf>
    <xf numFmtId="0" fontId="43" fillId="3" borderId="11" applyNumberFormat="0" applyProtection="0">
      <alignment horizontal="left" vertical="top" indent="1"/>
    </xf>
    <xf numFmtId="4" fontId="44" fillId="53" borderId="12" applyNumberFormat="0" applyProtection="0">
      <alignment horizontal="left" vertical="center" indent="1"/>
    </xf>
    <xf numFmtId="0" fontId="40" fillId="54" borderId="15"/>
    <xf numFmtId="4" fontId="45" fillId="52" borderId="2" applyNumberFormat="0" applyProtection="0">
      <alignment horizontal="right" vertical="center"/>
    </xf>
    <xf numFmtId="0" fontId="46" fillId="0" borderId="0" applyNumberFormat="0" applyFill="0" applyBorder="0" applyAlignment="0" applyProtection="0"/>
    <xf numFmtId="0" fontId="47" fillId="0" borderId="0"/>
    <xf numFmtId="0" fontId="8" fillId="0" borderId="0"/>
    <xf numFmtId="0" fontId="6" fillId="0" borderId="0"/>
    <xf numFmtId="0" fontId="9" fillId="0" borderId="0"/>
    <xf numFmtId="0" fontId="56" fillId="0" borderId="0"/>
    <xf numFmtId="0" fontId="9" fillId="0" borderId="0"/>
    <xf numFmtId="0" fontId="58" fillId="0" borderId="0"/>
    <xf numFmtId="0" fontId="46" fillId="0" borderId="0" applyNumberFormat="0" applyFill="0" applyBorder="0" applyAlignment="0" applyProtection="0"/>
    <xf numFmtId="0" fontId="28" fillId="0" borderId="17" applyNumberFormat="0" applyFill="0" applyAlignment="0" applyProtection="0"/>
    <xf numFmtId="0" fontId="39" fillId="7" borderId="10" applyNumberFormat="0" applyAlignment="0" applyProtection="0"/>
    <xf numFmtId="166" fontId="9" fillId="0" borderId="0" applyFont="0" applyFill="0" applyBorder="0" applyAlignment="0" applyProtection="0"/>
    <xf numFmtId="0" fontId="49" fillId="0" borderId="0" applyNumberFormat="0" applyFill="0" applyBorder="0" applyAlignment="0" applyProtection="0"/>
    <xf numFmtId="0" fontId="51"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70" fillId="62" borderId="0" applyNumberFormat="0" applyBorder="0" applyAlignment="0" applyProtection="0"/>
    <xf numFmtId="0" fontId="70" fillId="41" borderId="0" applyNumberFormat="0" applyBorder="0" applyAlignment="0" applyProtection="0"/>
    <xf numFmtId="0" fontId="70" fillId="38" borderId="0" applyNumberFormat="0" applyBorder="0" applyAlignment="0" applyProtection="0"/>
    <xf numFmtId="0" fontId="70" fillId="63" borderId="0" applyNumberFormat="0" applyBorder="0" applyAlignment="0" applyProtection="0"/>
    <xf numFmtId="0" fontId="70" fillId="64" borderId="0" applyNumberFormat="0" applyBorder="0" applyAlignment="0" applyProtection="0"/>
    <xf numFmtId="0" fontId="70" fillId="6" borderId="0" applyNumberFormat="0" applyBorder="0" applyAlignment="0" applyProtection="0"/>
    <xf numFmtId="0" fontId="70" fillId="51" borderId="0" applyNumberFormat="0" applyBorder="0" applyAlignment="0" applyProtection="0"/>
    <xf numFmtId="0" fontId="70" fillId="65" borderId="0" applyNumberFormat="0" applyBorder="0" applyAlignment="0" applyProtection="0"/>
    <xf numFmtId="0" fontId="70" fillId="48" borderId="0" applyNumberFormat="0" applyBorder="0" applyAlignment="0" applyProtection="0"/>
    <xf numFmtId="0" fontId="70" fillId="63" borderId="0" applyNumberFormat="0" applyBorder="0" applyAlignment="0" applyProtection="0"/>
    <xf numFmtId="0" fontId="70" fillId="51" borderId="0" applyNumberFormat="0" applyBorder="0" applyAlignment="0" applyProtection="0"/>
    <xf numFmtId="0" fontId="70" fillId="12" borderId="0" applyNumberFormat="0" applyBorder="0" applyAlignment="0" applyProtection="0"/>
    <xf numFmtId="0" fontId="71" fillId="66" borderId="0" applyNumberFormat="0" applyBorder="0" applyAlignment="0" applyProtection="0"/>
    <xf numFmtId="0" fontId="71" fillId="65" borderId="0" applyNumberFormat="0" applyBorder="0" applyAlignment="0" applyProtection="0"/>
    <xf numFmtId="0" fontId="71" fillId="48" borderId="0" applyNumberFormat="0" applyBorder="0" applyAlignment="0" applyProtection="0"/>
    <xf numFmtId="0" fontId="71" fillId="67" borderId="0" applyNumberFormat="0" applyBorder="0" applyAlignment="0" applyProtection="0"/>
    <xf numFmtId="0" fontId="71" fillId="43" borderId="0" applyNumberFormat="0" applyBorder="0" applyAlignment="0" applyProtection="0"/>
    <xf numFmtId="0" fontId="71" fillId="46" borderId="0" applyNumberFormat="0" applyBorder="0" applyAlignment="0" applyProtection="0"/>
    <xf numFmtId="0" fontId="71" fillId="68" borderId="0" applyNumberFormat="0" applyBorder="0" applyAlignment="0" applyProtection="0"/>
    <xf numFmtId="0" fontId="71" fillId="45" borderId="0" applyNumberFormat="0" applyBorder="0" applyAlignment="0" applyProtection="0"/>
    <xf numFmtId="0" fontId="71" fillId="8" borderId="0" applyNumberFormat="0" applyBorder="0" applyAlignment="0" applyProtection="0"/>
    <xf numFmtId="0" fontId="71" fillId="67" borderId="0" applyNumberFormat="0" applyBorder="0" applyAlignment="0" applyProtection="0"/>
    <xf numFmtId="0" fontId="71" fillId="43" borderId="0" applyNumberFormat="0" applyBorder="0" applyAlignment="0" applyProtection="0"/>
    <xf numFmtId="0" fontId="71" fillId="47" borderId="0" applyNumberFormat="0" applyBorder="0" applyAlignment="0" applyProtection="0"/>
    <xf numFmtId="0" fontId="72" fillId="7" borderId="10" applyNumberFormat="0" applyAlignment="0" applyProtection="0"/>
    <xf numFmtId="0" fontId="38" fillId="41" borderId="0" applyNumberFormat="0" applyBorder="0" applyAlignment="0" applyProtection="0"/>
    <xf numFmtId="0" fontId="73" fillId="7" borderId="1" applyNumberFormat="0" applyAlignment="0" applyProtection="0"/>
    <xf numFmtId="0" fontId="25" fillId="7" borderId="1" applyNumberFormat="0" applyAlignment="0" applyProtection="0"/>
    <xf numFmtId="0" fontId="27" fillId="34" borderId="3" applyNumberFormat="0" applyAlignment="0" applyProtection="0"/>
    <xf numFmtId="0" fontId="74" fillId="6" borderId="1" applyNumberFormat="0" applyAlignment="0" applyProtection="0"/>
    <xf numFmtId="0" fontId="75" fillId="0" borderId="16" applyNumberFormat="0" applyFill="0" applyAlignment="0" applyProtection="0"/>
    <xf numFmtId="0" fontId="76" fillId="0" borderId="0" applyNumberFormat="0" applyFill="0" applyBorder="0" applyAlignment="0" applyProtection="0"/>
    <xf numFmtId="175" fontId="9" fillId="0" borderId="0" applyFont="0" applyFill="0" applyBorder="0" applyAlignment="0" applyProtection="0"/>
    <xf numFmtId="0" fontId="49" fillId="0" borderId="0" applyNumberFormat="0" applyFill="0" applyBorder="0" applyAlignment="0" applyProtection="0"/>
    <xf numFmtId="0" fontId="31" fillId="38" borderId="0" applyNumberFormat="0" applyBorder="0" applyAlignment="0" applyProtection="0"/>
    <xf numFmtId="0" fontId="77" fillId="38" borderId="0" applyNumberFormat="0" applyBorder="0" applyAlignment="0" applyProtection="0"/>
    <xf numFmtId="0" fontId="42" fillId="0" borderId="0"/>
    <xf numFmtId="0" fontId="34" fillId="0" borderId="5" applyNumberFormat="0" applyFill="0" applyAlignment="0" applyProtection="0"/>
    <xf numFmtId="0" fontId="35" fillId="0" borderId="6" applyNumberFormat="0" applyFill="0" applyAlignment="0" applyProtection="0"/>
    <xf numFmtId="0" fontId="36" fillId="0" borderId="7" applyNumberFormat="0" applyFill="0" applyAlignment="0" applyProtection="0"/>
    <xf numFmtId="0" fontId="36" fillId="0" borderId="0" applyNumberFormat="0" applyFill="0" applyBorder="0" applyAlignment="0" applyProtection="0"/>
    <xf numFmtId="0" fontId="33" fillId="6" borderId="1" applyNumberFormat="0" applyAlignment="0" applyProtection="0"/>
    <xf numFmtId="165" fontId="9" fillId="0" borderId="0" applyFont="0" applyFill="0" applyBorder="0" applyAlignment="0" applyProtection="0"/>
    <xf numFmtId="0" fontId="30" fillId="0" borderId="4" applyNumberFormat="0" applyFill="0" applyAlignment="0" applyProtection="0"/>
    <xf numFmtId="0" fontId="9" fillId="0" borderId="0" applyNumberFormat="0" applyFill="0" applyBorder="0" applyAlignment="0" applyProtection="0"/>
    <xf numFmtId="0" fontId="37" fillId="39" borderId="0" applyNumberFormat="0" applyBorder="0" applyAlignment="0" applyProtection="0"/>
    <xf numFmtId="0" fontId="9" fillId="40" borderId="9" applyNumberFormat="0" applyFont="0" applyAlignment="0" applyProtection="0"/>
    <xf numFmtId="0" fontId="70" fillId="40" borderId="9" applyNumberFormat="0" applyFont="0" applyAlignment="0" applyProtection="0"/>
    <xf numFmtId="0" fontId="39" fillId="7" borderId="10" applyNumberFormat="0" applyAlignment="0" applyProtection="0"/>
    <xf numFmtId="9" fontId="9" fillId="0" borderId="0" applyFont="0" applyFill="0" applyBorder="0" applyAlignment="0" applyProtection="0"/>
    <xf numFmtId="176" fontId="12" fillId="0" borderId="0" applyFont="0" applyFill="0" applyBorder="0" applyAlignment="0" applyProtection="0">
      <alignment horizontal="right"/>
    </xf>
    <xf numFmtId="0" fontId="78" fillId="41" borderId="0" applyNumberFormat="0" applyBorder="0" applyAlignment="0" applyProtection="0"/>
    <xf numFmtId="0" fontId="48" fillId="0" borderId="0" applyNumberFormat="0" applyFill="0" applyBorder="0" applyAlignment="0" applyProtection="0"/>
    <xf numFmtId="0" fontId="28" fillId="0" borderId="16" applyNumberFormat="0" applyFill="0" applyAlignment="0" applyProtection="0"/>
    <xf numFmtId="0" fontId="48" fillId="0" borderId="0" applyNumberFormat="0" applyFill="0" applyBorder="0" applyAlignment="0" applyProtection="0"/>
    <xf numFmtId="0" fontId="79" fillId="0" borderId="5" applyNumberFormat="0" applyFill="0" applyAlignment="0" applyProtection="0"/>
    <xf numFmtId="0" fontId="80" fillId="0" borderId="6" applyNumberFormat="0" applyFill="0" applyAlignment="0" applyProtection="0"/>
    <xf numFmtId="0" fontId="81" fillId="0" borderId="7" applyNumberFormat="0" applyFill="0" applyAlignment="0" applyProtection="0"/>
    <xf numFmtId="0" fontId="81" fillId="0" borderId="0" applyNumberFormat="0" applyFill="0" applyBorder="0" applyAlignment="0" applyProtection="0"/>
    <xf numFmtId="0" fontId="82" fillId="0" borderId="4" applyNumberFormat="0" applyFill="0" applyAlignment="0" applyProtection="0"/>
    <xf numFmtId="0" fontId="83" fillId="0" borderId="0" applyNumberFormat="0" applyFill="0" applyBorder="0" applyAlignment="0" applyProtection="0"/>
    <xf numFmtId="0" fontId="50" fillId="0" borderId="0" applyNumberFormat="0" applyFill="0" applyBorder="0" applyAlignment="0" applyProtection="0"/>
    <xf numFmtId="0" fontId="84" fillId="34" borderId="3" applyNumberFormat="0" applyAlignment="0" applyProtection="0"/>
    <xf numFmtId="0" fontId="6" fillId="0" borderId="0"/>
    <xf numFmtId="0" fontId="6" fillId="0" borderId="0"/>
    <xf numFmtId="0" fontId="5" fillId="0" borderId="0"/>
    <xf numFmtId="4" fontId="20" fillId="43" borderId="2" applyNumberFormat="0" applyProtection="0">
      <alignment horizontal="left" vertical="center" indent="1"/>
    </xf>
    <xf numFmtId="0" fontId="6" fillId="0" borderId="0"/>
    <xf numFmtId="165" fontId="6" fillId="0" borderId="0" applyFont="0" applyFill="0" applyBorder="0" applyAlignment="0" applyProtection="0"/>
    <xf numFmtId="0" fontId="22"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2"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3"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6" borderId="0" applyNumberFormat="0" applyBorder="0" applyAlignment="0" applyProtection="0"/>
    <xf numFmtId="0" fontId="18" fillId="11" borderId="0" applyNumberFormat="0" applyBorder="0" applyAlignment="0" applyProtection="0"/>
    <xf numFmtId="0" fontId="18" fillId="3"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5" fillId="7" borderId="1" applyNumberFormat="0" applyAlignment="0" applyProtection="0"/>
    <xf numFmtId="0" fontId="27" fillId="34" borderId="3" applyNumberFormat="0" applyAlignment="0" applyProtection="0"/>
    <xf numFmtId="0" fontId="30" fillId="0" borderId="4" applyNumberFormat="0" applyFill="0" applyAlignment="0" applyProtection="0"/>
    <xf numFmtId="0" fontId="31" fillId="38" borderId="0" applyNumberFormat="0" applyBorder="0" applyAlignment="0" applyProtection="0"/>
    <xf numFmtId="0" fontId="33" fillId="6" borderId="1" applyNumberFormat="0" applyAlignment="0" applyProtection="0"/>
    <xf numFmtId="165" fontId="6" fillId="0" borderId="0" applyFont="0" applyFill="0" applyBorder="0" applyAlignment="0" applyProtection="0"/>
    <xf numFmtId="0" fontId="34" fillId="0" borderId="5" applyNumberFormat="0" applyFill="0" applyAlignment="0" applyProtection="0"/>
    <xf numFmtId="0" fontId="35" fillId="0" borderId="6" applyNumberFormat="0" applyFill="0" applyAlignment="0" applyProtection="0"/>
    <xf numFmtId="0" fontId="36" fillId="0" borderId="7" applyNumberFormat="0" applyFill="0" applyAlignment="0" applyProtection="0"/>
    <xf numFmtId="0" fontId="36" fillId="0" borderId="0" applyNumberFormat="0" applyFill="0" applyBorder="0" applyAlignment="0" applyProtection="0"/>
    <xf numFmtId="0" fontId="6" fillId="0" borderId="0" applyNumberFormat="0" applyFill="0" applyBorder="0" applyAlignment="0" applyProtection="0"/>
    <xf numFmtId="0" fontId="37" fillId="39" borderId="0" applyNumberFormat="0" applyBorder="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38" fillId="41" borderId="0" applyNumberFormat="0" applyBorder="0" applyAlignment="0" applyProtection="0"/>
    <xf numFmtId="9" fontId="6" fillId="0" borderId="0" applyFont="0" applyFill="0" applyBorder="0" applyAlignment="0" applyProtection="0"/>
    <xf numFmtId="4" fontId="20" fillId="39" borderId="2" applyNumberFormat="0" applyProtection="0">
      <alignment vertical="center"/>
    </xf>
    <xf numFmtId="4" fontId="20" fillId="70" borderId="2" applyNumberFormat="0" applyProtection="0">
      <alignment vertical="center"/>
    </xf>
    <xf numFmtId="4" fontId="20" fillId="39" borderId="2" applyNumberFormat="0" applyProtection="0">
      <alignment vertical="center"/>
    </xf>
    <xf numFmtId="4" fontId="91" fillId="42" borderId="2" applyNumberFormat="0" applyProtection="0">
      <alignment vertical="center"/>
    </xf>
    <xf numFmtId="4" fontId="20" fillId="42" borderId="2" applyNumberFormat="0" applyProtection="0">
      <alignment horizontal="left" vertical="center" indent="1"/>
    </xf>
    <xf numFmtId="4" fontId="20" fillId="70" borderId="2" applyNumberFormat="0" applyProtection="0">
      <alignment horizontal="left" vertical="center" indent="1"/>
    </xf>
    <xf numFmtId="4" fontId="20" fillId="43" borderId="2" applyNumberFormat="0" applyProtection="0">
      <alignment horizontal="left" vertical="center" indent="1"/>
    </xf>
    <xf numFmtId="4" fontId="20" fillId="71" borderId="2" applyNumberFormat="0" applyBorder="0" applyProtection="0">
      <alignment horizontal="left" vertical="center" indent="1"/>
    </xf>
    <xf numFmtId="4" fontId="20" fillId="41" borderId="2" applyNumberFormat="0" applyProtection="0">
      <alignment horizontal="right" vertical="center"/>
    </xf>
    <xf numFmtId="4" fontId="20" fillId="41" borderId="2" applyNumberFormat="0" applyProtection="0">
      <alignment horizontal="right" vertical="center"/>
    </xf>
    <xf numFmtId="4" fontId="20" fillId="44" borderId="2" applyNumberFormat="0" applyProtection="0">
      <alignment horizontal="right" vertical="center"/>
    </xf>
    <xf numFmtId="4" fontId="20" fillId="44" borderId="2" applyNumberFormat="0" applyProtection="0">
      <alignment horizontal="right" vertical="center"/>
    </xf>
    <xf numFmtId="4" fontId="20" fillId="45" borderId="12" applyNumberFormat="0" applyProtection="0">
      <alignment horizontal="right" vertical="center"/>
    </xf>
    <xf numFmtId="4" fontId="20" fillId="45" borderId="12" applyNumberFormat="0" applyProtection="0">
      <alignment horizontal="right" vertical="center"/>
    </xf>
    <xf numFmtId="4" fontId="20" fillId="12" borderId="2" applyNumberFormat="0" applyProtection="0">
      <alignment horizontal="right" vertical="center"/>
    </xf>
    <xf numFmtId="4" fontId="20" fillId="12" borderId="2" applyNumberFormat="0" applyProtection="0">
      <alignment horizontal="right" vertical="center"/>
    </xf>
    <xf numFmtId="4" fontId="20" fillId="46" borderId="2" applyNumberFormat="0" applyProtection="0">
      <alignment horizontal="right" vertical="center"/>
    </xf>
    <xf numFmtId="4" fontId="20" fillId="46" borderId="2" applyNumberFormat="0" applyProtection="0">
      <alignment horizontal="right" vertical="center"/>
    </xf>
    <xf numFmtId="4" fontId="20" fillId="47" borderId="2" applyNumberFormat="0" applyProtection="0">
      <alignment horizontal="right" vertical="center"/>
    </xf>
    <xf numFmtId="4" fontId="20" fillId="47" borderId="2" applyNumberFormat="0" applyProtection="0">
      <alignment horizontal="right" vertical="center"/>
    </xf>
    <xf numFmtId="4" fontId="20" fillId="8" borderId="2" applyNumberFormat="0" applyProtection="0">
      <alignment horizontal="right" vertical="center"/>
    </xf>
    <xf numFmtId="4" fontId="20" fillId="8" borderId="2" applyNumberFormat="0" applyProtection="0">
      <alignment horizontal="right" vertical="center"/>
    </xf>
    <xf numFmtId="4" fontId="20" fillId="4" borderId="2" applyNumberFormat="0" applyProtection="0">
      <alignment horizontal="right" vertical="center"/>
    </xf>
    <xf numFmtId="4" fontId="20" fillId="4" borderId="2" applyNumberFormat="0" applyProtection="0">
      <alignment horizontal="right" vertical="center"/>
    </xf>
    <xf numFmtId="4" fontId="20" fillId="48" borderId="2" applyNumberFormat="0" applyProtection="0">
      <alignment horizontal="right" vertical="center"/>
    </xf>
    <xf numFmtId="4" fontId="20" fillId="48" borderId="2" applyNumberFormat="0" applyProtection="0">
      <alignment horizontal="right" vertical="center"/>
    </xf>
    <xf numFmtId="4" fontId="20" fillId="49" borderId="12" applyNumberFormat="0" applyProtection="0">
      <alignment horizontal="left" vertical="center" indent="1"/>
    </xf>
    <xf numFmtId="4" fontId="20" fillId="49" borderId="12" applyNumberFormat="0" applyProtection="0">
      <alignment horizontal="left" vertical="center" indent="1"/>
    </xf>
    <xf numFmtId="4" fontId="20" fillId="3" borderId="2" applyNumberFormat="0" applyProtection="0">
      <alignment horizontal="right" vertical="center"/>
    </xf>
    <xf numFmtId="4" fontId="20" fillId="3" borderId="2" applyNumberFormat="0" applyProtection="0">
      <alignment horizontal="right" vertical="center"/>
    </xf>
    <xf numFmtId="4" fontId="20" fillId="2" borderId="12" applyNumberFormat="0" applyProtection="0">
      <alignment horizontal="left" vertical="center" indent="1"/>
    </xf>
    <xf numFmtId="4" fontId="20" fillId="72" borderId="12" applyNumberFormat="0" applyProtection="0">
      <alignment horizontal="left" vertical="center" indent="1"/>
    </xf>
    <xf numFmtId="4" fontId="20" fillId="3" borderId="12" applyNumberFormat="0" applyProtection="0">
      <alignment horizontal="left" vertical="center" indent="1"/>
    </xf>
    <xf numFmtId="4" fontId="20" fillId="3" borderId="12" applyNumberFormat="0" applyProtection="0">
      <alignment horizontal="left" vertical="center" indent="1"/>
    </xf>
    <xf numFmtId="0" fontId="20" fillId="7" borderId="2" applyNumberFormat="0" applyProtection="0">
      <alignment horizontal="left" vertical="center" indent="1"/>
    </xf>
    <xf numFmtId="0" fontId="20" fillId="60" borderId="2" applyNumberFormat="0" applyProtection="0">
      <alignment horizontal="left" vertical="center" indent="1"/>
    </xf>
    <xf numFmtId="0" fontId="20" fillId="50" borderId="2" applyNumberFormat="0" applyProtection="0">
      <alignment horizontal="left" vertical="center" indent="1"/>
    </xf>
    <xf numFmtId="0" fontId="20" fillId="50" borderId="2" applyNumberFormat="0" applyProtection="0">
      <alignment horizontal="left" vertical="center" indent="1"/>
    </xf>
    <xf numFmtId="0" fontId="20" fillId="51" borderId="2" applyNumberFormat="0" applyProtection="0">
      <alignment horizontal="left" vertical="center" indent="1"/>
    </xf>
    <xf numFmtId="0" fontId="20" fillId="51" borderId="2" applyNumberFormat="0" applyProtection="0">
      <alignment horizontal="left" vertical="center" indent="1"/>
    </xf>
    <xf numFmtId="0" fontId="20" fillId="2" borderId="2" applyNumberFormat="0" applyProtection="0">
      <alignment horizontal="left" vertical="center" indent="1"/>
    </xf>
    <xf numFmtId="0" fontId="20" fillId="2" borderId="2" applyNumberFormat="0" applyProtection="0">
      <alignment horizontal="left" vertical="center" indent="1"/>
    </xf>
    <xf numFmtId="4" fontId="20" fillId="40" borderId="15" applyNumberFormat="0" applyProtection="0">
      <alignment vertical="center"/>
    </xf>
    <xf numFmtId="4" fontId="91" fillId="70" borderId="15" applyNumberFormat="0" applyProtection="0">
      <alignment vertical="center"/>
    </xf>
    <xf numFmtId="4" fontId="20" fillId="0" borderId="2" applyNumberFormat="0" applyProtection="0">
      <alignment horizontal="right" vertical="center"/>
    </xf>
    <xf numFmtId="4" fontId="20" fillId="0" borderId="2" applyNumberFormat="0" applyProtection="0">
      <alignment horizontal="right" vertical="center"/>
    </xf>
    <xf numFmtId="4" fontId="20" fillId="52" borderId="2" applyNumberFormat="0" applyProtection="0">
      <alignment horizontal="right" vertical="center"/>
    </xf>
    <xf numFmtId="4" fontId="91" fillId="57" borderId="2" applyNumberFormat="0" applyProtection="0">
      <alignment horizontal="right" vertical="center"/>
    </xf>
    <xf numFmtId="4" fontId="20" fillId="71" borderId="2" applyNumberFormat="0" applyProtection="0">
      <alignment horizontal="left" vertical="center" indent="1"/>
    </xf>
    <xf numFmtId="0" fontId="20" fillId="54" borderId="15"/>
    <xf numFmtId="0" fontId="20" fillId="54" borderId="15"/>
    <xf numFmtId="0" fontId="48" fillId="0" borderId="0" applyNumberFormat="0" applyFill="0" applyBorder="0" applyAlignment="0" applyProtection="0"/>
    <xf numFmtId="0" fontId="28" fillId="0" borderId="16" applyNumberFormat="0" applyFill="0" applyAlignment="0" applyProtection="0"/>
    <xf numFmtId="0" fontId="39" fillId="7" borderId="10" applyNumberFormat="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6" fillId="0" borderId="0"/>
    <xf numFmtId="4" fontId="6" fillId="10" borderId="12" applyNumberFormat="0" applyProtection="0">
      <alignment horizontal="left" vertical="center" indent="1"/>
    </xf>
    <xf numFmtId="4" fontId="6" fillId="10" borderId="12" applyNumberFormat="0" applyProtection="0">
      <alignment horizontal="left" vertical="center" indent="1"/>
    </xf>
    <xf numFmtId="0" fontId="6" fillId="0" borderId="0" applyNumberFormat="0" applyFill="0" applyBorder="0" applyAlignment="0" applyProtection="0"/>
    <xf numFmtId="0" fontId="6" fillId="0" borderId="0" applyNumberFormat="0" applyFill="0" applyBorder="0" applyAlignment="0" applyProtection="0"/>
    <xf numFmtId="175" fontId="6" fillId="0" borderId="0" applyFont="0" applyFill="0" applyBorder="0" applyAlignment="0" applyProtection="0"/>
    <xf numFmtId="0" fontId="6" fillId="0" borderId="0" applyNumberFormat="0" applyFill="0" applyBorder="0" applyAlignment="0" applyProtection="0"/>
    <xf numFmtId="0" fontId="6" fillId="40" borderId="9"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xf numFmtId="0" fontId="6" fillId="0" borderId="0"/>
    <xf numFmtId="0" fontId="6" fillId="0" borderId="0"/>
    <xf numFmtId="0" fontId="6" fillId="0" borderId="0"/>
    <xf numFmtId="0" fontId="6" fillId="0" borderId="0"/>
    <xf numFmtId="0" fontId="14" fillId="0" borderId="0"/>
    <xf numFmtId="0" fontId="25" fillId="7" borderId="1" applyNumberFormat="0" applyAlignment="0" applyProtection="0"/>
    <xf numFmtId="0" fontId="26" fillId="33" borderId="2" applyNumberFormat="0" applyAlignment="0" applyProtection="0"/>
    <xf numFmtId="0" fontId="101" fillId="0" borderId="0" applyNumberFormat="0" applyFill="0" applyBorder="0" applyAlignment="0" applyProtection="0">
      <alignment vertical="top"/>
      <protection locked="0"/>
    </xf>
    <xf numFmtId="0" fontId="32" fillId="31" borderId="2" applyNumberFormat="0" applyAlignment="0" applyProtection="0"/>
    <xf numFmtId="0" fontId="33" fillId="6" borderId="1" applyNumberFormat="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4" fillId="0" borderId="0" applyFont="0" applyFill="0" applyBorder="0" applyAlignment="0" applyProtection="0"/>
    <xf numFmtId="165" fontId="24" fillId="0" borderId="0" applyFont="0" applyFill="0" applyBorder="0" applyAlignment="0" applyProtection="0"/>
    <xf numFmtId="43" fontId="24" fillId="0" borderId="0" applyFont="0" applyFill="0" applyBorder="0" applyAlignment="0" applyProtection="0"/>
    <xf numFmtId="165" fontId="6" fillId="0" borderId="0" applyFont="0" applyFill="0" applyBorder="0" applyAlignment="0" applyProtection="0"/>
    <xf numFmtId="178" fontId="22" fillId="0" borderId="0" applyFont="0" applyFill="0" applyBorder="0" applyAlignment="0" applyProtection="0"/>
    <xf numFmtId="0" fontId="6" fillId="0" borderId="0" applyNumberFormat="0" applyFill="0" applyBorder="0" applyAlignment="0" applyProtection="0"/>
    <xf numFmtId="0" fontId="20" fillId="30" borderId="2"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39" fillId="33" borderId="10" applyNumberFormat="0" applyAlignment="0" applyProtection="0"/>
    <xf numFmtId="174" fontId="6" fillId="56" borderId="55" applyBorder="0" applyProtection="0">
      <alignment horizontal="center" vertical="center"/>
    </xf>
    <xf numFmtId="9" fontId="14" fillId="0" borderId="0" applyFont="0" applyFill="0" applyBorder="0" applyAlignment="0" applyProtection="0"/>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42" borderId="2" applyNumberFormat="0" applyProtection="0">
      <alignment horizontal="left" vertical="center" indent="1"/>
    </xf>
    <xf numFmtId="4" fontId="20" fillId="42" borderId="2" applyNumberFormat="0" applyProtection="0">
      <alignment horizontal="left" vertical="center" indent="1"/>
    </xf>
    <xf numFmtId="0" fontId="41" fillId="39" borderId="11" applyNumberFormat="0" applyProtection="0">
      <alignment horizontal="left" vertical="top"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1" borderId="2" applyNumberFormat="0" applyProtection="0">
      <alignment horizontal="right" vertical="center"/>
    </xf>
    <xf numFmtId="4" fontId="20" fillId="41" borderId="2" applyNumberFormat="0" applyProtection="0">
      <alignment horizontal="right" vertical="center"/>
    </xf>
    <xf numFmtId="4" fontId="20" fillId="44" borderId="2" applyNumberFormat="0" applyProtection="0">
      <alignment horizontal="right" vertical="center"/>
    </xf>
    <xf numFmtId="4" fontId="20" fillId="44" borderId="2" applyNumberFormat="0" applyProtection="0">
      <alignment horizontal="right" vertical="center"/>
    </xf>
    <xf numFmtId="4" fontId="20" fillId="45" borderId="12" applyNumberFormat="0" applyProtection="0">
      <alignment horizontal="right" vertical="center"/>
    </xf>
    <xf numFmtId="4" fontId="20" fillId="45" borderId="12" applyNumberFormat="0" applyProtection="0">
      <alignment horizontal="right" vertical="center"/>
    </xf>
    <xf numFmtId="4" fontId="20" fillId="12" borderId="2" applyNumberFormat="0" applyProtection="0">
      <alignment horizontal="right" vertical="center"/>
    </xf>
    <xf numFmtId="4" fontId="20" fillId="12" borderId="2" applyNumberFormat="0" applyProtection="0">
      <alignment horizontal="right" vertical="center"/>
    </xf>
    <xf numFmtId="4" fontId="20" fillId="46" borderId="2" applyNumberFormat="0" applyProtection="0">
      <alignment horizontal="right" vertical="center"/>
    </xf>
    <xf numFmtId="4" fontId="20" fillId="46" borderId="2" applyNumberFormat="0" applyProtection="0">
      <alignment horizontal="right" vertical="center"/>
    </xf>
    <xf numFmtId="4" fontId="20" fillId="47" borderId="2" applyNumberFormat="0" applyProtection="0">
      <alignment horizontal="right" vertical="center"/>
    </xf>
    <xf numFmtId="4" fontId="20" fillId="47" borderId="2" applyNumberFormat="0" applyProtection="0">
      <alignment horizontal="right" vertical="center"/>
    </xf>
    <xf numFmtId="4" fontId="20" fillId="8" borderId="2" applyNumberFormat="0" applyProtection="0">
      <alignment horizontal="right" vertical="center"/>
    </xf>
    <xf numFmtId="4" fontId="20" fillId="8" borderId="2" applyNumberFormat="0" applyProtection="0">
      <alignment horizontal="right" vertical="center"/>
    </xf>
    <xf numFmtId="4" fontId="20" fillId="4" borderId="2" applyNumberFormat="0" applyProtection="0">
      <alignment horizontal="right" vertical="center"/>
    </xf>
    <xf numFmtId="4" fontId="20" fillId="4" borderId="2" applyNumberFormat="0" applyProtection="0">
      <alignment horizontal="right" vertical="center"/>
    </xf>
    <xf numFmtId="4" fontId="20" fillId="48" borderId="2" applyNumberFormat="0" applyProtection="0">
      <alignment horizontal="right" vertical="center"/>
    </xf>
    <xf numFmtId="4" fontId="20" fillId="48" borderId="2" applyNumberFormat="0" applyProtection="0">
      <alignment horizontal="right" vertical="center"/>
    </xf>
    <xf numFmtId="4" fontId="20" fillId="49" borderId="12" applyNumberFormat="0" applyProtection="0">
      <alignment horizontal="left" vertical="center" indent="1"/>
    </xf>
    <xf numFmtId="4" fontId="20" fillId="49" borderId="12" applyNumberFormat="0" applyProtection="0">
      <alignment horizontal="left" vertical="center" indent="1"/>
    </xf>
    <xf numFmtId="4" fontId="6" fillId="10" borderId="12" applyNumberFormat="0" applyProtection="0">
      <alignment horizontal="left" vertical="center" indent="1"/>
    </xf>
    <xf numFmtId="4" fontId="6" fillId="10" borderId="12" applyNumberFormat="0" applyProtection="0">
      <alignment horizontal="left" vertical="center" indent="1"/>
    </xf>
    <xf numFmtId="4" fontId="20" fillId="3" borderId="2" applyNumberFormat="0" applyProtection="0">
      <alignment horizontal="right" vertical="center"/>
    </xf>
    <xf numFmtId="4" fontId="20" fillId="3" borderId="2" applyNumberFormat="0" applyProtection="0">
      <alignment horizontal="right" vertical="center"/>
    </xf>
    <xf numFmtId="4" fontId="20" fillId="2" borderId="12" applyNumberFormat="0" applyProtection="0">
      <alignment horizontal="left" vertical="center" indent="1"/>
    </xf>
    <xf numFmtId="4" fontId="20" fillId="2" borderId="12" applyNumberFormat="0" applyProtection="0">
      <alignment horizontal="left" vertical="center" indent="1"/>
    </xf>
    <xf numFmtId="4" fontId="20" fillId="3" borderId="12" applyNumberFormat="0" applyProtection="0">
      <alignment horizontal="left" vertical="center" indent="1"/>
    </xf>
    <xf numFmtId="4" fontId="20" fillId="3" borderId="12" applyNumberFormat="0" applyProtection="0">
      <alignment horizontal="left" vertical="center" indent="1"/>
    </xf>
    <xf numFmtId="0" fontId="20" fillId="7" borderId="2" applyNumberFormat="0" applyProtection="0">
      <alignment horizontal="left" vertical="center" indent="1"/>
    </xf>
    <xf numFmtId="0" fontId="20" fillId="7" borderId="2" applyNumberFormat="0" applyProtection="0">
      <alignment horizontal="left" vertical="center" indent="1"/>
    </xf>
    <xf numFmtId="0" fontId="20" fillId="10" borderId="11" applyNumberFormat="0" applyProtection="0">
      <alignment horizontal="left" vertical="top" indent="1"/>
    </xf>
    <xf numFmtId="0" fontId="20" fillId="50" borderId="2" applyNumberFormat="0" applyProtection="0">
      <alignment horizontal="left" vertical="center" indent="1"/>
    </xf>
    <xf numFmtId="0" fontId="20" fillId="50" borderId="2" applyNumberFormat="0" applyProtection="0">
      <alignment horizontal="left" vertical="center" indent="1"/>
    </xf>
    <xf numFmtId="0" fontId="20" fillId="3" borderId="11" applyNumberFormat="0" applyProtection="0">
      <alignment horizontal="left" vertical="top" indent="1"/>
    </xf>
    <xf numFmtId="0" fontId="20" fillId="51" borderId="2" applyNumberFormat="0" applyProtection="0">
      <alignment horizontal="left" vertical="center" indent="1"/>
    </xf>
    <xf numFmtId="0" fontId="20" fillId="51" borderId="2" applyNumberFormat="0" applyProtection="0">
      <alignment horizontal="left" vertical="center" indent="1"/>
    </xf>
    <xf numFmtId="0" fontId="20" fillId="51" borderId="11" applyNumberFormat="0" applyProtection="0">
      <alignment horizontal="left" vertical="top" indent="1"/>
    </xf>
    <xf numFmtId="0" fontId="20" fillId="2" borderId="2" applyNumberFormat="0" applyProtection="0">
      <alignment horizontal="left" vertical="center" indent="1"/>
    </xf>
    <xf numFmtId="0" fontId="20" fillId="2" borderId="2" applyNumberFormat="0" applyProtection="0">
      <alignment horizontal="left" vertical="center" indent="1"/>
    </xf>
    <xf numFmtId="0" fontId="20" fillId="2" borderId="11" applyNumberFormat="0" applyProtection="0">
      <alignment horizontal="left" vertical="top" indent="1"/>
    </xf>
    <xf numFmtId="0" fontId="42" fillId="10" borderId="14" applyBorder="0"/>
    <xf numFmtId="4" fontId="43" fillId="40" borderId="11" applyNumberFormat="0" applyProtection="0">
      <alignment vertical="center"/>
    </xf>
    <xf numFmtId="4" fontId="20" fillId="40" borderId="15" applyNumberFormat="0" applyProtection="0">
      <alignment vertical="center"/>
    </xf>
    <xf numFmtId="4" fontId="20" fillId="40" borderId="15" applyNumberFormat="0" applyProtection="0">
      <alignment vertical="center"/>
    </xf>
    <xf numFmtId="4" fontId="43" fillId="7" borderId="11" applyNumberFormat="0" applyProtection="0">
      <alignment horizontal="left" vertical="center" indent="1"/>
    </xf>
    <xf numFmtId="0" fontId="43" fillId="40" borderId="11" applyNumberFormat="0" applyProtection="0">
      <alignment horizontal="left" vertical="top" indent="1"/>
    </xf>
    <xf numFmtId="4" fontId="20" fillId="0" borderId="2" applyNumberFormat="0" applyProtection="0">
      <alignment horizontal="right" vertical="center"/>
    </xf>
    <xf numFmtId="4" fontId="20" fillId="0" borderId="2" applyNumberFormat="0" applyProtection="0">
      <alignment horizontal="right" vertical="center"/>
    </xf>
    <xf numFmtId="4" fontId="20" fillId="52" borderId="2" applyNumberFormat="0" applyProtection="0">
      <alignment horizontal="right" vertical="center"/>
    </xf>
    <xf numFmtId="4" fontId="20" fillId="52" borderId="2" applyNumberFormat="0" applyProtection="0">
      <alignment horizontal="right" vertical="center"/>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0" fontId="43" fillId="3" borderId="11" applyNumberFormat="0" applyProtection="0">
      <alignment horizontal="left" vertical="top" indent="1"/>
    </xf>
    <xf numFmtId="4" fontId="44" fillId="53" borderId="12" applyNumberFormat="0" applyProtection="0">
      <alignment horizontal="left" vertical="center" indent="1"/>
    </xf>
    <xf numFmtId="0" fontId="20" fillId="54" borderId="15"/>
    <xf numFmtId="0" fontId="20" fillId="54" borderId="15"/>
    <xf numFmtId="4" fontId="45" fillId="52" borderId="2" applyNumberFormat="0" applyProtection="0">
      <alignment horizontal="right" vertical="center"/>
    </xf>
    <xf numFmtId="0" fontId="22" fillId="0" borderId="0"/>
    <xf numFmtId="0" fontId="6" fillId="0" borderId="0"/>
    <xf numFmtId="0" fontId="6" fillId="0" borderId="0"/>
    <xf numFmtId="0" fontId="24" fillId="0" borderId="0"/>
    <xf numFmtId="0" fontId="6" fillId="0" borderId="0"/>
    <xf numFmtId="0" fontId="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4" fillId="0" borderId="0"/>
    <xf numFmtId="0" fontId="22" fillId="0" borderId="0"/>
    <xf numFmtId="0" fontId="6" fillId="0" borderId="0"/>
    <xf numFmtId="0" fontId="6" fillId="0" borderId="0"/>
    <xf numFmtId="0" fontId="6" fillId="0" borderId="0"/>
    <xf numFmtId="0" fontId="6" fillId="0" borderId="0"/>
    <xf numFmtId="0" fontId="6" fillId="0" borderId="0"/>
    <xf numFmtId="0" fontId="28" fillId="0" borderId="16" applyNumberFormat="0" applyFill="0" applyAlignment="0" applyProtection="0"/>
    <xf numFmtId="0" fontId="28" fillId="0" borderId="17" applyNumberFormat="0" applyFill="0" applyAlignment="0" applyProtection="0"/>
    <xf numFmtId="0" fontId="39" fillId="7" borderId="10" applyNumberFormat="0" applyAlignment="0" applyProtection="0"/>
    <xf numFmtId="0" fontId="8" fillId="0" borderId="0"/>
    <xf numFmtId="0" fontId="6" fillId="0" borderId="0" applyNumberFormat="0" applyFill="0" applyBorder="0" applyAlignment="0" applyProtection="0"/>
    <xf numFmtId="0" fontId="4" fillId="0" borderId="0"/>
    <xf numFmtId="0" fontId="6" fillId="0" borderId="0"/>
    <xf numFmtId="0" fontId="29" fillId="0" borderId="0"/>
    <xf numFmtId="0" fontId="6" fillId="0" borderId="0"/>
    <xf numFmtId="0" fontId="14" fillId="0" borderId="0"/>
    <xf numFmtId="0" fontId="6" fillId="0" borderId="0"/>
    <xf numFmtId="0" fontId="6" fillId="0" borderId="0"/>
    <xf numFmtId="0" fontId="25" fillId="7" borderId="1" applyNumberFormat="0" applyAlignment="0" applyProtection="0"/>
    <xf numFmtId="0" fontId="25" fillId="7" borderId="1" applyNumberFormat="0" applyAlignment="0" applyProtection="0"/>
    <xf numFmtId="0" fontId="25" fillId="7" borderId="1" applyNumberFormat="0" applyAlignment="0" applyProtection="0"/>
    <xf numFmtId="0" fontId="25" fillId="7" borderId="1" applyNumberFormat="0" applyAlignment="0" applyProtection="0"/>
    <xf numFmtId="0" fontId="25" fillId="7" borderId="1" applyNumberFormat="0" applyAlignment="0" applyProtection="0"/>
    <xf numFmtId="0" fontId="25" fillId="7" borderId="1" applyNumberFormat="0" applyAlignment="0" applyProtection="0"/>
    <xf numFmtId="0" fontId="25" fillId="7" borderId="1" applyNumberFormat="0" applyAlignment="0" applyProtection="0"/>
    <xf numFmtId="0" fontId="25" fillId="7" borderId="1" applyNumberFormat="0" applyAlignment="0" applyProtection="0"/>
    <xf numFmtId="0" fontId="25" fillId="7" borderId="1" applyNumberFormat="0" applyAlignment="0" applyProtection="0"/>
    <xf numFmtId="0" fontId="26" fillId="33" borderId="2" applyNumberFormat="0" applyAlignment="0" applyProtection="0"/>
    <xf numFmtId="0" fontId="26" fillId="33" borderId="2" applyNumberFormat="0" applyAlignment="0" applyProtection="0"/>
    <xf numFmtId="0" fontId="26" fillId="33" borderId="2" applyNumberFormat="0" applyAlignment="0" applyProtection="0"/>
    <xf numFmtId="0" fontId="26" fillId="33" borderId="2" applyNumberFormat="0" applyAlignment="0" applyProtection="0"/>
    <xf numFmtId="0" fontId="26" fillId="33" borderId="2" applyNumberFormat="0" applyAlignment="0" applyProtection="0"/>
    <xf numFmtId="0" fontId="26" fillId="33" borderId="2" applyNumberFormat="0" applyAlignment="0" applyProtection="0"/>
    <xf numFmtId="0" fontId="26" fillId="33" borderId="2" applyNumberFormat="0" applyAlignment="0" applyProtection="0"/>
    <xf numFmtId="0" fontId="26" fillId="33" borderId="2" applyNumberFormat="0" applyAlignment="0" applyProtection="0"/>
    <xf numFmtId="180" fontId="6" fillId="0" borderId="0" applyFont="0" applyFill="0" applyBorder="0" applyAlignment="0" applyProtection="0"/>
    <xf numFmtId="168" fontId="29" fillId="0" borderId="0" applyFont="0" applyFill="0" applyBorder="0" applyAlignment="0" applyProtection="0"/>
    <xf numFmtId="0" fontId="108" fillId="0" borderId="0" applyNumberFormat="0" applyFill="0" applyBorder="0" applyAlignment="0" applyProtection="0">
      <alignment vertical="top"/>
      <protection locked="0"/>
    </xf>
    <xf numFmtId="0" fontId="32" fillId="31" borderId="2" applyNumberFormat="0" applyAlignment="0" applyProtection="0"/>
    <xf numFmtId="0" fontId="32" fillId="31" borderId="2" applyNumberFormat="0" applyAlignment="0" applyProtection="0"/>
    <xf numFmtId="0" fontId="32" fillId="31" borderId="2" applyNumberFormat="0" applyAlignment="0" applyProtection="0"/>
    <xf numFmtId="0" fontId="32" fillId="31" borderId="2" applyNumberFormat="0" applyAlignment="0" applyProtection="0"/>
    <xf numFmtId="0" fontId="32" fillId="31" borderId="2" applyNumberFormat="0" applyAlignment="0" applyProtection="0"/>
    <xf numFmtId="0" fontId="32" fillId="31" borderId="2" applyNumberFormat="0" applyAlignment="0" applyProtection="0"/>
    <xf numFmtId="0" fontId="32" fillId="31" borderId="2" applyNumberFormat="0" applyAlignment="0" applyProtection="0"/>
    <xf numFmtId="0" fontId="32" fillId="31" borderId="2" applyNumberFormat="0" applyAlignment="0" applyProtection="0"/>
    <xf numFmtId="0" fontId="33" fillId="6" borderId="1" applyNumberFormat="0" applyAlignment="0" applyProtection="0"/>
    <xf numFmtId="0" fontId="33" fillId="6" borderId="1" applyNumberFormat="0" applyAlignment="0" applyProtection="0"/>
    <xf numFmtId="0" fontId="33" fillId="6" borderId="1" applyNumberFormat="0" applyAlignment="0" applyProtection="0"/>
    <xf numFmtId="0" fontId="33" fillId="6" borderId="1" applyNumberFormat="0" applyAlignment="0" applyProtection="0"/>
    <xf numFmtId="0" fontId="33" fillId="6" borderId="1" applyNumberFormat="0" applyAlignment="0" applyProtection="0"/>
    <xf numFmtId="0" fontId="33" fillId="6" borderId="1" applyNumberFormat="0" applyAlignment="0" applyProtection="0"/>
    <xf numFmtId="0" fontId="33" fillId="6" borderId="1" applyNumberFormat="0" applyAlignment="0" applyProtection="0"/>
    <xf numFmtId="0" fontId="33" fillId="6" borderId="1" applyNumberFormat="0" applyAlignment="0" applyProtection="0"/>
    <xf numFmtId="0" fontId="33" fillId="6" borderId="1" applyNumberFormat="0" applyAlignment="0" applyProtection="0"/>
    <xf numFmtId="178" fontId="6" fillId="0" borderId="0" applyFont="0" applyFill="0" applyBorder="0" applyAlignment="0" applyProtection="0"/>
    <xf numFmtId="0" fontId="20" fillId="30" borderId="2" applyNumberFormat="0" applyFont="0" applyAlignment="0" applyProtection="0"/>
    <xf numFmtId="0" fontId="20" fillId="30" borderId="2" applyNumberFormat="0" applyFont="0" applyAlignment="0" applyProtection="0"/>
    <xf numFmtId="0" fontId="20" fillId="30" borderId="2" applyNumberFormat="0" applyFont="0" applyAlignment="0" applyProtection="0"/>
    <xf numFmtId="0" fontId="20" fillId="30" borderId="2" applyNumberFormat="0" applyFont="0" applyAlignment="0" applyProtection="0"/>
    <xf numFmtId="0" fontId="20" fillId="30" borderId="2" applyNumberFormat="0" applyFont="0" applyAlignment="0" applyProtection="0"/>
    <xf numFmtId="0" fontId="20" fillId="30" borderId="2" applyNumberFormat="0" applyFont="0" applyAlignment="0" applyProtection="0"/>
    <xf numFmtId="0" fontId="20" fillId="30" borderId="2" applyNumberFormat="0" applyFont="0" applyAlignment="0" applyProtection="0"/>
    <xf numFmtId="0" fontId="20" fillId="30" borderId="2"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39" fillId="33" borderId="10" applyNumberFormat="0" applyAlignment="0" applyProtection="0"/>
    <xf numFmtId="0" fontId="39" fillId="33" borderId="10" applyNumberFormat="0" applyAlignment="0" applyProtection="0"/>
    <xf numFmtId="0" fontId="39" fillId="33" borderId="10" applyNumberFormat="0" applyAlignment="0" applyProtection="0"/>
    <xf numFmtId="0" fontId="39" fillId="33" borderId="10" applyNumberFormat="0" applyAlignment="0" applyProtection="0"/>
    <xf numFmtId="0" fontId="39" fillId="33" borderId="10" applyNumberFormat="0" applyAlignment="0" applyProtection="0"/>
    <xf numFmtId="0" fontId="39" fillId="33" borderId="10" applyNumberFormat="0" applyAlignment="0" applyProtection="0"/>
    <xf numFmtId="0" fontId="39" fillId="33" borderId="10" applyNumberFormat="0" applyAlignment="0" applyProtection="0"/>
    <xf numFmtId="0" fontId="39" fillId="33" borderId="10" applyNumberFormat="0" applyAlignment="0" applyProtection="0"/>
    <xf numFmtId="4" fontId="22" fillId="42" borderId="10"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109" fillId="42" borderId="10"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0" fillId="39" borderId="2" applyNumberFormat="0" applyProtection="0">
      <alignment vertical="center"/>
    </xf>
    <xf numFmtId="4" fontId="22" fillId="42" borderId="10" applyNumberFormat="0" applyProtection="0">
      <alignment horizontal="left" vertical="center" indent="1"/>
    </xf>
    <xf numFmtId="4" fontId="20" fillId="42" borderId="2" applyNumberFormat="0" applyProtection="0">
      <alignment horizontal="left" vertical="center" indent="1"/>
    </xf>
    <xf numFmtId="4" fontId="20" fillId="42" borderId="2" applyNumberFormat="0" applyProtection="0">
      <alignment horizontal="left" vertical="center" indent="1"/>
    </xf>
    <xf numFmtId="4" fontId="20" fillId="42" borderId="2" applyNumberFormat="0" applyProtection="0">
      <alignment horizontal="left" vertical="center" indent="1"/>
    </xf>
    <xf numFmtId="4" fontId="20" fillId="42" borderId="2" applyNumberFormat="0" applyProtection="0">
      <alignment horizontal="left" vertical="center" indent="1"/>
    </xf>
    <xf numFmtId="4" fontId="20" fillId="42" borderId="2" applyNumberFormat="0" applyProtection="0">
      <alignment horizontal="left" vertical="center" indent="1"/>
    </xf>
    <xf numFmtId="4" fontId="20" fillId="42" borderId="2" applyNumberFormat="0" applyProtection="0">
      <alignment horizontal="left" vertical="center" indent="1"/>
    </xf>
    <xf numFmtId="4" fontId="20" fillId="42" borderId="2" applyNumberFormat="0" applyProtection="0">
      <alignment horizontal="left" vertical="center" indent="1"/>
    </xf>
    <xf numFmtId="4" fontId="20" fillId="42" borderId="2" applyNumberFormat="0" applyProtection="0">
      <alignment horizontal="left" vertical="center" indent="1"/>
    </xf>
    <xf numFmtId="4" fontId="20" fillId="42" borderId="2" applyNumberFormat="0" applyProtection="0">
      <alignment horizontal="left" vertical="center" indent="1"/>
    </xf>
    <xf numFmtId="4" fontId="20" fillId="42" borderId="2" applyNumberFormat="0" applyProtection="0">
      <alignment horizontal="left" vertical="center" indent="1"/>
    </xf>
    <xf numFmtId="4" fontId="20" fillId="42" borderId="2" applyNumberFormat="0" applyProtection="0">
      <alignment horizontal="left" vertical="center" indent="1"/>
    </xf>
    <xf numFmtId="4" fontId="20" fillId="42" borderId="2" applyNumberFormat="0" applyProtection="0">
      <alignment horizontal="left" vertical="center" indent="1"/>
    </xf>
    <xf numFmtId="4" fontId="20" fillId="42" borderId="2" applyNumberFormat="0" applyProtection="0">
      <alignment horizontal="left" vertical="center" indent="1"/>
    </xf>
    <xf numFmtId="4" fontId="20" fillId="42" borderId="2" applyNumberFormat="0" applyProtection="0">
      <alignment horizontal="left" vertical="center" indent="1"/>
    </xf>
    <xf numFmtId="4" fontId="20" fillId="42" borderId="2" applyNumberFormat="0" applyProtection="0">
      <alignment horizontal="left" vertical="center" indent="1"/>
    </xf>
    <xf numFmtId="4" fontId="20" fillId="42" borderId="2" applyNumberFormat="0" applyProtection="0">
      <alignment horizontal="left" vertical="center" indent="1"/>
    </xf>
    <xf numFmtId="4" fontId="20" fillId="42" borderId="2" applyNumberFormat="0" applyProtection="0">
      <alignment horizontal="left" vertical="center" indent="1"/>
    </xf>
    <xf numFmtId="4" fontId="20" fillId="42" borderId="2" applyNumberFormat="0" applyProtection="0">
      <alignment horizontal="left" vertical="center" indent="1"/>
    </xf>
    <xf numFmtId="4" fontId="22" fillId="42" borderId="10" applyNumberFormat="0" applyProtection="0">
      <alignment horizontal="left" vertical="center" indent="1"/>
    </xf>
    <xf numFmtId="0" fontId="41" fillId="39" borderId="11" applyNumberFormat="0" applyProtection="0">
      <alignment horizontal="left" vertical="top" indent="1"/>
    </xf>
    <xf numFmtId="0" fontId="41" fillId="39" borderId="11" applyNumberFormat="0" applyProtection="0">
      <alignment horizontal="left" vertical="top" indent="1"/>
    </xf>
    <xf numFmtId="0" fontId="41" fillId="39" borderId="11" applyNumberFormat="0" applyProtection="0">
      <alignment horizontal="left" vertical="top" indent="1"/>
    </xf>
    <xf numFmtId="0" fontId="41" fillId="39" borderId="11" applyNumberFormat="0" applyProtection="0">
      <alignment horizontal="left" vertical="top" indent="1"/>
    </xf>
    <xf numFmtId="0" fontId="41" fillId="39" borderId="11" applyNumberFormat="0" applyProtection="0">
      <alignment horizontal="left" vertical="top" indent="1"/>
    </xf>
    <xf numFmtId="0" fontId="41" fillId="39" borderId="11" applyNumberFormat="0" applyProtection="0">
      <alignment horizontal="left" vertical="top" indent="1"/>
    </xf>
    <xf numFmtId="0" fontId="41" fillId="39" borderId="11" applyNumberFormat="0" applyProtection="0">
      <alignment horizontal="left" vertical="top" indent="1"/>
    </xf>
    <xf numFmtId="0" fontId="41" fillId="39" borderId="11" applyNumberFormat="0" applyProtection="0">
      <alignment horizontal="left" vertical="top" indent="1"/>
    </xf>
    <xf numFmtId="0" fontId="41" fillId="39" borderId="11" applyNumberFormat="0" applyProtection="0">
      <alignment horizontal="left" vertical="top" indent="1"/>
    </xf>
    <xf numFmtId="0" fontId="41" fillId="39" borderId="11" applyNumberFormat="0" applyProtection="0">
      <alignment horizontal="left" vertical="top" indent="1"/>
    </xf>
    <xf numFmtId="4" fontId="20" fillId="71" borderId="2" applyNumberFormat="0" applyBorder="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2" fillId="81" borderId="10" applyNumberFormat="0" applyProtection="0">
      <alignment horizontal="right" vertical="center"/>
    </xf>
    <xf numFmtId="4" fontId="20" fillId="41" borderId="2" applyNumberFormat="0" applyProtection="0">
      <alignment horizontal="right" vertical="center"/>
    </xf>
    <xf numFmtId="4" fontId="20" fillId="41" borderId="2" applyNumberFormat="0" applyProtection="0">
      <alignment horizontal="right" vertical="center"/>
    </xf>
    <xf numFmtId="4" fontId="20" fillId="41" borderId="2" applyNumberFormat="0" applyProtection="0">
      <alignment horizontal="right" vertical="center"/>
    </xf>
    <xf numFmtId="4" fontId="20" fillId="41" borderId="2" applyNumberFormat="0" applyProtection="0">
      <alignment horizontal="right" vertical="center"/>
    </xf>
    <xf numFmtId="4" fontId="20" fillId="41" borderId="2" applyNumberFormat="0" applyProtection="0">
      <alignment horizontal="right" vertical="center"/>
    </xf>
    <xf numFmtId="4" fontId="20" fillId="41" borderId="2" applyNumberFormat="0" applyProtection="0">
      <alignment horizontal="right" vertical="center"/>
    </xf>
    <xf numFmtId="4" fontId="20" fillId="41" borderId="2" applyNumberFormat="0" applyProtection="0">
      <alignment horizontal="right" vertical="center"/>
    </xf>
    <xf numFmtId="4" fontId="20" fillId="41" borderId="2" applyNumberFormat="0" applyProtection="0">
      <alignment horizontal="right" vertical="center"/>
    </xf>
    <xf numFmtId="4" fontId="20" fillId="41" borderId="2" applyNumberFormat="0" applyProtection="0">
      <alignment horizontal="right" vertical="center"/>
    </xf>
    <xf numFmtId="4" fontId="20" fillId="41" borderId="2" applyNumberFormat="0" applyProtection="0">
      <alignment horizontal="right" vertical="center"/>
    </xf>
    <xf numFmtId="4" fontId="20" fillId="41" borderId="2" applyNumberFormat="0" applyProtection="0">
      <alignment horizontal="right" vertical="center"/>
    </xf>
    <xf numFmtId="4" fontId="20" fillId="41" borderId="2" applyNumberFormat="0" applyProtection="0">
      <alignment horizontal="right" vertical="center"/>
    </xf>
    <xf numFmtId="4" fontId="20" fillId="41" borderId="2" applyNumberFormat="0" applyProtection="0">
      <alignment horizontal="right" vertical="center"/>
    </xf>
    <xf numFmtId="4" fontId="20" fillId="41" borderId="2" applyNumberFormat="0" applyProtection="0">
      <alignment horizontal="right" vertical="center"/>
    </xf>
    <xf numFmtId="4" fontId="20" fillId="41" borderId="2" applyNumberFormat="0" applyProtection="0">
      <alignment horizontal="right" vertical="center"/>
    </xf>
    <xf numFmtId="4" fontId="20" fillId="41" borderId="2" applyNumberFormat="0" applyProtection="0">
      <alignment horizontal="right" vertical="center"/>
    </xf>
    <xf numFmtId="4" fontId="20" fillId="41" borderId="2" applyNumberFormat="0" applyProtection="0">
      <alignment horizontal="right" vertical="center"/>
    </xf>
    <xf numFmtId="4" fontId="20" fillId="41" borderId="2" applyNumberFormat="0" applyProtection="0">
      <alignment horizontal="right" vertical="center"/>
    </xf>
    <xf numFmtId="4" fontId="22" fillId="82" borderId="10" applyNumberFormat="0" applyProtection="0">
      <alignment horizontal="right" vertical="center"/>
    </xf>
    <xf numFmtId="4" fontId="20" fillId="44" borderId="2" applyNumberFormat="0" applyProtection="0">
      <alignment horizontal="right" vertical="center"/>
    </xf>
    <xf numFmtId="4" fontId="20" fillId="44" borderId="2" applyNumberFormat="0" applyProtection="0">
      <alignment horizontal="right" vertical="center"/>
    </xf>
    <xf numFmtId="4" fontId="20" fillId="44" borderId="2" applyNumberFormat="0" applyProtection="0">
      <alignment horizontal="right" vertical="center"/>
    </xf>
    <xf numFmtId="4" fontId="20" fillId="44" borderId="2" applyNumberFormat="0" applyProtection="0">
      <alignment horizontal="right" vertical="center"/>
    </xf>
    <xf numFmtId="4" fontId="20" fillId="44" borderId="2" applyNumberFormat="0" applyProtection="0">
      <alignment horizontal="right" vertical="center"/>
    </xf>
    <xf numFmtId="4" fontId="20" fillId="44" borderId="2" applyNumberFormat="0" applyProtection="0">
      <alignment horizontal="right" vertical="center"/>
    </xf>
    <xf numFmtId="4" fontId="20" fillId="44" borderId="2" applyNumberFormat="0" applyProtection="0">
      <alignment horizontal="right" vertical="center"/>
    </xf>
    <xf numFmtId="4" fontId="20" fillId="44" borderId="2" applyNumberFormat="0" applyProtection="0">
      <alignment horizontal="right" vertical="center"/>
    </xf>
    <xf numFmtId="4" fontId="20" fillId="44" borderId="2" applyNumberFormat="0" applyProtection="0">
      <alignment horizontal="right" vertical="center"/>
    </xf>
    <xf numFmtId="4" fontId="20" fillId="44" borderId="2" applyNumberFormat="0" applyProtection="0">
      <alignment horizontal="right" vertical="center"/>
    </xf>
    <xf numFmtId="4" fontId="20" fillId="44" borderId="2" applyNumberFormat="0" applyProtection="0">
      <alignment horizontal="right" vertical="center"/>
    </xf>
    <xf numFmtId="4" fontId="20" fillId="44" borderId="2" applyNumberFormat="0" applyProtection="0">
      <alignment horizontal="right" vertical="center"/>
    </xf>
    <xf numFmtId="4" fontId="20" fillId="44" borderId="2" applyNumberFormat="0" applyProtection="0">
      <alignment horizontal="right" vertical="center"/>
    </xf>
    <xf numFmtId="4" fontId="20" fillId="44" borderId="2" applyNumberFormat="0" applyProtection="0">
      <alignment horizontal="right" vertical="center"/>
    </xf>
    <xf numFmtId="4" fontId="20" fillId="44" borderId="2" applyNumberFormat="0" applyProtection="0">
      <alignment horizontal="right" vertical="center"/>
    </xf>
    <xf numFmtId="4" fontId="20" fillId="44" borderId="2" applyNumberFormat="0" applyProtection="0">
      <alignment horizontal="right" vertical="center"/>
    </xf>
    <xf numFmtId="4" fontId="20" fillId="44" borderId="2" applyNumberFormat="0" applyProtection="0">
      <alignment horizontal="right" vertical="center"/>
    </xf>
    <xf numFmtId="4" fontId="20" fillId="44" borderId="2" applyNumberFormat="0" applyProtection="0">
      <alignment horizontal="right" vertical="center"/>
    </xf>
    <xf numFmtId="4" fontId="22" fillId="83" borderId="10" applyNumberFormat="0" applyProtection="0">
      <alignment horizontal="right" vertical="center"/>
    </xf>
    <xf numFmtId="4" fontId="20" fillId="45" borderId="12" applyNumberFormat="0" applyProtection="0">
      <alignment horizontal="right" vertical="center"/>
    </xf>
    <xf numFmtId="4" fontId="20" fillId="45" borderId="12" applyNumberFormat="0" applyProtection="0">
      <alignment horizontal="right" vertical="center"/>
    </xf>
    <xf numFmtId="4" fontId="20" fillId="45" borderId="12" applyNumberFormat="0" applyProtection="0">
      <alignment horizontal="right" vertical="center"/>
    </xf>
    <xf numFmtId="4" fontId="20" fillId="45" borderId="12" applyNumberFormat="0" applyProtection="0">
      <alignment horizontal="right" vertical="center"/>
    </xf>
    <xf numFmtId="4" fontId="20" fillId="45" borderId="12" applyNumberFormat="0" applyProtection="0">
      <alignment horizontal="right" vertical="center"/>
    </xf>
    <xf numFmtId="4" fontId="20" fillId="45" borderId="12" applyNumberFormat="0" applyProtection="0">
      <alignment horizontal="right" vertical="center"/>
    </xf>
    <xf numFmtId="4" fontId="20" fillId="45" borderId="12" applyNumberFormat="0" applyProtection="0">
      <alignment horizontal="right" vertical="center"/>
    </xf>
    <xf numFmtId="4" fontId="20" fillId="45" borderId="12" applyNumberFormat="0" applyProtection="0">
      <alignment horizontal="right" vertical="center"/>
    </xf>
    <xf numFmtId="4" fontId="20" fillId="45" borderId="12" applyNumberFormat="0" applyProtection="0">
      <alignment horizontal="right" vertical="center"/>
    </xf>
    <xf numFmtId="4" fontId="20" fillId="45" borderId="12" applyNumberFormat="0" applyProtection="0">
      <alignment horizontal="right" vertical="center"/>
    </xf>
    <xf numFmtId="4" fontId="20" fillId="45" borderId="12" applyNumberFormat="0" applyProtection="0">
      <alignment horizontal="right" vertical="center"/>
    </xf>
    <xf numFmtId="4" fontId="20" fillId="45" borderId="12" applyNumberFormat="0" applyProtection="0">
      <alignment horizontal="right" vertical="center"/>
    </xf>
    <xf numFmtId="4" fontId="20" fillId="45" borderId="12" applyNumberFormat="0" applyProtection="0">
      <alignment horizontal="right" vertical="center"/>
    </xf>
    <xf numFmtId="4" fontId="20" fillId="45" borderId="12" applyNumberFormat="0" applyProtection="0">
      <alignment horizontal="right" vertical="center"/>
    </xf>
    <xf numFmtId="4" fontId="20" fillId="45" borderId="12" applyNumberFormat="0" applyProtection="0">
      <alignment horizontal="right" vertical="center"/>
    </xf>
    <xf numFmtId="4" fontId="20" fillId="45" borderId="12" applyNumberFormat="0" applyProtection="0">
      <alignment horizontal="right" vertical="center"/>
    </xf>
    <xf numFmtId="4" fontId="20" fillId="45" borderId="12" applyNumberFormat="0" applyProtection="0">
      <alignment horizontal="right" vertical="center"/>
    </xf>
    <xf numFmtId="4" fontId="20" fillId="45" borderId="12" applyNumberFormat="0" applyProtection="0">
      <alignment horizontal="right" vertical="center"/>
    </xf>
    <xf numFmtId="4" fontId="22" fillId="84" borderId="10" applyNumberFormat="0" applyProtection="0">
      <alignment horizontal="right" vertical="center"/>
    </xf>
    <xf numFmtId="4" fontId="20" fillId="12" borderId="2" applyNumberFormat="0" applyProtection="0">
      <alignment horizontal="right" vertical="center"/>
    </xf>
    <xf numFmtId="4" fontId="20" fillId="12" borderId="2" applyNumberFormat="0" applyProtection="0">
      <alignment horizontal="right" vertical="center"/>
    </xf>
    <xf numFmtId="4" fontId="20" fillId="12" borderId="2" applyNumberFormat="0" applyProtection="0">
      <alignment horizontal="right" vertical="center"/>
    </xf>
    <xf numFmtId="4" fontId="20" fillId="12" borderId="2" applyNumberFormat="0" applyProtection="0">
      <alignment horizontal="right" vertical="center"/>
    </xf>
    <xf numFmtId="4" fontId="20" fillId="12" borderId="2" applyNumberFormat="0" applyProtection="0">
      <alignment horizontal="right" vertical="center"/>
    </xf>
    <xf numFmtId="4" fontId="20" fillId="12" borderId="2" applyNumberFormat="0" applyProtection="0">
      <alignment horizontal="right" vertical="center"/>
    </xf>
    <xf numFmtId="4" fontId="20" fillId="12" borderId="2" applyNumberFormat="0" applyProtection="0">
      <alignment horizontal="right" vertical="center"/>
    </xf>
    <xf numFmtId="4" fontId="20" fillId="12" borderId="2" applyNumberFormat="0" applyProtection="0">
      <alignment horizontal="right" vertical="center"/>
    </xf>
    <xf numFmtId="4" fontId="20" fillId="12" borderId="2" applyNumberFormat="0" applyProtection="0">
      <alignment horizontal="right" vertical="center"/>
    </xf>
    <xf numFmtId="4" fontId="20" fillId="12" borderId="2" applyNumberFormat="0" applyProtection="0">
      <alignment horizontal="right" vertical="center"/>
    </xf>
    <xf numFmtId="4" fontId="20" fillId="12" borderId="2" applyNumberFormat="0" applyProtection="0">
      <alignment horizontal="right" vertical="center"/>
    </xf>
    <xf numFmtId="4" fontId="20" fillId="12" borderId="2" applyNumberFormat="0" applyProtection="0">
      <alignment horizontal="right" vertical="center"/>
    </xf>
    <xf numFmtId="4" fontId="20" fillId="12" borderId="2" applyNumberFormat="0" applyProtection="0">
      <alignment horizontal="right" vertical="center"/>
    </xf>
    <xf numFmtId="4" fontId="20" fillId="12" borderId="2" applyNumberFormat="0" applyProtection="0">
      <alignment horizontal="right" vertical="center"/>
    </xf>
    <xf numFmtId="4" fontId="20" fillId="12" borderId="2" applyNumberFormat="0" applyProtection="0">
      <alignment horizontal="right" vertical="center"/>
    </xf>
    <xf numFmtId="4" fontId="20" fillId="12" borderId="2" applyNumberFormat="0" applyProtection="0">
      <alignment horizontal="right" vertical="center"/>
    </xf>
    <xf numFmtId="4" fontId="20" fillId="12" borderId="2" applyNumberFormat="0" applyProtection="0">
      <alignment horizontal="right" vertical="center"/>
    </xf>
    <xf numFmtId="4" fontId="20" fillId="12" borderId="2" applyNumberFormat="0" applyProtection="0">
      <alignment horizontal="right" vertical="center"/>
    </xf>
    <xf numFmtId="4" fontId="22" fillId="79" borderId="10" applyNumberFormat="0" applyProtection="0">
      <alignment horizontal="right" vertical="center"/>
    </xf>
    <xf numFmtId="4" fontId="20" fillId="46" borderId="2" applyNumberFormat="0" applyProtection="0">
      <alignment horizontal="right" vertical="center"/>
    </xf>
    <xf numFmtId="4" fontId="20" fillId="46" borderId="2" applyNumberFormat="0" applyProtection="0">
      <alignment horizontal="right" vertical="center"/>
    </xf>
    <xf numFmtId="4" fontId="20" fillId="46" borderId="2" applyNumberFormat="0" applyProtection="0">
      <alignment horizontal="right" vertical="center"/>
    </xf>
    <xf numFmtId="4" fontId="20" fillId="46" borderId="2" applyNumberFormat="0" applyProtection="0">
      <alignment horizontal="right" vertical="center"/>
    </xf>
    <xf numFmtId="4" fontId="20" fillId="46" borderId="2" applyNumberFormat="0" applyProtection="0">
      <alignment horizontal="right" vertical="center"/>
    </xf>
    <xf numFmtId="4" fontId="20" fillId="46" borderId="2" applyNumberFormat="0" applyProtection="0">
      <alignment horizontal="right" vertical="center"/>
    </xf>
    <xf numFmtId="4" fontId="20" fillId="46" borderId="2" applyNumberFormat="0" applyProtection="0">
      <alignment horizontal="right" vertical="center"/>
    </xf>
    <xf numFmtId="4" fontId="20" fillId="46" borderId="2" applyNumberFormat="0" applyProtection="0">
      <alignment horizontal="right" vertical="center"/>
    </xf>
    <xf numFmtId="4" fontId="20" fillId="46" borderId="2" applyNumberFormat="0" applyProtection="0">
      <alignment horizontal="right" vertical="center"/>
    </xf>
    <xf numFmtId="4" fontId="20" fillId="46" borderId="2" applyNumberFormat="0" applyProtection="0">
      <alignment horizontal="right" vertical="center"/>
    </xf>
    <xf numFmtId="4" fontId="20" fillId="46" borderId="2" applyNumberFormat="0" applyProtection="0">
      <alignment horizontal="right" vertical="center"/>
    </xf>
    <xf numFmtId="4" fontId="20" fillId="46" borderId="2" applyNumberFormat="0" applyProtection="0">
      <alignment horizontal="right" vertical="center"/>
    </xf>
    <xf numFmtId="4" fontId="20" fillId="46" borderId="2" applyNumberFormat="0" applyProtection="0">
      <alignment horizontal="right" vertical="center"/>
    </xf>
    <xf numFmtId="4" fontId="20" fillId="46" borderId="2" applyNumberFormat="0" applyProtection="0">
      <alignment horizontal="right" vertical="center"/>
    </xf>
    <xf numFmtId="4" fontId="20" fillId="46" borderId="2" applyNumberFormat="0" applyProtection="0">
      <alignment horizontal="right" vertical="center"/>
    </xf>
    <xf numFmtId="4" fontId="20" fillId="46" borderId="2" applyNumberFormat="0" applyProtection="0">
      <alignment horizontal="right" vertical="center"/>
    </xf>
    <xf numFmtId="4" fontId="20" fillId="46" borderId="2" applyNumberFormat="0" applyProtection="0">
      <alignment horizontal="right" vertical="center"/>
    </xf>
    <xf numFmtId="4" fontId="20" fillId="46" borderId="2" applyNumberFormat="0" applyProtection="0">
      <alignment horizontal="right" vertical="center"/>
    </xf>
    <xf numFmtId="4" fontId="22" fillId="85" borderId="10" applyNumberFormat="0" applyProtection="0">
      <alignment horizontal="right" vertical="center"/>
    </xf>
    <xf numFmtId="4" fontId="20" fillId="47" borderId="2" applyNumberFormat="0" applyProtection="0">
      <alignment horizontal="right" vertical="center"/>
    </xf>
    <xf numFmtId="4" fontId="20" fillId="47" borderId="2" applyNumberFormat="0" applyProtection="0">
      <alignment horizontal="right" vertical="center"/>
    </xf>
    <xf numFmtId="4" fontId="20" fillId="47" borderId="2" applyNumberFormat="0" applyProtection="0">
      <alignment horizontal="right" vertical="center"/>
    </xf>
    <xf numFmtId="4" fontId="20" fillId="47" borderId="2" applyNumberFormat="0" applyProtection="0">
      <alignment horizontal="right" vertical="center"/>
    </xf>
    <xf numFmtId="4" fontId="20" fillId="47" borderId="2" applyNumberFormat="0" applyProtection="0">
      <alignment horizontal="right" vertical="center"/>
    </xf>
    <xf numFmtId="4" fontId="20" fillId="47" borderId="2" applyNumberFormat="0" applyProtection="0">
      <alignment horizontal="right" vertical="center"/>
    </xf>
    <xf numFmtId="4" fontId="20" fillId="47" borderId="2" applyNumberFormat="0" applyProtection="0">
      <alignment horizontal="right" vertical="center"/>
    </xf>
    <xf numFmtId="4" fontId="20" fillId="47" borderId="2" applyNumberFormat="0" applyProtection="0">
      <alignment horizontal="right" vertical="center"/>
    </xf>
    <xf numFmtId="4" fontId="20" fillId="47" borderId="2" applyNumberFormat="0" applyProtection="0">
      <alignment horizontal="right" vertical="center"/>
    </xf>
    <xf numFmtId="4" fontId="20" fillId="47" borderId="2" applyNumberFormat="0" applyProtection="0">
      <alignment horizontal="right" vertical="center"/>
    </xf>
    <xf numFmtId="4" fontId="20" fillId="47" borderId="2" applyNumberFormat="0" applyProtection="0">
      <alignment horizontal="right" vertical="center"/>
    </xf>
    <xf numFmtId="4" fontId="20" fillId="47" borderId="2" applyNumberFormat="0" applyProtection="0">
      <alignment horizontal="right" vertical="center"/>
    </xf>
    <xf numFmtId="4" fontId="20" fillId="47" borderId="2" applyNumberFormat="0" applyProtection="0">
      <alignment horizontal="right" vertical="center"/>
    </xf>
    <xf numFmtId="4" fontId="20" fillId="47" borderId="2" applyNumberFormat="0" applyProtection="0">
      <alignment horizontal="right" vertical="center"/>
    </xf>
    <xf numFmtId="4" fontId="20" fillId="47" borderId="2" applyNumberFormat="0" applyProtection="0">
      <alignment horizontal="right" vertical="center"/>
    </xf>
    <xf numFmtId="4" fontId="20" fillId="47" borderId="2" applyNumberFormat="0" applyProtection="0">
      <alignment horizontal="right" vertical="center"/>
    </xf>
    <xf numFmtId="4" fontId="20" fillId="47" borderId="2" applyNumberFormat="0" applyProtection="0">
      <alignment horizontal="right" vertical="center"/>
    </xf>
    <xf numFmtId="4" fontId="20" fillId="47" borderId="2" applyNumberFormat="0" applyProtection="0">
      <alignment horizontal="right" vertical="center"/>
    </xf>
    <xf numFmtId="4" fontId="22" fillId="86" borderId="10" applyNumberFormat="0" applyProtection="0">
      <alignment horizontal="right" vertical="center"/>
    </xf>
    <xf numFmtId="4" fontId="20" fillId="8" borderId="2" applyNumberFormat="0" applyProtection="0">
      <alignment horizontal="right" vertical="center"/>
    </xf>
    <xf numFmtId="4" fontId="20" fillId="8" borderId="2" applyNumberFormat="0" applyProtection="0">
      <alignment horizontal="right" vertical="center"/>
    </xf>
    <xf numFmtId="4" fontId="20" fillId="8" borderId="2" applyNumberFormat="0" applyProtection="0">
      <alignment horizontal="right" vertical="center"/>
    </xf>
    <xf numFmtId="4" fontId="20" fillId="8" borderId="2" applyNumberFormat="0" applyProtection="0">
      <alignment horizontal="right" vertical="center"/>
    </xf>
    <xf numFmtId="4" fontId="20" fillId="8" borderId="2" applyNumberFormat="0" applyProtection="0">
      <alignment horizontal="right" vertical="center"/>
    </xf>
    <xf numFmtId="4" fontId="20" fillId="8" borderId="2" applyNumberFormat="0" applyProtection="0">
      <alignment horizontal="right" vertical="center"/>
    </xf>
    <xf numFmtId="4" fontId="20" fillId="8" borderId="2" applyNumberFormat="0" applyProtection="0">
      <alignment horizontal="right" vertical="center"/>
    </xf>
    <xf numFmtId="4" fontId="20" fillId="8" borderId="2" applyNumberFormat="0" applyProtection="0">
      <alignment horizontal="right" vertical="center"/>
    </xf>
    <xf numFmtId="4" fontId="20" fillId="8" borderId="2" applyNumberFormat="0" applyProtection="0">
      <alignment horizontal="right" vertical="center"/>
    </xf>
    <xf numFmtId="4" fontId="20" fillId="8" borderId="2" applyNumberFormat="0" applyProtection="0">
      <alignment horizontal="right" vertical="center"/>
    </xf>
    <xf numFmtId="4" fontId="20" fillId="8" borderId="2" applyNumberFormat="0" applyProtection="0">
      <alignment horizontal="right" vertical="center"/>
    </xf>
    <xf numFmtId="4" fontId="20" fillId="8" borderId="2" applyNumberFormat="0" applyProtection="0">
      <alignment horizontal="right" vertical="center"/>
    </xf>
    <xf numFmtId="4" fontId="20" fillId="8" borderId="2" applyNumberFormat="0" applyProtection="0">
      <alignment horizontal="right" vertical="center"/>
    </xf>
    <xf numFmtId="4" fontId="20" fillId="8" borderId="2" applyNumberFormat="0" applyProtection="0">
      <alignment horizontal="right" vertical="center"/>
    </xf>
    <xf numFmtId="4" fontId="20" fillId="8" borderId="2" applyNumberFormat="0" applyProtection="0">
      <alignment horizontal="right" vertical="center"/>
    </xf>
    <xf numFmtId="4" fontId="20" fillId="8" borderId="2" applyNumberFormat="0" applyProtection="0">
      <alignment horizontal="right" vertical="center"/>
    </xf>
    <xf numFmtId="4" fontId="20" fillId="8" borderId="2" applyNumberFormat="0" applyProtection="0">
      <alignment horizontal="right" vertical="center"/>
    </xf>
    <xf numFmtId="4" fontId="20" fillId="8" borderId="2" applyNumberFormat="0" applyProtection="0">
      <alignment horizontal="right" vertical="center"/>
    </xf>
    <xf numFmtId="4" fontId="22" fillId="80" borderId="10" applyNumberFormat="0" applyProtection="0">
      <alignment horizontal="right" vertical="center"/>
    </xf>
    <xf numFmtId="4" fontId="20" fillId="4" borderId="2" applyNumberFormat="0" applyProtection="0">
      <alignment horizontal="right" vertical="center"/>
    </xf>
    <xf numFmtId="4" fontId="20" fillId="4" borderId="2" applyNumberFormat="0" applyProtection="0">
      <alignment horizontal="right" vertical="center"/>
    </xf>
    <xf numFmtId="4" fontId="20" fillId="4" borderId="2" applyNumberFormat="0" applyProtection="0">
      <alignment horizontal="right" vertical="center"/>
    </xf>
    <xf numFmtId="4" fontId="20" fillId="4" borderId="2" applyNumberFormat="0" applyProtection="0">
      <alignment horizontal="right" vertical="center"/>
    </xf>
    <xf numFmtId="4" fontId="20" fillId="4" borderId="2" applyNumberFormat="0" applyProtection="0">
      <alignment horizontal="right" vertical="center"/>
    </xf>
    <xf numFmtId="4" fontId="20" fillId="4" borderId="2" applyNumberFormat="0" applyProtection="0">
      <alignment horizontal="right" vertical="center"/>
    </xf>
    <xf numFmtId="4" fontId="20" fillId="4" borderId="2" applyNumberFormat="0" applyProtection="0">
      <alignment horizontal="right" vertical="center"/>
    </xf>
    <xf numFmtId="4" fontId="20" fillId="4" borderId="2" applyNumberFormat="0" applyProtection="0">
      <alignment horizontal="right" vertical="center"/>
    </xf>
    <xf numFmtId="4" fontId="20" fillId="4" borderId="2" applyNumberFormat="0" applyProtection="0">
      <alignment horizontal="right" vertical="center"/>
    </xf>
    <xf numFmtId="4" fontId="20" fillId="4" borderId="2" applyNumberFormat="0" applyProtection="0">
      <alignment horizontal="right" vertical="center"/>
    </xf>
    <xf numFmtId="4" fontId="20" fillId="4" borderId="2" applyNumberFormat="0" applyProtection="0">
      <alignment horizontal="right" vertical="center"/>
    </xf>
    <xf numFmtId="4" fontId="20" fillId="4" borderId="2" applyNumberFormat="0" applyProtection="0">
      <alignment horizontal="right" vertical="center"/>
    </xf>
    <xf numFmtId="4" fontId="20" fillId="4" borderId="2" applyNumberFormat="0" applyProtection="0">
      <alignment horizontal="right" vertical="center"/>
    </xf>
    <xf numFmtId="4" fontId="20" fillId="4" borderId="2" applyNumberFormat="0" applyProtection="0">
      <alignment horizontal="right" vertical="center"/>
    </xf>
    <xf numFmtId="4" fontId="20" fillId="4" borderId="2" applyNumberFormat="0" applyProtection="0">
      <alignment horizontal="right" vertical="center"/>
    </xf>
    <xf numFmtId="4" fontId="20" fillId="4" borderId="2" applyNumberFormat="0" applyProtection="0">
      <alignment horizontal="right" vertical="center"/>
    </xf>
    <xf numFmtId="4" fontId="20" fillId="4" borderId="2" applyNumberFormat="0" applyProtection="0">
      <alignment horizontal="right" vertical="center"/>
    </xf>
    <xf numFmtId="4" fontId="20" fillId="4" borderId="2" applyNumberFormat="0" applyProtection="0">
      <alignment horizontal="right" vertical="center"/>
    </xf>
    <xf numFmtId="4" fontId="22" fillId="87" borderId="10" applyNumberFormat="0" applyProtection="0">
      <alignment horizontal="right" vertical="center"/>
    </xf>
    <xf numFmtId="4" fontId="20" fillId="48" borderId="2" applyNumberFormat="0" applyProtection="0">
      <alignment horizontal="right" vertical="center"/>
    </xf>
    <xf numFmtId="4" fontId="20" fillId="48" borderId="2" applyNumberFormat="0" applyProtection="0">
      <alignment horizontal="right" vertical="center"/>
    </xf>
    <xf numFmtId="4" fontId="20" fillId="48" borderId="2" applyNumberFormat="0" applyProtection="0">
      <alignment horizontal="right" vertical="center"/>
    </xf>
    <xf numFmtId="4" fontId="20" fillId="48" borderId="2" applyNumberFormat="0" applyProtection="0">
      <alignment horizontal="right" vertical="center"/>
    </xf>
    <xf numFmtId="4" fontId="20" fillId="48" borderId="2" applyNumberFormat="0" applyProtection="0">
      <alignment horizontal="right" vertical="center"/>
    </xf>
    <xf numFmtId="4" fontId="20" fillId="48" borderId="2" applyNumberFormat="0" applyProtection="0">
      <alignment horizontal="right" vertical="center"/>
    </xf>
    <xf numFmtId="4" fontId="20" fillId="48" borderId="2" applyNumberFormat="0" applyProtection="0">
      <alignment horizontal="right" vertical="center"/>
    </xf>
    <xf numFmtId="4" fontId="20" fillId="48" borderId="2" applyNumberFormat="0" applyProtection="0">
      <alignment horizontal="right" vertical="center"/>
    </xf>
    <xf numFmtId="4" fontId="20" fillId="48" borderId="2" applyNumberFormat="0" applyProtection="0">
      <alignment horizontal="right" vertical="center"/>
    </xf>
    <xf numFmtId="4" fontId="20" fillId="48" borderId="2" applyNumberFormat="0" applyProtection="0">
      <alignment horizontal="right" vertical="center"/>
    </xf>
    <xf numFmtId="4" fontId="20" fillId="48" borderId="2" applyNumberFormat="0" applyProtection="0">
      <alignment horizontal="right" vertical="center"/>
    </xf>
    <xf numFmtId="4" fontId="20" fillId="48" borderId="2" applyNumberFormat="0" applyProtection="0">
      <alignment horizontal="right" vertical="center"/>
    </xf>
    <xf numFmtId="4" fontId="20" fillId="48" borderId="2" applyNumberFormat="0" applyProtection="0">
      <alignment horizontal="right" vertical="center"/>
    </xf>
    <xf numFmtId="4" fontId="20" fillId="48" borderId="2" applyNumberFormat="0" applyProtection="0">
      <alignment horizontal="right" vertical="center"/>
    </xf>
    <xf numFmtId="4" fontId="20" fillId="48" borderId="2" applyNumberFormat="0" applyProtection="0">
      <alignment horizontal="right" vertical="center"/>
    </xf>
    <xf numFmtId="4" fontId="20" fillId="48" borderId="2" applyNumberFormat="0" applyProtection="0">
      <alignment horizontal="right" vertical="center"/>
    </xf>
    <xf numFmtId="4" fontId="20" fillId="48" borderId="2" applyNumberFormat="0" applyProtection="0">
      <alignment horizontal="right" vertical="center"/>
    </xf>
    <xf numFmtId="4" fontId="20" fillId="48" borderId="2" applyNumberFormat="0" applyProtection="0">
      <alignment horizontal="right" vertical="center"/>
    </xf>
    <xf numFmtId="4" fontId="57" fillId="88" borderId="10" applyNumberFormat="0" applyProtection="0">
      <alignment horizontal="left" vertical="center" indent="1"/>
    </xf>
    <xf numFmtId="4" fontId="20" fillId="49" borderId="12" applyNumberFormat="0" applyProtection="0">
      <alignment horizontal="left" vertical="center" indent="1"/>
    </xf>
    <xf numFmtId="4" fontId="20" fillId="49" borderId="12" applyNumberFormat="0" applyProtection="0">
      <alignment horizontal="left" vertical="center" indent="1"/>
    </xf>
    <xf numFmtId="4" fontId="20" fillId="49" borderId="12" applyNumberFormat="0" applyProtection="0">
      <alignment horizontal="left" vertical="center" indent="1"/>
    </xf>
    <xf numFmtId="4" fontId="20" fillId="49" borderId="12" applyNumberFormat="0" applyProtection="0">
      <alignment horizontal="left" vertical="center" indent="1"/>
    </xf>
    <xf numFmtId="4" fontId="20" fillId="49" borderId="12" applyNumberFormat="0" applyProtection="0">
      <alignment horizontal="left" vertical="center" indent="1"/>
    </xf>
    <xf numFmtId="4" fontId="20" fillId="49" borderId="12" applyNumberFormat="0" applyProtection="0">
      <alignment horizontal="left" vertical="center" indent="1"/>
    </xf>
    <xf numFmtId="4" fontId="20" fillId="49" borderId="12" applyNumberFormat="0" applyProtection="0">
      <alignment horizontal="left" vertical="center" indent="1"/>
    </xf>
    <xf numFmtId="4" fontId="20" fillId="49" borderId="12" applyNumberFormat="0" applyProtection="0">
      <alignment horizontal="left" vertical="center" indent="1"/>
    </xf>
    <xf numFmtId="4" fontId="20" fillId="49" borderId="12" applyNumberFormat="0" applyProtection="0">
      <alignment horizontal="left" vertical="center" indent="1"/>
    </xf>
    <xf numFmtId="4" fontId="20" fillId="49" borderId="12" applyNumberFormat="0" applyProtection="0">
      <alignment horizontal="left" vertical="center" indent="1"/>
    </xf>
    <xf numFmtId="4" fontId="20" fillId="49" borderId="12" applyNumberFormat="0" applyProtection="0">
      <alignment horizontal="left" vertical="center" indent="1"/>
    </xf>
    <xf numFmtId="4" fontId="20" fillId="49" borderId="12" applyNumberFormat="0" applyProtection="0">
      <alignment horizontal="left" vertical="center" indent="1"/>
    </xf>
    <xf numFmtId="4" fontId="20" fillId="49" borderId="12" applyNumberFormat="0" applyProtection="0">
      <alignment horizontal="left" vertical="center" indent="1"/>
    </xf>
    <xf numFmtId="4" fontId="20" fillId="49" borderId="12" applyNumberFormat="0" applyProtection="0">
      <alignment horizontal="left" vertical="center" indent="1"/>
    </xf>
    <xf numFmtId="4" fontId="20" fillId="49" borderId="12" applyNumberFormat="0" applyProtection="0">
      <alignment horizontal="left" vertical="center" indent="1"/>
    </xf>
    <xf numFmtId="4" fontId="20" fillId="49" borderId="12" applyNumberFormat="0" applyProtection="0">
      <alignment horizontal="left" vertical="center" indent="1"/>
    </xf>
    <xf numFmtId="4" fontId="20" fillId="49" borderId="12" applyNumberFormat="0" applyProtection="0">
      <alignment horizontal="left" vertical="center" indent="1"/>
    </xf>
    <xf numFmtId="4" fontId="20" fillId="49" borderId="12" applyNumberFormat="0" applyProtection="0">
      <alignment horizontal="left" vertical="center" indent="1"/>
    </xf>
    <xf numFmtId="4" fontId="22" fillId="89" borderId="57" applyNumberFormat="0" applyProtection="0">
      <alignment horizontal="left" vertical="center" indent="1"/>
    </xf>
    <xf numFmtId="4" fontId="6" fillId="10" borderId="12" applyNumberFormat="0" applyProtection="0">
      <alignment horizontal="left" vertical="center" indent="1"/>
    </xf>
    <xf numFmtId="4" fontId="6" fillId="10" borderId="12" applyNumberFormat="0" applyProtection="0">
      <alignment horizontal="left" vertical="center" indent="1"/>
    </xf>
    <xf numFmtId="4" fontId="6" fillId="10" borderId="12" applyNumberFormat="0" applyProtection="0">
      <alignment horizontal="left" vertical="center" indent="1"/>
    </xf>
    <xf numFmtId="4" fontId="6" fillId="10" borderId="12" applyNumberFormat="0" applyProtection="0">
      <alignment horizontal="left" vertical="center" indent="1"/>
    </xf>
    <xf numFmtId="4" fontId="6" fillId="10" borderId="12" applyNumberFormat="0" applyProtection="0">
      <alignment horizontal="left" vertical="center" indent="1"/>
    </xf>
    <xf numFmtId="4" fontId="6" fillId="10" borderId="12" applyNumberFormat="0" applyProtection="0">
      <alignment horizontal="left" vertical="center" indent="1"/>
    </xf>
    <xf numFmtId="4" fontId="6" fillId="10" borderId="12" applyNumberFormat="0" applyProtection="0">
      <alignment horizontal="left" vertical="center" indent="1"/>
    </xf>
    <xf numFmtId="4" fontId="6" fillId="10" borderId="12" applyNumberFormat="0" applyProtection="0">
      <alignment horizontal="left" vertical="center" indent="1"/>
    </xf>
    <xf numFmtId="4" fontId="6" fillId="10" borderId="12" applyNumberFormat="0" applyProtection="0">
      <alignment horizontal="left" vertical="center" indent="1"/>
    </xf>
    <xf numFmtId="4" fontId="110" fillId="90" borderId="0" applyNumberFormat="0" applyProtection="0">
      <alignment horizontal="left" vertical="center" indent="1"/>
    </xf>
    <xf numFmtId="4" fontId="6" fillId="10" borderId="12" applyNumberFormat="0" applyProtection="0">
      <alignment horizontal="left" vertical="center" indent="1"/>
    </xf>
    <xf numFmtId="4" fontId="6" fillId="10" borderId="12" applyNumberFormat="0" applyProtection="0">
      <alignment horizontal="left" vertical="center" indent="1"/>
    </xf>
    <xf numFmtId="4" fontId="6" fillId="10" borderId="12" applyNumberFormat="0" applyProtection="0">
      <alignment horizontal="left" vertical="center" indent="1"/>
    </xf>
    <xf numFmtId="4" fontId="6" fillId="10" borderId="12" applyNumberFormat="0" applyProtection="0">
      <alignment horizontal="left" vertical="center" indent="1"/>
    </xf>
    <xf numFmtId="4" fontId="6" fillId="10" borderId="12" applyNumberFormat="0" applyProtection="0">
      <alignment horizontal="left" vertical="center" indent="1"/>
    </xf>
    <xf numFmtId="4" fontId="6" fillId="10" borderId="12" applyNumberFormat="0" applyProtection="0">
      <alignment horizontal="left" vertical="center" indent="1"/>
    </xf>
    <xf numFmtId="4" fontId="6" fillId="10" borderId="12" applyNumberFormat="0" applyProtection="0">
      <alignment horizontal="left" vertical="center" indent="1"/>
    </xf>
    <xf numFmtId="4" fontId="6" fillId="10" borderId="12" applyNumberFormat="0" applyProtection="0">
      <alignment horizontal="left" vertical="center" indent="1"/>
    </xf>
    <xf numFmtId="4" fontId="6" fillId="10" borderId="12" applyNumberFormat="0" applyProtection="0">
      <alignment horizontal="left" vertical="center" indent="1"/>
    </xf>
    <xf numFmtId="0" fontId="6" fillId="91" borderId="10" applyNumberFormat="0" applyProtection="0">
      <alignment horizontal="left" vertical="center" indent="1"/>
    </xf>
    <xf numFmtId="4" fontId="20" fillId="3" borderId="2" applyNumberFormat="0" applyProtection="0">
      <alignment horizontal="right" vertical="center"/>
    </xf>
    <xf numFmtId="4" fontId="20" fillId="3" borderId="2" applyNumberFormat="0" applyProtection="0">
      <alignment horizontal="right" vertical="center"/>
    </xf>
    <xf numFmtId="4" fontId="20" fillId="3" borderId="2" applyNumberFormat="0" applyProtection="0">
      <alignment horizontal="right" vertical="center"/>
    </xf>
    <xf numFmtId="4" fontId="20" fillId="3" borderId="2" applyNumberFormat="0" applyProtection="0">
      <alignment horizontal="right" vertical="center"/>
    </xf>
    <xf numFmtId="4" fontId="20" fillId="3" borderId="2" applyNumberFormat="0" applyProtection="0">
      <alignment horizontal="right" vertical="center"/>
    </xf>
    <xf numFmtId="4" fontId="20" fillId="3" borderId="2" applyNumberFormat="0" applyProtection="0">
      <alignment horizontal="right" vertical="center"/>
    </xf>
    <xf numFmtId="4" fontId="20" fillId="3" borderId="2" applyNumberFormat="0" applyProtection="0">
      <alignment horizontal="right" vertical="center"/>
    </xf>
    <xf numFmtId="4" fontId="20" fillId="3" borderId="2" applyNumberFormat="0" applyProtection="0">
      <alignment horizontal="right" vertical="center"/>
    </xf>
    <xf numFmtId="4" fontId="20" fillId="3" borderId="2" applyNumberFormat="0" applyProtection="0">
      <alignment horizontal="right" vertical="center"/>
    </xf>
    <xf numFmtId="4" fontId="20" fillId="3" borderId="2" applyNumberFormat="0" applyProtection="0">
      <alignment horizontal="right" vertical="center"/>
    </xf>
    <xf numFmtId="4" fontId="20" fillId="3" borderId="2" applyNumberFormat="0" applyProtection="0">
      <alignment horizontal="right" vertical="center"/>
    </xf>
    <xf numFmtId="4" fontId="20" fillId="3" borderId="2" applyNumberFormat="0" applyProtection="0">
      <alignment horizontal="right" vertical="center"/>
    </xf>
    <xf numFmtId="4" fontId="20" fillId="3" borderId="2" applyNumberFormat="0" applyProtection="0">
      <alignment horizontal="right" vertical="center"/>
    </xf>
    <xf numFmtId="4" fontId="20" fillId="3" borderId="2" applyNumberFormat="0" applyProtection="0">
      <alignment horizontal="right" vertical="center"/>
    </xf>
    <xf numFmtId="4" fontId="20" fillId="3" borderId="2" applyNumberFormat="0" applyProtection="0">
      <alignment horizontal="right" vertical="center"/>
    </xf>
    <xf numFmtId="4" fontId="20" fillId="3" borderId="2" applyNumberFormat="0" applyProtection="0">
      <alignment horizontal="right" vertical="center"/>
    </xf>
    <xf numFmtId="4" fontId="20" fillId="3" borderId="2" applyNumberFormat="0" applyProtection="0">
      <alignment horizontal="right" vertical="center"/>
    </xf>
    <xf numFmtId="4" fontId="20" fillId="3" borderId="2" applyNumberFormat="0" applyProtection="0">
      <alignment horizontal="right" vertical="center"/>
    </xf>
    <xf numFmtId="4" fontId="22" fillId="89" borderId="10" applyNumberFormat="0" applyProtection="0">
      <alignment horizontal="left" vertical="center" indent="1"/>
    </xf>
    <xf numFmtId="4" fontId="20" fillId="2" borderId="12" applyNumberFormat="0" applyProtection="0">
      <alignment horizontal="left" vertical="center" indent="1"/>
    </xf>
    <xf numFmtId="4" fontId="20" fillId="2" borderId="12" applyNumberFormat="0" applyProtection="0">
      <alignment horizontal="left" vertical="center" indent="1"/>
    </xf>
    <xf numFmtId="4" fontId="20" fillId="2" borderId="12" applyNumberFormat="0" applyProtection="0">
      <alignment horizontal="left" vertical="center" indent="1"/>
    </xf>
    <xf numFmtId="4" fontId="20" fillId="2" borderId="12" applyNumberFormat="0" applyProtection="0">
      <alignment horizontal="left" vertical="center" indent="1"/>
    </xf>
    <xf numFmtId="4" fontId="20" fillId="2" borderId="12" applyNumberFormat="0" applyProtection="0">
      <alignment horizontal="left" vertical="center" indent="1"/>
    </xf>
    <xf numFmtId="4" fontId="20" fillId="2" borderId="12" applyNumberFormat="0" applyProtection="0">
      <alignment horizontal="left" vertical="center" indent="1"/>
    </xf>
    <xf numFmtId="4" fontId="20" fillId="2" borderId="12" applyNumberFormat="0" applyProtection="0">
      <alignment horizontal="left" vertical="center" indent="1"/>
    </xf>
    <xf numFmtId="4" fontId="20" fillId="2" borderId="12" applyNumberFormat="0" applyProtection="0">
      <alignment horizontal="left" vertical="center" indent="1"/>
    </xf>
    <xf numFmtId="4" fontId="20" fillId="2" borderId="12" applyNumberFormat="0" applyProtection="0">
      <alignment horizontal="left" vertical="center" indent="1"/>
    </xf>
    <xf numFmtId="4" fontId="20" fillId="2" borderId="12" applyNumberFormat="0" applyProtection="0">
      <alignment horizontal="left" vertical="center" indent="1"/>
    </xf>
    <xf numFmtId="4" fontId="20" fillId="2" borderId="12" applyNumberFormat="0" applyProtection="0">
      <alignment horizontal="left" vertical="center" indent="1"/>
    </xf>
    <xf numFmtId="4" fontId="20" fillId="2" borderId="12" applyNumberFormat="0" applyProtection="0">
      <alignment horizontal="left" vertical="center" indent="1"/>
    </xf>
    <xf numFmtId="4" fontId="20" fillId="2" borderId="12" applyNumberFormat="0" applyProtection="0">
      <alignment horizontal="left" vertical="center" indent="1"/>
    </xf>
    <xf numFmtId="4" fontId="20" fillId="2" borderId="12" applyNumberFormat="0" applyProtection="0">
      <alignment horizontal="left" vertical="center" indent="1"/>
    </xf>
    <xf numFmtId="4" fontId="20" fillId="2" borderId="12" applyNumberFormat="0" applyProtection="0">
      <alignment horizontal="left" vertical="center" indent="1"/>
    </xf>
    <xf numFmtId="4" fontId="20" fillId="2" borderId="12" applyNumberFormat="0" applyProtection="0">
      <alignment horizontal="left" vertical="center" indent="1"/>
    </xf>
    <xf numFmtId="4" fontId="20" fillId="2" borderId="12" applyNumberFormat="0" applyProtection="0">
      <alignment horizontal="left" vertical="center" indent="1"/>
    </xf>
    <xf numFmtId="4" fontId="20" fillId="2" borderId="12" applyNumberFormat="0" applyProtection="0">
      <alignment horizontal="left" vertical="center" indent="1"/>
    </xf>
    <xf numFmtId="4" fontId="22" fillId="92" borderId="10" applyNumberFormat="0" applyProtection="0">
      <alignment horizontal="left" vertical="center" indent="1"/>
    </xf>
    <xf numFmtId="4" fontId="20" fillId="3" borderId="12" applyNumberFormat="0" applyProtection="0">
      <alignment horizontal="left" vertical="center" indent="1"/>
    </xf>
    <xf numFmtId="4" fontId="20" fillId="3" borderId="12" applyNumberFormat="0" applyProtection="0">
      <alignment horizontal="left" vertical="center" indent="1"/>
    </xf>
    <xf numFmtId="4" fontId="20" fillId="3" borderId="12" applyNumberFormat="0" applyProtection="0">
      <alignment horizontal="left" vertical="center" indent="1"/>
    </xf>
    <xf numFmtId="4" fontId="20" fillId="3" borderId="12" applyNumberFormat="0" applyProtection="0">
      <alignment horizontal="left" vertical="center" indent="1"/>
    </xf>
    <xf numFmtId="4" fontId="20" fillId="3" borderId="12" applyNumberFormat="0" applyProtection="0">
      <alignment horizontal="left" vertical="center" indent="1"/>
    </xf>
    <xf numFmtId="4" fontId="20" fillId="3" borderId="12" applyNumberFormat="0" applyProtection="0">
      <alignment horizontal="left" vertical="center" indent="1"/>
    </xf>
    <xf numFmtId="4" fontId="20" fillId="3" borderId="12" applyNumberFormat="0" applyProtection="0">
      <alignment horizontal="left" vertical="center" indent="1"/>
    </xf>
    <xf numFmtId="4" fontId="20" fillId="3" borderId="12" applyNumberFormat="0" applyProtection="0">
      <alignment horizontal="left" vertical="center" indent="1"/>
    </xf>
    <xf numFmtId="4" fontId="20" fillId="3" borderId="12" applyNumberFormat="0" applyProtection="0">
      <alignment horizontal="left" vertical="center" indent="1"/>
    </xf>
    <xf numFmtId="4" fontId="20" fillId="3" borderId="12" applyNumberFormat="0" applyProtection="0">
      <alignment horizontal="left" vertical="center" indent="1"/>
    </xf>
    <xf numFmtId="4" fontId="20" fillId="3" borderId="12" applyNumberFormat="0" applyProtection="0">
      <alignment horizontal="left" vertical="center" indent="1"/>
    </xf>
    <xf numFmtId="4" fontId="20" fillId="3" borderId="12" applyNumberFormat="0" applyProtection="0">
      <alignment horizontal="left" vertical="center" indent="1"/>
    </xf>
    <xf numFmtId="4" fontId="20" fillId="3" borderId="12" applyNumberFormat="0" applyProtection="0">
      <alignment horizontal="left" vertical="center" indent="1"/>
    </xf>
    <xf numFmtId="4" fontId="20" fillId="3" borderId="12" applyNumberFormat="0" applyProtection="0">
      <alignment horizontal="left" vertical="center" indent="1"/>
    </xf>
    <xf numFmtId="4" fontId="20" fillId="3" borderId="12" applyNumberFormat="0" applyProtection="0">
      <alignment horizontal="left" vertical="center" indent="1"/>
    </xf>
    <xf numFmtId="4" fontId="20" fillId="3" borderId="12" applyNumberFormat="0" applyProtection="0">
      <alignment horizontal="left" vertical="center" indent="1"/>
    </xf>
    <xf numFmtId="4" fontId="20" fillId="3" borderId="12" applyNumberFormat="0" applyProtection="0">
      <alignment horizontal="left" vertical="center" indent="1"/>
    </xf>
    <xf numFmtId="4" fontId="20" fillId="3" borderId="12" applyNumberFormat="0" applyProtection="0">
      <alignment horizontal="left" vertical="center" indent="1"/>
    </xf>
    <xf numFmtId="0" fontId="6" fillId="92" borderId="10" applyNumberFormat="0" applyProtection="0">
      <alignment horizontal="left" vertical="center" indent="1"/>
    </xf>
    <xf numFmtId="0" fontId="20" fillId="7" borderId="2" applyNumberFormat="0" applyProtection="0">
      <alignment horizontal="left" vertical="center" indent="1"/>
    </xf>
    <xf numFmtId="0" fontId="20" fillId="7" borderId="2" applyNumberFormat="0" applyProtection="0">
      <alignment horizontal="left" vertical="center" indent="1"/>
    </xf>
    <xf numFmtId="0" fontId="20" fillId="7" borderId="2" applyNumberFormat="0" applyProtection="0">
      <alignment horizontal="left" vertical="center" indent="1"/>
    </xf>
    <xf numFmtId="0" fontId="20" fillId="7" borderId="2" applyNumberFormat="0" applyProtection="0">
      <alignment horizontal="left" vertical="center" indent="1"/>
    </xf>
    <xf numFmtId="0" fontId="20" fillId="7" borderId="2" applyNumberFormat="0" applyProtection="0">
      <alignment horizontal="left" vertical="center" indent="1"/>
    </xf>
    <xf numFmtId="0" fontId="20" fillId="7" borderId="2" applyNumberFormat="0" applyProtection="0">
      <alignment horizontal="left" vertical="center" indent="1"/>
    </xf>
    <xf numFmtId="0" fontId="20" fillId="7" borderId="2" applyNumberFormat="0" applyProtection="0">
      <alignment horizontal="left" vertical="center" indent="1"/>
    </xf>
    <xf numFmtId="0" fontId="20" fillId="7" borderId="2" applyNumberFormat="0" applyProtection="0">
      <alignment horizontal="left" vertical="center" indent="1"/>
    </xf>
    <xf numFmtId="0" fontId="20" fillId="7" borderId="2" applyNumberFormat="0" applyProtection="0">
      <alignment horizontal="left" vertical="center" indent="1"/>
    </xf>
    <xf numFmtId="0" fontId="20" fillId="7" borderId="2" applyNumberFormat="0" applyProtection="0">
      <alignment horizontal="left" vertical="center" indent="1"/>
    </xf>
    <xf numFmtId="0" fontId="20" fillId="7" borderId="2" applyNumberFormat="0" applyProtection="0">
      <alignment horizontal="left" vertical="center" indent="1"/>
    </xf>
    <xf numFmtId="0" fontId="20" fillId="7" borderId="2" applyNumberFormat="0" applyProtection="0">
      <alignment horizontal="left" vertical="center" indent="1"/>
    </xf>
    <xf numFmtId="0" fontId="20" fillId="7" borderId="2" applyNumberFormat="0" applyProtection="0">
      <alignment horizontal="left" vertical="center" indent="1"/>
    </xf>
    <xf numFmtId="0" fontId="20" fillId="7" borderId="2" applyNumberFormat="0" applyProtection="0">
      <alignment horizontal="left" vertical="center" indent="1"/>
    </xf>
    <xf numFmtId="0" fontId="20" fillId="7" borderId="2" applyNumberFormat="0" applyProtection="0">
      <alignment horizontal="left" vertical="center" indent="1"/>
    </xf>
    <xf numFmtId="0" fontId="20" fillId="7" borderId="2" applyNumberFormat="0" applyProtection="0">
      <alignment horizontal="left" vertical="center" indent="1"/>
    </xf>
    <xf numFmtId="0" fontId="20" fillId="7" borderId="2" applyNumberFormat="0" applyProtection="0">
      <alignment horizontal="left" vertical="center" indent="1"/>
    </xf>
    <xf numFmtId="0" fontId="20" fillId="7" borderId="2" applyNumberFormat="0" applyProtection="0">
      <alignment horizontal="left" vertical="center" indent="1"/>
    </xf>
    <xf numFmtId="0" fontId="6" fillId="92" borderId="10" applyNumberFormat="0" applyProtection="0">
      <alignment horizontal="left" vertical="center" indent="1"/>
    </xf>
    <xf numFmtId="0" fontId="20" fillId="10" borderId="11" applyNumberFormat="0" applyProtection="0">
      <alignment horizontal="left" vertical="top" indent="1"/>
    </xf>
    <xf numFmtId="0" fontId="20" fillId="10" borderId="11" applyNumberFormat="0" applyProtection="0">
      <alignment horizontal="left" vertical="top" indent="1"/>
    </xf>
    <xf numFmtId="0" fontId="20" fillId="10" borderId="11" applyNumberFormat="0" applyProtection="0">
      <alignment horizontal="left" vertical="top" indent="1"/>
    </xf>
    <xf numFmtId="0" fontId="20" fillId="10" borderId="11" applyNumberFormat="0" applyProtection="0">
      <alignment horizontal="left" vertical="top" indent="1"/>
    </xf>
    <xf numFmtId="0" fontId="20" fillId="10" borderId="11" applyNumberFormat="0" applyProtection="0">
      <alignment horizontal="left" vertical="top" indent="1"/>
    </xf>
    <xf numFmtId="0" fontId="20" fillId="10" borderId="11" applyNumberFormat="0" applyProtection="0">
      <alignment horizontal="left" vertical="top" indent="1"/>
    </xf>
    <xf numFmtId="0" fontId="20" fillId="10" borderId="11" applyNumberFormat="0" applyProtection="0">
      <alignment horizontal="left" vertical="top" indent="1"/>
    </xf>
    <xf numFmtId="0" fontId="20" fillId="10" borderId="11" applyNumberFormat="0" applyProtection="0">
      <alignment horizontal="left" vertical="top" indent="1"/>
    </xf>
    <xf numFmtId="0" fontId="20" fillId="10" borderId="11" applyNumberFormat="0" applyProtection="0">
      <alignment horizontal="left" vertical="top" indent="1"/>
    </xf>
    <xf numFmtId="0" fontId="20" fillId="10" borderId="11" applyNumberFormat="0" applyProtection="0">
      <alignment horizontal="left" vertical="top" indent="1"/>
    </xf>
    <xf numFmtId="0" fontId="6" fillId="93" borderId="10" applyNumberFormat="0" applyProtection="0">
      <alignment horizontal="left" vertical="center" indent="1"/>
    </xf>
    <xf numFmtId="0" fontId="20" fillId="50" borderId="2" applyNumberFormat="0" applyProtection="0">
      <alignment horizontal="left" vertical="center" indent="1"/>
    </xf>
    <xf numFmtId="0" fontId="20" fillId="50" borderId="2" applyNumberFormat="0" applyProtection="0">
      <alignment horizontal="left" vertical="center" indent="1"/>
    </xf>
    <xf numFmtId="0" fontId="20" fillId="50" borderId="2" applyNumberFormat="0" applyProtection="0">
      <alignment horizontal="left" vertical="center" indent="1"/>
    </xf>
    <xf numFmtId="0" fontId="20" fillId="50" borderId="2" applyNumberFormat="0" applyProtection="0">
      <alignment horizontal="left" vertical="center" indent="1"/>
    </xf>
    <xf numFmtId="0" fontId="20" fillId="50" borderId="2" applyNumberFormat="0" applyProtection="0">
      <alignment horizontal="left" vertical="center" indent="1"/>
    </xf>
    <xf numFmtId="0" fontId="20" fillId="50" borderId="2" applyNumberFormat="0" applyProtection="0">
      <alignment horizontal="left" vertical="center" indent="1"/>
    </xf>
    <xf numFmtId="0" fontId="20" fillId="50" borderId="2" applyNumberFormat="0" applyProtection="0">
      <alignment horizontal="left" vertical="center" indent="1"/>
    </xf>
    <xf numFmtId="0" fontId="20" fillId="50" borderId="2" applyNumberFormat="0" applyProtection="0">
      <alignment horizontal="left" vertical="center" indent="1"/>
    </xf>
    <xf numFmtId="0" fontId="20" fillId="50" borderId="2" applyNumberFormat="0" applyProtection="0">
      <alignment horizontal="left" vertical="center" indent="1"/>
    </xf>
    <xf numFmtId="0" fontId="20" fillId="50" borderId="2" applyNumberFormat="0" applyProtection="0">
      <alignment horizontal="left" vertical="center" indent="1"/>
    </xf>
    <xf numFmtId="0" fontId="20" fillId="50" borderId="2" applyNumberFormat="0" applyProtection="0">
      <alignment horizontal="left" vertical="center" indent="1"/>
    </xf>
    <xf numFmtId="0" fontId="20" fillId="50" borderId="2" applyNumberFormat="0" applyProtection="0">
      <alignment horizontal="left" vertical="center" indent="1"/>
    </xf>
    <xf numFmtId="0" fontId="20" fillId="50" borderId="2" applyNumberFormat="0" applyProtection="0">
      <alignment horizontal="left" vertical="center" indent="1"/>
    </xf>
    <xf numFmtId="0" fontId="20" fillId="50" borderId="2" applyNumberFormat="0" applyProtection="0">
      <alignment horizontal="left" vertical="center" indent="1"/>
    </xf>
    <xf numFmtId="0" fontId="20" fillId="50" borderId="2" applyNumberFormat="0" applyProtection="0">
      <alignment horizontal="left" vertical="center" indent="1"/>
    </xf>
    <xf numFmtId="0" fontId="20" fillId="50" borderId="2" applyNumberFormat="0" applyProtection="0">
      <alignment horizontal="left" vertical="center" indent="1"/>
    </xf>
    <xf numFmtId="0" fontId="20" fillId="50" borderId="2" applyNumberFormat="0" applyProtection="0">
      <alignment horizontal="left" vertical="center" indent="1"/>
    </xf>
    <xf numFmtId="0" fontId="20" fillId="50" borderId="2" applyNumberFormat="0" applyProtection="0">
      <alignment horizontal="left" vertical="center" indent="1"/>
    </xf>
    <xf numFmtId="0" fontId="6" fillId="93" borderId="10" applyNumberFormat="0" applyProtection="0">
      <alignment horizontal="left" vertical="center" indent="1"/>
    </xf>
    <xf numFmtId="0" fontId="20" fillId="3" borderId="11" applyNumberFormat="0" applyProtection="0">
      <alignment horizontal="left" vertical="top" indent="1"/>
    </xf>
    <xf numFmtId="0" fontId="20" fillId="3" borderId="11" applyNumberFormat="0" applyProtection="0">
      <alignment horizontal="left" vertical="top" indent="1"/>
    </xf>
    <xf numFmtId="0" fontId="20" fillId="3" borderId="11" applyNumberFormat="0" applyProtection="0">
      <alignment horizontal="left" vertical="top" indent="1"/>
    </xf>
    <xf numFmtId="0" fontId="20" fillId="3" borderId="11" applyNumberFormat="0" applyProtection="0">
      <alignment horizontal="left" vertical="top" indent="1"/>
    </xf>
    <xf numFmtId="0" fontId="20" fillId="3" borderId="11" applyNumberFormat="0" applyProtection="0">
      <alignment horizontal="left" vertical="top" indent="1"/>
    </xf>
    <xf numFmtId="0" fontId="20" fillId="3" borderId="11" applyNumberFormat="0" applyProtection="0">
      <alignment horizontal="left" vertical="top" indent="1"/>
    </xf>
    <xf numFmtId="0" fontId="20" fillId="3" borderId="11" applyNumberFormat="0" applyProtection="0">
      <alignment horizontal="left" vertical="top" indent="1"/>
    </xf>
    <xf numFmtId="0" fontId="20" fillId="3" borderId="11" applyNumberFormat="0" applyProtection="0">
      <alignment horizontal="left" vertical="top" indent="1"/>
    </xf>
    <xf numFmtId="0" fontId="20" fillId="3" borderId="11" applyNumberFormat="0" applyProtection="0">
      <alignment horizontal="left" vertical="top" indent="1"/>
    </xf>
    <xf numFmtId="0" fontId="20" fillId="3" borderId="11" applyNumberFormat="0" applyProtection="0">
      <alignment horizontal="left" vertical="top" indent="1"/>
    </xf>
    <xf numFmtId="0" fontId="6" fillId="55" borderId="10" applyNumberFormat="0" applyProtection="0">
      <alignment horizontal="left" vertical="center" indent="1"/>
    </xf>
    <xf numFmtId="0" fontId="20" fillId="51" borderId="2" applyNumberFormat="0" applyProtection="0">
      <alignment horizontal="left" vertical="center" indent="1"/>
    </xf>
    <xf numFmtId="0" fontId="20" fillId="51" borderId="2" applyNumberFormat="0" applyProtection="0">
      <alignment horizontal="left" vertical="center" indent="1"/>
    </xf>
    <xf numFmtId="0" fontId="20" fillId="51" borderId="2" applyNumberFormat="0" applyProtection="0">
      <alignment horizontal="left" vertical="center" indent="1"/>
    </xf>
    <xf numFmtId="0" fontId="20" fillId="51" borderId="2" applyNumberFormat="0" applyProtection="0">
      <alignment horizontal="left" vertical="center" indent="1"/>
    </xf>
    <xf numFmtId="0" fontId="20" fillId="51" borderId="2" applyNumberFormat="0" applyProtection="0">
      <alignment horizontal="left" vertical="center" indent="1"/>
    </xf>
    <xf numFmtId="0" fontId="20" fillId="51" borderId="2" applyNumberFormat="0" applyProtection="0">
      <alignment horizontal="left" vertical="center" indent="1"/>
    </xf>
    <xf numFmtId="0" fontId="20" fillId="51" borderId="2" applyNumberFormat="0" applyProtection="0">
      <alignment horizontal="left" vertical="center" indent="1"/>
    </xf>
    <xf numFmtId="0" fontId="20" fillId="51" borderId="2" applyNumberFormat="0" applyProtection="0">
      <alignment horizontal="left" vertical="center" indent="1"/>
    </xf>
    <xf numFmtId="0" fontId="20" fillId="51" borderId="2" applyNumberFormat="0" applyProtection="0">
      <alignment horizontal="left" vertical="center" indent="1"/>
    </xf>
    <xf numFmtId="0" fontId="20" fillId="51" borderId="2" applyNumberFormat="0" applyProtection="0">
      <alignment horizontal="left" vertical="center" indent="1"/>
    </xf>
    <xf numFmtId="0" fontId="20" fillId="51" borderId="2" applyNumberFormat="0" applyProtection="0">
      <alignment horizontal="left" vertical="center" indent="1"/>
    </xf>
    <xf numFmtId="0" fontId="20" fillId="51" borderId="2" applyNumberFormat="0" applyProtection="0">
      <alignment horizontal="left" vertical="center" indent="1"/>
    </xf>
    <xf numFmtId="0" fontId="20" fillId="51" borderId="2" applyNumberFormat="0" applyProtection="0">
      <alignment horizontal="left" vertical="center" indent="1"/>
    </xf>
    <xf numFmtId="0" fontId="20" fillId="51" borderId="2" applyNumberFormat="0" applyProtection="0">
      <alignment horizontal="left" vertical="center" indent="1"/>
    </xf>
    <xf numFmtId="0" fontId="20" fillId="51" borderId="2" applyNumberFormat="0" applyProtection="0">
      <alignment horizontal="left" vertical="center" indent="1"/>
    </xf>
    <xf numFmtId="0" fontId="20" fillId="51" borderId="2" applyNumberFormat="0" applyProtection="0">
      <alignment horizontal="left" vertical="center" indent="1"/>
    </xf>
    <xf numFmtId="0" fontId="20" fillId="51" borderId="2" applyNumberFormat="0" applyProtection="0">
      <alignment horizontal="left" vertical="center" indent="1"/>
    </xf>
    <xf numFmtId="0" fontId="20" fillId="51" borderId="2" applyNumberFormat="0" applyProtection="0">
      <alignment horizontal="left" vertical="center" indent="1"/>
    </xf>
    <xf numFmtId="0" fontId="6" fillId="55" borderId="10" applyNumberFormat="0" applyProtection="0">
      <alignment horizontal="left" vertical="center" indent="1"/>
    </xf>
    <xf numFmtId="0" fontId="20" fillId="51" borderId="11" applyNumberFormat="0" applyProtection="0">
      <alignment horizontal="left" vertical="top" indent="1"/>
    </xf>
    <xf numFmtId="0" fontId="20" fillId="51" borderId="11" applyNumberFormat="0" applyProtection="0">
      <alignment horizontal="left" vertical="top" indent="1"/>
    </xf>
    <xf numFmtId="0" fontId="20" fillId="51" borderId="11" applyNumberFormat="0" applyProtection="0">
      <alignment horizontal="left" vertical="top" indent="1"/>
    </xf>
    <xf numFmtId="0" fontId="20" fillId="51" borderId="11" applyNumberFormat="0" applyProtection="0">
      <alignment horizontal="left" vertical="top" indent="1"/>
    </xf>
    <xf numFmtId="0" fontId="20" fillId="51" borderId="11" applyNumberFormat="0" applyProtection="0">
      <alignment horizontal="left" vertical="top" indent="1"/>
    </xf>
    <xf numFmtId="0" fontId="20" fillId="51" borderId="11" applyNumberFormat="0" applyProtection="0">
      <alignment horizontal="left" vertical="top" indent="1"/>
    </xf>
    <xf numFmtId="0" fontId="20" fillId="51" borderId="11" applyNumberFormat="0" applyProtection="0">
      <alignment horizontal="left" vertical="top" indent="1"/>
    </xf>
    <xf numFmtId="0" fontId="20" fillId="51" borderId="11" applyNumberFormat="0" applyProtection="0">
      <alignment horizontal="left" vertical="top" indent="1"/>
    </xf>
    <xf numFmtId="0" fontId="20" fillId="51" borderId="11" applyNumberFormat="0" applyProtection="0">
      <alignment horizontal="left" vertical="top" indent="1"/>
    </xf>
    <xf numFmtId="0" fontId="20" fillId="51" borderId="11" applyNumberFormat="0" applyProtection="0">
      <alignment horizontal="left" vertical="top" indent="1"/>
    </xf>
    <xf numFmtId="0" fontId="6" fillId="91" borderId="10" applyNumberFormat="0" applyProtection="0">
      <alignment horizontal="left" vertical="center" indent="1"/>
    </xf>
    <xf numFmtId="0" fontId="20" fillId="2" borderId="2" applyNumberFormat="0" applyProtection="0">
      <alignment horizontal="left" vertical="center" indent="1"/>
    </xf>
    <xf numFmtId="0" fontId="20" fillId="2" borderId="2" applyNumberFormat="0" applyProtection="0">
      <alignment horizontal="left" vertical="center" indent="1"/>
    </xf>
    <xf numFmtId="0" fontId="20" fillId="2" borderId="2" applyNumberFormat="0" applyProtection="0">
      <alignment horizontal="left" vertical="center" indent="1"/>
    </xf>
    <xf numFmtId="0" fontId="20" fillId="2" borderId="2" applyNumberFormat="0" applyProtection="0">
      <alignment horizontal="left" vertical="center" indent="1"/>
    </xf>
    <xf numFmtId="0" fontId="20" fillId="2" borderId="2" applyNumberFormat="0" applyProtection="0">
      <alignment horizontal="left" vertical="center" indent="1"/>
    </xf>
    <xf numFmtId="0" fontId="20" fillId="2" borderId="2" applyNumberFormat="0" applyProtection="0">
      <alignment horizontal="left" vertical="center" indent="1"/>
    </xf>
    <xf numFmtId="0" fontId="20" fillId="2" borderId="2" applyNumberFormat="0" applyProtection="0">
      <alignment horizontal="left" vertical="center" indent="1"/>
    </xf>
    <xf numFmtId="0" fontId="20" fillId="2" borderId="2" applyNumberFormat="0" applyProtection="0">
      <alignment horizontal="left" vertical="center" indent="1"/>
    </xf>
    <xf numFmtId="0" fontId="20" fillId="2" borderId="2" applyNumberFormat="0" applyProtection="0">
      <alignment horizontal="left" vertical="center" indent="1"/>
    </xf>
    <xf numFmtId="0" fontId="20" fillId="2" borderId="2" applyNumberFormat="0" applyProtection="0">
      <alignment horizontal="left" vertical="center" indent="1"/>
    </xf>
    <xf numFmtId="0" fontId="20" fillId="2" borderId="2" applyNumberFormat="0" applyProtection="0">
      <alignment horizontal="left" vertical="center" indent="1"/>
    </xf>
    <xf numFmtId="0" fontId="20" fillId="2" borderId="2" applyNumberFormat="0" applyProtection="0">
      <alignment horizontal="left" vertical="center" indent="1"/>
    </xf>
    <xf numFmtId="0" fontId="20" fillId="2" borderId="2" applyNumberFormat="0" applyProtection="0">
      <alignment horizontal="left" vertical="center" indent="1"/>
    </xf>
    <xf numFmtId="0" fontId="20" fillId="2" borderId="2" applyNumberFormat="0" applyProtection="0">
      <alignment horizontal="left" vertical="center" indent="1"/>
    </xf>
    <xf numFmtId="0" fontId="20" fillId="2" borderId="2" applyNumberFormat="0" applyProtection="0">
      <alignment horizontal="left" vertical="center" indent="1"/>
    </xf>
    <xf numFmtId="0" fontId="20" fillId="2" borderId="2" applyNumberFormat="0" applyProtection="0">
      <alignment horizontal="left" vertical="center" indent="1"/>
    </xf>
    <xf numFmtId="0" fontId="20" fillId="2" borderId="2" applyNumberFormat="0" applyProtection="0">
      <alignment horizontal="left" vertical="center" indent="1"/>
    </xf>
    <xf numFmtId="0" fontId="20" fillId="2" borderId="2" applyNumberFormat="0" applyProtection="0">
      <alignment horizontal="left" vertical="center" indent="1"/>
    </xf>
    <xf numFmtId="0" fontId="6" fillId="91" borderId="10" applyNumberFormat="0" applyProtection="0">
      <alignment horizontal="left" vertical="center" indent="1"/>
    </xf>
    <xf numFmtId="0" fontId="20" fillId="2" borderId="11" applyNumberFormat="0" applyProtection="0">
      <alignment horizontal="left" vertical="top" indent="1"/>
    </xf>
    <xf numFmtId="0" fontId="20" fillId="2" borderId="11" applyNumberFormat="0" applyProtection="0">
      <alignment horizontal="left" vertical="top" indent="1"/>
    </xf>
    <xf numFmtId="0" fontId="20" fillId="2" borderId="11" applyNumberFormat="0" applyProtection="0">
      <alignment horizontal="left" vertical="top" indent="1"/>
    </xf>
    <xf numFmtId="0" fontId="20" fillId="2" borderId="11" applyNumberFormat="0" applyProtection="0">
      <alignment horizontal="left" vertical="top" indent="1"/>
    </xf>
    <xf numFmtId="0" fontId="20" fillId="2" borderId="11" applyNumberFormat="0" applyProtection="0">
      <alignment horizontal="left" vertical="top" indent="1"/>
    </xf>
    <xf numFmtId="0" fontId="20" fillId="2" borderId="11" applyNumberFormat="0" applyProtection="0">
      <alignment horizontal="left" vertical="top" indent="1"/>
    </xf>
    <xf numFmtId="0" fontId="20" fillId="2" borderId="11" applyNumberFormat="0" applyProtection="0">
      <alignment horizontal="left" vertical="top" indent="1"/>
    </xf>
    <xf numFmtId="0" fontId="20" fillId="2" borderId="11" applyNumberFormat="0" applyProtection="0">
      <alignment horizontal="left" vertical="top" indent="1"/>
    </xf>
    <xf numFmtId="0" fontId="20" fillId="2" borderId="11" applyNumberFormat="0" applyProtection="0">
      <alignment horizontal="left" vertical="top" indent="1"/>
    </xf>
    <xf numFmtId="0" fontId="20" fillId="2" borderId="11" applyNumberFormat="0" applyProtection="0">
      <alignment horizontal="left" vertical="top" indent="1"/>
    </xf>
    <xf numFmtId="0" fontId="42" fillId="10" borderId="14" applyBorder="0"/>
    <xf numFmtId="0" fontId="42" fillId="10" borderId="14" applyBorder="0"/>
    <xf numFmtId="0" fontId="42" fillId="10" borderId="14" applyBorder="0"/>
    <xf numFmtId="0" fontId="42" fillId="10" borderId="14" applyBorder="0"/>
    <xf numFmtId="0" fontId="42" fillId="10" borderId="14" applyBorder="0"/>
    <xf numFmtId="0" fontId="42" fillId="10" borderId="14" applyBorder="0"/>
    <xf numFmtId="0" fontId="42" fillId="10" borderId="14" applyBorder="0"/>
    <xf numFmtId="0" fontId="42" fillId="10" borderId="14" applyBorder="0"/>
    <xf numFmtId="0" fontId="42" fillId="10" borderId="14" applyBorder="0"/>
    <xf numFmtId="4" fontId="22" fillId="70" borderId="10" applyNumberFormat="0" applyProtection="0">
      <alignment vertical="center"/>
    </xf>
    <xf numFmtId="4" fontId="43" fillId="40" borderId="11" applyNumberFormat="0" applyProtection="0">
      <alignment vertical="center"/>
    </xf>
    <xf numFmtId="4" fontId="43" fillId="40" borderId="11" applyNumberFormat="0" applyProtection="0">
      <alignment vertical="center"/>
    </xf>
    <xf numFmtId="4" fontId="43" fillId="40" borderId="11" applyNumberFormat="0" applyProtection="0">
      <alignment vertical="center"/>
    </xf>
    <xf numFmtId="4" fontId="43" fillId="40" borderId="11" applyNumberFormat="0" applyProtection="0">
      <alignment vertical="center"/>
    </xf>
    <xf numFmtId="4" fontId="43" fillId="40" borderId="11" applyNumberFormat="0" applyProtection="0">
      <alignment vertical="center"/>
    </xf>
    <xf numFmtId="4" fontId="43" fillId="40" borderId="11" applyNumberFormat="0" applyProtection="0">
      <alignment vertical="center"/>
    </xf>
    <xf numFmtId="4" fontId="43" fillId="40" borderId="11" applyNumberFormat="0" applyProtection="0">
      <alignment vertical="center"/>
    </xf>
    <xf numFmtId="4" fontId="43" fillId="40" borderId="11" applyNumberFormat="0" applyProtection="0">
      <alignment vertical="center"/>
    </xf>
    <xf numFmtId="4" fontId="43" fillId="40" borderId="11" applyNumberFormat="0" applyProtection="0">
      <alignment vertical="center"/>
    </xf>
    <xf numFmtId="4" fontId="43" fillId="40" borderId="11" applyNumberFormat="0" applyProtection="0">
      <alignment vertical="center"/>
    </xf>
    <xf numFmtId="4" fontId="109" fillId="70" borderId="10" applyNumberFormat="0" applyProtection="0">
      <alignment vertical="center"/>
    </xf>
    <xf numFmtId="4" fontId="20" fillId="40" borderId="15" applyNumberFormat="0" applyProtection="0">
      <alignment vertical="center"/>
    </xf>
    <xf numFmtId="4" fontId="20" fillId="40" borderId="15" applyNumberFormat="0" applyProtection="0">
      <alignment vertical="center"/>
    </xf>
    <xf numFmtId="4" fontId="20" fillId="40" borderId="15" applyNumberFormat="0" applyProtection="0">
      <alignment vertical="center"/>
    </xf>
    <xf numFmtId="4" fontId="20" fillId="40" borderId="15" applyNumberFormat="0" applyProtection="0">
      <alignment vertical="center"/>
    </xf>
    <xf numFmtId="4" fontId="20" fillId="40" borderId="15" applyNumberFormat="0" applyProtection="0">
      <alignment vertical="center"/>
    </xf>
    <xf numFmtId="4" fontId="20" fillId="40" borderId="15" applyNumberFormat="0" applyProtection="0">
      <alignment vertical="center"/>
    </xf>
    <xf numFmtId="4" fontId="20" fillId="40" borderId="15" applyNumberFormat="0" applyProtection="0">
      <alignment vertical="center"/>
    </xf>
    <xf numFmtId="4" fontId="20" fillId="40" borderId="15" applyNumberFormat="0" applyProtection="0">
      <alignment vertical="center"/>
    </xf>
    <xf numFmtId="4" fontId="20" fillId="40" borderId="15" applyNumberFormat="0" applyProtection="0">
      <alignment vertical="center"/>
    </xf>
    <xf numFmtId="4" fontId="20" fillId="40" borderId="15" applyNumberFormat="0" applyProtection="0">
      <alignment vertical="center"/>
    </xf>
    <xf numFmtId="4" fontId="20" fillId="40" borderId="15" applyNumberFormat="0" applyProtection="0">
      <alignment vertical="center"/>
    </xf>
    <xf numFmtId="4" fontId="20" fillId="40" borderId="15" applyNumberFormat="0" applyProtection="0">
      <alignment vertical="center"/>
    </xf>
    <xf numFmtId="4" fontId="22" fillId="70" borderId="10" applyNumberFormat="0" applyProtection="0">
      <alignment horizontal="left" vertical="center" indent="1"/>
    </xf>
    <xf numFmtId="4" fontId="43" fillId="7" borderId="11" applyNumberFormat="0" applyProtection="0">
      <alignment horizontal="left" vertical="center" indent="1"/>
    </xf>
    <xf numFmtId="4" fontId="43" fillId="7" borderId="11" applyNumberFormat="0" applyProtection="0">
      <alignment horizontal="left" vertical="center" indent="1"/>
    </xf>
    <xf numFmtId="4" fontId="43" fillId="7" borderId="11" applyNumberFormat="0" applyProtection="0">
      <alignment horizontal="left" vertical="center" indent="1"/>
    </xf>
    <xf numFmtId="4" fontId="43" fillId="7" borderId="11" applyNumberFormat="0" applyProtection="0">
      <alignment horizontal="left" vertical="center" indent="1"/>
    </xf>
    <xf numFmtId="4" fontId="43" fillId="7" borderId="11" applyNumberFormat="0" applyProtection="0">
      <alignment horizontal="left" vertical="center" indent="1"/>
    </xf>
    <xf numFmtId="4" fontId="43" fillId="7" borderId="11" applyNumberFormat="0" applyProtection="0">
      <alignment horizontal="left" vertical="center" indent="1"/>
    </xf>
    <xf numFmtId="4" fontId="43" fillId="7" borderId="11" applyNumberFormat="0" applyProtection="0">
      <alignment horizontal="left" vertical="center" indent="1"/>
    </xf>
    <xf numFmtId="4" fontId="43" fillId="7" borderId="11" applyNumberFormat="0" applyProtection="0">
      <alignment horizontal="left" vertical="center" indent="1"/>
    </xf>
    <xf numFmtId="4" fontId="43" fillId="7" borderId="11" applyNumberFormat="0" applyProtection="0">
      <alignment horizontal="left" vertical="center" indent="1"/>
    </xf>
    <xf numFmtId="4" fontId="43" fillId="7" borderId="11" applyNumberFormat="0" applyProtection="0">
      <alignment horizontal="left" vertical="center" indent="1"/>
    </xf>
    <xf numFmtId="4" fontId="22" fillId="70" borderId="10" applyNumberFormat="0" applyProtection="0">
      <alignment horizontal="left" vertical="center" indent="1"/>
    </xf>
    <xf numFmtId="0" fontId="43" fillId="40" borderId="11" applyNumberFormat="0" applyProtection="0">
      <alignment horizontal="left" vertical="top" indent="1"/>
    </xf>
    <xf numFmtId="0" fontId="43" fillId="40" borderId="11" applyNumberFormat="0" applyProtection="0">
      <alignment horizontal="left" vertical="top" indent="1"/>
    </xf>
    <xf numFmtId="0" fontId="43" fillId="40" borderId="11" applyNumberFormat="0" applyProtection="0">
      <alignment horizontal="left" vertical="top" indent="1"/>
    </xf>
    <xf numFmtId="0" fontId="43" fillId="40" borderId="11" applyNumberFormat="0" applyProtection="0">
      <alignment horizontal="left" vertical="top" indent="1"/>
    </xf>
    <xf numFmtId="0" fontId="43" fillId="40" borderId="11" applyNumberFormat="0" applyProtection="0">
      <alignment horizontal="left" vertical="top" indent="1"/>
    </xf>
    <xf numFmtId="0" fontId="43" fillId="40" borderId="11" applyNumberFormat="0" applyProtection="0">
      <alignment horizontal="left" vertical="top" indent="1"/>
    </xf>
    <xf numFmtId="0" fontId="43" fillId="40" borderId="11" applyNumberFormat="0" applyProtection="0">
      <alignment horizontal="left" vertical="top" indent="1"/>
    </xf>
    <xf numFmtId="0" fontId="43" fillId="40" borderId="11" applyNumberFormat="0" applyProtection="0">
      <alignment horizontal="left" vertical="top" indent="1"/>
    </xf>
    <xf numFmtId="0" fontId="43" fillId="40" borderId="11" applyNumberFormat="0" applyProtection="0">
      <alignment horizontal="left" vertical="top" indent="1"/>
    </xf>
    <xf numFmtId="0" fontId="43" fillId="40" borderId="11" applyNumberFormat="0" applyProtection="0">
      <alignment horizontal="left" vertical="top" indent="1"/>
    </xf>
    <xf numFmtId="4" fontId="22" fillId="89" borderId="10" applyNumberFormat="0" applyProtection="0">
      <alignment horizontal="right" vertical="center"/>
    </xf>
    <xf numFmtId="4" fontId="20" fillId="0" borderId="2" applyNumberFormat="0" applyProtection="0">
      <alignment horizontal="right" vertical="center"/>
    </xf>
    <xf numFmtId="4" fontId="20" fillId="0" borderId="2" applyNumberFormat="0" applyProtection="0">
      <alignment horizontal="right" vertical="center"/>
    </xf>
    <xf numFmtId="4" fontId="20" fillId="0" borderId="2" applyNumberFormat="0" applyProtection="0">
      <alignment horizontal="right" vertical="center"/>
    </xf>
    <xf numFmtId="4" fontId="20" fillId="0" borderId="2" applyNumberFormat="0" applyProtection="0">
      <alignment horizontal="right" vertical="center"/>
    </xf>
    <xf numFmtId="4" fontId="20" fillId="0" borderId="2" applyNumberFormat="0" applyProtection="0">
      <alignment horizontal="right" vertical="center"/>
    </xf>
    <xf numFmtId="4" fontId="20" fillId="0" borderId="2" applyNumberFormat="0" applyProtection="0">
      <alignment horizontal="right" vertical="center"/>
    </xf>
    <xf numFmtId="4" fontId="20" fillId="0" borderId="2" applyNumberFormat="0" applyProtection="0">
      <alignment horizontal="right" vertical="center"/>
    </xf>
    <xf numFmtId="4" fontId="20" fillId="0" borderId="2" applyNumberFormat="0" applyProtection="0">
      <alignment horizontal="right" vertical="center"/>
    </xf>
    <xf numFmtId="4" fontId="20" fillId="0" borderId="2" applyNumberFormat="0" applyProtection="0">
      <alignment horizontal="right" vertical="center"/>
    </xf>
    <xf numFmtId="4" fontId="20" fillId="0" borderId="2" applyNumberFormat="0" applyProtection="0">
      <alignment horizontal="right" vertical="center"/>
    </xf>
    <xf numFmtId="4" fontId="20" fillId="0" borderId="2" applyNumberFormat="0" applyProtection="0">
      <alignment horizontal="right" vertical="center"/>
    </xf>
    <xf numFmtId="4" fontId="20" fillId="0" borderId="2" applyNumberFormat="0" applyProtection="0">
      <alignment horizontal="right" vertical="center"/>
    </xf>
    <xf numFmtId="4" fontId="20" fillId="0" borderId="2" applyNumberFormat="0" applyProtection="0">
      <alignment horizontal="right" vertical="center"/>
    </xf>
    <xf numFmtId="4" fontId="20" fillId="0" borderId="2" applyNumberFormat="0" applyProtection="0">
      <alignment horizontal="right" vertical="center"/>
    </xf>
    <xf numFmtId="4" fontId="20" fillId="0" borderId="2" applyNumberFormat="0" applyProtection="0">
      <alignment horizontal="right" vertical="center"/>
    </xf>
    <xf numFmtId="4" fontId="20" fillId="0" borderId="2" applyNumberFormat="0" applyProtection="0">
      <alignment horizontal="right" vertical="center"/>
    </xf>
    <xf numFmtId="4" fontId="20" fillId="0" borderId="2" applyNumberFormat="0" applyProtection="0">
      <alignment horizontal="right" vertical="center"/>
    </xf>
    <xf numFmtId="4" fontId="20" fillId="0" borderId="2" applyNumberFormat="0" applyProtection="0">
      <alignment horizontal="right" vertical="center"/>
    </xf>
    <xf numFmtId="4" fontId="109" fillId="89" borderId="10" applyNumberFormat="0" applyProtection="0">
      <alignment horizontal="right" vertical="center"/>
    </xf>
    <xf numFmtId="4" fontId="20" fillId="52" borderId="2" applyNumberFormat="0" applyProtection="0">
      <alignment horizontal="right" vertical="center"/>
    </xf>
    <xf numFmtId="4" fontId="20" fillId="52" borderId="2" applyNumberFormat="0" applyProtection="0">
      <alignment horizontal="right" vertical="center"/>
    </xf>
    <xf numFmtId="4" fontId="20" fillId="52" borderId="2" applyNumberFormat="0" applyProtection="0">
      <alignment horizontal="right" vertical="center"/>
    </xf>
    <xf numFmtId="4" fontId="20" fillId="52" borderId="2" applyNumberFormat="0" applyProtection="0">
      <alignment horizontal="right" vertical="center"/>
    </xf>
    <xf numFmtId="4" fontId="20" fillId="52" borderId="2" applyNumberFormat="0" applyProtection="0">
      <alignment horizontal="right" vertical="center"/>
    </xf>
    <xf numFmtId="4" fontId="20" fillId="52" borderId="2" applyNumberFormat="0" applyProtection="0">
      <alignment horizontal="right" vertical="center"/>
    </xf>
    <xf numFmtId="4" fontId="20" fillId="52" borderId="2" applyNumberFormat="0" applyProtection="0">
      <alignment horizontal="right" vertical="center"/>
    </xf>
    <xf numFmtId="4" fontId="20" fillId="52" borderId="2" applyNumberFormat="0" applyProtection="0">
      <alignment horizontal="right" vertical="center"/>
    </xf>
    <xf numFmtId="4" fontId="20" fillId="52" borderId="2" applyNumberFormat="0" applyProtection="0">
      <alignment horizontal="right" vertical="center"/>
    </xf>
    <xf numFmtId="4" fontId="20" fillId="52" borderId="2" applyNumberFormat="0" applyProtection="0">
      <alignment horizontal="right" vertical="center"/>
    </xf>
    <xf numFmtId="4" fontId="20" fillId="52" borderId="2" applyNumberFormat="0" applyProtection="0">
      <alignment horizontal="right" vertical="center"/>
    </xf>
    <xf numFmtId="4" fontId="20" fillId="52" borderId="2" applyNumberFormat="0" applyProtection="0">
      <alignment horizontal="right" vertical="center"/>
    </xf>
    <xf numFmtId="4" fontId="20" fillId="52" borderId="2" applyNumberFormat="0" applyProtection="0">
      <alignment horizontal="right" vertical="center"/>
    </xf>
    <xf numFmtId="4" fontId="20" fillId="52" borderId="2" applyNumberFormat="0" applyProtection="0">
      <alignment horizontal="right" vertical="center"/>
    </xf>
    <xf numFmtId="4" fontId="20" fillId="52" borderId="2" applyNumberFormat="0" applyProtection="0">
      <alignment horizontal="right" vertical="center"/>
    </xf>
    <xf numFmtId="4" fontId="20" fillId="52" borderId="2" applyNumberFormat="0" applyProtection="0">
      <alignment horizontal="right" vertical="center"/>
    </xf>
    <xf numFmtId="4" fontId="20" fillId="52" borderId="2" applyNumberFormat="0" applyProtection="0">
      <alignment horizontal="right" vertical="center"/>
    </xf>
    <xf numFmtId="4" fontId="20" fillId="52" borderId="2" applyNumberFormat="0" applyProtection="0">
      <alignment horizontal="right" vertical="center"/>
    </xf>
    <xf numFmtId="0" fontId="6" fillId="91" borderId="10"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4" fontId="20" fillId="43" borderId="2" applyNumberFormat="0" applyProtection="0">
      <alignment horizontal="left" vertical="center" indent="1"/>
    </xf>
    <xf numFmtId="0" fontId="6" fillId="91" borderId="10" applyNumberFormat="0" applyProtection="0">
      <alignment horizontal="left" vertical="center" indent="1"/>
    </xf>
    <xf numFmtId="0" fontId="43" fillId="3" borderId="11" applyNumberFormat="0" applyProtection="0">
      <alignment horizontal="left" vertical="top" indent="1"/>
    </xf>
    <xf numFmtId="0" fontId="43" fillId="3" borderId="11" applyNumberFormat="0" applyProtection="0">
      <alignment horizontal="left" vertical="top" indent="1"/>
    </xf>
    <xf numFmtId="0" fontId="43" fillId="3" borderId="11" applyNumberFormat="0" applyProtection="0">
      <alignment horizontal="left" vertical="top" indent="1"/>
    </xf>
    <xf numFmtId="0" fontId="43" fillId="3" borderId="11" applyNumberFormat="0" applyProtection="0">
      <alignment horizontal="left" vertical="top" indent="1"/>
    </xf>
    <xf numFmtId="0" fontId="43" fillId="3" borderId="11" applyNumberFormat="0" applyProtection="0">
      <alignment horizontal="left" vertical="top" indent="1"/>
    </xf>
    <xf numFmtId="0" fontId="43" fillId="3" borderId="11" applyNumberFormat="0" applyProtection="0">
      <alignment horizontal="left" vertical="top" indent="1"/>
    </xf>
    <xf numFmtId="0" fontId="43" fillId="3" borderId="11" applyNumberFormat="0" applyProtection="0">
      <alignment horizontal="left" vertical="top" indent="1"/>
    </xf>
    <xf numFmtId="0" fontId="43" fillId="3" borderId="11" applyNumberFormat="0" applyProtection="0">
      <alignment horizontal="left" vertical="top" indent="1"/>
    </xf>
    <xf numFmtId="0" fontId="43" fillId="3" borderId="11" applyNumberFormat="0" applyProtection="0">
      <alignment horizontal="left" vertical="top" indent="1"/>
    </xf>
    <xf numFmtId="0" fontId="43" fillId="3" borderId="11" applyNumberFormat="0" applyProtection="0">
      <alignment horizontal="left" vertical="top" indent="1"/>
    </xf>
    <xf numFmtId="0" fontId="111" fillId="0" borderId="0"/>
    <xf numFmtId="4" fontId="44" fillId="53" borderId="12" applyNumberFormat="0" applyProtection="0">
      <alignment horizontal="left" vertical="center" indent="1"/>
    </xf>
    <xf numFmtId="4" fontId="44" fillId="53" borderId="12" applyNumberFormat="0" applyProtection="0">
      <alignment horizontal="left" vertical="center" indent="1"/>
    </xf>
    <xf numFmtId="4" fontId="44" fillId="53" borderId="12" applyNumberFormat="0" applyProtection="0">
      <alignment horizontal="left" vertical="center" indent="1"/>
    </xf>
    <xf numFmtId="4" fontId="44" fillId="53" borderId="12" applyNumberFormat="0" applyProtection="0">
      <alignment horizontal="left" vertical="center" indent="1"/>
    </xf>
    <xf numFmtId="4" fontId="44" fillId="53" borderId="12" applyNumberFormat="0" applyProtection="0">
      <alignment horizontal="left" vertical="center" indent="1"/>
    </xf>
    <xf numFmtId="4" fontId="44" fillId="53" borderId="12" applyNumberFormat="0" applyProtection="0">
      <alignment horizontal="left" vertical="center" indent="1"/>
    </xf>
    <xf numFmtId="4" fontId="44" fillId="53" borderId="12" applyNumberFormat="0" applyProtection="0">
      <alignment horizontal="left" vertical="center" indent="1"/>
    </xf>
    <xf numFmtId="4" fontId="44" fillId="53" borderId="12" applyNumberFormat="0" applyProtection="0">
      <alignment horizontal="left" vertical="center" indent="1"/>
    </xf>
    <xf numFmtId="4" fontId="44" fillId="53" borderId="12" applyNumberFormat="0" applyProtection="0">
      <alignment horizontal="left" vertical="center" indent="1"/>
    </xf>
    <xf numFmtId="4" fontId="44" fillId="53" borderId="12" applyNumberFormat="0" applyProtection="0">
      <alignment horizontal="left" vertical="center" indent="1"/>
    </xf>
    <xf numFmtId="0" fontId="20" fillId="54" borderId="15"/>
    <xf numFmtId="0" fontId="20" fillId="54" borderId="15"/>
    <xf numFmtId="0" fontId="20" fillId="54" borderId="15"/>
    <xf numFmtId="0" fontId="20" fillId="54" borderId="15"/>
    <xf numFmtId="0" fontId="20" fillId="54" borderId="15"/>
    <xf numFmtId="0" fontId="20" fillId="54" borderId="15"/>
    <xf numFmtId="0" fontId="20" fillId="54" borderId="15"/>
    <xf numFmtId="0" fontId="20" fillId="54" borderId="15"/>
    <xf numFmtId="0" fontId="20" fillId="54" borderId="15"/>
    <xf numFmtId="0" fontId="20" fillId="54" borderId="15"/>
    <xf numFmtId="0" fontId="20" fillId="54" borderId="15"/>
    <xf numFmtId="0" fontId="20" fillId="54" borderId="15"/>
    <xf numFmtId="4" fontId="54" fillId="89" borderId="10" applyNumberFormat="0" applyProtection="0">
      <alignment horizontal="right" vertical="center"/>
    </xf>
    <xf numFmtId="4" fontId="45" fillId="52" borderId="2" applyNumberFormat="0" applyProtection="0">
      <alignment horizontal="right" vertical="center"/>
    </xf>
    <xf numFmtId="4" fontId="45" fillId="52" borderId="2" applyNumberFormat="0" applyProtection="0">
      <alignment horizontal="right" vertical="center"/>
    </xf>
    <xf numFmtId="4" fontId="45" fillId="52" borderId="2" applyNumberFormat="0" applyProtection="0">
      <alignment horizontal="right" vertical="center"/>
    </xf>
    <xf numFmtId="4" fontId="45" fillId="52" borderId="2" applyNumberFormat="0" applyProtection="0">
      <alignment horizontal="right" vertical="center"/>
    </xf>
    <xf numFmtId="4" fontId="45" fillId="52" borderId="2" applyNumberFormat="0" applyProtection="0">
      <alignment horizontal="right" vertical="center"/>
    </xf>
    <xf numFmtId="4" fontId="45" fillId="52" borderId="2" applyNumberFormat="0" applyProtection="0">
      <alignment horizontal="right" vertical="center"/>
    </xf>
    <xf numFmtId="4" fontId="45" fillId="52" borderId="2" applyNumberFormat="0" applyProtection="0">
      <alignment horizontal="right" vertical="center"/>
    </xf>
    <xf numFmtId="4" fontId="45" fillId="52" borderId="2" applyNumberFormat="0" applyProtection="0">
      <alignment horizontal="right" vertical="center"/>
    </xf>
    <xf numFmtId="4" fontId="45" fillId="52" borderId="2" applyNumberFormat="0" applyProtection="0">
      <alignment horizontal="right" vertical="center"/>
    </xf>
    <xf numFmtId="4" fontId="45" fillId="52" borderId="2" applyNumberFormat="0" applyProtection="0">
      <alignment horizontal="right" vertical="center"/>
    </xf>
    <xf numFmtId="0" fontId="6" fillId="0" borderId="0"/>
    <xf numFmtId="0" fontId="28" fillId="0" borderId="16" applyNumberFormat="0" applyFill="0" applyAlignment="0" applyProtection="0"/>
    <xf numFmtId="0" fontId="28" fillId="0" borderId="16" applyNumberFormat="0" applyFill="0" applyAlignment="0" applyProtection="0"/>
    <xf numFmtId="0" fontId="28" fillId="0" borderId="16" applyNumberFormat="0" applyFill="0" applyAlignment="0" applyProtection="0"/>
    <xf numFmtId="0" fontId="28" fillId="0" borderId="16" applyNumberFormat="0" applyFill="0" applyAlignment="0" applyProtection="0"/>
    <xf numFmtId="0" fontId="28" fillId="0" borderId="16" applyNumberFormat="0" applyFill="0" applyAlignment="0" applyProtection="0"/>
    <xf numFmtId="0" fontId="28" fillId="0" borderId="16" applyNumberFormat="0" applyFill="0" applyAlignment="0" applyProtection="0"/>
    <xf numFmtId="0" fontId="28" fillId="0" borderId="16" applyNumberFormat="0" applyFill="0" applyAlignment="0" applyProtection="0"/>
    <xf numFmtId="0" fontId="28" fillId="0" borderId="16" applyNumberFormat="0" applyFill="0" applyAlignment="0" applyProtection="0"/>
    <xf numFmtId="0" fontId="28" fillId="0" borderId="16" applyNumberFormat="0" applyFill="0" applyAlignment="0" applyProtection="0"/>
    <xf numFmtId="0" fontId="28" fillId="0" borderId="16"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39" fillId="7" borderId="10" applyNumberFormat="0" applyAlignment="0" applyProtection="0"/>
    <xf numFmtId="0" fontId="39" fillId="7" borderId="10" applyNumberFormat="0" applyAlignment="0" applyProtection="0"/>
    <xf numFmtId="0" fontId="39" fillId="7" borderId="10" applyNumberFormat="0" applyAlignment="0" applyProtection="0"/>
    <xf numFmtId="0" fontId="39" fillId="7" borderId="10" applyNumberFormat="0" applyAlignment="0" applyProtection="0"/>
    <xf numFmtId="0" fontId="39" fillId="7" borderId="10" applyNumberFormat="0" applyAlignment="0" applyProtection="0"/>
    <xf numFmtId="0" fontId="39" fillId="7" borderId="10" applyNumberFormat="0" applyAlignment="0" applyProtection="0"/>
    <xf numFmtId="0" fontId="39" fillId="7" borderId="10" applyNumberFormat="0" applyAlignment="0" applyProtection="0"/>
    <xf numFmtId="0" fontId="39" fillId="7" borderId="10" applyNumberFormat="0" applyAlignment="0" applyProtection="0"/>
    <xf numFmtId="0" fontId="39" fillId="7" borderId="10" applyNumberFormat="0" applyAlignment="0" applyProtection="0"/>
    <xf numFmtId="0" fontId="4" fillId="0" borderId="0"/>
    <xf numFmtId="0" fontId="4" fillId="0" borderId="0"/>
    <xf numFmtId="0" fontId="4" fillId="0" borderId="0"/>
    <xf numFmtId="0" fontId="8" fillId="0" borderId="0"/>
    <xf numFmtId="0" fontId="115" fillId="0" borderId="0" applyNumberFormat="0" applyFill="0" applyBorder="0" applyAlignment="0" applyProtection="0">
      <alignment vertical="top"/>
      <protection locked="0"/>
    </xf>
    <xf numFmtId="165" fontId="6" fillId="0" borderId="0" applyFont="0" applyFill="0" applyBorder="0" applyAlignment="0" applyProtection="0"/>
    <xf numFmtId="9" fontId="6" fillId="0" borderId="0" applyFont="0" applyFill="0" applyBorder="0" applyAlignment="0" applyProtection="0"/>
    <xf numFmtId="0" fontId="3" fillId="0" borderId="0"/>
    <xf numFmtId="0" fontId="20" fillId="97" borderId="0"/>
    <xf numFmtId="4" fontId="20" fillId="70" borderId="2" applyNumberFormat="0" applyProtection="0">
      <alignment vertical="center"/>
    </xf>
    <xf numFmtId="4" fontId="20" fillId="70" borderId="2" applyNumberFormat="0" applyProtection="0">
      <alignment vertical="center"/>
    </xf>
    <xf numFmtId="4" fontId="91" fillId="42" borderId="2" applyNumberFormat="0" applyProtection="0">
      <alignment vertical="center"/>
    </xf>
    <xf numFmtId="4" fontId="20" fillId="70" borderId="2" applyNumberFormat="0" applyProtection="0">
      <alignment horizontal="left" vertical="center" indent="1"/>
    </xf>
    <xf numFmtId="4" fontId="20" fillId="70" borderId="2" applyNumberFormat="0" applyProtection="0">
      <alignment horizontal="left" vertical="center" indent="1"/>
    </xf>
    <xf numFmtId="0" fontId="41" fillId="70" borderId="11" applyNumberFormat="0" applyProtection="0">
      <alignment horizontal="left" vertical="top" indent="1"/>
    </xf>
    <xf numFmtId="4" fontId="20" fillId="71" borderId="2" applyNumberFormat="0" applyBorder="0" applyProtection="0">
      <alignment horizontal="left" vertical="center" indent="1"/>
    </xf>
    <xf numFmtId="4" fontId="20" fillId="72" borderId="12" applyNumberFormat="0" applyProtection="0">
      <alignment horizontal="left" vertical="center" indent="1"/>
    </xf>
    <xf numFmtId="4" fontId="20" fillId="72" borderId="12" applyNumberFormat="0" applyProtection="0">
      <alignment horizontal="left" vertical="center" indent="1"/>
    </xf>
    <xf numFmtId="0" fontId="20" fillId="60" borderId="2" applyNumberFormat="0" applyProtection="0">
      <alignment horizontal="left" vertical="center" indent="1"/>
    </xf>
    <xf numFmtId="0" fontId="20" fillId="60" borderId="2" applyNumberFormat="0" applyProtection="0">
      <alignment horizontal="left" vertical="center" indent="1"/>
    </xf>
    <xf numFmtId="0" fontId="20" fillId="60" borderId="11" applyNumberFormat="0" applyProtection="0">
      <alignment horizontal="left" vertical="top" indent="1"/>
    </xf>
    <xf numFmtId="0" fontId="20" fillId="93" borderId="11" applyNumberFormat="0" applyProtection="0">
      <alignment horizontal="left" vertical="top" indent="1"/>
    </xf>
    <xf numFmtId="0" fontId="20" fillId="72" borderId="13" applyNumberFormat="0">
      <protection locked="0"/>
    </xf>
    <xf numFmtId="0" fontId="42" fillId="60" borderId="14" applyBorder="0"/>
    <xf numFmtId="4" fontId="91" fillId="70" borderId="15" applyNumberFormat="0" applyProtection="0">
      <alignment vertical="center"/>
    </xf>
    <xf numFmtId="4" fontId="43" fillId="60" borderId="11" applyNumberFormat="0" applyProtection="0">
      <alignment horizontal="left" vertical="center" indent="1"/>
    </xf>
    <xf numFmtId="4" fontId="91" fillId="57" borderId="2" applyNumberFormat="0" applyProtection="0">
      <alignment horizontal="right" vertical="center"/>
    </xf>
    <xf numFmtId="4" fontId="20" fillId="71" borderId="2" applyNumberFormat="0" applyProtection="0">
      <alignment horizontal="left" vertical="center" indent="1"/>
    </xf>
    <xf numFmtId="4" fontId="20" fillId="71" borderId="2" applyNumberFormat="0" applyProtection="0">
      <alignment horizontal="left" vertical="center" indent="1"/>
    </xf>
    <xf numFmtId="0" fontId="43" fillId="71" borderId="0" applyNumberFormat="0" applyProtection="0">
      <alignment horizontal="left" vertical="top" indent="1"/>
    </xf>
    <xf numFmtId="4" fontId="44" fillId="98" borderId="12" applyNumberFormat="0" applyProtection="0">
      <alignment horizontal="left" vertical="center" indent="1"/>
    </xf>
    <xf numFmtId="0" fontId="20" fillId="97" borderId="0"/>
    <xf numFmtId="0" fontId="2"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2"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3"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6" borderId="0" applyNumberFormat="0" applyBorder="0" applyAlignment="0" applyProtection="0"/>
    <xf numFmtId="0" fontId="18" fillId="11" borderId="0" applyNumberFormat="0" applyBorder="0" applyAlignment="0" applyProtection="0"/>
    <xf numFmtId="0" fontId="18" fillId="3"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128" fillId="30" borderId="0" applyNumberFormat="0" applyBorder="0" applyAlignment="0" applyProtection="0"/>
    <xf numFmtId="0" fontId="128" fillId="30" borderId="0" applyNumberFormat="0" applyBorder="0" applyAlignment="0" applyProtection="0"/>
    <xf numFmtId="0" fontId="26" fillId="33" borderId="2" applyNumberFormat="0" applyAlignment="0" applyProtection="0"/>
    <xf numFmtId="0" fontId="26" fillId="33" borderId="2" applyNumberFormat="0" applyAlignment="0" applyProtection="0"/>
    <xf numFmtId="0" fontId="25" fillId="7" borderId="1" applyNumberFormat="0" applyAlignment="0" applyProtection="0"/>
    <xf numFmtId="0" fontId="26" fillId="33" borderId="2" applyNumberFormat="0" applyAlignment="0" applyProtection="0"/>
    <xf numFmtId="0" fontId="26" fillId="33" borderId="2" applyNumberFormat="0" applyAlignment="0" applyProtection="0"/>
    <xf numFmtId="0" fontId="27" fillId="25" borderId="3" applyNumberFormat="0" applyAlignment="0" applyProtection="0"/>
    <xf numFmtId="0" fontId="27" fillId="25" borderId="3" applyNumberFormat="0" applyAlignment="0" applyProtection="0"/>
    <xf numFmtId="0" fontId="27" fillId="34" borderId="3"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31" fillId="0" borderId="8" applyNumberFormat="0" applyFill="0" applyAlignment="0" applyProtection="0"/>
    <xf numFmtId="0" fontId="31" fillId="0" borderId="8" applyNumberFormat="0" applyFill="0" applyAlignment="0" applyProtection="0"/>
    <xf numFmtId="0" fontId="30" fillId="0" borderId="4" applyNumberFormat="0" applyFill="0" applyAlignment="0" applyProtection="0"/>
    <xf numFmtId="0" fontId="31" fillId="0" borderId="8" applyNumberFormat="0" applyFill="0" applyAlignment="0" applyProtection="0"/>
    <xf numFmtId="0" fontId="24" fillId="23" borderId="0" applyNumberFormat="0" applyBorder="0" applyAlignment="0" applyProtection="0"/>
    <xf numFmtId="0" fontId="24" fillId="23" borderId="0" applyNumberFormat="0" applyBorder="0" applyAlignment="0" applyProtection="0"/>
    <xf numFmtId="0" fontId="31" fillId="38"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130" fillId="0" borderId="93" applyNumberFormat="0" applyFill="0" applyAlignment="0" applyProtection="0"/>
    <xf numFmtId="0" fontId="130" fillId="0" borderId="93" applyNumberFormat="0" applyFill="0" applyAlignment="0" applyProtection="0"/>
    <xf numFmtId="0" fontId="131" fillId="0" borderId="94" applyNumberFormat="0" applyFill="0" applyAlignment="0" applyProtection="0"/>
    <xf numFmtId="0" fontId="131" fillId="0" borderId="94" applyNumberFormat="0" applyFill="0" applyAlignment="0" applyProtection="0"/>
    <xf numFmtId="0" fontId="132" fillId="0" borderId="95" applyNumberFormat="0" applyFill="0" applyAlignment="0" applyProtection="0"/>
    <xf numFmtId="0" fontId="132" fillId="0" borderId="95" applyNumberFormat="0" applyFill="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15" fillId="0" borderId="0" applyNumberFormat="0" applyFill="0" applyBorder="0" applyAlignment="0" applyProtection="0">
      <alignment vertical="top"/>
      <protection locked="0"/>
    </xf>
    <xf numFmtId="0" fontId="33" fillId="6" borderId="1"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34" fillId="0" borderId="5" applyNumberFormat="0" applyFill="0" applyAlignment="0" applyProtection="0"/>
    <xf numFmtId="0" fontId="35" fillId="0" borderId="6" applyNumberFormat="0" applyFill="0" applyAlignment="0" applyProtection="0"/>
    <xf numFmtId="0" fontId="36" fillId="0" borderId="7" applyNumberFormat="0" applyFill="0" applyAlignment="0" applyProtection="0"/>
    <xf numFmtId="0" fontId="36" fillId="0" borderId="0" applyNumberFormat="0" applyFill="0" applyBorder="0" applyAlignment="0" applyProtection="0"/>
    <xf numFmtId="0" fontId="31" fillId="0" borderId="8" applyNumberFormat="0" applyFill="0" applyAlignment="0" applyProtection="0"/>
    <xf numFmtId="0" fontId="31" fillId="31" borderId="0" applyNumberFormat="0" applyBorder="0" applyAlignment="0" applyProtection="0"/>
    <xf numFmtId="0" fontId="31" fillId="31" borderId="0" applyNumberFormat="0" applyBorder="0" applyAlignment="0" applyProtection="0"/>
    <xf numFmtId="0" fontId="37" fillId="39"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133" fillId="0" borderId="0"/>
    <xf numFmtId="0" fontId="6" fillId="40" borderId="9" applyNumberFormat="0" applyFont="0" applyAlignment="0" applyProtection="0"/>
    <xf numFmtId="0" fontId="38" fillId="41" borderId="0" applyNumberFormat="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applyNumberFormat="0" applyFill="0" applyBorder="0" applyAlignment="0" applyProtection="0"/>
    <xf numFmtId="0" fontId="6" fillId="0" borderId="0"/>
    <xf numFmtId="0" fontId="2" fillId="0" borderId="0"/>
    <xf numFmtId="0" fontId="2" fillId="0" borderId="0"/>
    <xf numFmtId="0" fontId="6" fillId="0" borderId="0" applyNumberFormat="0" applyFill="0" applyBorder="0" applyAlignment="0" applyProtection="0"/>
    <xf numFmtId="0" fontId="2" fillId="0" borderId="0"/>
    <xf numFmtId="0" fontId="46" fillId="0" borderId="0" applyNumberFormat="0" applyFill="0" applyBorder="0" applyAlignment="0" applyProtection="0"/>
    <xf numFmtId="0" fontId="46" fillId="0" borderId="0" applyNumberFormat="0" applyFill="0" applyBorder="0" applyAlignment="0" applyProtection="0"/>
    <xf numFmtId="0" fontId="48"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6" applyNumberFormat="0" applyFill="0" applyAlignment="0" applyProtection="0"/>
    <xf numFmtId="0" fontId="28" fillId="0" borderId="17" applyNumberFormat="0" applyFill="0" applyAlignment="0" applyProtection="0"/>
    <xf numFmtId="0" fontId="39" fillId="7" borderId="10" applyNumberFormat="0" applyAlignment="0" applyProtection="0"/>
    <xf numFmtId="0" fontId="49"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cellStyleXfs>
  <cellXfs count="1715">
    <xf numFmtId="0" fontId="0" fillId="0" borderId="0" xfId="0"/>
    <xf numFmtId="0" fontId="9" fillId="0" borderId="0" xfId="113" applyFont="1" applyFill="1"/>
    <xf numFmtId="0" fontId="9" fillId="0" borderId="0" xfId="113" applyFont="1"/>
    <xf numFmtId="0" fontId="9" fillId="55" borderId="0" xfId="113" applyFont="1" applyFill="1"/>
    <xf numFmtId="0" fontId="10" fillId="55" borderId="0" xfId="113" applyFont="1" applyFill="1"/>
    <xf numFmtId="0" fontId="9" fillId="55" borderId="0" xfId="113" applyFont="1" applyFill="1" applyBorder="1" applyAlignment="1">
      <alignment horizontal="left"/>
    </xf>
    <xf numFmtId="0" fontId="12" fillId="55" borderId="0" xfId="113" applyFont="1" applyFill="1"/>
    <xf numFmtId="0" fontId="12" fillId="55" borderId="0" xfId="113" applyFont="1" applyFill="1" applyBorder="1" applyAlignment="1">
      <alignment horizontal="left"/>
    </xf>
    <xf numFmtId="0" fontId="12" fillId="55" borderId="0" xfId="113" applyFont="1" applyFill="1" applyAlignment="1"/>
    <xf numFmtId="0" fontId="16" fillId="60" borderId="18" xfId="111" applyFont="1" applyFill="1" applyBorder="1" applyAlignment="1" applyProtection="1">
      <alignment horizontal="left" vertical="center"/>
    </xf>
    <xf numFmtId="0" fontId="12" fillId="60" borderId="19" xfId="111" applyFont="1" applyFill="1" applyBorder="1" applyAlignment="1" applyProtection="1">
      <alignment vertical="center"/>
    </xf>
    <xf numFmtId="0" fontId="12" fillId="60" borderId="0" xfId="111" applyFont="1" applyFill="1" applyBorder="1" applyAlignment="1" applyProtection="1">
      <alignment vertical="center"/>
    </xf>
    <xf numFmtId="0" fontId="15" fillId="0" borderId="0" xfId="111" applyFont="1" applyFill="1" applyBorder="1" applyAlignment="1" applyProtection="1">
      <alignment vertical="center"/>
    </xf>
    <xf numFmtId="0" fontId="12" fillId="0" borderId="0" xfId="111" applyFont="1" applyFill="1" applyBorder="1" applyAlignment="1" applyProtection="1">
      <alignment vertical="center"/>
    </xf>
    <xf numFmtId="0" fontId="16" fillId="60" borderId="0" xfId="111" applyFont="1" applyFill="1" applyBorder="1" applyAlignment="1" applyProtection="1">
      <alignment horizontal="left" vertical="center"/>
    </xf>
    <xf numFmtId="0" fontId="17" fillId="0" borderId="0" xfId="1" applyFont="1" applyFill="1" applyAlignment="1">
      <alignment vertical="top"/>
    </xf>
    <xf numFmtId="0" fontId="52" fillId="60" borderId="0" xfId="115" applyNumberFormat="1" applyFont="1" applyFill="1" applyBorder="1" applyAlignment="1" applyProtection="1">
      <alignment horizontal="center" vertical="center" wrapText="1"/>
    </xf>
    <xf numFmtId="0" fontId="9" fillId="0" borderId="0" xfId="104" quotePrefix="1" applyNumberFormat="1" applyFont="1" applyFill="1" applyBorder="1" applyAlignment="1" applyProtection="1">
      <alignment horizontal="left" vertical="center" indent="1"/>
      <protection locked="0"/>
    </xf>
    <xf numFmtId="0" fontId="52" fillId="60" borderId="0" xfId="1" applyFont="1" applyFill="1" applyBorder="1" applyAlignment="1">
      <alignment vertical="top" wrapText="1"/>
    </xf>
    <xf numFmtId="0" fontId="52" fillId="0" borderId="0" xfId="1" applyFont="1" applyFill="1" applyBorder="1" applyAlignment="1">
      <alignment vertical="top" wrapText="1"/>
    </xf>
    <xf numFmtId="0" fontId="52" fillId="0" borderId="0" xfId="115" applyNumberFormat="1" applyFont="1" applyFill="1" applyBorder="1" applyAlignment="1" applyProtection="1">
      <alignment horizontal="center" vertical="center" wrapText="1"/>
    </xf>
    <xf numFmtId="0" fontId="55" fillId="0" borderId="0" xfId="0" applyFont="1"/>
    <xf numFmtId="169" fontId="9" fillId="42" borderId="27" xfId="104" quotePrefix="1" applyNumberFormat="1" applyFont="1" applyFill="1" applyBorder="1" applyAlignment="1" applyProtection="1">
      <alignment horizontal="left" vertical="center" indent="1"/>
      <protection locked="0"/>
    </xf>
    <xf numFmtId="0" fontId="0" fillId="0" borderId="0" xfId="0" applyFill="1"/>
    <xf numFmtId="3" fontId="52" fillId="0" borderId="0" xfId="115" applyNumberFormat="1" applyFont="1" applyFill="1" applyBorder="1" applyAlignment="1" applyProtection="1">
      <alignment horizontal="center" vertical="center" wrapText="1"/>
    </xf>
    <xf numFmtId="0" fontId="0" fillId="0" borderId="0" xfId="0" applyBorder="1"/>
    <xf numFmtId="0" fontId="0" fillId="0" borderId="22" xfId="0" applyBorder="1"/>
    <xf numFmtId="0" fontId="52" fillId="60" borderId="22" xfId="115" applyNumberFormat="1" applyFont="1" applyFill="1" applyBorder="1" applyAlignment="1" applyProtection="1">
      <alignment horizontal="center" vertical="center" wrapText="1"/>
    </xf>
    <xf numFmtId="0" fontId="52" fillId="60" borderId="29" xfId="115" applyNumberFormat="1" applyFont="1" applyFill="1" applyBorder="1" applyAlignment="1" applyProtection="1">
      <alignment horizontal="center" vertical="center" wrapText="1"/>
    </xf>
    <xf numFmtId="0" fontId="52" fillId="60" borderId="30" xfId="115" applyNumberFormat="1" applyFont="1" applyFill="1" applyBorder="1" applyAlignment="1" applyProtection="1">
      <alignment horizontal="center" vertical="center" wrapText="1"/>
    </xf>
    <xf numFmtId="0" fontId="19" fillId="0" borderId="0" xfId="1" applyFont="1" applyFill="1"/>
    <xf numFmtId="0" fontId="19" fillId="60" borderId="0" xfId="1" applyFont="1" applyFill="1"/>
    <xf numFmtId="3" fontId="53" fillId="0" borderId="0" xfId="115" applyNumberFormat="1" applyFont="1" applyFill="1" applyBorder="1" applyAlignment="1" applyProtection="1">
      <alignment horizontal="center" vertical="center" wrapText="1"/>
    </xf>
    <xf numFmtId="10" fontId="57" fillId="59" borderId="27" xfId="67" applyNumberFormat="1" applyFont="1" applyFill="1" applyBorder="1"/>
    <xf numFmtId="0" fontId="9" fillId="0" borderId="0" xfId="0" applyFont="1"/>
    <xf numFmtId="3" fontId="22" fillId="58" borderId="27" xfId="110" applyNumberFormat="1" applyFont="1" applyFill="1" applyBorder="1"/>
    <xf numFmtId="0" fontId="9" fillId="0" borderId="21" xfId="0" applyFont="1" applyBorder="1"/>
    <xf numFmtId="0" fontId="9" fillId="0" borderId="0" xfId="0" applyFont="1" applyBorder="1"/>
    <xf numFmtId="0" fontId="22" fillId="0" borderId="0" xfId="110" applyFont="1" applyFill="1" applyBorder="1"/>
    <xf numFmtId="0" fontId="17" fillId="60" borderId="21" xfId="110" applyFont="1" applyFill="1" applyBorder="1"/>
    <xf numFmtId="0" fontId="22" fillId="0" borderId="21" xfId="110" applyFont="1" applyFill="1" applyBorder="1"/>
    <xf numFmtId="0" fontId="22" fillId="0" borderId="21" xfId="110" applyFont="1" applyBorder="1" applyAlignment="1"/>
    <xf numFmtId="0" fontId="9" fillId="0" borderId="0" xfId="3" applyFont="1" applyFill="1" applyBorder="1"/>
    <xf numFmtId="3" fontId="9" fillId="42" borderId="27" xfId="111" applyNumberFormat="1" applyFont="1" applyFill="1" applyBorder="1" applyAlignment="1" applyProtection="1">
      <alignment vertical="center"/>
    </xf>
    <xf numFmtId="3" fontId="9" fillId="57" borderId="21" xfId="111" applyNumberFormat="1" applyFont="1" applyFill="1" applyBorder="1" applyAlignment="1" applyProtection="1">
      <alignment vertical="center"/>
    </xf>
    <xf numFmtId="0" fontId="0" fillId="0" borderId="21" xfId="0" applyBorder="1"/>
    <xf numFmtId="0" fontId="0" fillId="0" borderId="24" xfId="0" applyBorder="1"/>
    <xf numFmtId="0" fontId="0" fillId="0" borderId="25" xfId="0" applyBorder="1"/>
    <xf numFmtId="0" fontId="0" fillId="0" borderId="0" xfId="0" applyFill="1" applyBorder="1"/>
    <xf numFmtId="10" fontId="22" fillId="0" borderId="27" xfId="67" applyNumberFormat="1" applyFont="1" applyFill="1" applyBorder="1" applyAlignment="1" applyProtection="1">
      <alignment horizontal="right"/>
    </xf>
    <xf numFmtId="0" fontId="59" fillId="0" borderId="0" xfId="115" applyNumberFormat="1" applyFont="1" applyFill="1" applyBorder="1" applyAlignment="1" applyProtection="1">
      <alignment horizontal="center" vertical="center" wrapText="1"/>
    </xf>
    <xf numFmtId="0" fontId="60" fillId="0" borderId="0" xfId="115" applyNumberFormat="1" applyFont="1" applyFill="1" applyBorder="1" applyAlignment="1" applyProtection="1">
      <alignment horizontal="center" vertical="center" wrapText="1"/>
    </xf>
    <xf numFmtId="0" fontId="55" fillId="60" borderId="0" xfId="0" applyFont="1" applyFill="1"/>
    <xf numFmtId="3" fontId="52" fillId="60" borderId="0" xfId="115" applyNumberFormat="1" applyFont="1" applyFill="1" applyBorder="1" applyAlignment="1" applyProtection="1">
      <alignment horizontal="center" vertical="center" wrapText="1"/>
    </xf>
    <xf numFmtId="0" fontId="17" fillId="60" borderId="0" xfId="1" applyFont="1" applyFill="1" applyAlignment="1">
      <alignment vertical="top"/>
    </xf>
    <xf numFmtId="0" fontId="22" fillId="0" borderId="0" xfId="110" applyFont="1" applyBorder="1"/>
    <xf numFmtId="0" fontId="16" fillId="0" borderId="0" xfId="111" applyFont="1" applyFill="1" applyBorder="1" applyAlignment="1" applyProtection="1">
      <alignment horizontal="left" vertical="center"/>
    </xf>
    <xf numFmtId="0" fontId="9" fillId="0" borderId="0" xfId="0" applyFont="1" applyFill="1"/>
    <xf numFmtId="0" fontId="9" fillId="57" borderId="0" xfId="5" applyFont="1" applyFill="1" applyBorder="1"/>
    <xf numFmtId="0" fontId="61" fillId="0" borderId="0" xfId="0" applyFont="1"/>
    <xf numFmtId="0" fontId="17" fillId="0" borderId="0" xfId="110" applyFont="1" applyFill="1" applyBorder="1"/>
    <xf numFmtId="0" fontId="9" fillId="0" borderId="0" xfId="5" applyFont="1" applyFill="1" applyBorder="1"/>
    <xf numFmtId="0" fontId="0" fillId="57" borderId="0" xfId="0" applyFill="1" applyBorder="1"/>
    <xf numFmtId="173" fontId="6" fillId="0" borderId="0" xfId="56" applyNumberFormat="1" applyFont="1" applyFill="1" applyBorder="1"/>
    <xf numFmtId="167" fontId="0" fillId="0" borderId="0" xfId="0" applyNumberFormat="1"/>
    <xf numFmtId="0" fontId="10" fillId="57" borderId="0" xfId="0" applyFont="1" applyFill="1" applyBorder="1"/>
    <xf numFmtId="0" fontId="16" fillId="0" borderId="21" xfId="111" applyFont="1" applyFill="1" applyBorder="1" applyAlignment="1" applyProtection="1">
      <alignment horizontal="left" vertical="center"/>
    </xf>
    <xf numFmtId="3" fontId="54" fillId="0" borderId="0" xfId="111" applyNumberFormat="1" applyFont="1" applyFill="1" applyBorder="1" applyAlignment="1" applyProtection="1">
      <alignment vertical="center"/>
    </xf>
    <xf numFmtId="3" fontId="9" fillId="0" borderId="0" xfId="111" applyNumberFormat="1" applyFont="1" applyFill="1" applyBorder="1" applyAlignment="1" applyProtection="1">
      <alignment vertical="center"/>
    </xf>
    <xf numFmtId="3" fontId="9" fillId="0" borderId="0" xfId="3" applyNumberFormat="1" applyFont="1" applyFill="1" applyBorder="1"/>
    <xf numFmtId="0" fontId="17" fillId="60" borderId="0" xfId="0" applyFont="1" applyFill="1" applyBorder="1"/>
    <xf numFmtId="0" fontId="17" fillId="60" borderId="34" xfId="0" applyFont="1" applyFill="1" applyBorder="1"/>
    <xf numFmtId="0" fontId="0" fillId="60" borderId="35" xfId="0" applyFill="1" applyBorder="1"/>
    <xf numFmtId="0" fontId="0" fillId="60" borderId="36" xfId="0" applyFill="1" applyBorder="1"/>
    <xf numFmtId="167" fontId="0" fillId="0" borderId="0" xfId="0" applyNumberFormat="1" applyFill="1"/>
    <xf numFmtId="0" fontId="18" fillId="60" borderId="0" xfId="0" applyFont="1" applyFill="1" applyBorder="1"/>
    <xf numFmtId="0" fontId="18" fillId="0" borderId="0" xfId="0" applyFont="1" applyFill="1" applyBorder="1"/>
    <xf numFmtId="0" fontId="10" fillId="57" borderId="27" xfId="5" applyFont="1" applyFill="1" applyBorder="1" applyAlignment="1">
      <alignment horizontal="right"/>
    </xf>
    <xf numFmtId="0" fontId="53" fillId="0" borderId="0" xfId="115" applyNumberFormat="1" applyFont="1" applyFill="1" applyBorder="1" applyAlignment="1" applyProtection="1">
      <alignment horizontal="left" vertical="center"/>
    </xf>
    <xf numFmtId="0" fontId="21" fillId="0" borderId="0" xfId="111" applyFont="1" applyFill="1" applyBorder="1" applyAlignment="1" applyProtection="1">
      <alignment vertical="center"/>
    </xf>
    <xf numFmtId="173" fontId="9" fillId="0" borderId="0" xfId="56" applyNumberFormat="1" applyFont="1" applyFill="1" applyBorder="1"/>
    <xf numFmtId="0" fontId="12" fillId="0" borderId="22" xfId="111" applyFont="1" applyFill="1" applyBorder="1" applyAlignment="1" applyProtection="1">
      <alignment vertical="center"/>
    </xf>
    <xf numFmtId="0" fontId="10" fillId="0" borderId="21" xfId="3" applyFont="1" applyBorder="1" applyAlignment="1">
      <alignment horizontal="left"/>
    </xf>
    <xf numFmtId="0" fontId="10" fillId="0" borderId="0" xfId="1" applyFont="1" applyFill="1" applyBorder="1" applyAlignment="1" applyProtection="1">
      <alignment horizontal="left"/>
    </xf>
    <xf numFmtId="3" fontId="10" fillId="0" borderId="0" xfId="1" applyNumberFormat="1" applyFont="1" applyFill="1" applyBorder="1" applyProtection="1"/>
    <xf numFmtId="0" fontId="10" fillId="0" borderId="0" xfId="1" applyFont="1" applyFill="1" applyBorder="1" applyProtection="1"/>
    <xf numFmtId="0" fontId="60" fillId="0" borderId="27" xfId="115" applyNumberFormat="1" applyFont="1" applyFill="1" applyBorder="1" applyAlignment="1" applyProtection="1">
      <alignment horizontal="center" vertical="center" wrapText="1"/>
    </xf>
    <xf numFmtId="0" fontId="18" fillId="60" borderId="0" xfId="4" applyFont="1" applyFill="1" applyBorder="1"/>
    <xf numFmtId="0" fontId="18" fillId="60" borderId="0" xfId="114" applyFont="1" applyFill="1" applyBorder="1" applyAlignment="1">
      <alignment horizontal="right"/>
    </xf>
    <xf numFmtId="0" fontId="17" fillId="60" borderId="15" xfId="110" applyFont="1" applyFill="1" applyBorder="1"/>
    <xf numFmtId="0" fontId="17" fillId="60" borderId="0" xfId="64" applyFont="1" applyFill="1" applyBorder="1" applyAlignment="1">
      <alignment horizontal="center"/>
    </xf>
    <xf numFmtId="0" fontId="17" fillId="60" borderId="0" xfId="64" applyFont="1" applyFill="1" applyBorder="1"/>
    <xf numFmtId="10" fontId="60" fillId="58" borderId="27" xfId="115" applyNumberFormat="1" applyFont="1" applyFill="1" applyBorder="1" applyAlignment="1" applyProtection="1">
      <alignment horizontal="center" vertical="center" wrapText="1"/>
    </xf>
    <xf numFmtId="173" fontId="6" fillId="42" borderId="27" xfId="56" applyNumberFormat="1" applyFont="1" applyFill="1" applyBorder="1"/>
    <xf numFmtId="0" fontId="17" fillId="0" borderId="0" xfId="0" applyFont="1" applyFill="1"/>
    <xf numFmtId="0" fontId="10" fillId="0" borderId="0" xfId="0" applyFont="1" applyFill="1" applyBorder="1"/>
    <xf numFmtId="0" fontId="63" fillId="0" borderId="0" xfId="111" applyFont="1" applyFill="1" applyBorder="1" applyAlignment="1" applyProtection="1">
      <alignment vertical="center"/>
    </xf>
    <xf numFmtId="0" fontId="16" fillId="60" borderId="20" xfId="111" applyFont="1" applyFill="1" applyBorder="1" applyAlignment="1" applyProtection="1">
      <alignment horizontal="left" vertical="center"/>
    </xf>
    <xf numFmtId="0" fontId="17" fillId="60" borderId="21" xfId="111" applyFont="1" applyFill="1" applyBorder="1" applyAlignment="1" applyProtection="1">
      <alignment horizontal="left" vertical="center"/>
    </xf>
    <xf numFmtId="0" fontId="17" fillId="60" borderId="22" xfId="111" applyFont="1" applyFill="1" applyBorder="1" applyAlignment="1" applyProtection="1">
      <alignment horizontal="left" vertical="center"/>
    </xf>
    <xf numFmtId="3" fontId="22" fillId="0" borderId="0" xfId="110" applyNumberFormat="1" applyFont="1" applyFill="1" applyBorder="1"/>
    <xf numFmtId="0" fontId="17" fillId="0" borderId="0" xfId="1" applyFont="1" applyFill="1" applyBorder="1" applyAlignment="1">
      <alignment vertical="top"/>
    </xf>
    <xf numFmtId="10" fontId="60" fillId="58" borderId="33" xfId="115" applyNumberFormat="1" applyFont="1" applyFill="1" applyBorder="1" applyAlignment="1" applyProtection="1">
      <alignment horizontal="center" vertical="center" wrapText="1"/>
    </xf>
    <xf numFmtId="0" fontId="60" fillId="0" borderId="33" xfId="115" applyNumberFormat="1" applyFont="1" applyFill="1" applyBorder="1" applyAlignment="1" applyProtection="1">
      <alignment horizontal="center" vertical="center" wrapText="1"/>
    </xf>
    <xf numFmtId="3" fontId="9" fillId="42" borderId="28" xfId="104" applyNumberFormat="1" applyFont="1" applyFill="1" applyBorder="1" applyAlignment="1" applyProtection="1">
      <alignment horizontal="left" vertical="center" indent="1"/>
      <protection locked="0"/>
    </xf>
    <xf numFmtId="0" fontId="52" fillId="60" borderId="35" xfId="1" applyFont="1" applyFill="1" applyBorder="1" applyAlignment="1">
      <alignment vertical="top" wrapText="1"/>
    </xf>
    <xf numFmtId="0" fontId="52" fillId="60" borderId="35" xfId="115" applyNumberFormat="1" applyFont="1" applyFill="1" applyBorder="1" applyAlignment="1" applyProtection="1">
      <alignment horizontal="center" vertical="center" wrapText="1"/>
    </xf>
    <xf numFmtId="0" fontId="53" fillId="60" borderId="35" xfId="115" applyNumberFormat="1" applyFont="1" applyFill="1" applyBorder="1" applyAlignment="1" applyProtection="1">
      <alignment horizontal="center" vertical="center" wrapText="1"/>
    </xf>
    <xf numFmtId="9" fontId="60" fillId="60" borderId="35" xfId="115" applyNumberFormat="1" applyFont="1" applyFill="1" applyBorder="1" applyAlignment="1" applyProtection="1">
      <alignment horizontal="center" vertical="center" wrapText="1"/>
    </xf>
    <xf numFmtId="9" fontId="53" fillId="60" borderId="35" xfId="115" applyNumberFormat="1" applyFont="1" applyFill="1" applyBorder="1" applyAlignment="1" applyProtection="1">
      <alignment horizontal="center" vertical="center" wrapText="1"/>
    </xf>
    <xf numFmtId="10" fontId="9" fillId="58" borderId="27" xfId="5" applyNumberFormat="1" applyFont="1" applyFill="1" applyBorder="1"/>
    <xf numFmtId="0" fontId="21" fillId="60" borderId="34" xfId="111" applyFont="1" applyFill="1" applyBorder="1" applyAlignment="1" applyProtection="1">
      <alignment vertical="center"/>
    </xf>
    <xf numFmtId="0" fontId="21" fillId="60" borderId="36" xfId="111" applyFont="1" applyFill="1" applyBorder="1" applyAlignment="1" applyProtection="1">
      <alignment vertical="center"/>
    </xf>
    <xf numFmtId="0" fontId="10" fillId="0" borderId="0" xfId="0" applyFont="1"/>
    <xf numFmtId="0" fontId="64" fillId="0" borderId="0" xfId="0" applyFont="1"/>
    <xf numFmtId="3" fontId="64" fillId="0" borderId="0" xfId="111" applyNumberFormat="1" applyFont="1" applyFill="1" applyBorder="1" applyAlignment="1" applyProtection="1">
      <alignment vertical="center"/>
    </xf>
    <xf numFmtId="173" fontId="64" fillId="0" borderId="0" xfId="56" applyNumberFormat="1" applyFont="1" applyFill="1" applyBorder="1"/>
    <xf numFmtId="0" fontId="64" fillId="0" borderId="0" xfId="0" applyFont="1" applyFill="1" applyBorder="1"/>
    <xf numFmtId="0" fontId="64" fillId="0" borderId="0" xfId="0" applyFont="1" applyFill="1"/>
    <xf numFmtId="3" fontId="9" fillId="0" borderId="27" xfId="111" applyNumberFormat="1" applyFont="1" applyFill="1" applyBorder="1" applyAlignment="1" applyProtection="1">
      <alignment vertical="center"/>
    </xf>
    <xf numFmtId="3" fontId="9" fillId="61" borderId="0" xfId="125" applyNumberFormat="1" applyFont="1" applyFill="1" applyBorder="1" applyAlignment="1" applyProtection="1">
      <alignment horizontal="right"/>
    </xf>
    <xf numFmtId="0" fontId="64" fillId="57" borderId="0" xfId="0" applyFont="1" applyFill="1" applyBorder="1"/>
    <xf numFmtId="0" fontId="64" fillId="60" borderId="0" xfId="0" applyFont="1" applyFill="1" applyBorder="1"/>
    <xf numFmtId="0" fontId="64" fillId="0" borderId="0" xfId="0" applyFont="1" applyBorder="1"/>
    <xf numFmtId="0" fontId="64" fillId="0" borderId="0" xfId="3" applyFont="1" applyFill="1" applyBorder="1"/>
    <xf numFmtId="3" fontId="64" fillId="0" borderId="0" xfId="0" applyNumberFormat="1" applyFont="1" applyFill="1" applyBorder="1"/>
    <xf numFmtId="0" fontId="64" fillId="0" borderId="0" xfId="0" applyFont="1" applyFill="1" applyBorder="1" applyAlignment="1">
      <alignment horizontal="center"/>
    </xf>
    <xf numFmtId="0" fontId="64" fillId="0" borderId="23" xfId="0" applyFont="1" applyBorder="1"/>
    <xf numFmtId="0" fontId="64" fillId="57" borderId="0" xfId="0" applyFont="1" applyFill="1" applyBorder="1" applyAlignment="1">
      <alignment horizontal="center"/>
    </xf>
    <xf numFmtId="0" fontId="66" fillId="0" borderId="0" xfId="0" applyFont="1"/>
    <xf numFmtId="3" fontId="10" fillId="57" borderId="21" xfId="111" applyNumberFormat="1" applyFont="1" applyFill="1" applyBorder="1" applyAlignment="1" applyProtection="1">
      <alignment vertical="center"/>
    </xf>
    <xf numFmtId="3" fontId="10" fillId="61" borderId="0" xfId="125" applyNumberFormat="1" applyFont="1" applyFill="1" applyBorder="1" applyAlignment="1" applyProtection="1">
      <alignment horizontal="right"/>
    </xf>
    <xf numFmtId="0" fontId="10" fillId="0" borderId="0" xfId="3" applyFont="1" applyFill="1" applyBorder="1"/>
    <xf numFmtId="0" fontId="66" fillId="0" borderId="0" xfId="0" applyFont="1" applyFill="1"/>
    <xf numFmtId="0" fontId="10" fillId="0" borderId="0" xfId="0" applyFont="1" applyFill="1"/>
    <xf numFmtId="3" fontId="22" fillId="61" borderId="27" xfId="110" applyNumberFormat="1" applyFont="1" applyFill="1" applyBorder="1"/>
    <xf numFmtId="0" fontId="64" fillId="0" borderId="21" xfId="110" applyFont="1" applyFill="1" applyBorder="1" applyAlignment="1"/>
    <xf numFmtId="0" fontId="6" fillId="0" borderId="0" xfId="0" applyFont="1"/>
    <xf numFmtId="0" fontId="64" fillId="61" borderId="0" xfId="0" applyFont="1" applyFill="1" applyBorder="1"/>
    <xf numFmtId="0" fontId="17" fillId="61" borderId="0" xfId="0" applyFont="1" applyFill="1" applyBorder="1"/>
    <xf numFmtId="0" fontId="86" fillId="0" borderId="0" xfId="111" applyFont="1" applyFill="1" applyBorder="1" applyAlignment="1" applyProtection="1">
      <alignment vertical="center"/>
    </xf>
    <xf numFmtId="0" fontId="65" fillId="61" borderId="0" xfId="0" applyFont="1" applyFill="1" applyBorder="1"/>
    <xf numFmtId="0" fontId="65" fillId="57" borderId="0" xfId="0" applyFont="1" applyFill="1" applyBorder="1"/>
    <xf numFmtId="0" fontId="65" fillId="0" borderId="0" xfId="0" applyFont="1" applyBorder="1" applyAlignment="1">
      <alignment horizontal="center" wrapText="1"/>
    </xf>
    <xf numFmtId="0" fontId="0" fillId="61" borderId="0" xfId="0" applyFill="1" applyBorder="1"/>
    <xf numFmtId="0" fontId="89" fillId="0" borderId="0" xfId="1" applyFont="1" applyFill="1" applyAlignment="1">
      <alignment vertical="top"/>
    </xf>
    <xf numFmtId="0" fontId="10" fillId="57" borderId="27" xfId="114" applyFont="1" applyFill="1" applyBorder="1"/>
    <xf numFmtId="0" fontId="19" fillId="0" borderId="0" xfId="1" applyFont="1" applyFill="1" applyAlignment="1">
      <alignment horizontal="right"/>
    </xf>
    <xf numFmtId="0" fontId="6" fillId="0" borderId="0" xfId="0" applyFont="1" applyFill="1"/>
    <xf numFmtId="3" fontId="6" fillId="57" borderId="21" xfId="111" applyNumberFormat="1" applyFont="1" applyFill="1" applyBorder="1" applyAlignment="1" applyProtection="1">
      <alignment vertical="center"/>
    </xf>
    <xf numFmtId="0" fontId="17" fillId="60" borderId="0" xfId="111" applyFont="1" applyFill="1" applyBorder="1" applyAlignment="1" applyProtection="1">
      <alignment horizontal="left" vertical="center"/>
    </xf>
    <xf numFmtId="0" fontId="17" fillId="60" borderId="19" xfId="111" applyFont="1" applyFill="1" applyBorder="1" applyAlignment="1" applyProtection="1">
      <alignment horizontal="left" vertical="center"/>
    </xf>
    <xf numFmtId="0" fontId="6" fillId="0" borderId="0" xfId="189" applyFont="1"/>
    <xf numFmtId="0" fontId="17" fillId="0" borderId="0" xfId="111" applyFont="1" applyFill="1" applyBorder="1" applyAlignment="1" applyProtection="1">
      <alignment horizontal="left" vertical="center"/>
    </xf>
    <xf numFmtId="0" fontId="6" fillId="0" borderId="0" xfId="189" applyFont="1" applyFill="1"/>
    <xf numFmtId="0" fontId="6" fillId="0" borderId="26" xfId="192" quotePrefix="1" applyNumberFormat="1" applyFont="1" applyFill="1" applyBorder="1" applyAlignment="1" applyProtection="1">
      <alignment vertical="center"/>
      <protection locked="0"/>
    </xf>
    <xf numFmtId="0" fontId="6" fillId="0" borderId="27" xfId="192" quotePrefix="1" applyNumberFormat="1" applyFont="1" applyFill="1" applyBorder="1" applyAlignment="1" applyProtection="1">
      <alignment horizontal="left" vertical="center" indent="1"/>
      <protection locked="0"/>
    </xf>
    <xf numFmtId="3" fontId="6" fillId="69" borderId="27" xfId="189" applyNumberFormat="1" applyFont="1" applyFill="1" applyBorder="1"/>
    <xf numFmtId="0" fontId="6" fillId="0" borderId="45" xfId="192" quotePrefix="1" applyNumberFormat="1" applyFont="1" applyFill="1" applyBorder="1" applyAlignment="1" applyProtection="1">
      <alignment horizontal="center" vertical="center"/>
      <protection locked="0"/>
    </xf>
    <xf numFmtId="0" fontId="6" fillId="0" borderId="46" xfId="192" quotePrefix="1" applyNumberFormat="1" applyFont="1" applyFill="1" applyBorder="1" applyAlignment="1" applyProtection="1">
      <alignment horizontal="left" vertical="center" indent="1"/>
      <protection locked="0"/>
    </xf>
    <xf numFmtId="0" fontId="6" fillId="0" borderId="26" xfId="192" quotePrefix="1" applyNumberFormat="1" applyFont="1" applyFill="1" applyBorder="1" applyAlignment="1" applyProtection="1">
      <alignment horizontal="center" vertical="center"/>
      <protection locked="0"/>
    </xf>
    <xf numFmtId="0" fontId="64" fillId="0" borderId="0" xfId="191" applyFont="1"/>
    <xf numFmtId="0" fontId="6" fillId="61" borderId="26" xfId="192" quotePrefix="1" applyNumberFormat="1" applyFont="1" applyFill="1" applyBorder="1" applyAlignment="1" applyProtection="1">
      <alignment horizontal="center" vertical="center"/>
      <protection locked="0"/>
    </xf>
    <xf numFmtId="0" fontId="6" fillId="61" borderId="27" xfId="192" quotePrefix="1" applyNumberFormat="1" applyFont="1" applyFill="1" applyBorder="1" applyAlignment="1" applyProtection="1">
      <alignment horizontal="left" vertical="center" indent="1"/>
      <protection locked="0"/>
    </xf>
    <xf numFmtId="0" fontId="6" fillId="0" borderId="32" xfId="192" quotePrefix="1" applyNumberFormat="1" applyFont="1" applyFill="1" applyBorder="1" applyAlignment="1" applyProtection="1">
      <alignment horizontal="left" vertical="center" indent="1"/>
      <protection locked="0"/>
    </xf>
    <xf numFmtId="0" fontId="6" fillId="61" borderId="47" xfId="192" quotePrefix="1" applyNumberFormat="1" applyFont="1" applyFill="1" applyBorder="1" applyAlignment="1" applyProtection="1">
      <alignment horizontal="center" vertical="center"/>
      <protection locked="0"/>
    </xf>
    <xf numFmtId="0" fontId="6" fillId="61" borderId="32" xfId="192" quotePrefix="1" applyNumberFormat="1" applyFont="1" applyFill="1" applyBorder="1" applyAlignment="1" applyProtection="1">
      <alignment horizontal="left" vertical="center" indent="1"/>
      <protection locked="0"/>
    </xf>
    <xf numFmtId="3" fontId="6" fillId="0" borderId="0" xfId="189" applyNumberFormat="1" applyFont="1"/>
    <xf numFmtId="0" fontId="6" fillId="61" borderId="26" xfId="192" quotePrefix="1" applyNumberFormat="1" applyFont="1" applyFill="1" applyBorder="1" applyAlignment="1" applyProtection="1">
      <alignment vertical="center"/>
      <protection locked="0"/>
    </xf>
    <xf numFmtId="3" fontId="6" fillId="42" borderId="27" xfId="0" applyNumberFormat="1" applyFont="1" applyFill="1" applyBorder="1"/>
    <xf numFmtId="10" fontId="6" fillId="58" borderId="27" xfId="5" applyNumberFormat="1" applyFont="1" applyFill="1" applyBorder="1"/>
    <xf numFmtId="0" fontId="0" fillId="0" borderId="0" xfId="0"/>
    <xf numFmtId="0" fontId="6" fillId="0" borderId="0" xfId="0" applyFont="1" applyFill="1" applyBorder="1"/>
    <xf numFmtId="0" fontId="66" fillId="0" borderId="0" xfId="0" applyFont="1" applyBorder="1"/>
    <xf numFmtId="3" fontId="66" fillId="0" borderId="0" xfId="111" applyNumberFormat="1" applyFont="1" applyFill="1" applyBorder="1" applyAlignment="1" applyProtection="1">
      <alignment vertical="center"/>
    </xf>
    <xf numFmtId="0" fontId="64" fillId="0" borderId="22" xfId="3" applyFont="1" applyFill="1" applyBorder="1"/>
    <xf numFmtId="0" fontId="66" fillId="0" borderId="0" xfId="0" applyFont="1" applyFill="1" applyBorder="1"/>
    <xf numFmtId="0" fontId="6" fillId="0" borderId="0" xfId="5" applyFont="1" applyFill="1" applyBorder="1"/>
    <xf numFmtId="3" fontId="6" fillId="0" borderId="0" xfId="111" applyNumberFormat="1" applyFont="1" applyFill="1" applyBorder="1" applyAlignment="1" applyProtection="1">
      <alignment vertical="center"/>
    </xf>
    <xf numFmtId="173" fontId="6" fillId="0" borderId="0" xfId="56" applyNumberFormat="1" applyFont="1" applyFill="1" applyBorder="1" applyAlignment="1"/>
    <xf numFmtId="0" fontId="6" fillId="61" borderId="0" xfId="104" applyNumberFormat="1" applyFont="1" applyFill="1" applyBorder="1" applyAlignment="1" applyProtection="1">
      <alignment horizontal="left" vertical="center" indent="1"/>
      <protection locked="0"/>
    </xf>
    <xf numFmtId="0" fontId="66" fillId="61" borderId="0" xfId="0" applyFont="1" applyFill="1" applyBorder="1"/>
    <xf numFmtId="0" fontId="6" fillId="0" borderId="0" xfId="0" applyFont="1" applyBorder="1"/>
    <xf numFmtId="3" fontId="6" fillId="42" borderId="27" xfId="67" applyNumberFormat="1" applyFont="1" applyFill="1" applyBorder="1"/>
    <xf numFmtId="0" fontId="64" fillId="0" borderId="0" xfId="5" applyFont="1" applyFill="1" applyBorder="1"/>
    <xf numFmtId="0" fontId="90" fillId="0" borderId="0" xfId="115" applyNumberFormat="1" applyFont="1" applyFill="1" applyBorder="1" applyAlignment="1" applyProtection="1">
      <alignment horizontal="center" vertical="center" wrapText="1"/>
    </xf>
    <xf numFmtId="0" fontId="67" fillId="0" borderId="0" xfId="115" applyNumberFormat="1" applyFont="1" applyFill="1" applyBorder="1" applyAlignment="1" applyProtection="1">
      <alignment horizontal="center" vertical="center" wrapText="1"/>
    </xf>
    <xf numFmtId="9" fontId="64" fillId="55" borderId="50" xfId="67" applyFont="1" applyFill="1" applyBorder="1"/>
    <xf numFmtId="3" fontId="6" fillId="59" borderId="50" xfId="67" applyNumberFormat="1" applyFont="1" applyFill="1" applyBorder="1"/>
    <xf numFmtId="173" fontId="6" fillId="61" borderId="0" xfId="56" applyNumberFormat="1" applyFont="1" applyFill="1" applyBorder="1"/>
    <xf numFmtId="3" fontId="6" fillId="0" borderId="0" xfId="0" applyNumberFormat="1" applyFont="1" applyFill="1" applyBorder="1"/>
    <xf numFmtId="0" fontId="6" fillId="0" borderId="0" xfId="0" applyFont="1" applyAlignment="1">
      <alignment horizontal="right"/>
    </xf>
    <xf numFmtId="0" fontId="6" fillId="0" borderId="0" xfId="0" applyFont="1" applyFill="1" applyBorder="1" applyAlignment="1">
      <alignment horizontal="right"/>
    </xf>
    <xf numFmtId="0" fontId="10" fillId="61" borderId="0" xfId="114" applyFont="1" applyFill="1" applyBorder="1"/>
    <xf numFmtId="3" fontId="66" fillId="61" borderId="0" xfId="0" applyNumberFormat="1" applyFont="1" applyFill="1" applyBorder="1" applyAlignment="1">
      <alignment horizontal="right" vertical="top"/>
    </xf>
    <xf numFmtId="0" fontId="10" fillId="0" borderId="0" xfId="111" applyFont="1" applyFill="1" applyBorder="1" applyAlignment="1" applyProtection="1">
      <alignment horizontal="center" vertical="center"/>
    </xf>
    <xf numFmtId="0" fontId="92" fillId="57" borderId="27" xfId="64" applyFont="1" applyFill="1" applyBorder="1" applyAlignment="1">
      <alignment horizontal="center"/>
    </xf>
    <xf numFmtId="0" fontId="92" fillId="0" borderId="27" xfId="64" applyFont="1" applyFill="1" applyBorder="1" applyAlignment="1">
      <alignment horizontal="center"/>
    </xf>
    <xf numFmtId="9" fontId="92" fillId="0" borderId="27" xfId="64" applyNumberFormat="1" applyFont="1" applyFill="1" applyBorder="1" applyAlignment="1">
      <alignment horizontal="center"/>
    </xf>
    <xf numFmtId="11" fontId="92" fillId="0" borderId="27" xfId="64" applyNumberFormat="1" applyFont="1" applyFill="1" applyBorder="1" applyAlignment="1">
      <alignment horizontal="center"/>
    </xf>
    <xf numFmtId="3" fontId="9" fillId="61" borderId="27" xfId="111" applyNumberFormat="1" applyFont="1" applyFill="1" applyBorder="1" applyAlignment="1" applyProtection="1">
      <alignment vertical="center"/>
    </xf>
    <xf numFmtId="0" fontId="64" fillId="61" borderId="0" xfId="0" applyFont="1" applyFill="1"/>
    <xf numFmtId="0" fontId="6" fillId="61" borderId="0" xfId="0" applyFont="1" applyFill="1" applyAlignment="1">
      <alignment horizontal="right"/>
    </xf>
    <xf numFmtId="3" fontId="6" fillId="0" borderId="0" xfId="0" applyNumberFormat="1" applyFont="1"/>
    <xf numFmtId="9" fontId="90" fillId="61" borderId="0" xfId="115" applyNumberFormat="1" applyFont="1" applyFill="1" applyBorder="1" applyAlignment="1" applyProtection="1">
      <alignment horizontal="center" vertical="center" wrapText="1"/>
    </xf>
    <xf numFmtId="10" fontId="64" fillId="61" borderId="49" xfId="104" applyNumberFormat="1" applyFont="1" applyFill="1" applyBorder="1" applyAlignment="1" applyProtection="1">
      <alignment horizontal="right" indent="1"/>
      <protection locked="0"/>
    </xf>
    <xf numFmtId="10" fontId="57" fillId="61" borderId="44" xfId="67" applyNumberFormat="1" applyFont="1" applyFill="1" applyBorder="1"/>
    <xf numFmtId="0" fontId="0" fillId="0" borderId="27" xfId="0" applyBorder="1"/>
    <xf numFmtId="10" fontId="57" fillId="61" borderId="24" xfId="67" applyNumberFormat="1" applyFont="1" applyFill="1" applyBorder="1"/>
    <xf numFmtId="0" fontId="93" fillId="0" borderId="0" xfId="0" applyFont="1" applyBorder="1"/>
    <xf numFmtId="0" fontId="6" fillId="61" borderId="0" xfId="189" applyFont="1" applyFill="1" applyBorder="1"/>
    <xf numFmtId="10" fontId="60" fillId="0" borderId="27" xfId="190" applyNumberFormat="1" applyFont="1" applyFill="1" applyBorder="1" applyAlignment="1" applyProtection="1">
      <alignment horizontal="center" vertical="center" wrapText="1"/>
    </xf>
    <xf numFmtId="0" fontId="17" fillId="60" borderId="21" xfId="111" applyFont="1" applyFill="1" applyBorder="1" applyAlignment="1" applyProtection="1">
      <alignment horizontal="left" vertical="center" wrapText="1"/>
    </xf>
    <xf numFmtId="0" fontId="6" fillId="0" borderId="21" xfId="116" applyFont="1" applyFill="1" applyBorder="1" applyAlignment="1" applyProtection="1">
      <alignment horizontal="left"/>
    </xf>
    <xf numFmtId="0" fontId="6" fillId="61" borderId="0" xfId="110" applyFont="1" applyFill="1" applyBorder="1"/>
    <xf numFmtId="0" fontId="69" fillId="60" borderId="15" xfId="110" applyFont="1" applyFill="1" applyBorder="1"/>
    <xf numFmtId="0" fontId="65" fillId="0" borderId="0" xfId="189" applyFont="1"/>
    <xf numFmtId="0" fontId="69" fillId="60" borderId="0" xfId="190" applyNumberFormat="1" applyFont="1" applyFill="1" applyBorder="1" applyAlignment="1" applyProtection="1">
      <alignment horizontal="center" vertical="center" wrapText="1"/>
    </xf>
    <xf numFmtId="0" fontId="6" fillId="0" borderId="21" xfId="0" applyFont="1" applyFill="1" applyBorder="1"/>
    <xf numFmtId="0" fontId="6" fillId="0" borderId="21" xfId="0" applyFont="1" applyBorder="1"/>
    <xf numFmtId="0" fontId="6" fillId="0" borderId="21" xfId="110" applyFont="1" applyFill="1" applyBorder="1"/>
    <xf numFmtId="0" fontId="6" fillId="0" borderId="21" xfId="110" applyFont="1" applyBorder="1" applyAlignment="1"/>
    <xf numFmtId="3" fontId="6" fillId="42" borderId="27" xfId="111" applyNumberFormat="1" applyFont="1" applyFill="1" applyBorder="1" applyAlignment="1" applyProtection="1">
      <alignment vertical="center"/>
    </xf>
    <xf numFmtId="0" fontId="6" fillId="0" borderId="27" xfId="5" applyNumberFormat="1" applyFont="1" applyFill="1" applyBorder="1"/>
    <xf numFmtId="9" fontId="6" fillId="0" borderId="27" xfId="0" applyNumberFormat="1" applyFont="1" applyBorder="1" applyAlignment="1">
      <alignment horizontal="center"/>
    </xf>
    <xf numFmtId="0" fontId="69" fillId="60" borderId="0" xfId="0" applyFont="1" applyFill="1" applyBorder="1"/>
    <xf numFmtId="3" fontId="6" fillId="42" borderId="28" xfId="67" applyNumberFormat="1" applyFont="1" applyFill="1" applyBorder="1"/>
    <xf numFmtId="0" fontId="69" fillId="60" borderId="0" xfId="110" applyFont="1" applyFill="1" applyBorder="1"/>
    <xf numFmtId="0" fontId="65" fillId="60" borderId="0" xfId="0" applyFont="1" applyFill="1" applyBorder="1"/>
    <xf numFmtId="0" fontId="6" fillId="42" borderId="27" xfId="0" applyFont="1" applyFill="1" applyBorder="1"/>
    <xf numFmtId="0" fontId="69" fillId="60" borderId="18" xfId="0" applyFont="1" applyFill="1" applyBorder="1"/>
    <xf numFmtId="3" fontId="6" fillId="59" borderId="27" xfId="0" applyNumberFormat="1" applyFont="1" applyFill="1" applyBorder="1"/>
    <xf numFmtId="10" fontId="10" fillId="59" borderId="27" xfId="67" applyNumberFormat="1" applyFont="1" applyFill="1" applyBorder="1"/>
    <xf numFmtId="0" fontId="6" fillId="0" borderId="21" xfId="0" applyFont="1" applyBorder="1" applyAlignment="1"/>
    <xf numFmtId="3" fontId="6" fillId="58" borderId="27" xfId="0" applyNumberFormat="1" applyFont="1" applyFill="1" applyBorder="1"/>
    <xf numFmtId="3" fontId="6" fillId="58" borderId="0" xfId="0" applyNumberFormat="1" applyFont="1" applyFill="1" applyBorder="1"/>
    <xf numFmtId="0" fontId="6" fillId="0" borderId="21" xfId="110" applyFont="1" applyBorder="1"/>
    <xf numFmtId="0" fontId="6" fillId="61" borderId="21" xfId="110" applyFont="1" applyFill="1" applyBorder="1"/>
    <xf numFmtId="0" fontId="6" fillId="0" borderId="23" xfId="0" applyFont="1" applyBorder="1"/>
    <xf numFmtId="0" fontId="95" fillId="60" borderId="0" xfId="115" applyNumberFormat="1" applyFont="1" applyFill="1" applyBorder="1" applyAlignment="1" applyProtection="1">
      <alignment horizontal="center" vertical="center" wrapText="1"/>
    </xf>
    <xf numFmtId="0" fontId="95" fillId="60" borderId="22" xfId="115" applyNumberFormat="1" applyFont="1" applyFill="1" applyBorder="1" applyAlignment="1" applyProtection="1">
      <alignment horizontal="center" vertical="center" wrapText="1"/>
    </xf>
    <xf numFmtId="0" fontId="69" fillId="60" borderId="0" xfId="1" applyFont="1" applyFill="1" applyAlignment="1">
      <alignment vertical="top"/>
    </xf>
    <xf numFmtId="169" fontId="6" fillId="42" borderId="27" xfId="104" quotePrefix="1" applyNumberFormat="1" applyFont="1" applyFill="1" applyBorder="1" applyAlignment="1" applyProtection="1">
      <alignment horizontal="left" vertical="center" indent="1"/>
      <protection locked="0"/>
    </xf>
    <xf numFmtId="0" fontId="65" fillId="60" borderId="0" xfId="114" applyFont="1" applyFill="1" applyBorder="1" applyAlignment="1">
      <alignment horizontal="right"/>
    </xf>
    <xf numFmtId="3" fontId="6" fillId="61" borderId="0" xfId="110" applyNumberFormat="1" applyFont="1" applyFill="1" applyBorder="1"/>
    <xf numFmtId="0" fontId="6" fillId="0" borderId="22" xfId="0" applyFont="1" applyBorder="1"/>
    <xf numFmtId="0" fontId="21" fillId="60" borderId="19" xfId="111" applyFont="1" applyFill="1" applyBorder="1" applyAlignment="1" applyProtection="1">
      <alignment horizontal="right" vertical="center"/>
    </xf>
    <xf numFmtId="0" fontId="21" fillId="60" borderId="0" xfId="111" applyFont="1" applyFill="1" applyBorder="1" applyAlignment="1" applyProtection="1">
      <alignment horizontal="right" vertical="center"/>
    </xf>
    <xf numFmtId="0" fontId="69" fillId="60" borderId="34" xfId="0" applyFont="1" applyFill="1" applyBorder="1"/>
    <xf numFmtId="167" fontId="6" fillId="58" borderId="27" xfId="5" applyNumberFormat="1" applyFont="1" applyFill="1" applyBorder="1" applyProtection="1"/>
    <xf numFmtId="3" fontId="6" fillId="69" borderId="27" xfId="0" applyNumberFormat="1" applyFont="1" applyFill="1" applyBorder="1"/>
    <xf numFmtId="3" fontId="6" fillId="74" borderId="27" xfId="0" applyNumberFormat="1" applyFont="1" applyFill="1" applyBorder="1"/>
    <xf numFmtId="0" fontId="61" fillId="0" borderId="0" xfId="0" applyFont="1" applyBorder="1"/>
    <xf numFmtId="0" fontId="88" fillId="0" borderId="0" xfId="111" applyFont="1" applyFill="1" applyBorder="1" applyAlignment="1" applyProtection="1">
      <alignment vertical="center"/>
    </xf>
    <xf numFmtId="0" fontId="65" fillId="0" borderId="0" xfId="0" applyFont="1" applyFill="1" applyBorder="1"/>
    <xf numFmtId="0" fontId="65" fillId="0" borderId="0" xfId="0" applyFont="1" applyFill="1" applyBorder="1" applyAlignment="1">
      <alignment horizontal="center" wrapText="1"/>
    </xf>
    <xf numFmtId="0" fontId="87" fillId="0" borderId="0" xfId="111" applyFont="1" applyFill="1" applyBorder="1" applyAlignment="1" applyProtection="1">
      <alignment horizontal="left" vertical="center"/>
    </xf>
    <xf numFmtId="0" fontId="87" fillId="60" borderId="34" xfId="111" applyFont="1" applyFill="1" applyBorder="1" applyAlignment="1" applyProtection="1">
      <alignment vertical="center"/>
    </xf>
    <xf numFmtId="0" fontId="65" fillId="57" borderId="22" xfId="0" applyFont="1" applyFill="1" applyBorder="1"/>
    <xf numFmtId="0" fontId="65" fillId="0" borderId="22" xfId="0" applyFont="1" applyFill="1" applyBorder="1"/>
    <xf numFmtId="0" fontId="10" fillId="0" borderId="21" xfId="0" applyFont="1" applyBorder="1"/>
    <xf numFmtId="9" fontId="6" fillId="0" borderId="28" xfId="0" applyNumberFormat="1" applyFont="1" applyBorder="1" applyAlignment="1">
      <alignment horizontal="center"/>
    </xf>
    <xf numFmtId="0" fontId="17" fillId="60" borderId="21" xfId="0" applyFont="1" applyFill="1" applyBorder="1"/>
    <xf numFmtId="0" fontId="10" fillId="0" borderId="21" xfId="5" applyFont="1" applyFill="1" applyBorder="1" applyAlignment="1" applyProtection="1">
      <alignment horizontal="right"/>
    </xf>
    <xf numFmtId="0" fontId="6" fillId="0" borderId="21" xfId="5" applyFont="1" applyFill="1" applyBorder="1"/>
    <xf numFmtId="0" fontId="94" fillId="57" borderId="0" xfId="0" applyFont="1" applyFill="1" applyBorder="1"/>
    <xf numFmtId="0" fontId="17" fillId="60" borderId="21" xfId="64" applyFont="1" applyFill="1" applyBorder="1" applyAlignment="1">
      <alignment horizontal="center"/>
    </xf>
    <xf numFmtId="0" fontId="92" fillId="57" borderId="26" xfId="64" applyFont="1" applyFill="1" applyBorder="1"/>
    <xf numFmtId="0" fontId="92" fillId="57" borderId="47" xfId="64" applyFont="1" applyFill="1" applyBorder="1"/>
    <xf numFmtId="0" fontId="93" fillId="0" borderId="0" xfId="0" applyFont="1" applyFill="1" applyBorder="1"/>
    <xf numFmtId="173" fontId="93" fillId="0" borderId="0" xfId="56" applyNumberFormat="1" applyFont="1" applyFill="1" applyBorder="1"/>
    <xf numFmtId="0" fontId="6" fillId="0" borderId="26" xfId="0" applyFont="1" applyFill="1" applyBorder="1"/>
    <xf numFmtId="0" fontId="69" fillId="60" borderId="21" xfId="110" applyFont="1" applyFill="1" applyBorder="1"/>
    <xf numFmtId="167" fontId="18" fillId="60" borderId="0" xfId="0" applyNumberFormat="1" applyFont="1" applyFill="1" applyBorder="1"/>
    <xf numFmtId="167" fontId="18" fillId="0" borderId="0" xfId="0" applyNumberFormat="1" applyFont="1" applyFill="1" applyBorder="1"/>
    <xf numFmtId="0" fontId="6" fillId="0" borderId="51" xfId="110" applyFont="1" applyBorder="1" applyAlignment="1">
      <alignment horizontal="left"/>
    </xf>
    <xf numFmtId="0" fontId="17" fillId="0" borderId="21" xfId="110" applyFont="1" applyFill="1" applyBorder="1"/>
    <xf numFmtId="0" fontId="6" fillId="57" borderId="26" xfId="0" applyFont="1" applyFill="1" applyBorder="1"/>
    <xf numFmtId="0" fontId="6" fillId="57" borderId="21" xfId="0" applyFont="1" applyFill="1" applyBorder="1"/>
    <xf numFmtId="0" fontId="69" fillId="60" borderId="21" xfId="0" applyFont="1" applyFill="1" applyBorder="1"/>
    <xf numFmtId="0" fontId="64" fillId="0" borderId="22" xfId="0" applyFont="1" applyBorder="1"/>
    <xf numFmtId="0" fontId="9" fillId="0" borderId="22" xfId="0" applyFont="1" applyBorder="1"/>
    <xf numFmtId="3" fontId="6" fillId="0" borderId="21" xfId="111" applyNumberFormat="1" applyFont="1" applyFill="1" applyBorder="1" applyAlignment="1" applyProtection="1">
      <alignment vertical="center"/>
    </xf>
    <xf numFmtId="3" fontId="64" fillId="0" borderId="21" xfId="111" applyNumberFormat="1" applyFont="1" applyFill="1" applyBorder="1" applyAlignment="1" applyProtection="1">
      <alignment vertical="center"/>
    </xf>
    <xf numFmtId="3" fontId="9" fillId="0" borderId="21" xfId="111" applyNumberFormat="1" applyFont="1" applyFill="1" applyBorder="1" applyAlignment="1" applyProtection="1">
      <alignment vertical="center"/>
    </xf>
    <xf numFmtId="0" fontId="6" fillId="60" borderId="0" xfId="111" applyFont="1" applyFill="1" applyBorder="1" applyAlignment="1" applyProtection="1">
      <alignment vertical="center"/>
    </xf>
    <xf numFmtId="0" fontId="96" fillId="60" borderId="0" xfId="111" applyFont="1" applyFill="1" applyBorder="1" applyAlignment="1" applyProtection="1">
      <alignment horizontal="right" vertical="center"/>
    </xf>
    <xf numFmtId="0" fontId="6" fillId="0" borderId="0" xfId="111" applyFont="1" applyFill="1" applyBorder="1" applyAlignment="1" applyProtection="1">
      <alignment vertical="center"/>
    </xf>
    <xf numFmtId="0" fontId="6" fillId="0" borderId="0" xfId="116" applyFont="1" applyFill="1" applyBorder="1" applyAlignment="1" applyProtection="1">
      <alignment horizontal="left"/>
    </xf>
    <xf numFmtId="10" fontId="6" fillId="61" borderId="27" xfId="104" applyNumberFormat="1" applyFont="1" applyFill="1" applyBorder="1" applyAlignment="1" applyProtection="1">
      <alignment horizontal="right" indent="1"/>
      <protection locked="0"/>
    </xf>
    <xf numFmtId="0" fontId="6" fillId="61" borderId="41" xfId="192" quotePrefix="1" applyNumberFormat="1" applyFont="1" applyFill="1" applyBorder="1" applyAlignment="1" applyProtection="1">
      <alignment horizontal="left" vertical="center" indent="1"/>
      <protection locked="0"/>
    </xf>
    <xf numFmtId="0" fontId="6" fillId="61" borderId="31" xfId="192" quotePrefix="1" applyNumberFormat="1" applyFont="1" applyFill="1" applyBorder="1" applyAlignment="1" applyProtection="1">
      <alignment horizontal="left" vertical="center" indent="1"/>
      <protection locked="0"/>
    </xf>
    <xf numFmtId="0" fontId="6" fillId="61" borderId="0" xfId="189" applyFont="1" applyFill="1"/>
    <xf numFmtId="0" fontId="6" fillId="61" borderId="0" xfId="5" applyNumberFormat="1" applyFont="1" applyFill="1" applyBorder="1"/>
    <xf numFmtId="10" fontId="9" fillId="61" borderId="0" xfId="5" applyNumberFormat="1" applyFont="1" applyFill="1" applyBorder="1"/>
    <xf numFmtId="0" fontId="69" fillId="61" borderId="0" xfId="190" applyNumberFormat="1" applyFont="1" applyFill="1" applyBorder="1" applyAlignment="1" applyProtection="1">
      <alignment horizontal="center" vertical="center" wrapText="1"/>
    </xf>
    <xf numFmtId="0" fontId="6" fillId="0" borderId="0" xfId="433" applyFont="1"/>
    <xf numFmtId="0" fontId="6" fillId="0" borderId="0" xfId="433" applyFont="1" applyFill="1"/>
    <xf numFmtId="0" fontId="65" fillId="0" borderId="0" xfId="433" applyFont="1"/>
    <xf numFmtId="0" fontId="98" fillId="0" borderId="0" xfId="433" applyFont="1"/>
    <xf numFmtId="0" fontId="65" fillId="61" borderId="0" xfId="433" applyFont="1" applyFill="1"/>
    <xf numFmtId="0" fontId="6" fillId="0" borderId="43" xfId="433" applyFont="1" applyBorder="1"/>
    <xf numFmtId="0" fontId="97" fillId="61" borderId="0" xfId="190" applyNumberFormat="1" applyFont="1" applyFill="1" applyBorder="1" applyAlignment="1" applyProtection="1">
      <alignment horizontal="center" vertical="center" wrapText="1"/>
    </xf>
    <xf numFmtId="0" fontId="6" fillId="61" borderId="0" xfId="111" applyFont="1" applyFill="1" applyBorder="1" applyAlignment="1" applyProtection="1">
      <alignment horizontal="center" vertical="center"/>
    </xf>
    <xf numFmtId="0" fontId="21" fillId="0" borderId="0" xfId="111" applyFont="1" applyFill="1" applyBorder="1" applyAlignment="1" applyProtection="1">
      <alignment horizontal="right" vertical="center"/>
    </xf>
    <xf numFmtId="0" fontId="66" fillId="60" borderId="0" xfId="111" applyFont="1" applyFill="1" applyBorder="1" applyAlignment="1" applyProtection="1">
      <alignment horizontal="left" vertical="center"/>
    </xf>
    <xf numFmtId="0" fontId="66" fillId="0" borderId="0" xfId="111" applyFont="1" applyFill="1" applyBorder="1" applyAlignment="1" applyProtection="1">
      <alignment horizontal="left" vertical="center"/>
    </xf>
    <xf numFmtId="0" fontId="64" fillId="0" borderId="0" xfId="433" applyFont="1"/>
    <xf numFmtId="0" fontId="64" fillId="0" borderId="0" xfId="189" applyFont="1"/>
    <xf numFmtId="0" fontId="64" fillId="0" borderId="0" xfId="433" applyFont="1" applyFill="1"/>
    <xf numFmtId="0" fontId="64" fillId="0" borderId="43" xfId="433" applyFont="1" applyBorder="1"/>
    <xf numFmtId="0" fontId="64" fillId="0" borderId="0" xfId="111" applyFont="1" applyFill="1" applyBorder="1" applyAlignment="1" applyProtection="1">
      <alignment horizontal="center" vertical="center"/>
    </xf>
    <xf numFmtId="0" fontId="66" fillId="0" borderId="0" xfId="111" applyFont="1" applyFill="1" applyBorder="1" applyAlignment="1" applyProtection="1">
      <alignment horizontal="center" vertical="center"/>
    </xf>
    <xf numFmtId="0" fontId="67" fillId="61" borderId="0" xfId="190" applyNumberFormat="1" applyFont="1" applyFill="1" applyBorder="1" applyAlignment="1" applyProtection="1">
      <alignment horizontal="center" vertical="center"/>
    </xf>
    <xf numFmtId="0" fontId="64" fillId="0" borderId="0" xfId="189" applyFont="1" applyFill="1"/>
    <xf numFmtId="0" fontId="66" fillId="61" borderId="0" xfId="190" applyNumberFormat="1" applyFont="1" applyFill="1" applyBorder="1" applyAlignment="1" applyProtection="1">
      <alignment horizontal="center" vertical="center" wrapText="1"/>
    </xf>
    <xf numFmtId="0" fontId="64" fillId="61" borderId="0" xfId="111" applyFont="1" applyFill="1" applyBorder="1" applyAlignment="1" applyProtection="1">
      <alignment horizontal="center" vertical="center"/>
    </xf>
    <xf numFmtId="0" fontId="6" fillId="57" borderId="0" xfId="114" applyFont="1" applyFill="1" applyBorder="1" applyAlignment="1">
      <alignment horizontal="right"/>
    </xf>
    <xf numFmtId="3" fontId="0" fillId="74" borderId="27" xfId="0" applyNumberFormat="1" applyFill="1" applyBorder="1"/>
    <xf numFmtId="0" fontId="64" fillId="0" borderId="22" xfId="0" applyFont="1" applyFill="1" applyBorder="1"/>
    <xf numFmtId="0" fontId="94" fillId="55" borderId="0" xfId="113" applyFont="1" applyFill="1"/>
    <xf numFmtId="0" fontId="94" fillId="0" borderId="0" xfId="0" applyFont="1"/>
    <xf numFmtId="0" fontId="94" fillId="0" borderId="0" xfId="0" applyFont="1" applyBorder="1"/>
    <xf numFmtId="10" fontId="94" fillId="0" borderId="0" xfId="67" applyNumberFormat="1" applyFont="1" applyFill="1" applyBorder="1"/>
    <xf numFmtId="3" fontId="6" fillId="61" borderId="0" xfId="189" applyNumberFormat="1" applyFont="1" applyFill="1" applyBorder="1"/>
    <xf numFmtId="173" fontId="6" fillId="58" borderId="27" xfId="0" applyNumberFormat="1" applyFont="1" applyFill="1" applyBorder="1"/>
    <xf numFmtId="0" fontId="64" fillId="0" borderId="0" xfId="5" applyNumberFormat="1" applyFont="1" applyFill="1" applyBorder="1"/>
    <xf numFmtId="0" fontId="6" fillId="0" borderId="0" xfId="5" applyNumberFormat="1" applyFont="1" applyFill="1" applyBorder="1"/>
    <xf numFmtId="10" fontId="64" fillId="0" borderId="0" xfId="5" applyNumberFormat="1" applyFont="1" applyFill="1" applyBorder="1"/>
    <xf numFmtId="0" fontId="6" fillId="73" borderId="41" xfId="0" applyFont="1" applyFill="1" applyBorder="1"/>
    <xf numFmtId="0" fontId="6" fillId="0" borderId="0" xfId="111" applyFont="1" applyFill="1" applyBorder="1" applyAlignment="1" applyProtection="1">
      <alignment horizontal="center" vertical="center"/>
    </xf>
    <xf numFmtId="0" fontId="6" fillId="0" borderId="0" xfId="111" applyFont="1" applyFill="1" applyBorder="1" applyAlignment="1" applyProtection="1">
      <alignment horizontal="right" vertical="center"/>
    </xf>
    <xf numFmtId="0" fontId="6" fillId="0" borderId="0" xfId="189" applyFont="1" applyFill="1" applyBorder="1"/>
    <xf numFmtId="3" fontId="6" fillId="0" borderId="0" xfId="189" applyNumberFormat="1" applyFont="1" applyFill="1" applyBorder="1"/>
    <xf numFmtId="0" fontId="6" fillId="0" borderId="0" xfId="433" applyFont="1" applyAlignment="1">
      <alignment horizontal="center"/>
    </xf>
    <xf numFmtId="0" fontId="95" fillId="60" borderId="0" xfId="190" applyNumberFormat="1" applyFont="1" applyFill="1" applyBorder="1" applyAlignment="1" applyProtection="1">
      <alignment horizontal="center" vertical="center" wrapText="1"/>
    </xf>
    <xf numFmtId="0" fontId="59" fillId="61" borderId="0" xfId="190" applyNumberFormat="1" applyFont="1" applyFill="1" applyBorder="1" applyAlignment="1" applyProtection="1">
      <alignment horizontal="center" vertical="center"/>
    </xf>
    <xf numFmtId="0" fontId="65" fillId="61" borderId="0" xfId="189" applyFont="1" applyFill="1"/>
    <xf numFmtId="3" fontId="65" fillId="0" borderId="0" xfId="189" applyNumberFormat="1" applyFont="1"/>
    <xf numFmtId="0" fontId="95" fillId="61" borderId="0" xfId="190" applyNumberFormat="1" applyFont="1" applyFill="1" applyBorder="1" applyAlignment="1" applyProtection="1">
      <alignment horizontal="center" vertical="center"/>
    </xf>
    <xf numFmtId="0" fontId="6" fillId="0" borderId="54" xfId="110" applyFont="1" applyFill="1" applyBorder="1"/>
    <xf numFmtId="174" fontId="6" fillId="58" borderId="27" xfId="0" applyNumberFormat="1" applyFont="1" applyFill="1" applyBorder="1"/>
    <xf numFmtId="0" fontId="6" fillId="57" borderId="0" xfId="0" applyFont="1" applyFill="1" applyBorder="1"/>
    <xf numFmtId="0" fontId="6" fillId="57" borderId="27" xfId="0" applyFont="1" applyFill="1" applyBorder="1"/>
    <xf numFmtId="0" fontId="6" fillId="57" borderId="27" xfId="5" applyFont="1" applyFill="1" applyBorder="1"/>
    <xf numFmtId="0" fontId="6" fillId="57" borderId="22" xfId="0" applyFont="1" applyFill="1" applyBorder="1"/>
    <xf numFmtId="172" fontId="6" fillId="58" borderId="27" xfId="5" applyNumberFormat="1" applyFont="1" applyFill="1" applyBorder="1"/>
    <xf numFmtId="0" fontId="6" fillId="0" borderId="22" xfId="0" applyFont="1" applyFill="1" applyBorder="1"/>
    <xf numFmtId="174" fontId="6" fillId="58" borderId="27" xfId="0" applyNumberFormat="1" applyFont="1" applyFill="1" applyBorder="1" applyAlignment="1">
      <alignment horizontal="center"/>
    </xf>
    <xf numFmtId="10" fontId="6" fillId="42" borderId="27" xfId="67" applyNumberFormat="1" applyFont="1" applyFill="1" applyBorder="1"/>
    <xf numFmtId="0" fontId="6" fillId="0" borderId="0" xfId="110" applyFont="1" applyFill="1" applyBorder="1"/>
    <xf numFmtId="10" fontId="6" fillId="58" borderId="27" xfId="67" applyNumberFormat="1" applyFont="1" applyFill="1" applyBorder="1"/>
    <xf numFmtId="0" fontId="6" fillId="0" borderId="21" xfId="5" applyFont="1" applyFill="1" applyBorder="1" applyAlignment="1" applyProtection="1">
      <alignment horizontal="right"/>
    </xf>
    <xf numFmtId="167" fontId="6" fillId="58" borderId="27" xfId="5" applyNumberFormat="1" applyFont="1" applyFill="1" applyBorder="1"/>
    <xf numFmtId="167" fontId="6" fillId="73" borderId="27" xfId="5" applyNumberFormat="1" applyFont="1" applyFill="1" applyBorder="1"/>
    <xf numFmtId="0" fontId="6" fillId="61" borderId="0" xfId="0" applyFont="1" applyFill="1" applyBorder="1"/>
    <xf numFmtId="0" fontId="6" fillId="57" borderId="22" xfId="0" applyFont="1" applyFill="1" applyBorder="1" applyAlignment="1">
      <alignment horizontal="center"/>
    </xf>
    <xf numFmtId="0" fontId="6" fillId="57" borderId="0" xfId="0" applyFont="1" applyFill="1" applyBorder="1" applyAlignment="1">
      <alignment horizontal="center"/>
    </xf>
    <xf numFmtId="0" fontId="10" fillId="61" borderId="21" xfId="0" applyFont="1" applyFill="1" applyBorder="1"/>
    <xf numFmtId="0" fontId="65" fillId="0" borderId="0" xfId="0" applyFont="1" applyFill="1"/>
    <xf numFmtId="167" fontId="6" fillId="42" borderId="27" xfId="0" applyNumberFormat="1" applyFont="1" applyFill="1" applyBorder="1"/>
    <xf numFmtId="173" fontId="6" fillId="42" borderId="27" xfId="0" applyNumberFormat="1" applyFont="1" applyFill="1" applyBorder="1"/>
    <xf numFmtId="173" fontId="6" fillId="73" borderId="27" xfId="0" applyNumberFormat="1" applyFont="1" applyFill="1" applyBorder="1"/>
    <xf numFmtId="0" fontId="87" fillId="60" borderId="18" xfId="111" applyFont="1" applyFill="1" applyBorder="1" applyAlignment="1" applyProtection="1">
      <alignment horizontal="left" vertical="center"/>
    </xf>
    <xf numFmtId="3" fontId="6" fillId="58" borderId="27" xfId="5" applyNumberFormat="1" applyFont="1" applyFill="1" applyBorder="1" applyProtection="1"/>
    <xf numFmtId="0" fontId="6" fillId="0" borderId="0" xfId="3" applyFont="1" applyFill="1" applyBorder="1"/>
    <xf numFmtId="3" fontId="6" fillId="57" borderId="18" xfId="111" applyNumberFormat="1" applyFont="1" applyFill="1" applyBorder="1" applyAlignment="1" applyProtection="1">
      <alignment vertical="center"/>
    </xf>
    <xf numFmtId="0" fontId="59" fillId="60" borderId="0" xfId="115" applyNumberFormat="1" applyFont="1" applyFill="1" applyBorder="1" applyAlignment="1" applyProtection="1">
      <alignment horizontal="center" vertical="center" wrapText="1"/>
    </xf>
    <xf numFmtId="0" fontId="59" fillId="60" borderId="29" xfId="115" applyNumberFormat="1" applyFont="1" applyFill="1" applyBorder="1" applyAlignment="1" applyProtection="1">
      <alignment horizontal="center" vertical="center" wrapText="1"/>
    </xf>
    <xf numFmtId="0" fontId="59" fillId="60" borderId="35" xfId="115" applyNumberFormat="1" applyFont="1" applyFill="1" applyBorder="1" applyAlignment="1" applyProtection="1">
      <alignment horizontal="center" vertical="center" wrapText="1"/>
    </xf>
    <xf numFmtId="169" fontId="6" fillId="0" borderId="0" xfId="0" applyNumberFormat="1" applyFont="1"/>
    <xf numFmtId="0" fontId="6" fillId="61" borderId="0" xfId="0" applyFont="1" applyFill="1"/>
    <xf numFmtId="0" fontId="59" fillId="60" borderId="22" xfId="115" applyNumberFormat="1" applyFont="1" applyFill="1" applyBorder="1" applyAlignment="1" applyProtection="1">
      <alignment horizontal="center" vertical="center" wrapText="1"/>
    </xf>
    <xf numFmtId="0" fontId="59" fillId="60" borderId="30" xfId="115" applyNumberFormat="1" applyFont="1" applyFill="1" applyBorder="1" applyAlignment="1" applyProtection="1">
      <alignment horizontal="center" vertical="center" wrapText="1"/>
    </xf>
    <xf numFmtId="0" fontId="100" fillId="60" borderId="0" xfId="111" applyFont="1" applyFill="1" applyBorder="1" applyAlignment="1" applyProtection="1">
      <alignment horizontal="left" vertical="center"/>
    </xf>
    <xf numFmtId="0" fontId="10" fillId="60" borderId="0" xfId="0" applyFont="1" applyFill="1"/>
    <xf numFmtId="0" fontId="59" fillId="60" borderId="0" xfId="1" applyFont="1" applyFill="1" applyBorder="1" applyAlignment="1">
      <alignment vertical="top" wrapText="1"/>
    </xf>
    <xf numFmtId="10" fontId="60" fillId="61" borderId="27" xfId="115" applyNumberFormat="1" applyFont="1" applyFill="1" applyBorder="1" applyAlignment="1" applyProtection="1">
      <alignment horizontal="center" vertical="center" wrapText="1"/>
    </xf>
    <xf numFmtId="0" fontId="6" fillId="73" borderId="27" xfId="0" applyFont="1" applyFill="1" applyBorder="1"/>
    <xf numFmtId="0" fontId="59" fillId="0" borderId="0" xfId="115" applyNumberFormat="1" applyFont="1" applyFill="1" applyBorder="1" applyAlignment="1" applyProtection="1">
      <alignment horizontal="left" vertical="center"/>
    </xf>
    <xf numFmtId="10" fontId="59" fillId="60" borderId="35" xfId="115" applyNumberFormat="1" applyFont="1" applyFill="1" applyBorder="1" applyAlignment="1" applyProtection="1">
      <alignment horizontal="center" vertical="center" wrapText="1"/>
    </xf>
    <xf numFmtId="0" fontId="6" fillId="60" borderId="0" xfId="0" applyFont="1" applyFill="1" applyBorder="1"/>
    <xf numFmtId="0" fontId="6" fillId="0" borderId="37" xfId="0" applyFont="1" applyBorder="1"/>
    <xf numFmtId="3" fontId="6" fillId="58" borderId="39" xfId="104" applyNumberFormat="1" applyFont="1" applyFill="1" applyBorder="1" applyAlignment="1" applyProtection="1">
      <alignment horizontal="left" vertical="center" indent="1"/>
    </xf>
    <xf numFmtId="0" fontId="69" fillId="61" borderId="0" xfId="111" applyFont="1" applyFill="1" applyBorder="1" applyAlignment="1" applyProtection="1">
      <alignment horizontal="left"/>
    </xf>
    <xf numFmtId="0" fontId="69" fillId="61" borderId="0" xfId="111" applyFont="1" applyFill="1" applyBorder="1" applyAlignment="1" applyProtection="1">
      <alignment horizontal="center" vertical="center" wrapText="1"/>
    </xf>
    <xf numFmtId="3" fontId="64" fillId="61" borderId="0" xfId="189" applyNumberFormat="1" applyFont="1" applyFill="1" applyBorder="1"/>
    <xf numFmtId="0" fontId="64" fillId="61" borderId="0" xfId="189" applyFont="1" applyFill="1"/>
    <xf numFmtId="3" fontId="64" fillId="0" borderId="0" xfId="189" applyNumberFormat="1" applyFont="1"/>
    <xf numFmtId="0" fontId="68" fillId="60" borderId="0" xfId="111" applyFont="1" applyFill="1" applyBorder="1" applyAlignment="1" applyProtection="1">
      <alignment horizontal="left" vertical="center"/>
    </xf>
    <xf numFmtId="2" fontId="17" fillId="60" borderId="0" xfId="111" applyNumberFormat="1" applyFont="1" applyFill="1" applyBorder="1" applyAlignment="1" applyProtection="1">
      <alignment horizontal="left" vertical="center"/>
    </xf>
    <xf numFmtId="2" fontId="66" fillId="60" borderId="0" xfId="111" applyNumberFormat="1" applyFont="1" applyFill="1" applyBorder="1" applyAlignment="1" applyProtection="1">
      <alignment horizontal="left" vertical="center"/>
    </xf>
    <xf numFmtId="2" fontId="6" fillId="69" borderId="27" xfId="189" applyNumberFormat="1" applyFont="1" applyFill="1" applyBorder="1" applyAlignment="1">
      <alignment horizontal="center"/>
    </xf>
    <xf numFmtId="2" fontId="6" fillId="0" borderId="0" xfId="433" applyNumberFormat="1" applyFont="1" applyFill="1"/>
    <xf numFmtId="2" fontId="64" fillId="0" borderId="0" xfId="433" applyNumberFormat="1" applyFont="1" applyFill="1"/>
    <xf numFmtId="2" fontId="6" fillId="0" borderId="0" xfId="189" applyNumberFormat="1" applyFont="1" applyFill="1"/>
    <xf numFmtId="3" fontId="64" fillId="61" borderId="0" xfId="0" applyNumberFormat="1" applyFont="1" applyFill="1" applyBorder="1"/>
    <xf numFmtId="0" fontId="66" fillId="57" borderId="0" xfId="0" applyFont="1" applyFill="1" applyBorder="1"/>
    <xf numFmtId="3" fontId="67" fillId="61" borderId="0" xfId="115" applyNumberFormat="1" applyFont="1" applyFill="1" applyBorder="1" applyAlignment="1" applyProtection="1">
      <alignment horizontal="center" vertical="center"/>
    </xf>
    <xf numFmtId="0" fontId="22" fillId="61" borderId="0" xfId="110" applyFont="1" applyFill="1" applyBorder="1"/>
    <xf numFmtId="3" fontId="64" fillId="61" borderId="0" xfId="110" applyNumberFormat="1" applyFont="1" applyFill="1" applyBorder="1" applyAlignment="1"/>
    <xf numFmtId="10" fontId="64" fillId="61" borderId="0" xfId="5" applyNumberFormat="1" applyFont="1" applyFill="1" applyBorder="1"/>
    <xf numFmtId="0" fontId="17" fillId="0" borderId="0" xfId="0" applyFont="1" applyFill="1" applyBorder="1"/>
    <xf numFmtId="0" fontId="18" fillId="61" borderId="0" xfId="0" applyFont="1" applyFill="1" applyBorder="1"/>
    <xf numFmtId="0" fontId="6" fillId="0" borderId="26" xfId="110" applyFont="1" applyBorder="1" applyAlignment="1"/>
    <xf numFmtId="0" fontId="6" fillId="0" borderId="53" xfId="110" applyFont="1" applyBorder="1" applyAlignment="1"/>
    <xf numFmtId="3" fontId="6" fillId="57" borderId="56" xfId="111" applyNumberFormat="1" applyFont="1" applyFill="1" applyBorder="1" applyAlignment="1" applyProtection="1">
      <alignment vertical="center"/>
    </xf>
    <xf numFmtId="0" fontId="6" fillId="0" borderId="54" xfId="0" applyFont="1" applyBorder="1"/>
    <xf numFmtId="0" fontId="6" fillId="57" borderId="0" xfId="0" applyFont="1" applyFill="1" applyBorder="1" applyAlignment="1"/>
    <xf numFmtId="0" fontId="6" fillId="0" borderId="0" xfId="0" applyFont="1" applyFill="1" applyBorder="1" applyAlignment="1"/>
    <xf numFmtId="0" fontId="0" fillId="0" borderId="0" xfId="0" applyBorder="1" applyAlignment="1"/>
    <xf numFmtId="0" fontId="18" fillId="60" borderId="0" xfId="0" applyFont="1" applyFill="1" applyBorder="1" applyAlignment="1"/>
    <xf numFmtId="0" fontId="18" fillId="60" borderId="22" xfId="0" applyFont="1" applyFill="1" applyBorder="1" applyAlignment="1"/>
    <xf numFmtId="0" fontId="18" fillId="0" borderId="0" xfId="0" applyFont="1" applyFill="1" applyBorder="1" applyAlignment="1"/>
    <xf numFmtId="167" fontId="18" fillId="0" borderId="0" xfId="0" applyNumberFormat="1" applyFont="1" applyFill="1" applyBorder="1" applyAlignment="1"/>
    <xf numFmtId="0" fontId="17" fillId="60" borderId="21" xfId="110" applyFont="1" applyFill="1" applyBorder="1" applyAlignment="1"/>
    <xf numFmtId="167" fontId="64" fillId="0" borderId="0" xfId="0" applyNumberFormat="1" applyFont="1" applyBorder="1" applyAlignment="1"/>
    <xf numFmtId="0" fontId="64" fillId="0" borderId="0" xfId="0" applyFont="1" applyBorder="1" applyAlignment="1"/>
    <xf numFmtId="0" fontId="0" fillId="0" borderId="0" xfId="0" applyAlignment="1"/>
    <xf numFmtId="167" fontId="0" fillId="0" borderId="0" xfId="0" applyNumberFormat="1" applyAlignment="1"/>
    <xf numFmtId="10" fontId="6" fillId="0" borderId="0" xfId="67" applyNumberFormat="1" applyFont="1" applyFill="1" applyBorder="1"/>
    <xf numFmtId="10" fontId="6" fillId="61" borderId="27" xfId="67" applyNumberFormat="1" applyFont="1" applyFill="1" applyBorder="1" applyAlignment="1" applyProtection="1">
      <alignment horizontal="right"/>
    </xf>
    <xf numFmtId="10" fontId="6" fillId="0" borderId="27" xfId="67" applyNumberFormat="1" applyFont="1" applyFill="1" applyBorder="1" applyAlignment="1" applyProtection="1">
      <alignment horizontal="right"/>
    </xf>
    <xf numFmtId="10" fontId="6" fillId="0" borderId="27" xfId="104" applyNumberFormat="1" applyFont="1" applyFill="1" applyBorder="1" applyAlignment="1" applyProtection="1">
      <alignment horizontal="right" indent="1"/>
      <protection locked="0"/>
    </xf>
    <xf numFmtId="9" fontId="6" fillId="0" borderId="27" xfId="104" applyNumberFormat="1" applyFont="1" applyFill="1" applyBorder="1" applyAlignment="1" applyProtection="1">
      <alignment horizontal="right" indent="1"/>
      <protection locked="0"/>
    </xf>
    <xf numFmtId="0" fontId="10" fillId="0" borderId="0" xfId="111" applyFont="1" applyFill="1" applyBorder="1" applyAlignment="1" applyProtection="1">
      <alignment horizontal="left" vertical="center"/>
    </xf>
    <xf numFmtId="0" fontId="69" fillId="0" borderId="0" xfId="0" applyFont="1" applyFill="1"/>
    <xf numFmtId="3" fontId="6" fillId="58" borderId="33" xfId="0" applyNumberFormat="1" applyFont="1" applyFill="1" applyBorder="1" applyAlignment="1">
      <alignment horizontal="right" vertical="top"/>
    </xf>
    <xf numFmtId="0" fontId="6" fillId="55" borderId="50" xfId="0" applyFont="1" applyFill="1" applyBorder="1"/>
    <xf numFmtId="9" fontId="6" fillId="55" borderId="50" xfId="67" applyFont="1" applyFill="1" applyBorder="1"/>
    <xf numFmtId="0" fontId="6" fillId="61" borderId="0" xfId="0" applyFont="1" applyFill="1" applyBorder="1" applyAlignment="1"/>
    <xf numFmtId="0" fontId="6" fillId="61" borderId="22" xfId="0" applyFont="1" applyFill="1" applyBorder="1"/>
    <xf numFmtId="0" fontId="12" fillId="0" borderId="0" xfId="0" applyFont="1"/>
    <xf numFmtId="0" fontId="12" fillId="0" borderId="0" xfId="0" applyFont="1" applyFill="1"/>
    <xf numFmtId="0" fontId="102" fillId="0" borderId="0" xfId="0" applyFont="1"/>
    <xf numFmtId="0" fontId="103" fillId="60" borderId="0" xfId="111" applyFont="1" applyFill="1" applyBorder="1" applyAlignment="1" applyProtection="1">
      <alignment horizontal="left" vertical="center"/>
    </xf>
    <xf numFmtId="0" fontId="103" fillId="60" borderId="0" xfId="111" applyFont="1" applyFill="1" applyBorder="1" applyAlignment="1" applyProtection="1">
      <alignment horizontal="center" vertical="center"/>
    </xf>
    <xf numFmtId="0" fontId="86" fillId="0" borderId="0" xfId="433" applyFont="1"/>
    <xf numFmtId="0" fontId="103" fillId="60" borderId="0" xfId="111" applyFont="1" applyFill="1" applyBorder="1" applyAlignment="1" applyProtection="1">
      <alignment horizontal="center" vertical="center" wrapText="1"/>
    </xf>
    <xf numFmtId="0" fontId="86" fillId="0" borderId="0" xfId="189" applyFont="1"/>
    <xf numFmtId="0" fontId="86" fillId="60" borderId="0" xfId="189" applyFont="1" applyFill="1"/>
    <xf numFmtId="0" fontId="103" fillId="57" borderId="21" xfId="0" applyFont="1" applyFill="1" applyBorder="1" applyAlignment="1">
      <alignment horizontal="left"/>
    </xf>
    <xf numFmtId="173" fontId="86" fillId="57" borderId="0" xfId="56" applyNumberFormat="1" applyFont="1" applyFill="1" applyBorder="1"/>
    <xf numFmtId="0" fontId="86" fillId="57" borderId="0" xfId="0" applyFont="1" applyFill="1" applyBorder="1"/>
    <xf numFmtId="0" fontId="86" fillId="57" borderId="22" xfId="0" applyFont="1" applyFill="1" applyBorder="1"/>
    <xf numFmtId="0" fontId="86" fillId="0" borderId="0" xfId="0" applyFont="1" applyFill="1" applyBorder="1"/>
    <xf numFmtId="0" fontId="6" fillId="0" borderId="28" xfId="0" applyFont="1" applyFill="1" applyBorder="1"/>
    <xf numFmtId="14" fontId="6" fillId="0" borderId="28" xfId="189" applyNumberFormat="1" applyFont="1" applyFill="1" applyBorder="1" applyAlignment="1">
      <alignment horizontal="center"/>
    </xf>
    <xf numFmtId="3" fontId="6" fillId="69" borderId="28" xfId="189" applyNumberFormat="1" applyFont="1" applyFill="1" applyBorder="1"/>
    <xf numFmtId="0" fontId="6" fillId="0" borderId="27" xfId="0" applyFont="1" applyFill="1" applyBorder="1"/>
    <xf numFmtId="14" fontId="6" fillId="0" borderId="27" xfId="189" applyNumberFormat="1" applyFont="1" applyFill="1" applyBorder="1" applyAlignment="1">
      <alignment horizontal="center"/>
    </xf>
    <xf numFmtId="3" fontId="6" fillId="0" borderId="26" xfId="189" applyNumberFormat="1" applyFont="1" applyFill="1" applyBorder="1"/>
    <xf numFmtId="3" fontId="6" fillId="77" borderId="27" xfId="189" applyNumberFormat="1" applyFont="1" applyFill="1" applyBorder="1"/>
    <xf numFmtId="3" fontId="6" fillId="73" borderId="27" xfId="0" applyNumberFormat="1" applyFont="1" applyFill="1" applyBorder="1"/>
    <xf numFmtId="3" fontId="6" fillId="73" borderId="28" xfId="368" applyNumberFormat="1" applyFont="1" applyFill="1" applyBorder="1"/>
    <xf numFmtId="3" fontId="6" fillId="78" borderId="27" xfId="0" applyNumberFormat="1" applyFont="1" applyFill="1" applyBorder="1"/>
    <xf numFmtId="0" fontId="6" fillId="0" borderId="24" xfId="0" applyFont="1" applyBorder="1"/>
    <xf numFmtId="0" fontId="6" fillId="0" borderId="25" xfId="0" applyFont="1" applyBorder="1"/>
    <xf numFmtId="0" fontId="6" fillId="0" borderId="29" xfId="0" applyFont="1" applyFill="1" applyBorder="1"/>
    <xf numFmtId="0" fontId="6" fillId="61" borderId="21" xfId="5" applyFont="1" applyFill="1" applyBorder="1"/>
    <xf numFmtId="0" fontId="6" fillId="61" borderId="0" xfId="5" applyFont="1" applyFill="1" applyBorder="1"/>
    <xf numFmtId="0" fontId="6" fillId="61" borderId="21" xfId="0" applyFont="1" applyFill="1" applyBorder="1"/>
    <xf numFmtId="167" fontId="6" fillId="0" borderId="0" xfId="0" applyNumberFormat="1" applyFont="1" applyFill="1"/>
    <xf numFmtId="10" fontId="6" fillId="0" borderId="0" xfId="5" applyNumberFormat="1" applyFont="1" applyFill="1" applyBorder="1"/>
    <xf numFmtId="0" fontId="6" fillId="57" borderId="0" xfId="5" applyFont="1" applyFill="1" applyBorder="1"/>
    <xf numFmtId="167" fontId="6" fillId="0" borderId="0" xfId="0" applyNumberFormat="1" applyFont="1"/>
    <xf numFmtId="3" fontId="6" fillId="74" borderId="50" xfId="0" applyNumberFormat="1" applyFont="1" applyFill="1" applyBorder="1"/>
    <xf numFmtId="3" fontId="22" fillId="69" borderId="27" xfId="110" applyNumberFormat="1" applyFont="1" applyFill="1" applyBorder="1"/>
    <xf numFmtId="173" fontId="6" fillId="0" borderId="0" xfId="56" applyNumberFormat="1" applyFont="1" applyBorder="1"/>
    <xf numFmtId="3" fontId="6" fillId="0" borderId="27" xfId="368" applyNumberFormat="1" applyFont="1" applyFill="1" applyBorder="1"/>
    <xf numFmtId="3" fontId="6" fillId="73" borderId="28" xfId="189" applyNumberFormat="1" applyFont="1" applyFill="1" applyBorder="1"/>
    <xf numFmtId="3" fontId="6" fillId="73" borderId="27" xfId="189" applyNumberFormat="1" applyFont="1" applyFill="1" applyBorder="1"/>
    <xf numFmtId="3" fontId="6" fillId="0" borderId="27" xfId="0" applyNumberFormat="1" applyFont="1" applyFill="1" applyBorder="1"/>
    <xf numFmtId="14" fontId="6" fillId="0" borderId="38" xfId="189" applyNumberFormat="1" applyFont="1" applyFill="1" applyBorder="1" applyAlignment="1">
      <alignment horizontal="center"/>
    </xf>
    <xf numFmtId="3" fontId="6" fillId="73" borderId="38" xfId="368" applyNumberFormat="1" applyFont="1" applyFill="1" applyBorder="1"/>
    <xf numFmtId="3" fontId="6" fillId="0" borderId="38" xfId="368" applyNumberFormat="1" applyFont="1" applyFill="1" applyBorder="1"/>
    <xf numFmtId="3" fontId="6" fillId="73" borderId="38" xfId="189" applyNumberFormat="1" applyFont="1" applyFill="1" applyBorder="1"/>
    <xf numFmtId="3" fontId="6" fillId="69" borderId="38" xfId="189" applyNumberFormat="1" applyFont="1" applyFill="1" applyBorder="1"/>
    <xf numFmtId="0" fontId="69" fillId="73" borderId="0" xfId="110" applyFont="1" applyFill="1" applyBorder="1"/>
    <xf numFmtId="3" fontId="6" fillId="74" borderId="28" xfId="110" applyNumberFormat="1" applyFont="1" applyFill="1" applyBorder="1"/>
    <xf numFmtId="0" fontId="6" fillId="61" borderId="0" xfId="0" applyNumberFormat="1" applyFont="1" applyFill="1" applyBorder="1" applyAlignment="1">
      <alignment horizontal="right" vertical="top"/>
    </xf>
    <xf numFmtId="0" fontId="6" fillId="60" borderId="0" xfId="0" applyFont="1" applyFill="1" applyBorder="1" applyAlignment="1"/>
    <xf numFmtId="172" fontId="6" fillId="61" borderId="0" xfId="5" applyNumberFormat="1" applyFont="1" applyFill="1" applyBorder="1"/>
    <xf numFmtId="167" fontId="6" fillId="61" borderId="0" xfId="5" applyNumberFormat="1" applyFont="1" applyFill="1" applyBorder="1" applyProtection="1"/>
    <xf numFmtId="0" fontId="6" fillId="0" borderId="0" xfId="0" applyFont="1" applyBorder="1" applyAlignment="1"/>
    <xf numFmtId="167" fontId="6" fillId="0" borderId="0" xfId="0" applyNumberFormat="1" applyFont="1" applyFill="1" applyBorder="1" applyAlignment="1"/>
    <xf numFmtId="0" fontId="6" fillId="57" borderId="51" xfId="64" applyFont="1" applyFill="1" applyBorder="1"/>
    <xf numFmtId="0" fontId="6" fillId="57" borderId="28" xfId="64" applyFont="1" applyFill="1" applyBorder="1" applyAlignment="1">
      <alignment horizontal="center"/>
    </xf>
    <xf numFmtId="0" fontId="6" fillId="0" borderId="28" xfId="64" applyFont="1" applyFill="1" applyBorder="1" applyAlignment="1">
      <alignment horizontal="center"/>
    </xf>
    <xf numFmtId="9" fontId="6" fillId="0" borderId="28" xfId="64" applyNumberFormat="1" applyFont="1" applyFill="1" applyBorder="1" applyAlignment="1">
      <alignment horizontal="center"/>
    </xf>
    <xf numFmtId="0" fontId="6" fillId="57" borderId="26" xfId="64" applyFont="1" applyFill="1" applyBorder="1"/>
    <xf numFmtId="0" fontId="6" fillId="57" borderId="27" xfId="64" applyFont="1" applyFill="1" applyBorder="1" applyAlignment="1">
      <alignment horizontal="center"/>
    </xf>
    <xf numFmtId="0" fontId="6" fillId="0" borderId="27" xfId="64" applyFont="1" applyFill="1" applyBorder="1" applyAlignment="1">
      <alignment horizontal="center"/>
    </xf>
    <xf numFmtId="9" fontId="6" fillId="0" borderId="27" xfId="64" applyNumberFormat="1" applyFont="1" applyFill="1" applyBorder="1" applyAlignment="1">
      <alignment horizontal="center"/>
    </xf>
    <xf numFmtId="11" fontId="6" fillId="0" borderId="27" xfId="64" applyNumberFormat="1" applyFont="1" applyFill="1" applyBorder="1" applyAlignment="1">
      <alignment horizontal="center"/>
    </xf>
    <xf numFmtId="3" fontId="6" fillId="0" borderId="0" xfId="0" applyNumberFormat="1" applyFont="1" applyBorder="1"/>
    <xf numFmtId="0" fontId="6" fillId="61" borderId="27" xfId="0" applyFont="1" applyFill="1" applyBorder="1"/>
    <xf numFmtId="167" fontId="6" fillId="0" borderId="0" xfId="0" applyNumberFormat="1" applyFont="1" applyBorder="1" applyAlignment="1"/>
    <xf numFmtId="0" fontId="22" fillId="0" borderId="28" xfId="110" applyFont="1" applyFill="1" applyBorder="1"/>
    <xf numFmtId="167" fontId="6" fillId="0" borderId="0" xfId="0" applyNumberFormat="1" applyFont="1" applyBorder="1"/>
    <xf numFmtId="0" fontId="6" fillId="0" borderId="48" xfId="0" applyFont="1" applyBorder="1"/>
    <xf numFmtId="0" fontId="22" fillId="0" borderId="0" xfId="110" applyFont="1" applyFill="1" applyBorder="1" applyAlignment="1">
      <alignment horizontal="left" indent="1"/>
    </xf>
    <xf numFmtId="0" fontId="6" fillId="60" borderId="35" xfId="0" applyFont="1" applyFill="1" applyBorder="1"/>
    <xf numFmtId="0" fontId="6" fillId="60" borderId="36" xfId="0" applyFont="1" applyFill="1" applyBorder="1"/>
    <xf numFmtId="0" fontId="6" fillId="0" borderId="0" xfId="3" applyFont="1" applyFill="1" applyBorder="1" applyAlignment="1">
      <alignment horizontal="center"/>
    </xf>
    <xf numFmtId="3" fontId="6" fillId="61" borderId="0" xfId="111" applyNumberFormat="1" applyFont="1" applyFill="1" applyBorder="1" applyAlignment="1" applyProtection="1">
      <alignment vertical="center"/>
    </xf>
    <xf numFmtId="0" fontId="6" fillId="61" borderId="24" xfId="0" applyFont="1" applyFill="1" applyBorder="1"/>
    <xf numFmtId="0" fontId="65" fillId="60" borderId="0" xfId="191" applyFont="1" applyFill="1"/>
    <xf numFmtId="0" fontId="65" fillId="0" borderId="0" xfId="191" applyFont="1"/>
    <xf numFmtId="0" fontId="92" fillId="0" borderId="0" xfId="191" applyFont="1"/>
    <xf numFmtId="0" fontId="6" fillId="0" borderId="27" xfId="191" applyFont="1" applyBorder="1" applyAlignment="1">
      <alignment horizontal="center"/>
    </xf>
    <xf numFmtId="173" fontId="92" fillId="61" borderId="0" xfId="194" applyNumberFormat="1" applyFont="1" applyFill="1" applyBorder="1"/>
    <xf numFmtId="173" fontId="64" fillId="61" borderId="0" xfId="194" applyNumberFormat="1" applyFont="1" applyFill="1" applyBorder="1"/>
    <xf numFmtId="173" fontId="6" fillId="61" borderId="0" xfId="194" applyNumberFormat="1" applyFont="1" applyFill="1" applyBorder="1"/>
    <xf numFmtId="173" fontId="99" fillId="61" borderId="0" xfId="194" applyNumberFormat="1" applyFont="1" applyFill="1" applyBorder="1"/>
    <xf numFmtId="0" fontId="66" fillId="61" borderId="0" xfId="190" applyNumberFormat="1" applyFont="1" applyFill="1" applyBorder="1" applyAlignment="1" applyProtection="1">
      <alignment horizontal="center" vertical="center"/>
    </xf>
    <xf numFmtId="0" fontId="69" fillId="61" borderId="0" xfId="190" applyNumberFormat="1" applyFont="1" applyFill="1" applyBorder="1" applyAlignment="1" applyProtection="1">
      <alignment horizontal="center" vertical="center"/>
    </xf>
    <xf numFmtId="0" fontId="10" fillId="61" borderId="0" xfId="190" applyNumberFormat="1" applyFont="1" applyFill="1" applyBorder="1" applyAlignment="1" applyProtection="1">
      <alignment horizontal="center" vertical="center"/>
    </xf>
    <xf numFmtId="0" fontId="6" fillId="0" borderId="21" xfId="116" applyFont="1" applyBorder="1" applyAlignment="1" applyProtection="1">
      <alignment horizontal="left"/>
    </xf>
    <xf numFmtId="10" fontId="6" fillId="42" borderId="32" xfId="67" applyNumberFormat="1" applyFont="1" applyFill="1" applyBorder="1"/>
    <xf numFmtId="10" fontId="104" fillId="0" borderId="0" xfId="67" applyNumberFormat="1" applyFont="1" applyFill="1" applyBorder="1"/>
    <xf numFmtId="0" fontId="104" fillId="0" borderId="0" xfId="1" applyFont="1" applyBorder="1" applyProtection="1"/>
    <xf numFmtId="0" fontId="6" fillId="57" borderId="0" xfId="1" applyFont="1" applyFill="1" applyBorder="1" applyAlignment="1" applyProtection="1">
      <alignment horizontal="right"/>
    </xf>
    <xf numFmtId="0" fontId="10" fillId="57" borderId="0" xfId="1" applyFont="1" applyFill="1" applyBorder="1" applyAlignment="1">
      <alignment horizontal="right"/>
    </xf>
    <xf numFmtId="0" fontId="6" fillId="57" borderId="0" xfId="1" applyFont="1" applyFill="1" applyBorder="1" applyAlignment="1">
      <alignment horizontal="right"/>
    </xf>
    <xf numFmtId="0" fontId="6" fillId="0" borderId="0" xfId="1" applyFont="1" applyFill="1"/>
    <xf numFmtId="0" fontId="6" fillId="57" borderId="0" xfId="1" applyFont="1" applyFill="1" applyBorder="1"/>
    <xf numFmtId="0" fontId="6" fillId="57" borderId="0" xfId="1" applyFont="1" applyFill="1" applyBorder="1" applyAlignment="1" applyProtection="1">
      <alignment horizontal="center"/>
    </xf>
    <xf numFmtId="0" fontId="6" fillId="0" borderId="0" xfId="1" applyFont="1" applyBorder="1" applyProtection="1"/>
    <xf numFmtId="170" fontId="6" fillId="0" borderId="27" xfId="1" applyNumberFormat="1" applyFont="1" applyFill="1" applyBorder="1" applyProtection="1"/>
    <xf numFmtId="0" fontId="104" fillId="0" borderId="0" xfId="1" applyFont="1" applyProtection="1"/>
    <xf numFmtId="0" fontId="6" fillId="57" borderId="0" xfId="1" applyFont="1" applyFill="1" applyProtection="1"/>
    <xf numFmtId="169" fontId="6" fillId="57" borderId="0" xfId="1" applyNumberFormat="1" applyFont="1" applyFill="1" applyBorder="1" applyProtection="1"/>
    <xf numFmtId="170" fontId="6" fillId="57" borderId="0" xfId="1" applyNumberFormat="1" applyFont="1" applyFill="1" applyBorder="1" applyProtection="1"/>
    <xf numFmtId="0" fontId="6" fillId="57" borderId="0" xfId="1" applyFont="1" applyFill="1" applyBorder="1" applyProtection="1"/>
    <xf numFmtId="170" fontId="6" fillId="57" borderId="0" xfId="1" applyNumberFormat="1" applyFont="1" applyFill="1" applyProtection="1"/>
    <xf numFmtId="171" fontId="6" fillId="57" borderId="0" xfId="1" applyNumberFormat="1" applyFont="1" applyFill="1" applyBorder="1" applyProtection="1"/>
    <xf numFmtId="2" fontId="6" fillId="0" borderId="27" xfId="1" applyNumberFormat="1" applyFont="1" applyFill="1" applyBorder="1" applyProtection="1"/>
    <xf numFmtId="0" fontId="6" fillId="57" borderId="0" xfId="1" applyFont="1" applyFill="1"/>
    <xf numFmtId="0" fontId="105" fillId="0" borderId="0" xfId="1" applyFont="1" applyProtection="1"/>
    <xf numFmtId="0" fontId="6" fillId="0" borderId="0" xfId="1" applyFont="1" applyFill="1" applyBorder="1" applyProtection="1"/>
    <xf numFmtId="0" fontId="10" fillId="0" borderId="0" xfId="1" applyFont="1" applyBorder="1" applyAlignment="1" applyProtection="1">
      <alignment horizontal="right"/>
    </xf>
    <xf numFmtId="0" fontId="10" fillId="0" borderId="22" xfId="1" applyFont="1" applyBorder="1" applyAlignment="1" applyProtection="1">
      <alignment horizontal="right"/>
    </xf>
    <xf numFmtId="0" fontId="6" fillId="57" borderId="24" xfId="1" applyFont="1" applyFill="1" applyBorder="1"/>
    <xf numFmtId="0" fontId="6" fillId="57" borderId="22" xfId="1" applyFont="1" applyFill="1" applyBorder="1"/>
    <xf numFmtId="0" fontId="6" fillId="57" borderId="31" xfId="1" applyFont="1" applyFill="1" applyBorder="1"/>
    <xf numFmtId="167" fontId="6" fillId="42" borderId="28" xfId="1" applyNumberFormat="1" applyFont="1" applyFill="1" applyBorder="1" applyProtection="1"/>
    <xf numFmtId="172" fontId="6" fillId="42" borderId="31" xfId="1" applyNumberFormat="1" applyFont="1" applyFill="1" applyBorder="1"/>
    <xf numFmtId="0" fontId="6" fillId="0" borderId="27" xfId="1" applyFont="1" applyBorder="1" applyProtection="1"/>
    <xf numFmtId="167" fontId="6" fillId="42" borderId="27" xfId="1" applyNumberFormat="1" applyFont="1" applyFill="1" applyBorder="1" applyProtection="1"/>
    <xf numFmtId="0" fontId="6" fillId="55" borderId="27" xfId="1" applyFont="1" applyFill="1" applyBorder="1" applyProtection="1"/>
    <xf numFmtId="0" fontId="6" fillId="55" borderId="27" xfId="1" applyFont="1" applyFill="1" applyBorder="1"/>
    <xf numFmtId="0" fontId="6" fillId="57" borderId="27" xfId="1" applyFont="1" applyFill="1" applyBorder="1"/>
    <xf numFmtId="0" fontId="64" fillId="55" borderId="27" xfId="1" applyFont="1" applyFill="1" applyBorder="1"/>
    <xf numFmtId="0" fontId="103" fillId="0" borderId="0" xfId="111" applyFont="1" applyFill="1" applyBorder="1" applyAlignment="1" applyProtection="1">
      <alignment horizontal="left" vertical="center"/>
    </xf>
    <xf numFmtId="0" fontId="103" fillId="0" borderId="0" xfId="111" applyFont="1" applyFill="1" applyBorder="1" applyAlignment="1" applyProtection="1">
      <alignment horizontal="center" vertical="center"/>
    </xf>
    <xf numFmtId="0" fontId="86" fillId="0" borderId="0" xfId="433" applyFont="1" applyFill="1"/>
    <xf numFmtId="0" fontId="86" fillId="0" borderId="0" xfId="189" applyFont="1" applyFill="1"/>
    <xf numFmtId="0" fontId="69" fillId="60" borderId="0" xfId="111" applyFont="1" applyFill="1" applyBorder="1" applyAlignment="1" applyProtection="1">
      <alignment horizontal="left" vertical="center"/>
    </xf>
    <xf numFmtId="0" fontId="103" fillId="75" borderId="0" xfId="111" applyFont="1" applyFill="1" applyBorder="1" applyAlignment="1" applyProtection="1">
      <alignment horizontal="left" vertical="center"/>
    </xf>
    <xf numFmtId="0" fontId="17" fillId="0" borderId="0" xfId="1" applyFont="1" applyFill="1" applyBorder="1" applyAlignment="1">
      <alignment vertical="top" wrapText="1"/>
    </xf>
    <xf numFmtId="0" fontId="17" fillId="0" borderId="0" xfId="115" applyNumberFormat="1" applyFont="1" applyFill="1" applyBorder="1" applyAlignment="1" applyProtection="1">
      <alignment horizontal="center" vertical="center" wrapText="1"/>
    </xf>
    <xf numFmtId="10" fontId="6" fillId="58" borderId="27" xfId="115" applyNumberFormat="1" applyFont="1" applyFill="1" applyBorder="1" applyAlignment="1" applyProtection="1">
      <alignment horizontal="center" vertical="center" wrapText="1"/>
    </xf>
    <xf numFmtId="0" fontId="6" fillId="0" borderId="0" xfId="115" applyNumberFormat="1" applyFont="1" applyFill="1" applyBorder="1" applyAlignment="1" applyProtection="1">
      <alignment horizontal="center" vertical="center" wrapText="1"/>
    </xf>
    <xf numFmtId="0" fontId="6" fillId="0" borderId="27" xfId="115" applyNumberFormat="1" applyFont="1" applyFill="1" applyBorder="1" applyAlignment="1" applyProtection="1">
      <alignment horizontal="center" vertical="center" wrapText="1"/>
    </xf>
    <xf numFmtId="3" fontId="17" fillId="0" borderId="0" xfId="115" applyNumberFormat="1" applyFont="1" applyFill="1" applyBorder="1" applyAlignment="1" applyProtection="1">
      <alignment horizontal="center" vertical="center" wrapText="1"/>
    </xf>
    <xf numFmtId="1" fontId="6" fillId="42" borderId="27" xfId="104" applyNumberFormat="1" applyFont="1" applyFill="1" applyBorder="1" applyAlignment="1" applyProtection="1">
      <alignment horizontal="left" vertical="center" indent="1"/>
      <protection locked="0"/>
    </xf>
    <xf numFmtId="3" fontId="66" fillId="0" borderId="0" xfId="115" applyNumberFormat="1" applyFont="1" applyFill="1" applyBorder="1" applyAlignment="1" applyProtection="1">
      <alignment horizontal="center" vertical="center"/>
    </xf>
    <xf numFmtId="0" fontId="103" fillId="60" borderId="0" xfId="111" applyFont="1" applyFill="1" applyBorder="1" applyAlignment="1" applyProtection="1">
      <alignment horizontal="center" vertical="center"/>
    </xf>
    <xf numFmtId="3" fontId="6" fillId="73" borderId="27" xfId="112" applyNumberFormat="1" applyFont="1" applyFill="1" applyBorder="1"/>
    <xf numFmtId="172" fontId="6" fillId="73" borderId="27" xfId="112" applyNumberFormat="1" applyFont="1" applyFill="1" applyBorder="1"/>
    <xf numFmtId="173" fontId="6" fillId="73" borderId="27" xfId="194" applyNumberFormat="1" applyFont="1" applyFill="1" applyBorder="1"/>
    <xf numFmtId="0" fontId="69" fillId="75" borderId="0" xfId="190" applyNumberFormat="1" applyFont="1" applyFill="1" applyBorder="1" applyAlignment="1" applyProtection="1">
      <alignment horizontal="center" vertical="center" wrapText="1"/>
    </xf>
    <xf numFmtId="3" fontId="6" fillId="69" borderId="27" xfId="111" applyNumberFormat="1" applyFont="1" applyFill="1" applyBorder="1" applyAlignment="1" applyProtection="1">
      <alignment horizontal="right" vertical="center"/>
    </xf>
    <xf numFmtId="0" fontId="69" fillId="0" borderId="0" xfId="1" applyFont="1" applyFill="1" applyAlignment="1">
      <alignment vertical="top"/>
    </xf>
    <xf numFmtId="0" fontId="95" fillId="0" borderId="0" xfId="190" applyNumberFormat="1" applyFont="1" applyFill="1" applyBorder="1" applyAlignment="1" applyProtection="1">
      <alignment horizontal="center" vertical="center" wrapText="1"/>
    </xf>
    <xf numFmtId="0" fontId="17" fillId="60" borderId="34" xfId="114" applyFont="1" applyFill="1" applyBorder="1" applyAlignment="1">
      <alignment vertical="top"/>
    </xf>
    <xf numFmtId="0" fontId="17" fillId="60" borderId="0" xfId="114" applyFont="1" applyFill="1" applyBorder="1" applyAlignment="1">
      <alignment vertical="top"/>
    </xf>
    <xf numFmtId="3" fontId="6" fillId="58" borderId="27" xfId="195" applyNumberFormat="1" applyFont="1" applyFill="1" applyBorder="1"/>
    <xf numFmtId="0" fontId="22" fillId="0" borderId="21" xfId="195" applyFont="1" applyFill="1" applyBorder="1"/>
    <xf numFmtId="0" fontId="22" fillId="0" borderId="0" xfId="195" applyFont="1" applyFill="1" applyBorder="1"/>
    <xf numFmtId="10" fontId="60" fillId="0" borderId="27" xfId="190" applyNumberFormat="1" applyFont="1" applyFill="1" applyBorder="1" applyAlignment="1" applyProtection="1">
      <alignment horizontal="right" vertical="center" wrapText="1"/>
    </xf>
    <xf numFmtId="0" fontId="69" fillId="75" borderId="0" xfId="1" applyFont="1" applyFill="1" applyAlignment="1">
      <alignment vertical="top"/>
    </xf>
    <xf numFmtId="0" fontId="6" fillId="69" borderId="33" xfId="0" applyFont="1" applyFill="1" applyBorder="1"/>
    <xf numFmtId="0" fontId="6" fillId="0" borderId="27" xfId="192" quotePrefix="1" applyNumberFormat="1" applyFont="1" applyFill="1" applyBorder="1" applyAlignment="1" applyProtection="1">
      <alignment horizontal="left" vertical="center" indent="1"/>
      <protection locked="0"/>
    </xf>
    <xf numFmtId="0" fontId="112" fillId="75" borderId="0" xfId="1" applyFont="1" applyFill="1"/>
    <xf numFmtId="0" fontId="65" fillId="75" borderId="0" xfId="0" applyFont="1" applyFill="1"/>
    <xf numFmtId="0" fontId="113" fillId="75" borderId="0" xfId="115" applyNumberFormat="1" applyFont="1" applyFill="1" applyBorder="1" applyAlignment="1" applyProtection="1">
      <alignment horizontal="center" vertical="center" wrapText="1"/>
    </xf>
    <xf numFmtId="9" fontId="113" fillId="75" borderId="0" xfId="115" applyNumberFormat="1" applyFont="1" applyFill="1" applyBorder="1" applyAlignment="1" applyProtection="1">
      <alignment horizontal="center" vertical="center" wrapText="1"/>
    </xf>
    <xf numFmtId="0" fontId="112" fillId="0" borderId="0" xfId="1" applyFont="1" applyFill="1"/>
    <xf numFmtId="4" fontId="0" fillId="0" borderId="0" xfId="0" applyNumberFormat="1"/>
    <xf numFmtId="0" fontId="6" fillId="0" borderId="21" xfId="195" applyFont="1" applyBorder="1" applyAlignment="1"/>
    <xf numFmtId="0" fontId="6" fillId="0" borderId="21" xfId="195" applyFont="1" applyFill="1" applyBorder="1"/>
    <xf numFmtId="3" fontId="6" fillId="58" borderId="39" xfId="104" applyNumberFormat="1" applyFont="1" applyFill="1" applyBorder="1" applyAlignment="1" applyProtection="1">
      <alignment horizontal="right" vertical="center" indent="1"/>
      <protection locked="0"/>
    </xf>
    <xf numFmtId="3" fontId="9" fillId="58" borderId="31" xfId="104" applyNumberFormat="1" applyFont="1" applyFill="1" applyBorder="1" applyAlignment="1" applyProtection="1">
      <alignment horizontal="right" vertical="center" indent="1"/>
      <protection locked="0"/>
    </xf>
    <xf numFmtId="3" fontId="6" fillId="58" borderId="31" xfId="104" applyNumberFormat="1" applyFont="1" applyFill="1" applyBorder="1" applyAlignment="1" applyProtection="1">
      <alignment horizontal="right" vertical="center" indent="1"/>
      <protection locked="0"/>
    </xf>
    <xf numFmtId="3" fontId="6" fillId="58" borderId="31" xfId="56" applyNumberFormat="1" applyFont="1" applyFill="1" applyBorder="1" applyAlignment="1" applyProtection="1">
      <alignment horizontal="right" vertical="center" indent="1"/>
      <protection locked="0"/>
    </xf>
    <xf numFmtId="3" fontId="0" fillId="0" borderId="0" xfId="0" applyNumberFormat="1"/>
    <xf numFmtId="14" fontId="6" fillId="0" borderId="27" xfId="0" applyNumberFormat="1" applyFont="1" applyFill="1" applyBorder="1"/>
    <xf numFmtId="9" fontId="6" fillId="0" borderId="27" xfId="67" applyFont="1" applyFill="1" applyBorder="1"/>
    <xf numFmtId="0" fontId="6" fillId="0" borderId="42" xfId="0" applyFont="1" applyFill="1" applyBorder="1"/>
    <xf numFmtId="173" fontId="6" fillId="0" borderId="31" xfId="56" applyNumberFormat="1" applyFont="1" applyFill="1" applyBorder="1"/>
    <xf numFmtId="174" fontId="6" fillId="0" borderId="27" xfId="67" applyNumberFormat="1" applyFont="1" applyFill="1" applyBorder="1"/>
    <xf numFmtId="0" fontId="92" fillId="0" borderId="0" xfId="0" applyFont="1" applyBorder="1"/>
    <xf numFmtId="0" fontId="21" fillId="60" borderId="19" xfId="111" applyFont="1" applyFill="1" applyBorder="1" applyAlignment="1" applyProtection="1">
      <alignment vertical="center"/>
    </xf>
    <xf numFmtId="0" fontId="96" fillId="60" borderId="22" xfId="111" applyFont="1" applyFill="1" applyBorder="1" applyAlignment="1" applyProtection="1">
      <alignment horizontal="right" vertical="center"/>
    </xf>
    <xf numFmtId="3" fontId="6" fillId="0" borderId="22" xfId="111" applyNumberFormat="1" applyFont="1" applyFill="1" applyBorder="1" applyAlignment="1" applyProtection="1">
      <alignment vertical="center"/>
    </xf>
    <xf numFmtId="3" fontId="64" fillId="0" borderId="22" xfId="111" applyNumberFormat="1" applyFont="1" applyFill="1" applyBorder="1" applyAlignment="1" applyProtection="1">
      <alignment vertical="center"/>
    </xf>
    <xf numFmtId="3" fontId="9" fillId="0" borderId="22" xfId="111" applyNumberFormat="1" applyFont="1" applyFill="1" applyBorder="1" applyAlignment="1" applyProtection="1">
      <alignment vertical="center"/>
    </xf>
    <xf numFmtId="3" fontId="10" fillId="0" borderId="22" xfId="111" applyNumberFormat="1" applyFont="1" applyFill="1" applyBorder="1" applyAlignment="1" applyProtection="1">
      <alignment vertical="center"/>
    </xf>
    <xf numFmtId="0" fontId="0" fillId="0" borderId="22" xfId="0" applyFill="1" applyBorder="1"/>
    <xf numFmtId="3" fontId="22" fillId="0" borderId="22" xfId="110" applyNumberFormat="1" applyFont="1" applyFill="1" applyBorder="1"/>
    <xf numFmtId="10" fontId="57" fillId="0" borderId="22" xfId="67" applyNumberFormat="1" applyFont="1" applyFill="1" applyBorder="1"/>
    <xf numFmtId="0" fontId="21" fillId="60" borderId="22" xfId="111" applyFont="1" applyFill="1" applyBorder="1" applyAlignment="1" applyProtection="1">
      <alignment horizontal="right" vertical="center"/>
    </xf>
    <xf numFmtId="0" fontId="6" fillId="0" borderId="58" xfId="0" applyFont="1" applyFill="1" applyBorder="1"/>
    <xf numFmtId="14" fontId="6" fillId="0" borderId="28" xfId="0" applyNumberFormat="1" applyFont="1" applyFill="1" applyBorder="1"/>
    <xf numFmtId="173" fontId="6" fillId="73" borderId="39" xfId="56" applyNumberFormat="1" applyFont="1" applyFill="1" applyBorder="1"/>
    <xf numFmtId="173" fontId="6" fillId="73" borderId="31" xfId="56" applyNumberFormat="1" applyFont="1" applyFill="1" applyBorder="1"/>
    <xf numFmtId="0" fontId="10" fillId="0" borderId="0" xfId="0" applyFont="1" applyBorder="1"/>
    <xf numFmtId="0" fontId="65" fillId="75" borderId="0" xfId="0" applyFont="1" applyFill="1" applyBorder="1"/>
    <xf numFmtId="10" fontId="6" fillId="0" borderId="33" xfId="67" applyNumberFormat="1" applyFont="1" applyFill="1" applyBorder="1" applyAlignment="1" applyProtection="1">
      <alignment horizontal="right"/>
    </xf>
    <xf numFmtId="2" fontId="6" fillId="0" borderId="33" xfId="1" applyNumberFormat="1" applyFont="1" applyFill="1" applyBorder="1" applyProtection="1"/>
    <xf numFmtId="0" fontId="105" fillId="0" borderId="0" xfId="1" applyFont="1" applyBorder="1" applyProtection="1"/>
    <xf numFmtId="0" fontId="9" fillId="73" borderId="0" xfId="113" applyFont="1" applyFill="1"/>
    <xf numFmtId="0" fontId="103" fillId="60" borderId="0" xfId="111" applyFont="1" applyFill="1" applyBorder="1" applyAlignment="1" applyProtection="1">
      <alignment horizontal="center" vertical="center"/>
    </xf>
    <xf numFmtId="1" fontId="6" fillId="94" borderId="27" xfId="189" applyNumberFormat="1" applyFont="1" applyFill="1" applyBorder="1"/>
    <xf numFmtId="0" fontId="6" fillId="94" borderId="27" xfId="111" applyFont="1" applyFill="1" applyBorder="1" applyAlignment="1" applyProtection="1">
      <alignment horizontal="right" vertical="center"/>
    </xf>
    <xf numFmtId="173" fontId="6" fillId="42" borderId="33" xfId="56" applyNumberFormat="1" applyFont="1" applyFill="1" applyBorder="1"/>
    <xf numFmtId="0" fontId="64" fillId="56" borderId="27" xfId="195" applyFont="1" applyFill="1" applyBorder="1"/>
    <xf numFmtId="0" fontId="22" fillId="61" borderId="22" xfId="195" applyFont="1" applyFill="1" applyBorder="1"/>
    <xf numFmtId="0" fontId="6" fillId="60" borderId="59" xfId="0" applyFont="1" applyFill="1" applyBorder="1"/>
    <xf numFmtId="0" fontId="17" fillId="60" borderId="30" xfId="0" applyFont="1" applyFill="1" applyBorder="1"/>
    <xf numFmtId="0" fontId="22" fillId="61" borderId="60" xfId="195" applyFont="1" applyFill="1" applyBorder="1"/>
    <xf numFmtId="172" fontId="6" fillId="0" borderId="0" xfId="111" applyNumberFormat="1" applyFont="1" applyFill="1" applyBorder="1" applyAlignment="1" applyProtection="1">
      <alignment vertical="center"/>
    </xf>
    <xf numFmtId="0" fontId="6" fillId="0" borderId="61" xfId="0" applyFont="1" applyFill="1" applyBorder="1"/>
    <xf numFmtId="10" fontId="57" fillId="0" borderId="0" xfId="67" applyNumberFormat="1" applyFont="1" applyFill="1" applyBorder="1"/>
    <xf numFmtId="0" fontId="22" fillId="56" borderId="27" xfId="195" applyFont="1" applyFill="1" applyBorder="1"/>
    <xf numFmtId="0" fontId="6" fillId="56" borderId="27" xfId="195" applyFont="1" applyFill="1" applyBorder="1"/>
    <xf numFmtId="0" fontId="21" fillId="60" borderId="19" xfId="111" applyFont="1" applyFill="1" applyBorder="1" applyAlignment="1" applyProtection="1">
      <alignment horizontal="right" vertical="center"/>
    </xf>
    <xf numFmtId="0" fontId="6" fillId="57" borderId="0" xfId="0" applyFont="1" applyFill="1" applyBorder="1" applyAlignment="1">
      <alignment horizontal="center"/>
    </xf>
    <xf numFmtId="0" fontId="6" fillId="61" borderId="0" xfId="537" applyFont="1" applyFill="1"/>
    <xf numFmtId="0" fontId="12" fillId="61" borderId="0" xfId="1301" applyFont="1" applyFill="1" applyBorder="1" applyAlignment="1" applyProtection="1">
      <alignment vertical="center"/>
    </xf>
    <xf numFmtId="0" fontId="10" fillId="61" borderId="21" xfId="1301" applyFont="1" applyFill="1" applyBorder="1" applyAlignment="1" applyProtection="1">
      <alignment horizontal="left"/>
    </xf>
    <xf numFmtId="0" fontId="10" fillId="61" borderId="0" xfId="1301" applyFont="1" applyFill="1" applyBorder="1" applyAlignment="1" applyProtection="1">
      <alignment horizontal="left"/>
    </xf>
    <xf numFmtId="0" fontId="10" fillId="61" borderId="0" xfId="1301" applyFont="1" applyFill="1" applyBorder="1" applyProtection="1"/>
    <xf numFmtId="0" fontId="6" fillId="61" borderId="0" xfId="434" applyFont="1" applyFill="1"/>
    <xf numFmtId="0" fontId="6" fillId="61" borderId="18" xfId="434" applyFont="1" applyFill="1" applyBorder="1" applyAlignment="1">
      <alignment horizontal="left"/>
    </xf>
    <xf numFmtId="0" fontId="6" fillId="61" borderId="19" xfId="434" applyFont="1" applyFill="1" applyBorder="1" applyAlignment="1">
      <alignment horizontal="left"/>
    </xf>
    <xf numFmtId="0" fontId="6" fillId="61" borderId="21" xfId="434" applyFont="1" applyFill="1" applyBorder="1" applyAlignment="1">
      <alignment horizontal="left"/>
    </xf>
    <xf numFmtId="0" fontId="6" fillId="61" borderId="0" xfId="434" applyFont="1" applyFill="1" applyBorder="1" applyAlignment="1">
      <alignment horizontal="left"/>
    </xf>
    <xf numFmtId="0" fontId="6" fillId="61" borderId="21" xfId="434" applyFont="1" applyFill="1" applyBorder="1"/>
    <xf numFmtId="0" fontId="6" fillId="61" borderId="0" xfId="434" applyFont="1" applyFill="1" applyBorder="1"/>
    <xf numFmtId="0" fontId="6" fillId="61" borderId="21" xfId="434" applyFont="1" applyFill="1" applyBorder="1" applyAlignment="1">
      <alignment horizontal="left" wrapText="1"/>
    </xf>
    <xf numFmtId="0" fontId="6" fillId="61" borderId="0" xfId="434" applyFont="1" applyFill="1" applyBorder="1" applyAlignment="1">
      <alignment horizontal="left" wrapText="1"/>
    </xf>
    <xf numFmtId="0" fontId="6" fillId="61" borderId="18" xfId="434" applyFont="1" applyFill="1" applyBorder="1"/>
    <xf numFmtId="0" fontId="6" fillId="61" borderId="19" xfId="434" applyFont="1" applyFill="1" applyBorder="1"/>
    <xf numFmtId="0" fontId="6" fillId="61" borderId="23" xfId="434" applyFont="1" applyFill="1" applyBorder="1"/>
    <xf numFmtId="0" fontId="6" fillId="61" borderId="24" xfId="434" applyFont="1" applyFill="1" applyBorder="1"/>
    <xf numFmtId="0" fontId="6" fillId="75" borderId="19" xfId="434" applyFont="1" applyFill="1" applyBorder="1" applyAlignment="1">
      <alignment horizontal="left"/>
    </xf>
    <xf numFmtId="0" fontId="10" fillId="61" borderId="22" xfId="1301" applyFont="1" applyFill="1" applyBorder="1" applyAlignment="1" applyProtection="1">
      <alignment horizontal="left"/>
    </xf>
    <xf numFmtId="0" fontId="6" fillId="75" borderId="20" xfId="434" applyFont="1" applyFill="1" applyBorder="1" applyAlignment="1">
      <alignment horizontal="left"/>
    </xf>
    <xf numFmtId="0" fontId="6" fillId="61" borderId="22" xfId="434" applyFont="1" applyFill="1" applyBorder="1" applyAlignment="1">
      <alignment horizontal="left"/>
    </xf>
    <xf numFmtId="0" fontId="6" fillId="61" borderId="22" xfId="434" applyFont="1" applyFill="1" applyBorder="1"/>
    <xf numFmtId="0" fontId="6" fillId="61" borderId="20" xfId="434" applyFont="1" applyFill="1" applyBorder="1" applyAlignment="1">
      <alignment horizontal="left"/>
    </xf>
    <xf numFmtId="0" fontId="6" fillId="61" borderId="22" xfId="434" applyFont="1" applyFill="1" applyBorder="1" applyAlignment="1">
      <alignment horizontal="left" wrapText="1"/>
    </xf>
    <xf numFmtId="0" fontId="6" fillId="61" borderId="20" xfId="434" applyFont="1" applyFill="1" applyBorder="1"/>
    <xf numFmtId="0" fontId="6" fillId="61" borderId="0" xfId="537" applyFont="1" applyFill="1" applyBorder="1"/>
    <xf numFmtId="0" fontId="6" fillId="61" borderId="22" xfId="537" applyFont="1" applyFill="1" applyBorder="1"/>
    <xf numFmtId="0" fontId="6" fillId="61" borderId="25" xfId="434" applyFont="1" applyFill="1" applyBorder="1"/>
    <xf numFmtId="0" fontId="16" fillId="75" borderId="18" xfId="111" applyFont="1" applyFill="1" applyBorder="1" applyAlignment="1" applyProtection="1">
      <alignment horizontal="left" vertical="center"/>
    </xf>
    <xf numFmtId="0" fontId="12" fillId="75" borderId="19" xfId="111" applyFont="1" applyFill="1" applyBorder="1" applyAlignment="1" applyProtection="1">
      <alignment vertical="center"/>
    </xf>
    <xf numFmtId="182" fontId="12" fillId="75" borderId="19" xfId="111" applyNumberFormat="1" applyFont="1" applyFill="1" applyBorder="1" applyAlignment="1" applyProtection="1">
      <alignment vertical="center"/>
    </xf>
    <xf numFmtId="0" fontId="12" fillId="75" borderId="20" xfId="111" applyFont="1" applyFill="1" applyBorder="1" applyAlignment="1" applyProtection="1">
      <alignment vertical="center"/>
    </xf>
    <xf numFmtId="0" fontId="18" fillId="75" borderId="21" xfId="111" applyFont="1" applyFill="1" applyBorder="1" applyProtection="1"/>
    <xf numFmtId="0" fontId="12" fillId="61" borderId="0" xfId="111" applyFont="1" applyFill="1" applyBorder="1" applyAlignment="1" applyProtection="1">
      <alignment vertical="center"/>
    </xf>
    <xf numFmtId="0" fontId="10" fillId="61" borderId="21" xfId="111" applyFont="1" applyFill="1" applyBorder="1" applyProtection="1"/>
    <xf numFmtId="0" fontId="10" fillId="61" borderId="0" xfId="111" applyFont="1" applyFill="1" applyBorder="1" applyProtection="1"/>
    <xf numFmtId="0" fontId="10" fillId="61" borderId="22" xfId="111" applyFont="1" applyFill="1" applyBorder="1" applyProtection="1"/>
    <xf numFmtId="0" fontId="10" fillId="61" borderId="0" xfId="111" applyFont="1" applyFill="1" applyProtection="1"/>
    <xf numFmtId="0" fontId="10" fillId="61" borderId="21" xfId="111" applyFont="1" applyFill="1" applyBorder="1" applyAlignment="1" applyProtection="1">
      <alignment horizontal="left"/>
    </xf>
    <xf numFmtId="0" fontId="10" fillId="61" borderId="0" xfId="111" applyFont="1" applyFill="1" applyBorder="1" applyAlignment="1" applyProtection="1">
      <alignment horizontal="left"/>
    </xf>
    <xf numFmtId="0" fontId="10" fillId="61" borderId="22" xfId="111" applyFont="1" applyFill="1" applyBorder="1" applyAlignment="1" applyProtection="1">
      <alignment horizontal="left"/>
    </xf>
    <xf numFmtId="0" fontId="10" fillId="61" borderId="23" xfId="111" applyFont="1" applyFill="1" applyBorder="1" applyProtection="1"/>
    <xf numFmtId="0" fontId="10" fillId="61" borderId="24" xfId="111" applyFont="1" applyFill="1" applyBorder="1" applyProtection="1"/>
    <xf numFmtId="0" fontId="10" fillId="61" borderId="25" xfId="111" applyFont="1" applyFill="1" applyBorder="1" applyProtection="1"/>
    <xf numFmtId="0" fontId="10" fillId="61" borderId="18" xfId="111" applyFont="1" applyFill="1" applyBorder="1" applyAlignment="1" applyProtection="1">
      <alignment horizontal="left"/>
    </xf>
    <xf numFmtId="0" fontId="10" fillId="61" borderId="23" xfId="111" applyFont="1" applyFill="1" applyBorder="1" applyAlignment="1" applyProtection="1">
      <alignment horizontal="left"/>
    </xf>
    <xf numFmtId="0" fontId="17" fillId="61" borderId="0" xfId="111" applyFont="1" applyFill="1" applyBorder="1" applyProtection="1"/>
    <xf numFmtId="0" fontId="69" fillId="61" borderId="0" xfId="111" applyFont="1" applyFill="1" applyProtection="1"/>
    <xf numFmtId="0" fontId="17" fillId="61" borderId="24" xfId="111" applyFont="1" applyFill="1" applyBorder="1" applyProtection="1"/>
    <xf numFmtId="182" fontId="17" fillId="75" borderId="21" xfId="111" applyNumberFormat="1" applyFont="1" applyFill="1" applyBorder="1" applyAlignment="1" applyProtection="1">
      <alignment horizontal="centerContinuous" vertical="top"/>
    </xf>
    <xf numFmtId="0" fontId="17" fillId="75" borderId="0" xfId="111" applyFont="1" applyFill="1" applyBorder="1" applyAlignment="1" applyProtection="1">
      <alignment horizontal="centerContinuous" vertical="top"/>
    </xf>
    <xf numFmtId="0" fontId="17" fillId="75" borderId="0" xfId="111" applyFont="1" applyFill="1" applyBorder="1" applyAlignment="1" applyProtection="1">
      <alignment vertical="top"/>
    </xf>
    <xf numFmtId="0" fontId="17" fillId="75" borderId="0" xfId="111" applyFont="1" applyFill="1" applyBorder="1" applyAlignment="1" applyProtection="1">
      <alignment horizontal="right" vertical="center"/>
    </xf>
    <xf numFmtId="22" fontId="17" fillId="75" borderId="0" xfId="111" applyNumberFormat="1" applyFont="1" applyFill="1" applyBorder="1" applyAlignment="1" applyProtection="1">
      <alignment horizontal="left" vertical="top"/>
    </xf>
    <xf numFmtId="0" fontId="17" fillId="75" borderId="22" xfId="111" applyFont="1" applyFill="1" applyBorder="1" applyAlignment="1" applyProtection="1">
      <alignment horizontal="centerContinuous" vertical="top"/>
    </xf>
    <xf numFmtId="182" fontId="17" fillId="75" borderId="23" xfId="111" applyNumberFormat="1" applyFont="1" applyFill="1" applyBorder="1" applyAlignment="1" applyProtection="1">
      <alignment horizontal="centerContinuous" vertical="top"/>
    </xf>
    <xf numFmtId="0" fontId="17" fillId="75" borderId="24" xfId="111" applyFont="1" applyFill="1" applyBorder="1" applyAlignment="1" applyProtection="1">
      <alignment horizontal="centerContinuous" vertical="top"/>
    </xf>
    <xf numFmtId="0" fontId="17" fillId="75" borderId="24" xfId="111" applyFont="1" applyFill="1" applyBorder="1" applyAlignment="1" applyProtection="1">
      <alignment vertical="top"/>
    </xf>
    <xf numFmtId="0" fontId="17" fillId="75" borderId="24" xfId="111" applyFont="1" applyFill="1" applyBorder="1" applyAlignment="1" applyProtection="1">
      <alignment horizontal="right" vertical="center"/>
    </xf>
    <xf numFmtId="22" fontId="17" fillId="75" borderId="24" xfId="111" applyNumberFormat="1" applyFont="1" applyFill="1" applyBorder="1" applyAlignment="1" applyProtection="1">
      <alignment horizontal="left" vertical="top"/>
    </xf>
    <xf numFmtId="0" fontId="17" fillId="75" borderId="25" xfId="111" applyFont="1" applyFill="1" applyBorder="1" applyAlignment="1" applyProtection="1">
      <alignment horizontal="centerContinuous" vertical="top"/>
    </xf>
    <xf numFmtId="182" fontId="10" fillId="94" borderId="24" xfId="111" quotePrefix="1" applyNumberFormat="1" applyFont="1" applyFill="1" applyBorder="1" applyAlignment="1" applyProtection="1">
      <alignment horizontal="centerContinuous" vertical="center"/>
      <protection locked="0"/>
    </xf>
    <xf numFmtId="0" fontId="17" fillId="75" borderId="18" xfId="111" applyFont="1" applyFill="1" applyBorder="1" applyProtection="1"/>
    <xf numFmtId="0" fontId="17" fillId="75" borderId="19" xfId="111" applyFont="1" applyFill="1" applyBorder="1" applyProtection="1"/>
    <xf numFmtId="0" fontId="17" fillId="75" borderId="0" xfId="111" applyFont="1" applyFill="1" applyBorder="1" applyProtection="1"/>
    <xf numFmtId="0" fontId="116" fillId="75" borderId="0" xfId="1302" applyFont="1" applyFill="1" applyBorder="1" applyAlignment="1" applyProtection="1"/>
    <xf numFmtId="0" fontId="17" fillId="75" borderId="21" xfId="111" applyFont="1" applyFill="1" applyBorder="1" applyProtection="1"/>
    <xf numFmtId="0" fontId="69" fillId="75" borderId="23" xfId="111" applyFont="1" applyFill="1" applyBorder="1" applyProtection="1"/>
    <xf numFmtId="0" fontId="17" fillId="75" borderId="24" xfId="111" applyFont="1" applyFill="1" applyBorder="1" applyProtection="1"/>
    <xf numFmtId="0" fontId="0" fillId="75" borderId="0" xfId="0" applyFill="1"/>
    <xf numFmtId="0" fontId="21" fillId="60" borderId="59" xfId="111" applyFont="1" applyFill="1" applyBorder="1" applyAlignment="1" applyProtection="1">
      <alignment vertical="center"/>
    </xf>
    <xf numFmtId="0" fontId="21" fillId="60" borderId="59" xfId="111" applyFont="1" applyFill="1" applyBorder="1" applyAlignment="1" applyProtection="1">
      <alignment horizontal="right" vertical="center"/>
    </xf>
    <xf numFmtId="0" fontId="17" fillId="60" borderId="21" xfId="195" applyFont="1" applyFill="1" applyBorder="1"/>
    <xf numFmtId="0" fontId="17" fillId="0" borderId="0" xfId="195" applyFont="1" applyFill="1" applyBorder="1"/>
    <xf numFmtId="0" fontId="22" fillId="0" borderId="0" xfId="195" applyFont="1" applyBorder="1"/>
    <xf numFmtId="0" fontId="17" fillId="0" borderId="21" xfId="195" applyFont="1" applyFill="1" applyBorder="1"/>
    <xf numFmtId="0" fontId="69" fillId="60" borderId="21" xfId="195" applyFont="1" applyFill="1" applyBorder="1"/>
    <xf numFmtId="0" fontId="6" fillId="56" borderId="27" xfId="0" applyFont="1" applyFill="1" applyBorder="1"/>
    <xf numFmtId="14" fontId="6" fillId="56" borderId="27" xfId="0" applyNumberFormat="1" applyFont="1" applyFill="1" applyBorder="1"/>
    <xf numFmtId="9" fontId="6" fillId="56" borderId="27" xfId="67" applyFont="1" applyFill="1" applyBorder="1"/>
    <xf numFmtId="3" fontId="6" fillId="0" borderId="0" xfId="67" applyNumberFormat="1" applyFont="1" applyFill="1" applyBorder="1"/>
    <xf numFmtId="0" fontId="6" fillId="56" borderId="26" xfId="0" applyFont="1" applyFill="1" applyBorder="1"/>
    <xf numFmtId="0" fontId="22" fillId="0" borderId="21" xfId="195" applyFont="1" applyBorder="1"/>
    <xf numFmtId="0" fontId="6" fillId="0" borderId="0" xfId="195" applyFont="1" applyFill="1" applyBorder="1"/>
    <xf numFmtId="3" fontId="22" fillId="61" borderId="0" xfId="195" applyNumberFormat="1" applyFont="1" applyFill="1" applyBorder="1"/>
    <xf numFmtId="0" fontId="22" fillId="0" borderId="21" xfId="195" applyFont="1" applyBorder="1" applyAlignment="1"/>
    <xf numFmtId="2" fontId="6" fillId="94" borderId="27" xfId="67" applyNumberFormat="1" applyFont="1" applyFill="1" applyBorder="1"/>
    <xf numFmtId="2" fontId="6" fillId="94" borderId="27" xfId="0" applyNumberFormat="1" applyFont="1" applyFill="1" applyBorder="1"/>
    <xf numFmtId="173" fontId="6" fillId="0" borderId="0" xfId="0" applyNumberFormat="1" applyFont="1" applyFill="1" applyBorder="1"/>
    <xf numFmtId="3" fontId="6" fillId="56" borderId="27" xfId="0" applyNumberFormat="1" applyFont="1" applyFill="1" applyBorder="1"/>
    <xf numFmtId="0" fontId="12" fillId="75" borderId="0" xfId="111" applyFont="1" applyFill="1" applyBorder="1" applyAlignment="1" applyProtection="1">
      <alignment vertical="center"/>
    </xf>
    <xf numFmtId="172" fontId="6" fillId="42" borderId="66" xfId="1" applyNumberFormat="1" applyFont="1" applyFill="1" applyBorder="1"/>
    <xf numFmtId="0" fontId="6" fillId="57" borderId="33" xfId="1" applyFont="1" applyFill="1" applyBorder="1"/>
    <xf numFmtId="0" fontId="64" fillId="73" borderId="27" xfId="1" applyFont="1" applyFill="1" applyBorder="1"/>
    <xf numFmtId="10" fontId="6" fillId="73" borderId="27" xfId="0" applyNumberFormat="1" applyFont="1" applyFill="1" applyBorder="1"/>
    <xf numFmtId="14" fontId="6" fillId="61" borderId="27" xfId="0" applyNumberFormat="1" applyFont="1" applyFill="1" applyBorder="1"/>
    <xf numFmtId="0" fontId="69" fillId="75" borderId="0" xfId="0" applyFont="1" applyFill="1" applyAlignment="1">
      <alignment horizontal="center" vertical="center"/>
    </xf>
    <xf numFmtId="0" fontId="21" fillId="60" borderId="19" xfId="111" applyFont="1" applyFill="1" applyBorder="1" applyAlignment="1" applyProtection="1">
      <alignment horizontal="right" vertical="center"/>
    </xf>
    <xf numFmtId="0" fontId="6" fillId="57" borderId="0" xfId="0" applyFont="1" applyFill="1" applyBorder="1" applyAlignment="1">
      <alignment horizontal="center"/>
    </xf>
    <xf numFmtId="0" fontId="69" fillId="60" borderId="0" xfId="0" applyFont="1" applyFill="1" applyBorder="1" applyAlignment="1">
      <alignment horizontal="center" wrapText="1"/>
    </xf>
    <xf numFmtId="0" fontId="117" fillId="73" borderId="27" xfId="0" applyFont="1" applyFill="1" applyBorder="1"/>
    <xf numFmtId="3" fontId="117" fillId="73" borderId="27" xfId="0" applyNumberFormat="1" applyFont="1" applyFill="1" applyBorder="1"/>
    <xf numFmtId="0" fontId="117" fillId="0" borderId="0" xfId="0" applyFont="1" applyFill="1" applyBorder="1"/>
    <xf numFmtId="167" fontId="117" fillId="73" borderId="27" xfId="0" applyNumberFormat="1" applyFont="1" applyFill="1" applyBorder="1"/>
    <xf numFmtId="0" fontId="69" fillId="75" borderId="0" xfId="0" applyFont="1" applyFill="1" applyBorder="1"/>
    <xf numFmtId="0" fontId="117" fillId="61" borderId="0" xfId="0" applyFont="1" applyFill="1" applyBorder="1"/>
    <xf numFmtId="167" fontId="117" fillId="61" borderId="0" xfId="67" applyNumberFormat="1" applyFont="1" applyFill="1" applyBorder="1"/>
    <xf numFmtId="167" fontId="117" fillId="61" borderId="49" xfId="67" applyNumberFormat="1" applyFont="1" applyFill="1" applyBorder="1"/>
    <xf numFmtId="167" fontId="117" fillId="61" borderId="29" xfId="67" applyNumberFormat="1" applyFont="1" applyFill="1" applyBorder="1"/>
    <xf numFmtId="2" fontId="117" fillId="73" borderId="0" xfId="1" applyNumberFormat="1" applyFont="1" applyFill="1" applyBorder="1" applyProtection="1"/>
    <xf numFmtId="167" fontId="117" fillId="73" borderId="28" xfId="1" applyNumberFormat="1" applyFont="1" applyFill="1" applyBorder="1" applyProtection="1"/>
    <xf numFmtId="167" fontId="117" fillId="73" borderId="27" xfId="1" applyNumberFormat="1" applyFont="1" applyFill="1" applyBorder="1" applyProtection="1"/>
    <xf numFmtId="167" fontId="117" fillId="73" borderId="0" xfId="0" applyNumberFormat="1" applyFont="1" applyFill="1"/>
    <xf numFmtId="0" fontId="117" fillId="61" borderId="24" xfId="1" applyFont="1" applyFill="1" applyBorder="1"/>
    <xf numFmtId="0" fontId="117" fillId="57" borderId="0" xfId="1" applyFont="1" applyFill="1" applyBorder="1"/>
    <xf numFmtId="172" fontId="117" fillId="73" borderId="26" xfId="1" applyNumberFormat="1" applyFont="1" applyFill="1" applyBorder="1"/>
    <xf numFmtId="0" fontId="69" fillId="75" borderId="0" xfId="0" applyFont="1" applyFill="1"/>
    <xf numFmtId="0" fontId="22" fillId="94" borderId="42" xfId="195" applyFont="1" applyFill="1" applyBorder="1" applyAlignment="1">
      <alignment horizontal="left" indent="1"/>
    </xf>
    <xf numFmtId="173" fontId="22" fillId="94" borderId="27" xfId="56" applyNumberFormat="1" applyFont="1" applyFill="1" applyBorder="1" applyAlignment="1">
      <alignment horizontal="left" indent="1"/>
    </xf>
    <xf numFmtId="14" fontId="22" fillId="94" borderId="31" xfId="195" applyNumberFormat="1" applyFont="1" applyFill="1" applyBorder="1" applyAlignment="1">
      <alignment horizontal="right" indent="1"/>
    </xf>
    <xf numFmtId="0" fontId="22" fillId="94" borderId="31" xfId="195" applyFont="1" applyFill="1" applyBorder="1" applyAlignment="1">
      <alignment horizontal="right" indent="1"/>
    </xf>
    <xf numFmtId="0" fontId="6" fillId="94" borderId="42" xfId="195" applyFont="1" applyFill="1" applyBorder="1" applyAlignment="1">
      <alignment horizontal="left" indent="1"/>
    </xf>
    <xf numFmtId="173" fontId="22" fillId="94" borderId="27" xfId="56" applyNumberFormat="1" applyFont="1" applyFill="1" applyBorder="1" applyAlignment="1">
      <alignment horizontal="right" indent="1"/>
    </xf>
    <xf numFmtId="173" fontId="64" fillId="0" borderId="0" xfId="0" applyNumberFormat="1" applyFont="1" applyBorder="1"/>
    <xf numFmtId="3" fontId="64" fillId="0" borderId="0" xfId="0" applyNumberFormat="1" applyFont="1" applyBorder="1"/>
    <xf numFmtId="0" fontId="69" fillId="61" borderId="0" xfId="0" applyFont="1" applyFill="1" applyBorder="1" applyAlignment="1">
      <alignment horizontal="center" wrapText="1"/>
    </xf>
    <xf numFmtId="0" fontId="66" fillId="61" borderId="0" xfId="0" applyFont="1" applyFill="1" applyBorder="1" applyAlignment="1">
      <alignment horizontal="left"/>
    </xf>
    <xf numFmtId="0" fontId="69" fillId="61" borderId="0" xfId="0" applyFont="1" applyFill="1" applyBorder="1"/>
    <xf numFmtId="0" fontId="69" fillId="61" borderId="0" xfId="0" applyFont="1" applyFill="1" applyBorder="1" applyAlignment="1"/>
    <xf numFmtId="3" fontId="6" fillId="61" borderId="0" xfId="0" applyNumberFormat="1" applyFont="1" applyFill="1" applyBorder="1"/>
    <xf numFmtId="3" fontId="6" fillId="61" borderId="0" xfId="0" applyNumberFormat="1" applyFont="1" applyFill="1" applyBorder="1" applyAlignment="1"/>
    <xf numFmtId="3" fontId="6" fillId="61" borderId="0" xfId="110" applyNumberFormat="1" applyFont="1" applyFill="1" applyBorder="1" applyAlignment="1"/>
    <xf numFmtId="3" fontId="6" fillId="61" borderId="49" xfId="110" applyNumberFormat="1" applyFont="1" applyFill="1" applyBorder="1"/>
    <xf numFmtId="0" fontId="22" fillId="61" borderId="42" xfId="195" applyFont="1" applyFill="1" applyBorder="1" applyAlignment="1">
      <alignment horizontal="left" indent="1"/>
    </xf>
    <xf numFmtId="0" fontId="22" fillId="61" borderId="27" xfId="195" applyFont="1" applyFill="1" applyBorder="1" applyAlignment="1">
      <alignment horizontal="left" indent="1"/>
    </xf>
    <xf numFmtId="14" fontId="22" fillId="61" borderId="31" xfId="195" applyNumberFormat="1" applyFont="1" applyFill="1" applyBorder="1" applyAlignment="1">
      <alignment horizontal="right" indent="1"/>
    </xf>
    <xf numFmtId="0" fontId="22" fillId="61" borderId="31" xfId="195" applyFont="1" applyFill="1" applyBorder="1" applyAlignment="1">
      <alignment horizontal="right" indent="1"/>
    </xf>
    <xf numFmtId="0" fontId="6" fillId="61" borderId="42" xfId="195" applyFont="1" applyFill="1" applyBorder="1" applyAlignment="1">
      <alignment horizontal="left" indent="1"/>
    </xf>
    <xf numFmtId="0" fontId="17" fillId="60" borderId="21" xfId="0" applyFont="1" applyFill="1" applyBorder="1" applyAlignment="1">
      <alignment vertical="top"/>
    </xf>
    <xf numFmtId="14" fontId="22" fillId="94" borderId="27" xfId="195" applyNumberFormat="1" applyFont="1" applyFill="1" applyBorder="1" applyAlignment="1">
      <alignment horizontal="right" indent="1"/>
    </xf>
    <xf numFmtId="167" fontId="6" fillId="73" borderId="27" xfId="5" applyNumberFormat="1" applyFont="1" applyFill="1" applyBorder="1" applyProtection="1"/>
    <xf numFmtId="0" fontId="117" fillId="61" borderId="21" xfId="5" applyFont="1" applyFill="1" applyBorder="1"/>
    <xf numFmtId="167" fontId="117" fillId="73" borderId="27" xfId="5" applyNumberFormat="1" applyFont="1" applyFill="1" applyBorder="1" applyProtection="1"/>
    <xf numFmtId="0" fontId="117" fillId="61" borderId="27" xfId="5" applyFont="1" applyFill="1" applyBorder="1"/>
    <xf numFmtId="0" fontId="6" fillId="0" borderId="0" xfId="0" applyFont="1" applyBorder="1" applyAlignment="1">
      <alignment horizontal="center"/>
    </xf>
    <xf numFmtId="183" fontId="6" fillId="69" borderId="27" xfId="0" applyNumberFormat="1" applyFont="1" applyFill="1" applyBorder="1"/>
    <xf numFmtId="3" fontId="6" fillId="61" borderId="49" xfId="110" applyNumberFormat="1" applyFont="1" applyFill="1" applyBorder="1" applyAlignment="1"/>
    <xf numFmtId="3" fontId="6" fillId="74" borderId="0" xfId="110" applyNumberFormat="1" applyFont="1" applyFill="1" applyBorder="1" applyAlignment="1"/>
    <xf numFmtId="3" fontId="6" fillId="61" borderId="27" xfId="67" applyNumberFormat="1" applyFont="1" applyFill="1" applyBorder="1"/>
    <xf numFmtId="0" fontId="69" fillId="75" borderId="0" xfId="0" applyFont="1" applyFill="1" applyBorder="1" applyAlignment="1">
      <alignment horizontal="center"/>
    </xf>
    <xf numFmtId="0" fontId="69" fillId="60" borderId="0" xfId="0" applyFont="1" applyFill="1" applyBorder="1" applyAlignment="1">
      <alignment horizontal="right"/>
    </xf>
    <xf numFmtId="0" fontId="69" fillId="75" borderId="0" xfId="0" applyFont="1" applyFill="1" applyBorder="1" applyAlignment="1">
      <alignment horizontal="right"/>
    </xf>
    <xf numFmtId="181" fontId="6" fillId="0" borderId="0" xfId="0" applyNumberFormat="1" applyFont="1" applyFill="1" applyBorder="1"/>
    <xf numFmtId="167" fontId="6" fillId="69" borderId="27" xfId="0" applyNumberFormat="1" applyFont="1" applyFill="1" applyBorder="1"/>
    <xf numFmtId="0" fontId="17" fillId="60" borderId="0" xfId="0" applyFont="1" applyFill="1" applyBorder="1" applyAlignment="1">
      <alignment horizontal="center" vertical="center"/>
    </xf>
    <xf numFmtId="0" fontId="117" fillId="61" borderId="49" xfId="0" applyFont="1" applyFill="1" applyBorder="1"/>
    <xf numFmtId="172" fontId="117" fillId="73" borderId="27" xfId="5" applyNumberFormat="1" applyFont="1" applyFill="1" applyBorder="1"/>
    <xf numFmtId="3" fontId="6" fillId="95" borderId="27" xfId="0" applyNumberFormat="1" applyFont="1" applyFill="1" applyBorder="1"/>
    <xf numFmtId="3" fontId="117" fillId="96" borderId="27" xfId="0" applyNumberFormat="1" applyFont="1" applyFill="1" applyBorder="1"/>
    <xf numFmtId="3" fontId="117" fillId="73" borderId="28" xfId="67" applyNumberFormat="1" applyFont="1" applyFill="1" applyBorder="1"/>
    <xf numFmtId="4" fontId="6" fillId="94" borderId="27" xfId="110" applyNumberFormat="1" applyFont="1" applyFill="1" applyBorder="1"/>
    <xf numFmtId="4" fontId="6" fillId="94" borderId="38" xfId="110" applyNumberFormat="1" applyFont="1" applyFill="1" applyBorder="1"/>
    <xf numFmtId="0" fontId="6" fillId="69" borderId="38" xfId="0" applyFont="1" applyFill="1" applyBorder="1"/>
    <xf numFmtId="0" fontId="66" fillId="60" borderId="0" xfId="0" applyFont="1" applyFill="1" applyBorder="1" applyAlignment="1">
      <alignment horizontal="center" vertical="center"/>
    </xf>
    <xf numFmtId="0" fontId="6" fillId="69" borderId="31" xfId="0" applyFont="1" applyFill="1" applyBorder="1"/>
    <xf numFmtId="3" fontId="6" fillId="69" borderId="32" xfId="5" applyNumberFormat="1" applyFont="1" applyFill="1" applyBorder="1"/>
    <xf numFmtId="2" fontId="6" fillId="61" borderId="0" xfId="5" applyNumberFormat="1" applyFont="1" applyFill="1" applyBorder="1"/>
    <xf numFmtId="2" fontId="6" fillId="61" borderId="0" xfId="0" applyNumberFormat="1" applyFont="1" applyFill="1" applyBorder="1"/>
    <xf numFmtId="0" fontId="6" fillId="0" borderId="42" xfId="0" applyFont="1" applyBorder="1"/>
    <xf numFmtId="3" fontId="6" fillId="61" borderId="43" xfId="0" applyNumberFormat="1" applyFont="1" applyFill="1" applyBorder="1"/>
    <xf numFmtId="3" fontId="6" fillId="69" borderId="0" xfId="0" applyNumberFormat="1" applyFont="1" applyFill="1" applyBorder="1"/>
    <xf numFmtId="3" fontId="6" fillId="95" borderId="27" xfId="5" applyNumberFormat="1" applyFont="1" applyFill="1" applyBorder="1"/>
    <xf numFmtId="0" fontId="21" fillId="0" borderId="0" xfId="111" applyFont="1" applyFill="1" applyBorder="1" applyAlignment="1" applyProtection="1">
      <alignment horizontal="right" vertical="center"/>
    </xf>
    <xf numFmtId="10" fontId="117" fillId="73" borderId="27" xfId="0" applyNumberFormat="1" applyFont="1" applyFill="1" applyBorder="1"/>
    <xf numFmtId="10" fontId="117" fillId="73" borderId="27" xfId="67" applyNumberFormat="1" applyFont="1" applyFill="1" applyBorder="1"/>
    <xf numFmtId="3" fontId="6" fillId="0" borderId="27" xfId="104" applyNumberFormat="1" applyFont="1" applyFill="1" applyBorder="1" applyAlignment="1" applyProtection="1">
      <alignment horizontal="right" indent="1"/>
      <protection locked="0"/>
    </xf>
    <xf numFmtId="0" fontId="22" fillId="61" borderId="0" xfId="195" applyFont="1" applyFill="1" applyBorder="1" applyAlignment="1">
      <alignment horizontal="center"/>
    </xf>
    <xf numFmtId="3" fontId="10" fillId="61" borderId="0" xfId="563" applyNumberFormat="1" applyFont="1" applyFill="1" applyBorder="1" applyAlignment="1">
      <alignment horizontal="center" vertical="top"/>
    </xf>
    <xf numFmtId="0" fontId="22" fillId="61" borderId="0" xfId="195" applyFont="1" applyFill="1" applyBorder="1"/>
    <xf numFmtId="0" fontId="6" fillId="61" borderId="0" xfId="428" applyFont="1" applyFill="1" applyBorder="1" applyAlignment="1">
      <alignment horizontal="left" indent="1"/>
    </xf>
    <xf numFmtId="10" fontId="6" fillId="61" borderId="0" xfId="5" applyNumberFormat="1" applyFont="1" applyFill="1" applyBorder="1"/>
    <xf numFmtId="0" fontId="6" fillId="61" borderId="0" xfId="428" applyFont="1" applyFill="1" applyBorder="1"/>
    <xf numFmtId="3" fontId="6" fillId="61" borderId="0" xfId="195" applyNumberFormat="1" applyFont="1" applyFill="1" applyBorder="1"/>
    <xf numFmtId="0" fontId="10" fillId="61" borderId="0" xfId="428" applyFont="1" applyFill="1" applyBorder="1" applyAlignment="1">
      <alignment horizontal="left"/>
    </xf>
    <xf numFmtId="10" fontId="10" fillId="61" borderId="0" xfId="67" applyNumberFormat="1" applyFont="1" applyFill="1" applyBorder="1"/>
    <xf numFmtId="164" fontId="119" fillId="73" borderId="34" xfId="120" applyNumberFormat="1" applyFont="1" applyFill="1" applyBorder="1" applyAlignment="1" applyProtection="1">
      <protection locked="0"/>
    </xf>
    <xf numFmtId="0" fontId="117" fillId="73" borderId="59" xfId="113" applyFont="1" applyFill="1" applyBorder="1"/>
    <xf numFmtId="0" fontId="10" fillId="60" borderId="0" xfId="190" applyNumberFormat="1" applyFont="1" applyFill="1" applyBorder="1" applyAlignment="1" applyProtection="1">
      <alignment horizontal="center" vertical="center" wrapText="1"/>
    </xf>
    <xf numFmtId="0" fontId="59" fillId="60" borderId="0" xfId="190" applyNumberFormat="1" applyFont="1" applyFill="1" applyBorder="1" applyAlignment="1" applyProtection="1">
      <alignment horizontal="center" vertical="center" wrapText="1"/>
    </xf>
    <xf numFmtId="3" fontId="59" fillId="0" borderId="0" xfId="115" applyNumberFormat="1" applyFont="1" applyFill="1" applyBorder="1" applyAlignment="1" applyProtection="1">
      <alignment horizontal="center" vertical="center" wrapText="1"/>
    </xf>
    <xf numFmtId="3" fontId="59" fillId="60" borderId="0" xfId="115" applyNumberFormat="1" applyFont="1" applyFill="1" applyBorder="1" applyAlignment="1" applyProtection="1">
      <alignment horizontal="center" vertical="center" wrapText="1"/>
    </xf>
    <xf numFmtId="4" fontId="60" fillId="0" borderId="0" xfId="115" applyNumberFormat="1" applyFont="1" applyFill="1" applyBorder="1" applyAlignment="1" applyProtection="1">
      <alignment horizontal="center" vertical="center" wrapText="1"/>
    </xf>
    <xf numFmtId="167" fontId="6" fillId="94" borderId="27" xfId="56" quotePrefix="1" applyNumberFormat="1" applyFont="1" applyFill="1" applyBorder="1" applyAlignment="1" applyProtection="1">
      <alignment horizontal="right" vertical="center" indent="1"/>
      <protection locked="0"/>
    </xf>
    <xf numFmtId="179" fontId="6" fillId="94" borderId="39" xfId="56" applyNumberFormat="1" applyFont="1" applyFill="1" applyBorder="1" applyAlignment="1" applyProtection="1">
      <alignment horizontal="left" vertical="center" indent="1"/>
      <protection locked="0"/>
    </xf>
    <xf numFmtId="0" fontId="60" fillId="0" borderId="0" xfId="115" quotePrefix="1" applyNumberFormat="1" applyFont="1" applyFill="1" applyBorder="1" applyAlignment="1" applyProtection="1">
      <alignment horizontal="center" vertical="center" wrapText="1"/>
    </xf>
    <xf numFmtId="172" fontId="6" fillId="61" borderId="27" xfId="111" applyNumberFormat="1" applyFont="1" applyFill="1" applyBorder="1" applyAlignment="1" applyProtection="1">
      <alignment horizontal="right" vertical="center"/>
    </xf>
    <xf numFmtId="0" fontId="121" fillId="0" borderId="0" xfId="1" applyFont="1" applyFill="1" applyAlignment="1">
      <alignment horizontal="center"/>
    </xf>
    <xf numFmtId="3" fontId="6" fillId="94" borderId="39" xfId="104" applyNumberFormat="1" applyFont="1" applyFill="1" applyBorder="1" applyAlignment="1" applyProtection="1">
      <alignment horizontal="left" vertical="center" indent="1"/>
    </xf>
    <xf numFmtId="179" fontId="6" fillId="61" borderId="27" xfId="56" applyNumberFormat="1" applyFont="1" applyFill="1" applyBorder="1" applyAlignment="1" applyProtection="1">
      <alignment horizontal="right" vertical="center"/>
    </xf>
    <xf numFmtId="4" fontId="22" fillId="61" borderId="27" xfId="193" applyNumberFormat="1" applyFont="1" applyFill="1" applyBorder="1"/>
    <xf numFmtId="0" fontId="16" fillId="60" borderId="0" xfId="111" applyFont="1" applyFill="1" applyBorder="1" applyAlignment="1" applyProtection="1">
      <alignment horizontal="left" vertical="center"/>
    </xf>
    <xf numFmtId="0" fontId="21" fillId="60" borderId="0" xfId="111" applyFont="1" applyFill="1" applyBorder="1" applyAlignment="1" applyProtection="1">
      <alignment horizontal="right" vertical="center"/>
    </xf>
    <xf numFmtId="0" fontId="69" fillId="75" borderId="0" xfId="0" applyFont="1" applyFill="1" applyBorder="1" applyAlignment="1">
      <alignment horizontal="center" vertical="center"/>
    </xf>
    <xf numFmtId="0" fontId="69" fillId="61" borderId="0" xfId="0" applyFont="1" applyFill="1" applyBorder="1" applyAlignment="1">
      <alignment horizontal="center"/>
    </xf>
    <xf numFmtId="0" fontId="69" fillId="61" borderId="0" xfId="0" applyFont="1" applyFill="1" applyBorder="1" applyAlignment="1">
      <alignment horizontal="left"/>
    </xf>
    <xf numFmtId="0" fontId="69" fillId="60" borderId="0" xfId="0" applyFont="1" applyFill="1" applyBorder="1" applyAlignment="1">
      <alignment horizontal="center" vertical="center"/>
    </xf>
    <xf numFmtId="0" fontId="6" fillId="0" borderId="0" xfId="0" applyFont="1" applyFill="1" applyBorder="1" applyAlignment="1">
      <alignment horizontal="center"/>
    </xf>
    <xf numFmtId="164" fontId="6" fillId="61" borderId="27" xfId="562" applyNumberFormat="1" applyFont="1" applyFill="1" applyBorder="1" applyAlignment="1" applyProtection="1">
      <alignment horizontal="center"/>
    </xf>
    <xf numFmtId="179" fontId="0" fillId="61" borderId="27" xfId="56" applyNumberFormat="1" applyFont="1" applyFill="1" applyBorder="1"/>
    <xf numFmtId="4" fontId="0" fillId="61" borderId="27" xfId="0" applyNumberFormat="1" applyFill="1" applyBorder="1"/>
    <xf numFmtId="173" fontId="6" fillId="42" borderId="31" xfId="194" applyNumberFormat="1" applyFont="1" applyFill="1" applyBorder="1"/>
    <xf numFmtId="173" fontId="6" fillId="42" borderId="27" xfId="194" applyNumberFormat="1" applyFont="1" applyFill="1" applyBorder="1"/>
    <xf numFmtId="0" fontId="6" fillId="73" borderId="0" xfId="189" applyFont="1" applyFill="1"/>
    <xf numFmtId="173" fontId="6" fillId="73" borderId="31" xfId="194" applyNumberFormat="1" applyFont="1" applyFill="1" applyBorder="1"/>
    <xf numFmtId="173" fontId="6" fillId="94" borderId="27" xfId="56" applyNumberFormat="1" applyFont="1" applyFill="1" applyBorder="1"/>
    <xf numFmtId="3" fontId="6" fillId="69" borderId="27" xfId="189" applyNumberFormat="1" applyFont="1" applyFill="1" applyBorder="1" applyAlignment="1"/>
    <xf numFmtId="3" fontId="6" fillId="69" borderId="33" xfId="111" applyNumberFormat="1" applyFont="1" applyFill="1" applyBorder="1" applyAlignment="1" applyProtection="1">
      <alignment horizontal="right" vertical="center"/>
    </xf>
    <xf numFmtId="0" fontId="6" fillId="94" borderId="27" xfId="192" quotePrefix="1" applyNumberFormat="1" applyFont="1" applyFill="1" applyBorder="1" applyAlignment="1" applyProtection="1">
      <alignment horizontal="left" vertical="center" indent="1"/>
      <protection locked="0"/>
    </xf>
    <xf numFmtId="4" fontId="22" fillId="94" borderId="27" xfId="193" applyNumberFormat="1" applyFont="1" applyFill="1" applyBorder="1"/>
    <xf numFmtId="3" fontId="6" fillId="94" borderId="27" xfId="104" applyNumberFormat="1" applyFont="1" applyFill="1" applyBorder="1" applyAlignment="1" applyProtection="1">
      <alignment horizontal="left" vertical="center" indent="1"/>
    </xf>
    <xf numFmtId="0" fontId="6" fillId="61" borderId="0" xfId="433" applyFont="1" applyFill="1"/>
    <xf numFmtId="3" fontId="114" fillId="61" borderId="0" xfId="189" applyNumberFormat="1" applyFont="1" applyFill="1" applyBorder="1"/>
    <xf numFmtId="0" fontId="6" fillId="61" borderId="27" xfId="192" quotePrefix="1" applyNumberFormat="1" applyFont="1" applyFill="1" applyBorder="1" applyAlignment="1" applyProtection="1">
      <alignment horizontal="center" vertical="center"/>
      <protection locked="0"/>
    </xf>
    <xf numFmtId="0" fontId="6" fillId="94" borderId="27" xfId="192" quotePrefix="1" applyNumberFormat="1" applyFont="1" applyFill="1" applyBorder="1" applyAlignment="1" applyProtection="1">
      <alignment horizontal="center" vertical="center"/>
      <protection locked="0"/>
    </xf>
    <xf numFmtId="0" fontId="69" fillId="75" borderId="0" xfId="0" applyFont="1" applyFill="1" applyBorder="1" applyAlignment="1">
      <alignment horizontal="center" wrapText="1"/>
    </xf>
    <xf numFmtId="173" fontId="6" fillId="69" borderId="27" xfId="56" applyNumberFormat="1" applyFont="1" applyFill="1" applyBorder="1"/>
    <xf numFmtId="3" fontId="6" fillId="58" borderId="27" xfId="104" applyNumberFormat="1" applyFont="1" applyFill="1" applyBorder="1" applyAlignment="1" applyProtection="1">
      <alignment vertical="center"/>
    </xf>
    <xf numFmtId="0" fontId="17" fillId="60" borderId="19" xfId="0" applyFont="1" applyFill="1" applyBorder="1"/>
    <xf numFmtId="0" fontId="6" fillId="60" borderId="20" xfId="0" applyFont="1" applyFill="1" applyBorder="1"/>
    <xf numFmtId="10" fontId="6" fillId="58" borderId="27" xfId="5" applyNumberFormat="1" applyFont="1" applyFill="1" applyBorder="1" applyProtection="1"/>
    <xf numFmtId="3" fontId="6" fillId="58" borderId="28" xfId="111" applyNumberFormat="1" applyFont="1" applyFill="1" applyBorder="1" applyAlignment="1" applyProtection="1">
      <alignment vertical="center"/>
    </xf>
    <xf numFmtId="3" fontId="6" fillId="58" borderId="27" xfId="111" applyNumberFormat="1" applyFont="1" applyFill="1" applyBorder="1" applyAlignment="1" applyProtection="1">
      <alignment vertical="center"/>
    </xf>
    <xf numFmtId="0" fontId="6" fillId="57" borderId="21" xfId="110" applyFont="1" applyFill="1" applyBorder="1" applyAlignment="1"/>
    <xf numFmtId="0" fontId="18" fillId="75" borderId="0" xfId="0" applyFont="1" applyFill="1" applyBorder="1"/>
    <xf numFmtId="0" fontId="6" fillId="75" borderId="0" xfId="0" applyFont="1" applyFill="1" applyBorder="1"/>
    <xf numFmtId="0" fontId="64" fillId="76" borderId="0" xfId="0" applyFont="1" applyFill="1" applyBorder="1"/>
    <xf numFmtId="0" fontId="64" fillId="75" borderId="0" xfId="0" applyFont="1" applyFill="1" applyBorder="1"/>
    <xf numFmtId="0" fontId="87" fillId="60" borderId="0" xfId="111" applyFont="1" applyFill="1" applyBorder="1" applyAlignment="1" applyProtection="1">
      <alignment horizontal="left" vertical="center"/>
    </xf>
    <xf numFmtId="0" fontId="21" fillId="60" borderId="0" xfId="111" applyFont="1" applyFill="1" applyBorder="1" applyAlignment="1" applyProtection="1">
      <alignment vertical="center"/>
    </xf>
    <xf numFmtId="0" fontId="64" fillId="75" borderId="0" xfId="0" applyFont="1" applyFill="1" applyBorder="1" applyAlignment="1"/>
    <xf numFmtId="0" fontId="85" fillId="75" borderId="0" xfId="111" applyFont="1" applyFill="1" applyBorder="1" applyAlignment="1" applyProtection="1"/>
    <xf numFmtId="0" fontId="55" fillId="57" borderId="18" xfId="0" applyFont="1" applyFill="1" applyBorder="1" applyAlignment="1">
      <alignment horizontal="left"/>
    </xf>
    <xf numFmtId="173" fontId="54" fillId="57" borderId="19" xfId="56" applyNumberFormat="1" applyFont="1" applyFill="1" applyBorder="1"/>
    <xf numFmtId="0" fontId="54" fillId="57" borderId="19" xfId="0" applyFont="1" applyFill="1" applyBorder="1"/>
    <xf numFmtId="0" fontId="0" fillId="57" borderId="19" xfId="0" applyFill="1" applyBorder="1"/>
    <xf numFmtId="173" fontId="6" fillId="0" borderId="19" xfId="56" applyNumberFormat="1" applyFont="1" applyFill="1" applyBorder="1"/>
    <xf numFmtId="0" fontId="64" fillId="57" borderId="19" xfId="0" applyFont="1" applyFill="1" applyBorder="1"/>
    <xf numFmtId="0" fontId="0" fillId="57" borderId="19" xfId="0" applyFill="1" applyBorder="1" applyAlignment="1"/>
    <xf numFmtId="0" fontId="64" fillId="0" borderId="19" xfId="0" applyFont="1" applyFill="1" applyBorder="1" applyAlignment="1">
      <alignment horizontal="center"/>
    </xf>
    <xf numFmtId="0" fontId="0" fillId="57" borderId="20" xfId="0" applyFill="1" applyBorder="1"/>
    <xf numFmtId="0" fontId="6" fillId="75" borderId="22" xfId="0" applyFont="1" applyFill="1" applyBorder="1"/>
    <xf numFmtId="0" fontId="10" fillId="57" borderId="22" xfId="0" applyFont="1" applyFill="1" applyBorder="1"/>
    <xf numFmtId="0" fontId="18" fillId="75" borderId="22" xfId="0" applyFont="1" applyFill="1" applyBorder="1"/>
    <xf numFmtId="0" fontId="18" fillId="0" borderId="22" xfId="0" applyFont="1" applyFill="1" applyBorder="1"/>
    <xf numFmtId="0" fontId="22" fillId="0" borderId="51" xfId="110" applyFont="1" applyFill="1" applyBorder="1"/>
    <xf numFmtId="0" fontId="64" fillId="60" borderId="59" xfId="0" applyFont="1" applyFill="1" applyBorder="1"/>
    <xf numFmtId="0" fontId="6" fillId="60" borderId="59" xfId="0" applyFont="1" applyFill="1" applyBorder="1" applyAlignment="1"/>
    <xf numFmtId="10" fontId="10" fillId="59" borderId="67" xfId="67" applyNumberFormat="1" applyFont="1" applyFill="1" applyBorder="1"/>
    <xf numFmtId="0" fontId="64" fillId="0" borderId="24" xfId="0" applyFont="1" applyBorder="1"/>
    <xf numFmtId="0" fontId="6" fillId="0" borderId="24" xfId="0" applyFont="1" applyBorder="1" applyAlignment="1"/>
    <xf numFmtId="169" fontId="6" fillId="0" borderId="0" xfId="0" applyNumberFormat="1" applyFont="1" applyBorder="1"/>
    <xf numFmtId="3" fontId="6" fillId="69" borderId="27" xfId="0" applyNumberFormat="1" applyFont="1" applyFill="1" applyBorder="1" applyAlignment="1">
      <alignment horizontal="right"/>
    </xf>
    <xf numFmtId="10" fontId="6" fillId="69" borderId="27" xfId="0" applyNumberFormat="1" applyFont="1" applyFill="1" applyBorder="1" applyAlignment="1">
      <alignment horizontal="right"/>
    </xf>
    <xf numFmtId="10" fontId="60" fillId="78" borderId="27" xfId="115" applyNumberFormat="1" applyFont="1" applyFill="1" applyBorder="1" applyAlignment="1" applyProtection="1">
      <alignment horizontal="center" vertical="center" wrapText="1"/>
    </xf>
    <xf numFmtId="0" fontId="59" fillId="60" borderId="24" xfId="115" applyNumberFormat="1" applyFont="1" applyFill="1" applyBorder="1" applyAlignment="1" applyProtection="1">
      <alignment horizontal="center" vertical="center" wrapText="1"/>
    </xf>
    <xf numFmtId="3" fontId="6" fillId="42" borderId="27" xfId="192" applyNumberFormat="1" applyFont="1" applyFill="1" applyBorder="1" applyAlignment="1" applyProtection="1">
      <alignment horizontal="right" vertical="center"/>
      <protection locked="0"/>
    </xf>
    <xf numFmtId="0" fontId="114" fillId="61" borderId="0" xfId="0" applyFont="1" applyFill="1" applyBorder="1"/>
    <xf numFmtId="1" fontId="114" fillId="61" borderId="0" xfId="0" applyNumberFormat="1" applyFont="1" applyFill="1" applyBorder="1"/>
    <xf numFmtId="165" fontId="114" fillId="0" borderId="0" xfId="56" applyNumberFormat="1" applyFont="1" applyFill="1" applyBorder="1" applyAlignment="1" applyProtection="1">
      <alignment horizontal="left" vertical="center" indent="1"/>
      <protection locked="0"/>
    </xf>
    <xf numFmtId="10" fontId="0" fillId="0" borderId="0" xfId="0" applyNumberFormat="1"/>
    <xf numFmtId="0" fontId="6" fillId="0" borderId="0" xfId="0" applyFont="1" applyFill="1" applyBorder="1" applyAlignment="1">
      <alignment horizontal="center"/>
    </xf>
    <xf numFmtId="0" fontId="69" fillId="60" borderId="0" xfId="0" applyFont="1" applyFill="1" applyBorder="1" applyAlignment="1">
      <alignment horizontal="center"/>
    </xf>
    <xf numFmtId="0" fontId="0" fillId="0" borderId="0" xfId="0" applyFont="1" applyFill="1" applyBorder="1" applyAlignment="1">
      <alignment horizontal="center"/>
    </xf>
    <xf numFmtId="0" fontId="0" fillId="0" borderId="0" xfId="0" applyBorder="1" applyAlignment="1">
      <alignment horizontal="center"/>
    </xf>
    <xf numFmtId="0" fontId="0" fillId="0" borderId="0" xfId="0" applyFont="1" applyBorder="1" applyAlignment="1">
      <alignment horizontal="center"/>
    </xf>
    <xf numFmtId="3" fontId="0" fillId="0" borderId="0" xfId="0" applyNumberFormat="1" applyBorder="1"/>
    <xf numFmtId="10" fontId="60" fillId="69" borderId="27" xfId="115" applyNumberFormat="1" applyFont="1" applyFill="1" applyBorder="1" applyAlignment="1" applyProtection="1">
      <alignment horizontal="center" vertical="center" wrapText="1"/>
    </xf>
    <xf numFmtId="0" fontId="6" fillId="0" borderId="42" xfId="192" quotePrefix="1" applyNumberFormat="1" applyFont="1" applyFill="1" applyBorder="1" applyAlignment="1" applyProtection="1">
      <alignment vertical="center"/>
      <protection locked="0"/>
    </xf>
    <xf numFmtId="0" fontId="6" fillId="0" borderId="27" xfId="192" quotePrefix="1" applyNumberFormat="1" applyFont="1" applyFill="1" applyBorder="1" applyAlignment="1" applyProtection="1">
      <alignment vertical="center"/>
      <protection locked="0"/>
    </xf>
    <xf numFmtId="0" fontId="6" fillId="61" borderId="27" xfId="192" quotePrefix="1" applyNumberFormat="1" applyFont="1" applyFill="1" applyBorder="1" applyAlignment="1" applyProtection="1">
      <alignment vertical="center"/>
      <protection locked="0"/>
    </xf>
    <xf numFmtId="0" fontId="6" fillId="61" borderId="42" xfId="192" quotePrefix="1" applyNumberFormat="1" applyFont="1" applyFill="1" applyBorder="1" applyAlignment="1" applyProtection="1">
      <alignment vertical="center"/>
      <protection locked="0"/>
    </xf>
    <xf numFmtId="0" fontId="122" fillId="61" borderId="42" xfId="0" applyFont="1" applyFill="1" applyBorder="1" applyAlignment="1"/>
    <xf numFmtId="0" fontId="122" fillId="61" borderId="27" xfId="0" applyFont="1" applyFill="1" applyBorder="1" applyAlignment="1"/>
    <xf numFmtId="10" fontId="6" fillId="59" borderId="27" xfId="67" applyNumberFormat="1" applyFont="1" applyFill="1" applyBorder="1"/>
    <xf numFmtId="0" fontId="65" fillId="60" borderId="0" xfId="4" applyFont="1" applyFill="1" applyBorder="1"/>
    <xf numFmtId="0" fontId="6" fillId="55" borderId="33" xfId="1" applyFont="1" applyFill="1" applyBorder="1"/>
    <xf numFmtId="167" fontId="6" fillId="69" borderId="0" xfId="0" applyNumberFormat="1" applyFont="1" applyFill="1"/>
    <xf numFmtId="172" fontId="6" fillId="42" borderId="26" xfId="1" applyNumberFormat="1" applyFont="1" applyFill="1" applyBorder="1"/>
    <xf numFmtId="3" fontId="6" fillId="69" borderId="27" xfId="104" applyNumberFormat="1" applyFont="1" applyFill="1" applyBorder="1" applyAlignment="1" applyProtection="1">
      <alignment horizontal="right" indent="1"/>
      <protection locked="0"/>
    </xf>
    <xf numFmtId="164" fontId="11" fillId="59" borderId="34" xfId="120" applyNumberFormat="1" applyFont="1" applyFill="1" applyBorder="1" applyAlignment="1" applyProtection="1">
      <protection locked="0"/>
    </xf>
    <xf numFmtId="0" fontId="12" fillId="59" borderId="59" xfId="113" applyFont="1" applyFill="1" applyBorder="1"/>
    <xf numFmtId="164" fontId="11" fillId="42" borderId="34" xfId="120" applyNumberFormat="1" applyFont="1" applyFill="1" applyBorder="1" applyAlignment="1" applyProtection="1">
      <protection locked="0"/>
    </xf>
    <xf numFmtId="0" fontId="12" fillId="42" borderId="59" xfId="113" applyFont="1" applyFill="1" applyBorder="1"/>
    <xf numFmtId="164" fontId="11" fillId="58" borderId="34" xfId="120" applyNumberFormat="1" applyFont="1" applyFill="1" applyBorder="1" applyAlignment="1" applyProtection="1">
      <protection locked="0"/>
    </xf>
    <xf numFmtId="0" fontId="12" fillId="58" borderId="59" xfId="113" applyFont="1" applyFill="1" applyBorder="1"/>
    <xf numFmtId="164" fontId="11" fillId="0" borderId="34" xfId="120" applyNumberFormat="1" applyFont="1" applyFill="1" applyBorder="1" applyAlignment="1" applyProtection="1">
      <protection locked="0"/>
    </xf>
    <xf numFmtId="0" fontId="12" fillId="0" borderId="59" xfId="113" applyFont="1" applyFill="1" applyBorder="1"/>
    <xf numFmtId="0" fontId="69" fillId="75" borderId="0" xfId="111" applyFont="1" applyFill="1" applyBorder="1" applyProtection="1"/>
    <xf numFmtId="0" fontId="69" fillId="75" borderId="22" xfId="111" applyFont="1" applyFill="1" applyBorder="1" applyProtection="1"/>
    <xf numFmtId="4" fontId="92" fillId="94" borderId="27" xfId="191" applyNumberFormat="1" applyFont="1" applyFill="1" applyBorder="1"/>
    <xf numFmtId="1" fontId="10" fillId="57" borderId="27" xfId="0" applyNumberFormat="1" applyFont="1" applyFill="1" applyBorder="1"/>
    <xf numFmtId="1" fontId="10" fillId="57" borderId="27" xfId="5" applyNumberFormat="1" applyFont="1" applyFill="1" applyBorder="1"/>
    <xf numFmtId="173" fontId="6" fillId="94" borderId="28" xfId="56" applyNumberFormat="1" applyFont="1" applyFill="1" applyBorder="1"/>
    <xf numFmtId="0" fontId="6" fillId="94" borderId="27" xfId="0" applyFont="1" applyFill="1" applyBorder="1"/>
    <xf numFmtId="3" fontId="6" fillId="94" borderId="27" xfId="189" applyNumberFormat="1" applyFont="1" applyFill="1" applyBorder="1"/>
    <xf numFmtId="173" fontId="6" fillId="69" borderId="27" xfId="0" applyNumberFormat="1" applyFont="1" applyFill="1" applyBorder="1"/>
    <xf numFmtId="43" fontId="6" fillId="42" borderId="27" xfId="56" applyNumberFormat="1" applyFont="1" applyFill="1" applyBorder="1"/>
    <xf numFmtId="184" fontId="6" fillId="42" borderId="27" xfId="56" applyNumberFormat="1" applyFont="1" applyFill="1" applyBorder="1"/>
    <xf numFmtId="173" fontId="6" fillId="61" borderId="0" xfId="0" applyNumberFormat="1" applyFont="1" applyFill="1" applyBorder="1"/>
    <xf numFmtId="167" fontId="6" fillId="61" borderId="0" xfId="0" applyNumberFormat="1" applyFont="1" applyFill="1" applyBorder="1"/>
    <xf numFmtId="43" fontId="6" fillId="61" borderId="0" xfId="56" applyNumberFormat="1" applyFont="1" applyFill="1" applyBorder="1"/>
    <xf numFmtId="3" fontId="6" fillId="42" borderId="27" xfId="56" applyNumberFormat="1" applyFont="1" applyFill="1" applyBorder="1"/>
    <xf numFmtId="173" fontId="6" fillId="58" borderId="28" xfId="0" applyNumberFormat="1" applyFont="1" applyFill="1" applyBorder="1"/>
    <xf numFmtId="0" fontId="6" fillId="94" borderId="58" xfId="0" applyFont="1" applyFill="1" applyBorder="1"/>
    <xf numFmtId="0" fontId="6" fillId="94" borderId="28" xfId="0" applyFont="1" applyFill="1" applyBorder="1"/>
    <xf numFmtId="14" fontId="6" fillId="94" borderId="28" xfId="0" applyNumberFormat="1" applyFont="1" applyFill="1" applyBorder="1"/>
    <xf numFmtId="173" fontId="6" fillId="94" borderId="39" xfId="56" applyNumberFormat="1" applyFont="1" applyFill="1" applyBorder="1"/>
    <xf numFmtId="3" fontId="6" fillId="61" borderId="0" xfId="56" applyNumberFormat="1" applyFont="1" applyFill="1" applyBorder="1"/>
    <xf numFmtId="167" fontId="6" fillId="61" borderId="0" xfId="5" applyNumberFormat="1" applyFont="1" applyFill="1" applyBorder="1"/>
    <xf numFmtId="0" fontId="0" fillId="94" borderId="27" xfId="0" applyFill="1" applyBorder="1"/>
    <xf numFmtId="1" fontId="10" fillId="61" borderId="27" xfId="0" applyNumberFormat="1" applyFont="1" applyFill="1" applyBorder="1"/>
    <xf numFmtId="14" fontId="6" fillId="0" borderId="0" xfId="0" applyNumberFormat="1" applyFont="1" applyFill="1" applyBorder="1"/>
    <xf numFmtId="3" fontId="6" fillId="0" borderId="0" xfId="0" applyNumberFormat="1" applyFont="1" applyFill="1" applyBorder="1" applyAlignment="1">
      <alignment horizontal="right" vertical="top"/>
    </xf>
    <xf numFmtId="9" fontId="6" fillId="0" borderId="0" xfId="67" applyFont="1" applyFill="1" applyBorder="1"/>
    <xf numFmtId="2" fontId="6" fillId="0" borderId="0" xfId="67" applyNumberFormat="1" applyFont="1" applyFill="1" applyBorder="1"/>
    <xf numFmtId="0" fontId="69" fillId="60" borderId="0" xfId="0" applyFont="1" applyFill="1" applyBorder="1" applyAlignment="1">
      <alignment horizontal="center" vertical="center"/>
    </xf>
    <xf numFmtId="0" fontId="6" fillId="57" borderId="0" xfId="0" applyFont="1" applyFill="1" applyBorder="1" applyAlignment="1">
      <alignment horizontal="center"/>
    </xf>
    <xf numFmtId="0" fontId="69" fillId="75" borderId="0" xfId="0" applyFont="1" applyFill="1" applyAlignment="1">
      <alignment horizontal="center"/>
    </xf>
    <xf numFmtId="3" fontId="6" fillId="73" borderId="0" xfId="0" applyNumberFormat="1" applyFont="1" applyFill="1" applyBorder="1"/>
    <xf numFmtId="0" fontId="69" fillId="75" borderId="0" xfId="0" applyFont="1" applyFill="1" applyBorder="1" applyAlignment="1">
      <alignment horizontal="center" vertical="center"/>
    </xf>
    <xf numFmtId="0" fontId="69" fillId="60" borderId="0" xfId="0" applyFont="1" applyFill="1" applyBorder="1" applyAlignment="1">
      <alignment horizontal="center" vertical="center"/>
    </xf>
    <xf numFmtId="2" fontId="6" fillId="0" borderId="49" xfId="0" applyNumberFormat="1" applyFont="1" applyFill="1" applyBorder="1"/>
    <xf numFmtId="2" fontId="6" fillId="0" borderId="49" xfId="0" applyNumberFormat="1" applyFont="1" applyFill="1" applyBorder="1" applyAlignment="1">
      <alignment horizontal="center"/>
    </xf>
    <xf numFmtId="2" fontId="6" fillId="0" borderId="49" xfId="67" applyNumberFormat="1" applyFont="1" applyFill="1" applyBorder="1"/>
    <xf numFmtId="2" fontId="6" fillId="0" borderId="49" xfId="0" applyNumberFormat="1" applyFont="1" applyFill="1" applyBorder="1" applyAlignment="1">
      <alignment horizontal="right" vertical="top"/>
    </xf>
    <xf numFmtId="14" fontId="6" fillId="75" borderId="0" xfId="0" applyNumberFormat="1" applyFont="1" applyFill="1" applyBorder="1"/>
    <xf numFmtId="3" fontId="6" fillId="75" borderId="0" xfId="0" applyNumberFormat="1" applyFont="1" applyFill="1" applyBorder="1"/>
    <xf numFmtId="0" fontId="6" fillId="75" borderId="49" xfId="0" applyFont="1" applyFill="1" applyBorder="1"/>
    <xf numFmtId="167" fontId="117" fillId="0" borderId="0" xfId="67" applyNumberFormat="1" applyFont="1" applyFill="1" applyBorder="1"/>
    <xf numFmtId="0" fontId="6" fillId="73" borderId="0" xfId="0" applyFont="1" applyFill="1" applyBorder="1"/>
    <xf numFmtId="14" fontId="6" fillId="73" borderId="0" xfId="0" applyNumberFormat="1" applyFont="1" applyFill="1" applyBorder="1"/>
    <xf numFmtId="173" fontId="6" fillId="73" borderId="0" xfId="0" applyNumberFormat="1" applyFont="1" applyFill="1" applyBorder="1"/>
    <xf numFmtId="3" fontId="6" fillId="73" borderId="0" xfId="0" applyNumberFormat="1" applyFont="1" applyFill="1" applyBorder="1" applyAlignment="1">
      <alignment horizontal="right" vertical="top"/>
    </xf>
    <xf numFmtId="9" fontId="6" fillId="73" borderId="0" xfId="67" applyFont="1" applyFill="1" applyBorder="1"/>
    <xf numFmtId="3" fontId="6" fillId="74" borderId="0" xfId="67" applyNumberFormat="1" applyFont="1" applyFill="1" applyBorder="1"/>
    <xf numFmtId="3" fontId="6" fillId="74" borderId="28" xfId="67" applyNumberFormat="1" applyFont="1" applyFill="1" applyBorder="1"/>
    <xf numFmtId="0" fontId="6" fillId="61" borderId="26" xfId="0" applyFont="1" applyFill="1" applyBorder="1"/>
    <xf numFmtId="3" fontId="6" fillId="61" borderId="27" xfId="0" applyNumberFormat="1" applyFont="1" applyFill="1" applyBorder="1"/>
    <xf numFmtId="173" fontId="6" fillId="57" borderId="0" xfId="0" applyNumberFormat="1" applyFont="1" applyFill="1" applyBorder="1" applyAlignment="1">
      <alignment horizontal="center"/>
    </xf>
    <xf numFmtId="173" fontId="6" fillId="0" borderId="0" xfId="0" applyNumberFormat="1" applyFont="1" applyBorder="1"/>
    <xf numFmtId="173" fontId="6" fillId="73" borderId="33" xfId="194" applyNumberFormat="1" applyFont="1" applyFill="1" applyBorder="1"/>
    <xf numFmtId="173" fontId="6" fillId="73" borderId="66" xfId="194" applyNumberFormat="1" applyFont="1" applyFill="1" applyBorder="1"/>
    <xf numFmtId="0" fontId="6" fillId="0" borderId="33" xfId="191" applyFont="1" applyBorder="1" applyAlignment="1">
      <alignment horizontal="center"/>
    </xf>
    <xf numFmtId="0" fontId="65" fillId="0" borderId="49" xfId="114" applyFont="1" applyFill="1" applyBorder="1" applyAlignment="1">
      <alignment horizontal="right"/>
    </xf>
    <xf numFmtId="173" fontId="6" fillId="0" borderId="49" xfId="194" applyNumberFormat="1" applyFont="1" applyFill="1" applyBorder="1"/>
    <xf numFmtId="173" fontId="64" fillId="0" borderId="49" xfId="194" applyNumberFormat="1" applyFont="1" applyFill="1" applyBorder="1"/>
    <xf numFmtId="3" fontId="6" fillId="0" borderId="49" xfId="111" applyNumberFormat="1" applyFont="1" applyFill="1" applyBorder="1" applyAlignment="1" applyProtection="1">
      <alignment horizontal="right" vertical="center"/>
    </xf>
    <xf numFmtId="0" fontId="92" fillId="0" borderId="49" xfId="191" applyFont="1" applyFill="1" applyBorder="1"/>
    <xf numFmtId="0" fontId="6" fillId="0" borderId="49" xfId="191" applyFont="1" applyFill="1" applyBorder="1" applyAlignment="1">
      <alignment horizontal="center"/>
    </xf>
    <xf numFmtId="0" fontId="65" fillId="0" borderId="0" xfId="191" applyFont="1" applyFill="1" applyBorder="1"/>
    <xf numFmtId="0" fontId="65" fillId="0" borderId="0" xfId="191" applyFont="1" applyFill="1"/>
    <xf numFmtId="0" fontId="69" fillId="0" borderId="0" xfId="189" applyFont="1" applyFill="1" applyAlignment="1">
      <alignment horizontal="center" vertical="center"/>
    </xf>
    <xf numFmtId="0" fontId="69" fillId="0" borderId="0" xfId="191" applyFont="1" applyFill="1" applyAlignment="1">
      <alignment vertical="center"/>
    </xf>
    <xf numFmtId="0" fontId="0" fillId="75" borderId="0" xfId="0" applyFill="1" applyBorder="1"/>
    <xf numFmtId="3" fontId="6" fillId="94" borderId="27" xfId="0" applyNumberFormat="1" applyFont="1" applyFill="1" applyBorder="1"/>
    <xf numFmtId="0" fontId="6" fillId="61" borderId="0" xfId="111" applyFont="1" applyFill="1" applyBorder="1" applyAlignment="1" applyProtection="1">
      <alignment horizontal="right" vertical="center"/>
    </xf>
    <xf numFmtId="0" fontId="10" fillId="94" borderId="26" xfId="110" applyFont="1" applyFill="1" applyBorder="1"/>
    <xf numFmtId="0" fontId="10" fillId="94" borderId="27" xfId="110" applyFont="1" applyFill="1" applyBorder="1"/>
    <xf numFmtId="0" fontId="6" fillId="94" borderId="26" xfId="110" applyFont="1" applyFill="1" applyBorder="1" applyAlignment="1">
      <alignment horizontal="left" indent="1"/>
    </xf>
    <xf numFmtId="0" fontId="10" fillId="94" borderId="27" xfId="0" applyFont="1" applyFill="1" applyBorder="1"/>
    <xf numFmtId="0" fontId="6" fillId="94" borderId="39" xfId="110" applyFont="1" applyFill="1" applyBorder="1" applyAlignment="1">
      <alignment horizontal="left"/>
    </xf>
    <xf numFmtId="0" fontId="6" fillId="94" borderId="27" xfId="110" applyFont="1" applyFill="1" applyBorder="1" applyAlignment="1">
      <alignment horizontal="left"/>
    </xf>
    <xf numFmtId="184" fontId="6" fillId="0" borderId="27" xfId="56" applyNumberFormat="1" applyFont="1" applyFill="1" applyBorder="1"/>
    <xf numFmtId="0" fontId="69" fillId="75" borderId="0" xfId="0" applyFont="1" applyFill="1" applyBorder="1" applyAlignment="1">
      <alignment horizontal="center" vertical="center"/>
    </xf>
    <xf numFmtId="0" fontId="69" fillId="60" borderId="0" xfId="0" applyFont="1" applyFill="1" applyBorder="1" applyAlignment="1">
      <alignment horizontal="center" vertical="center"/>
    </xf>
    <xf numFmtId="3" fontId="6" fillId="69" borderId="50" xfId="189" applyNumberFormat="1" applyFont="1" applyFill="1" applyBorder="1"/>
    <xf numFmtId="0" fontId="6" fillId="0" borderId="37" xfId="189" applyFont="1" applyFill="1" applyBorder="1"/>
    <xf numFmtId="3" fontId="6" fillId="0" borderId="37" xfId="189" applyNumberFormat="1" applyFont="1" applyFill="1" applyBorder="1"/>
    <xf numFmtId="181" fontId="10" fillId="0" borderId="0" xfId="191" applyNumberFormat="1" applyFont="1" applyFill="1" applyAlignment="1">
      <alignment vertical="center"/>
    </xf>
    <xf numFmtId="164" fontId="6" fillId="73" borderId="27" xfId="562" applyNumberFormat="1" applyFont="1" applyFill="1" applyBorder="1" applyAlignment="1" applyProtection="1">
      <alignment horizontal="center"/>
    </xf>
    <xf numFmtId="172" fontId="0" fillId="73" borderId="27" xfId="0" applyNumberFormat="1" applyFill="1" applyBorder="1"/>
    <xf numFmtId="0" fontId="6" fillId="73" borderId="0" xfId="0" applyFont="1" applyFill="1"/>
    <xf numFmtId="0" fontId="6" fillId="75" borderId="0" xfId="0" applyFont="1" applyFill="1"/>
    <xf numFmtId="0" fontId="69" fillId="75" borderId="0" xfId="195" applyFont="1" applyFill="1" applyBorder="1" applyAlignment="1">
      <alignment horizontal="center"/>
    </xf>
    <xf numFmtId="0" fontId="69" fillId="60" borderId="0" xfId="0" applyFont="1" applyFill="1" applyBorder="1" applyAlignment="1">
      <alignment horizontal="center" vertical="center"/>
    </xf>
    <xf numFmtId="0" fontId="69" fillId="60" borderId="69" xfId="0" applyFont="1" applyFill="1" applyBorder="1" applyAlignment="1">
      <alignment horizontal="center" wrapText="1"/>
    </xf>
    <xf numFmtId="0" fontId="69" fillId="60" borderId="70" xfId="0" applyFont="1" applyFill="1" applyBorder="1" applyAlignment="1">
      <alignment horizontal="center"/>
    </xf>
    <xf numFmtId="0" fontId="69" fillId="75" borderId="70" xfId="0" applyFont="1" applyFill="1" applyBorder="1" applyAlignment="1">
      <alignment horizontal="center" vertical="center"/>
    </xf>
    <xf numFmtId="0" fontId="69" fillId="75" borderId="29" xfId="0" applyFont="1" applyFill="1" applyBorder="1" applyAlignment="1">
      <alignment horizontal="center"/>
    </xf>
    <xf numFmtId="0" fontId="69" fillId="75" borderId="72" xfId="0" applyFont="1" applyFill="1" applyBorder="1" applyAlignment="1">
      <alignment horizontal="center"/>
    </xf>
    <xf numFmtId="0" fontId="69" fillId="75" borderId="69" xfId="0" applyFont="1" applyFill="1" applyBorder="1" applyAlignment="1">
      <alignment horizontal="center" vertical="center"/>
    </xf>
    <xf numFmtId="0" fontId="69" fillId="75" borderId="71" xfId="0" applyFont="1" applyFill="1" applyBorder="1" applyAlignment="1">
      <alignment horizontal="center"/>
    </xf>
    <xf numFmtId="0" fontId="69" fillId="75" borderId="69" xfId="0" applyFont="1" applyFill="1" applyBorder="1" applyAlignment="1">
      <alignment horizontal="center"/>
    </xf>
    <xf numFmtId="0" fontId="69" fillId="75" borderId="73" xfId="0" applyFont="1" applyFill="1" applyBorder="1" applyAlignment="1">
      <alignment horizontal="center" vertical="center"/>
    </xf>
    <xf numFmtId="0" fontId="69" fillId="75" borderId="74" xfId="0" applyFont="1" applyFill="1" applyBorder="1" applyAlignment="1">
      <alignment horizontal="center" vertical="center"/>
    </xf>
    <xf numFmtId="0" fontId="69" fillId="75" borderId="75" xfId="0" applyFont="1" applyFill="1" applyBorder="1" applyAlignment="1">
      <alignment horizontal="center" vertical="center"/>
    </xf>
    <xf numFmtId="0" fontId="69" fillId="60" borderId="75" xfId="0" applyFont="1" applyFill="1" applyBorder="1" applyAlignment="1">
      <alignment horizontal="center" vertical="center"/>
    </xf>
    <xf numFmtId="0" fontId="66" fillId="60" borderId="69" xfId="0" applyFont="1" applyFill="1" applyBorder="1" applyAlignment="1">
      <alignment horizontal="center" vertical="center"/>
    </xf>
    <xf numFmtId="0" fontId="17" fillId="60" borderId="70" xfId="0" applyFont="1" applyFill="1" applyBorder="1" applyAlignment="1">
      <alignment horizontal="center" vertical="center"/>
    </xf>
    <xf numFmtId="0" fontId="22" fillId="94" borderId="31" xfId="195" applyFont="1" applyFill="1" applyBorder="1" applyAlignment="1">
      <alignment horizontal="left" indent="1"/>
    </xf>
    <xf numFmtId="0" fontId="22" fillId="94" borderId="27" xfId="195" applyFont="1" applyFill="1" applyBorder="1" applyAlignment="1">
      <alignment horizontal="left" indent="1"/>
    </xf>
    <xf numFmtId="0" fontId="17" fillId="60" borderId="0" xfId="0" applyFont="1" applyFill="1" applyBorder="1" applyAlignment="1">
      <alignment horizontal="center"/>
    </xf>
    <xf numFmtId="3" fontId="66" fillId="0" borderId="0" xfId="0" applyNumberFormat="1" applyFont="1" applyFill="1" applyBorder="1"/>
    <xf numFmtId="0" fontId="69" fillId="60" borderId="70" xfId="0" applyFont="1" applyFill="1" applyBorder="1" applyAlignment="1">
      <alignment horizontal="center" vertical="center"/>
    </xf>
    <xf numFmtId="0" fontId="17" fillId="60" borderId="21" xfId="0" applyFont="1" applyFill="1" applyBorder="1" applyAlignment="1">
      <alignment horizontal="left" wrapText="1"/>
    </xf>
    <xf numFmtId="0" fontId="66" fillId="60" borderId="69" xfId="0" applyFont="1" applyFill="1" applyBorder="1"/>
    <xf numFmtId="0" fontId="17" fillId="60" borderId="73" xfId="0" applyFont="1" applyFill="1" applyBorder="1" applyAlignment="1">
      <alignment horizontal="center" vertical="center"/>
    </xf>
    <xf numFmtId="0" fontId="10" fillId="75" borderId="0" xfId="0" applyFont="1" applyFill="1" applyBorder="1" applyAlignment="1"/>
    <xf numFmtId="0" fontId="17" fillId="60" borderId="71" xfId="0" applyFont="1" applyFill="1" applyBorder="1" applyAlignment="1">
      <alignment horizontal="center"/>
    </xf>
    <xf numFmtId="0" fontId="69" fillId="60" borderId="29" xfId="0" applyFont="1" applyFill="1" applyBorder="1" applyAlignment="1">
      <alignment horizontal="center"/>
    </xf>
    <xf numFmtId="0" fontId="17" fillId="60" borderId="72" xfId="0" applyFont="1" applyFill="1" applyBorder="1" applyAlignment="1">
      <alignment horizontal="center"/>
    </xf>
    <xf numFmtId="0" fontId="10" fillId="75" borderId="71" xfId="0" applyFont="1" applyFill="1" applyBorder="1" applyAlignment="1"/>
    <xf numFmtId="0" fontId="10" fillId="75" borderId="29" xfId="0" applyFont="1" applyFill="1" applyBorder="1" applyAlignment="1"/>
    <xf numFmtId="0" fontId="10" fillId="75" borderId="72" xfId="0" applyFont="1" applyFill="1" applyBorder="1" applyAlignment="1"/>
    <xf numFmtId="0" fontId="69" fillId="75" borderId="0" xfId="0" applyFont="1" applyFill="1" applyBorder="1" applyAlignment="1"/>
    <xf numFmtId="0" fontId="69" fillId="60" borderId="75" xfId="0" applyFont="1" applyFill="1" applyBorder="1" applyAlignment="1">
      <alignment horizontal="center"/>
    </xf>
    <xf numFmtId="0" fontId="69" fillId="60" borderId="74" xfId="0" applyFont="1" applyFill="1" applyBorder="1" applyAlignment="1">
      <alignment horizontal="center"/>
    </xf>
    <xf numFmtId="0" fontId="69" fillId="60" borderId="72" xfId="0" applyFont="1" applyFill="1" applyBorder="1" applyAlignment="1">
      <alignment horizontal="center" wrapText="1"/>
    </xf>
    <xf numFmtId="0" fontId="69" fillId="60" borderId="0" xfId="0" applyFont="1" applyFill="1" applyBorder="1" applyAlignment="1"/>
    <xf numFmtId="0" fontId="69" fillId="60" borderId="71" xfId="0" applyFont="1" applyFill="1" applyBorder="1" applyAlignment="1"/>
    <xf numFmtId="0" fontId="69" fillId="60" borderId="29" xfId="0" applyFont="1" applyFill="1" applyBorder="1" applyAlignment="1"/>
    <xf numFmtId="0" fontId="118" fillId="60" borderId="72" xfId="0" applyFont="1" applyFill="1" applyBorder="1" applyAlignment="1"/>
    <xf numFmtId="0" fontId="69" fillId="75" borderId="71" xfId="0" applyFont="1" applyFill="1" applyBorder="1" applyAlignment="1"/>
    <xf numFmtId="0" fontId="69" fillId="75" borderId="29" xfId="0" applyFont="1" applyFill="1" applyBorder="1" applyAlignment="1"/>
    <xf numFmtId="0" fontId="69" fillId="60" borderId="72" xfId="0" applyFont="1" applyFill="1" applyBorder="1" applyAlignment="1"/>
    <xf numFmtId="0" fontId="17" fillId="60" borderId="0" xfId="0" applyFont="1" applyFill="1" applyBorder="1" applyAlignment="1"/>
    <xf numFmtId="0" fontId="10" fillId="75" borderId="75" xfId="0" applyFont="1" applyFill="1" applyBorder="1" applyAlignment="1"/>
    <xf numFmtId="0" fontId="69" fillId="75" borderId="29" xfId="0" applyFont="1" applyFill="1" applyBorder="1" applyAlignment="1">
      <alignment horizontal="center" wrapText="1"/>
    </xf>
    <xf numFmtId="0" fontId="69" fillId="75" borderId="68" xfId="0" applyFont="1" applyFill="1" applyBorder="1" applyAlignment="1">
      <alignment horizontal="center" wrapText="1"/>
    </xf>
    <xf numFmtId="0" fontId="69" fillId="60" borderId="0" xfId="0" applyFont="1" applyFill="1" applyBorder="1" applyAlignment="1">
      <alignment horizontal="center" vertical="center"/>
    </xf>
    <xf numFmtId="0" fontId="69" fillId="75" borderId="0" xfId="0" applyFont="1" applyFill="1" applyBorder="1" applyAlignment="1">
      <alignment horizontal="center" vertical="center"/>
    </xf>
    <xf numFmtId="0" fontId="69" fillId="60" borderId="0" xfId="0" applyFont="1" applyFill="1" applyBorder="1" applyAlignment="1">
      <alignment horizontal="center" vertical="center"/>
    </xf>
    <xf numFmtId="0" fontId="69" fillId="75" borderId="0" xfId="0" applyFont="1" applyFill="1" applyBorder="1" applyAlignment="1">
      <alignment horizontal="center" vertical="center"/>
    </xf>
    <xf numFmtId="183" fontId="6" fillId="58" borderId="27" xfId="0" applyNumberFormat="1" applyFont="1" applyFill="1" applyBorder="1"/>
    <xf numFmtId="0" fontId="6" fillId="0" borderId="0" xfId="0" applyFont="1" applyAlignment="1">
      <alignment horizontal="center" vertical="center"/>
    </xf>
    <xf numFmtId="0" fontId="6" fillId="57" borderId="0" xfId="0" applyFont="1" applyFill="1" applyBorder="1" applyAlignment="1">
      <alignment horizontal="center" vertical="center"/>
    </xf>
    <xf numFmtId="0" fontId="6" fillId="0" borderId="0" xfId="0" applyFont="1" applyFill="1" applyAlignment="1">
      <alignment horizontal="center" vertical="center"/>
    </xf>
    <xf numFmtId="3" fontId="6" fillId="0" borderId="0" xfId="67" applyNumberFormat="1" applyFont="1" applyFill="1" applyBorder="1" applyAlignment="1">
      <alignment horizontal="center" vertical="center"/>
    </xf>
    <xf numFmtId="0" fontId="65" fillId="0" borderId="0" xfId="0" applyFont="1" applyFill="1" applyAlignment="1">
      <alignment horizontal="center" vertical="center"/>
    </xf>
    <xf numFmtId="0" fontId="69" fillId="0" borderId="0" xfId="0" applyFont="1" applyFill="1" applyAlignment="1">
      <alignment horizontal="center" vertical="center"/>
    </xf>
    <xf numFmtId="2" fontId="6" fillId="0" borderId="49" xfId="67" applyNumberFormat="1" applyFont="1" applyFill="1" applyBorder="1" applyAlignment="1">
      <alignment horizontal="center" vertical="center"/>
    </xf>
    <xf numFmtId="0" fontId="64" fillId="0" borderId="0" xfId="0" applyFont="1" applyFill="1" applyAlignment="1">
      <alignment horizontal="center" vertical="center"/>
    </xf>
    <xf numFmtId="0" fontId="0" fillId="0" borderId="0" xfId="0" applyAlignment="1">
      <alignment horizontal="center" vertical="center"/>
    </xf>
    <xf numFmtId="3" fontId="6" fillId="74" borderId="50" xfId="0" applyNumberFormat="1" applyFont="1" applyFill="1" applyBorder="1" applyAlignment="1"/>
    <xf numFmtId="0" fontId="103" fillId="75" borderId="0" xfId="0" applyFont="1" applyFill="1" applyAlignment="1"/>
    <xf numFmtId="0" fontId="103" fillId="0" borderId="0" xfId="0" applyFont="1" applyFill="1" applyBorder="1" applyAlignment="1"/>
    <xf numFmtId="167" fontId="0" fillId="0" borderId="0" xfId="0" applyNumberFormat="1" applyFill="1" applyBorder="1"/>
    <xf numFmtId="172" fontId="0" fillId="74" borderId="27" xfId="0" applyNumberFormat="1" applyFill="1" applyBorder="1"/>
    <xf numFmtId="2" fontId="6" fillId="0" borderId="0" xfId="114" applyNumberFormat="1" applyFont="1" applyFill="1" applyBorder="1"/>
    <xf numFmtId="3" fontId="0" fillId="0" borderId="0" xfId="0" applyNumberFormat="1" applyFill="1" applyBorder="1"/>
    <xf numFmtId="3" fontId="6" fillId="69" borderId="43" xfId="5" applyNumberFormat="1" applyFont="1" applyFill="1" applyBorder="1"/>
    <xf numFmtId="3" fontId="6" fillId="69" borderId="32" xfId="0" applyNumberFormat="1" applyFont="1" applyFill="1" applyBorder="1"/>
    <xf numFmtId="3" fontId="6" fillId="0" borderId="0" xfId="110" applyNumberFormat="1" applyFont="1" applyFill="1" applyBorder="1"/>
    <xf numFmtId="0" fontId="66" fillId="75" borderId="0" xfId="0" applyFont="1" applyFill="1" applyBorder="1"/>
    <xf numFmtId="0" fontId="18" fillId="75" borderId="0" xfId="0" applyFont="1" applyFill="1" applyBorder="1" applyAlignment="1"/>
    <xf numFmtId="3" fontId="6" fillId="42" borderId="32" xfId="0" applyNumberFormat="1" applyFont="1" applyFill="1" applyBorder="1"/>
    <xf numFmtId="10" fontId="6" fillId="58" borderId="27" xfId="0" applyNumberFormat="1" applyFont="1" applyFill="1" applyBorder="1"/>
    <xf numFmtId="0" fontId="69" fillId="60" borderId="21" xfId="195" applyFont="1" applyFill="1" applyBorder="1" applyAlignment="1">
      <alignment horizontal="left" vertical="center"/>
    </xf>
    <xf numFmtId="0" fontId="69" fillId="75" borderId="0" xfId="0" applyFont="1" applyFill="1" applyBorder="1" applyAlignment="1">
      <alignment horizontal="left" vertical="center"/>
    </xf>
    <xf numFmtId="0" fontId="6" fillId="61" borderId="21" xfId="434" applyFont="1" applyFill="1" applyBorder="1" applyAlignment="1">
      <alignment horizontal="left" wrapText="1"/>
    </xf>
    <xf numFmtId="0" fontId="6" fillId="61" borderId="0" xfId="434" applyFont="1" applyFill="1" applyBorder="1" applyAlignment="1">
      <alignment horizontal="left" wrapText="1"/>
    </xf>
    <xf numFmtId="0" fontId="6" fillId="61" borderId="22" xfId="434" applyFont="1" applyFill="1" applyBorder="1" applyAlignment="1">
      <alignment horizontal="left" wrapText="1"/>
    </xf>
    <xf numFmtId="0" fontId="6" fillId="61" borderId="21" xfId="434" applyFont="1" applyFill="1" applyBorder="1" applyAlignment="1">
      <alignment horizontal="left"/>
    </xf>
    <xf numFmtId="0" fontId="6" fillId="61" borderId="0" xfId="434" applyFont="1" applyFill="1" applyBorder="1" applyAlignment="1">
      <alignment horizontal="left"/>
    </xf>
    <xf numFmtId="0" fontId="6" fillId="61" borderId="22" xfId="434" applyFont="1" applyFill="1" applyBorder="1" applyAlignment="1">
      <alignment horizontal="left"/>
    </xf>
    <xf numFmtId="0" fontId="69" fillId="60" borderId="0" xfId="0" applyFont="1" applyFill="1" applyBorder="1" applyAlignment="1">
      <alignment horizontal="center" vertical="center"/>
    </xf>
    <xf numFmtId="0" fontId="69" fillId="75" borderId="0" xfId="0" applyFont="1" applyFill="1" applyBorder="1" applyAlignment="1">
      <alignment horizontal="center" vertical="center"/>
    </xf>
    <xf numFmtId="0" fontId="65" fillId="75" borderId="18" xfId="434" applyFont="1" applyFill="1" applyBorder="1" applyAlignment="1">
      <alignment horizontal="left"/>
    </xf>
    <xf numFmtId="0" fontId="69" fillId="75" borderId="0" xfId="191" applyFont="1" applyFill="1" applyBorder="1" applyAlignment="1">
      <alignment horizontal="center" vertical="center"/>
    </xf>
    <xf numFmtId="0" fontId="69" fillId="75" borderId="0" xfId="189" applyFont="1" applyFill="1" applyAlignment="1">
      <alignment horizontal="center" vertical="center"/>
    </xf>
    <xf numFmtId="3" fontId="6" fillId="94" borderId="27" xfId="190" applyNumberFormat="1" applyFont="1" applyFill="1" applyBorder="1" applyAlignment="1" applyProtection="1">
      <alignment horizontal="center" vertical="center" wrapText="1"/>
    </xf>
    <xf numFmtId="0" fontId="6" fillId="61" borderId="0" xfId="189" applyFont="1" applyFill="1" applyBorder="1" applyAlignment="1">
      <alignment horizontal="center"/>
    </xf>
    <xf numFmtId="3" fontId="6" fillId="0" borderId="0" xfId="0" applyNumberFormat="1" applyFont="1" applyFill="1"/>
    <xf numFmtId="0" fontId="6" fillId="0" borderId="0" xfId="192" quotePrefix="1" applyNumberFormat="1" applyFont="1" applyFill="1" applyBorder="1" applyAlignment="1" applyProtection="1">
      <alignment horizontal="right" vertical="center"/>
      <protection locked="0"/>
    </xf>
    <xf numFmtId="172" fontId="6" fillId="0" borderId="0" xfId="114" applyNumberFormat="1" applyFont="1" applyFill="1" applyBorder="1"/>
    <xf numFmtId="172" fontId="0" fillId="0" borderId="0" xfId="0" applyNumberFormat="1" applyFill="1" applyBorder="1"/>
    <xf numFmtId="3" fontId="6" fillId="61" borderId="46" xfId="125" applyNumberFormat="1" applyFont="1" applyFill="1" applyBorder="1" applyAlignment="1" applyProtection="1">
      <alignment horizontal="right"/>
    </xf>
    <xf numFmtId="172" fontId="6" fillId="58" borderId="28" xfId="111" applyNumberFormat="1" applyFont="1" applyFill="1" applyBorder="1" applyAlignment="1" applyProtection="1">
      <alignment vertical="center"/>
    </xf>
    <xf numFmtId="0" fontId="125" fillId="61" borderId="21" xfId="434" applyFont="1" applyFill="1" applyBorder="1" applyAlignment="1">
      <alignment horizontal="left"/>
    </xf>
    <xf numFmtId="173" fontId="6" fillId="69" borderId="33" xfId="194" applyNumberFormat="1" applyFont="1" applyFill="1" applyBorder="1"/>
    <xf numFmtId="0" fontId="6" fillId="0" borderId="0" xfId="192" quotePrefix="1" applyNumberFormat="1" applyFont="1" applyFill="1" applyBorder="1" applyAlignment="1" applyProtection="1">
      <alignment horizontal="center" vertical="center"/>
      <protection locked="0"/>
    </xf>
    <xf numFmtId="0" fontId="6" fillId="0" borderId="0" xfId="192" quotePrefix="1" applyNumberFormat="1" applyFont="1" applyFill="1" applyBorder="1" applyAlignment="1" applyProtection="1">
      <alignment horizontal="left" vertical="center" indent="1"/>
      <protection locked="0"/>
    </xf>
    <xf numFmtId="0" fontId="6" fillId="0" borderId="27" xfId="192" quotePrefix="1" applyNumberFormat="1" applyFont="1" applyFill="1" applyBorder="1" applyAlignment="1" applyProtection="1">
      <alignment horizontal="center" vertical="center"/>
      <protection locked="0"/>
    </xf>
    <xf numFmtId="0" fontId="6" fillId="61" borderId="33" xfId="192" quotePrefix="1" applyNumberFormat="1" applyFont="1" applyFill="1" applyBorder="1" applyAlignment="1" applyProtection="1">
      <alignment horizontal="center" vertical="center"/>
      <protection locked="0"/>
    </xf>
    <xf numFmtId="0" fontId="6" fillId="61" borderId="28" xfId="192" quotePrefix="1" applyNumberFormat="1" applyFont="1" applyFill="1" applyBorder="1" applyAlignment="1" applyProtection="1">
      <alignment horizontal="center" vertical="center"/>
      <protection locked="0"/>
    </xf>
    <xf numFmtId="0" fontId="6" fillId="0" borderId="0" xfId="112" applyFont="1" applyFill="1" applyBorder="1"/>
    <xf numFmtId="184" fontId="6" fillId="0" borderId="0" xfId="56" applyNumberFormat="1" applyFont="1" applyFill="1" applyBorder="1"/>
    <xf numFmtId="4" fontId="22" fillId="0" borderId="27" xfId="193" applyNumberFormat="1" applyFont="1" applyFill="1" applyBorder="1"/>
    <xf numFmtId="0" fontId="69" fillId="75" borderId="0" xfId="0" applyFont="1" applyFill="1" applyBorder="1" applyAlignment="1">
      <alignment horizontal="center" vertical="center"/>
    </xf>
    <xf numFmtId="3" fontId="6" fillId="0" borderId="0" xfId="110" applyNumberFormat="1" applyFont="1" applyFill="1" applyBorder="1" applyAlignment="1"/>
    <xf numFmtId="167" fontId="6" fillId="75" borderId="0" xfId="0" applyNumberFormat="1" applyFont="1" applyFill="1" applyBorder="1" applyAlignment="1"/>
    <xf numFmtId="0" fontId="6" fillId="75" borderId="0" xfId="0" applyFont="1" applyFill="1" applyBorder="1" applyAlignment="1"/>
    <xf numFmtId="0" fontId="22" fillId="0" borderId="27" xfId="110" applyFont="1" applyFill="1" applyBorder="1"/>
    <xf numFmtId="3" fontId="6" fillId="0" borderId="27" xfId="110" applyNumberFormat="1" applyFont="1" applyFill="1" applyBorder="1"/>
    <xf numFmtId="10" fontId="22" fillId="0" borderId="27" xfId="110" applyNumberFormat="1" applyFont="1" applyFill="1" applyBorder="1"/>
    <xf numFmtId="10" fontId="22" fillId="69" borderId="27" xfId="110" applyNumberFormat="1" applyFont="1" applyFill="1" applyBorder="1" applyAlignment="1">
      <alignment horizontal="right"/>
    </xf>
    <xf numFmtId="9" fontId="22" fillId="0" borderId="27" xfId="110" applyNumberFormat="1" applyFont="1" applyFill="1" applyBorder="1"/>
    <xf numFmtId="0" fontId="69" fillId="75" borderId="0" xfId="110" applyFont="1" applyFill="1" applyBorder="1" applyAlignment="1">
      <alignment horizontal="left" indent="1"/>
    </xf>
    <xf numFmtId="3" fontId="69" fillId="75" borderId="0" xfId="110" applyNumberFormat="1" applyFont="1" applyFill="1" applyBorder="1"/>
    <xf numFmtId="0" fontId="125" fillId="0" borderId="0" xfId="0" applyFont="1" applyAlignment="1">
      <alignment vertical="center"/>
    </xf>
    <xf numFmtId="0" fontId="126" fillId="61" borderId="21" xfId="0" applyFont="1" applyFill="1" applyBorder="1"/>
    <xf numFmtId="3" fontId="126" fillId="61" borderId="0" xfId="0" applyNumberFormat="1" applyFont="1" applyFill="1" applyBorder="1"/>
    <xf numFmtId="0" fontId="126" fillId="61" borderId="0" xfId="0" applyFont="1" applyFill="1" applyBorder="1"/>
    <xf numFmtId="167" fontId="126" fillId="61" borderId="0" xfId="0" applyNumberFormat="1" applyFont="1" applyFill="1" applyBorder="1" applyAlignment="1"/>
    <xf numFmtId="0" fontId="126" fillId="61" borderId="0" xfId="0" applyFont="1" applyFill="1" applyBorder="1" applyAlignment="1"/>
    <xf numFmtId="0" fontId="126" fillId="61" borderId="22" xfId="0" applyFont="1" applyFill="1" applyBorder="1"/>
    <xf numFmtId="3" fontId="6" fillId="58" borderId="33" xfId="195" applyNumberFormat="1" applyFont="1" applyFill="1" applyBorder="1"/>
    <xf numFmtId="0" fontId="69" fillId="75" borderId="21" xfId="195" applyFont="1" applyFill="1" applyBorder="1"/>
    <xf numFmtId="3" fontId="65" fillId="75" borderId="0" xfId="195" applyNumberFormat="1" applyFont="1" applyFill="1" applyBorder="1"/>
    <xf numFmtId="0" fontId="6" fillId="0" borderId="27" xfId="195" applyFont="1" applyFill="1" applyBorder="1"/>
    <xf numFmtId="3" fontId="6" fillId="69" borderId="27" xfId="195" applyNumberFormat="1" applyFont="1" applyFill="1" applyBorder="1"/>
    <xf numFmtId="3" fontId="6" fillId="78" borderId="27" xfId="195" applyNumberFormat="1" applyFont="1" applyFill="1" applyBorder="1"/>
    <xf numFmtId="0" fontId="17" fillId="60" borderId="0" xfId="195" applyFont="1" applyFill="1" applyBorder="1"/>
    <xf numFmtId="0" fontId="17" fillId="60" borderId="0" xfId="195" applyFont="1" applyFill="1" applyBorder="1" applyAlignment="1"/>
    <xf numFmtId="0" fontId="6" fillId="0" borderId="26" xfId="195" applyFont="1" applyFill="1" applyBorder="1"/>
    <xf numFmtId="0" fontId="64" fillId="61" borderId="0" xfId="195" applyFont="1" applyFill="1" applyBorder="1"/>
    <xf numFmtId="0" fontId="69" fillId="60" borderId="0" xfId="0" applyFont="1" applyFill="1" applyBorder="1" applyAlignment="1">
      <alignment horizontal="center" vertical="center"/>
    </xf>
    <xf numFmtId="0" fontId="69" fillId="75" borderId="0" xfId="0" applyFont="1" applyFill="1" applyBorder="1" applyAlignment="1">
      <alignment horizontal="center" vertical="center"/>
    </xf>
    <xf numFmtId="10" fontId="117" fillId="0" borderId="37" xfId="67" applyNumberFormat="1" applyFont="1" applyFill="1" applyBorder="1"/>
    <xf numFmtId="0" fontId="6" fillId="0" borderId="0" xfId="113" applyFont="1" applyFill="1"/>
    <xf numFmtId="164" fontId="11" fillId="94" borderId="34" xfId="120" applyNumberFormat="1" applyFont="1" applyFill="1" applyBorder="1" applyAlignment="1" applyProtection="1">
      <protection locked="0"/>
    </xf>
    <xf numFmtId="0" fontId="12" fillId="94" borderId="59" xfId="113" applyFont="1" applyFill="1" applyBorder="1"/>
    <xf numFmtId="10" fontId="6" fillId="0" borderId="0" xfId="0" applyNumberFormat="1" applyFont="1" applyFill="1" applyBorder="1"/>
    <xf numFmtId="10" fontId="6" fillId="0" borderId="0" xfId="0" applyNumberFormat="1" applyFont="1" applyBorder="1"/>
    <xf numFmtId="0" fontId="21" fillId="60" borderId="0" xfId="111" applyFont="1" applyFill="1" applyBorder="1" applyAlignment="1" applyProtection="1">
      <alignment horizontal="right" vertical="center"/>
    </xf>
    <xf numFmtId="0" fontId="69" fillId="75" borderId="0" xfId="0" applyFont="1" applyFill="1" applyBorder="1" applyAlignment="1">
      <alignment horizontal="center" vertical="center"/>
    </xf>
    <xf numFmtId="0" fontId="6" fillId="57" borderId="0" xfId="0" applyFont="1" applyFill="1" applyBorder="1" applyAlignment="1">
      <alignment horizontal="center"/>
    </xf>
    <xf numFmtId="0" fontId="0" fillId="0" borderId="0" xfId="0" applyBorder="1" applyAlignment="1">
      <alignment horizontal="center"/>
    </xf>
    <xf numFmtId="0" fontId="6" fillId="0" borderId="0" xfId="0" applyFont="1" applyBorder="1" applyAlignment="1">
      <alignment horizontal="center"/>
    </xf>
    <xf numFmtId="0" fontId="69" fillId="75" borderId="21" xfId="0" applyFont="1" applyFill="1" applyBorder="1"/>
    <xf numFmtId="0" fontId="69" fillId="75" borderId="22" xfId="0" applyFont="1" applyFill="1" applyBorder="1"/>
    <xf numFmtId="3" fontId="6" fillId="42" borderId="32" xfId="67" applyNumberFormat="1" applyFont="1" applyFill="1" applyBorder="1"/>
    <xf numFmtId="0" fontId="65" fillId="75" borderId="0" xfId="1" applyFont="1" applyFill="1" applyAlignment="1">
      <alignment vertical="top"/>
    </xf>
    <xf numFmtId="0" fontId="69" fillId="75" borderId="0" xfId="1" applyFont="1" applyFill="1" applyAlignment="1">
      <alignment horizontal="center" vertical="center"/>
    </xf>
    <xf numFmtId="0" fontId="17" fillId="75" borderId="0" xfId="1" applyFont="1" applyFill="1" applyBorder="1" applyAlignment="1">
      <alignment vertical="top"/>
    </xf>
    <xf numFmtId="0" fontId="55" fillId="75" borderId="0" xfId="1" applyFont="1" applyFill="1" applyAlignment="1">
      <alignment vertical="top"/>
    </xf>
    <xf numFmtId="0" fontId="95" fillId="75" borderId="0" xfId="190" applyNumberFormat="1" applyFont="1" applyFill="1" applyBorder="1" applyAlignment="1" applyProtection="1">
      <alignment horizontal="center" vertical="center" wrapText="1"/>
    </xf>
    <xf numFmtId="0" fontId="55" fillId="75" borderId="0" xfId="0" applyFont="1" applyFill="1"/>
    <xf numFmtId="0" fontId="17" fillId="75" borderId="0" xfId="1" applyFont="1" applyFill="1" applyAlignment="1">
      <alignment vertical="top"/>
    </xf>
    <xf numFmtId="0" fontId="52" fillId="60" borderId="22" xfId="190" applyNumberFormat="1" applyFont="1" applyFill="1" applyBorder="1" applyAlignment="1" applyProtection="1">
      <alignment horizontal="center" vertical="center" wrapText="1"/>
    </xf>
    <xf numFmtId="0" fontId="17" fillId="0" borderId="0" xfId="190" applyNumberFormat="1" applyFont="1" applyFill="1" applyBorder="1" applyAlignment="1" applyProtection="1">
      <alignment horizontal="center" vertical="center" wrapText="1"/>
    </xf>
    <xf numFmtId="0" fontId="52" fillId="75" borderId="0" xfId="190" applyNumberFormat="1" applyFont="1" applyFill="1" applyBorder="1" applyAlignment="1" applyProtection="1">
      <alignment horizontal="center" vertical="center" wrapText="1"/>
    </xf>
    <xf numFmtId="0" fontId="19" fillId="75" borderId="0" xfId="1" applyFont="1" applyFill="1"/>
    <xf numFmtId="0" fontId="95" fillId="75" borderId="0" xfId="1" applyFont="1" applyFill="1" applyAlignment="1">
      <alignment horizontal="center" vertical="center" wrapText="1"/>
    </xf>
    <xf numFmtId="0" fontId="64" fillId="94" borderId="27" xfId="0" applyFont="1" applyFill="1" applyBorder="1"/>
    <xf numFmtId="0" fontId="69" fillId="75" borderId="0" xfId="0" applyFont="1" applyFill="1" applyBorder="1" applyAlignment="1">
      <alignment horizontal="center" vertical="center" wrapText="1"/>
    </xf>
    <xf numFmtId="3" fontId="6" fillId="59" borderId="76" xfId="67" applyNumberFormat="1" applyFont="1" applyFill="1" applyBorder="1"/>
    <xf numFmtId="0" fontId="17" fillId="60" borderId="77" xfId="0" applyFont="1" applyFill="1" applyBorder="1"/>
    <xf numFmtId="0" fontId="6" fillId="57" borderId="42" xfId="0" applyFont="1" applyFill="1" applyBorder="1"/>
    <xf numFmtId="0" fontId="6" fillId="0" borderId="58" xfId="0" applyFont="1" applyBorder="1"/>
    <xf numFmtId="3" fontId="6" fillId="0" borderId="42" xfId="189" applyNumberFormat="1" applyFont="1" applyFill="1" applyBorder="1"/>
    <xf numFmtId="0" fontId="6" fillId="0" borderId="65" xfId="0" applyFont="1" applyBorder="1" applyAlignment="1">
      <alignment horizontal="right"/>
    </xf>
    <xf numFmtId="0" fontId="17" fillId="60" borderId="18" xfId="0" applyFont="1" applyFill="1" applyBorder="1"/>
    <xf numFmtId="0" fontId="6" fillId="60" borderId="19" xfId="0" applyFont="1" applyFill="1" applyBorder="1"/>
    <xf numFmtId="0" fontId="66" fillId="60" borderId="19" xfId="0" applyFont="1" applyFill="1" applyBorder="1"/>
    <xf numFmtId="0" fontId="69" fillId="75" borderId="20" xfId="0" applyFont="1" applyFill="1" applyBorder="1"/>
    <xf numFmtId="0" fontId="6" fillId="94" borderId="60" xfId="0" applyFont="1" applyFill="1" applyBorder="1"/>
    <xf numFmtId="0" fontId="6" fillId="0" borderId="51" xfId="0" applyFont="1" applyFill="1" applyBorder="1"/>
    <xf numFmtId="0" fontId="62" fillId="55" borderId="52" xfId="0" applyFont="1" applyFill="1" applyBorder="1"/>
    <xf numFmtId="3" fontId="22" fillId="69" borderId="26" xfId="110" applyNumberFormat="1" applyFont="1" applyFill="1" applyBorder="1"/>
    <xf numFmtId="3" fontId="6" fillId="69" borderId="26" xfId="0" applyNumberFormat="1" applyFont="1" applyFill="1" applyBorder="1"/>
    <xf numFmtId="3" fontId="6" fillId="58" borderId="26" xfId="0" applyNumberFormat="1" applyFont="1" applyFill="1" applyBorder="1"/>
    <xf numFmtId="3" fontId="6" fillId="42" borderId="26" xfId="0" applyNumberFormat="1" applyFont="1" applyFill="1" applyBorder="1"/>
    <xf numFmtId="3" fontId="22" fillId="58" borderId="26" xfId="110" applyNumberFormat="1" applyFont="1" applyFill="1" applyBorder="1"/>
    <xf numFmtId="3" fontId="22" fillId="61" borderId="21" xfId="110" applyNumberFormat="1" applyFont="1" applyFill="1" applyBorder="1"/>
    <xf numFmtId="10" fontId="10" fillId="59" borderId="26" xfId="67" applyNumberFormat="1" applyFont="1" applyFill="1" applyBorder="1"/>
    <xf numFmtId="10" fontId="57" fillId="59" borderId="26" xfId="67" applyNumberFormat="1" applyFont="1" applyFill="1" applyBorder="1"/>
    <xf numFmtId="173" fontId="6" fillId="55" borderId="26" xfId="0" applyNumberFormat="1" applyFont="1" applyFill="1" applyBorder="1"/>
    <xf numFmtId="173" fontId="6" fillId="58" borderId="26" xfId="0" applyNumberFormat="1" applyFont="1" applyFill="1" applyBorder="1"/>
    <xf numFmtId="0" fontId="65" fillId="60" borderId="21" xfId="0" applyFont="1" applyFill="1" applyBorder="1"/>
    <xf numFmtId="173" fontId="6" fillId="61" borderId="21" xfId="0" applyNumberFormat="1" applyFont="1" applyFill="1" applyBorder="1"/>
    <xf numFmtId="0" fontId="6" fillId="0" borderId="78" xfId="0" applyFont="1" applyFill="1" applyBorder="1"/>
    <xf numFmtId="0" fontId="69" fillId="73" borderId="21" xfId="110" applyFont="1" applyFill="1" applyBorder="1"/>
    <xf numFmtId="3" fontId="6" fillId="78" borderId="26" xfId="0" applyNumberFormat="1" applyFont="1" applyFill="1" applyBorder="1"/>
    <xf numFmtId="3" fontId="6" fillId="78" borderId="78" xfId="0" applyNumberFormat="1" applyFont="1" applyFill="1" applyBorder="1"/>
    <xf numFmtId="3" fontId="6" fillId="74" borderId="79" xfId="0" applyNumberFormat="1" applyFont="1" applyFill="1" applyBorder="1"/>
    <xf numFmtId="0" fontId="85" fillId="60" borderId="59" xfId="111" applyFont="1" applyFill="1" applyBorder="1" applyAlignment="1" applyProtection="1">
      <alignment horizontal="right" vertical="center"/>
    </xf>
    <xf numFmtId="0" fontId="21" fillId="75" borderId="20" xfId="111" applyFont="1" applyFill="1" applyBorder="1" applyAlignment="1" applyProtection="1">
      <alignment vertical="center"/>
    </xf>
    <xf numFmtId="0" fontId="104" fillId="61" borderId="0" xfId="0" applyFont="1" applyFill="1"/>
    <xf numFmtId="182" fontId="123" fillId="61" borderId="0" xfId="111" quotePrefix="1" applyNumberFormat="1" applyFont="1" applyFill="1" applyBorder="1" applyAlignment="1" applyProtection="1">
      <alignment horizontal="centerContinuous" vertical="center"/>
      <protection locked="0"/>
    </xf>
    <xf numFmtId="0" fontId="69" fillId="60" borderId="21" xfId="0" applyFont="1" applyFill="1" applyBorder="1" applyAlignment="1">
      <alignment horizontal="center" vertical="center" wrapText="1"/>
    </xf>
    <xf numFmtId="0" fontId="87" fillId="60" borderId="59" xfId="111" applyFont="1" applyFill="1" applyBorder="1" applyAlignment="1" applyProtection="1">
      <alignment horizontal="left" vertical="center"/>
    </xf>
    <xf numFmtId="0" fontId="88" fillId="60" borderId="20" xfId="111" applyFont="1" applyFill="1" applyBorder="1" applyAlignment="1" applyProtection="1">
      <alignment horizontal="right" vertical="center"/>
    </xf>
    <xf numFmtId="0" fontId="6" fillId="0" borderId="21" xfId="0" applyFont="1" applyBorder="1" applyAlignment="1">
      <alignment horizontal="center" wrapText="1"/>
    </xf>
    <xf numFmtId="0" fontId="6" fillId="0" borderId="0" xfId="0" applyFont="1" applyBorder="1" applyAlignment="1">
      <alignment horizontal="center" wrapText="1"/>
    </xf>
    <xf numFmtId="3" fontId="6" fillId="78" borderId="27" xfId="0" applyNumberFormat="1" applyFont="1" applyFill="1" applyBorder="1" applyAlignment="1">
      <alignment wrapText="1"/>
    </xf>
    <xf numFmtId="0" fontId="6" fillId="0" borderId="21" xfId="0" applyFont="1" applyFill="1" applyBorder="1" applyAlignment="1">
      <alignment horizontal="left" wrapText="1"/>
    </xf>
    <xf numFmtId="3" fontId="6" fillId="94" borderId="27" xfId="0" applyNumberFormat="1" applyFont="1" applyFill="1" applyBorder="1" applyAlignment="1">
      <alignment wrapText="1"/>
    </xf>
    <xf numFmtId="0" fontId="10" fillId="61" borderId="21" xfId="0" applyFont="1" applyFill="1" applyBorder="1" applyAlignment="1">
      <alignment horizontal="left" wrapText="1"/>
    </xf>
    <xf numFmtId="10" fontId="10" fillId="61" borderId="0" xfId="0" applyNumberFormat="1" applyFont="1" applyFill="1" applyBorder="1" applyAlignment="1">
      <alignment wrapText="1"/>
    </xf>
    <xf numFmtId="0" fontId="10" fillId="61" borderId="0" xfId="0" applyFont="1" applyFill="1" applyBorder="1" applyAlignment="1">
      <alignment wrapText="1"/>
    </xf>
    <xf numFmtId="3" fontId="6" fillId="78" borderId="27" xfId="104" applyNumberFormat="1" applyFont="1" applyFill="1" applyBorder="1" applyAlignment="1" applyProtection="1">
      <alignment vertical="center"/>
    </xf>
    <xf numFmtId="10" fontId="6" fillId="61" borderId="27" xfId="0" applyNumberFormat="1" applyFont="1" applyFill="1" applyBorder="1"/>
    <xf numFmtId="2" fontId="6" fillId="61" borderId="27" xfId="1" applyNumberFormat="1" applyFont="1" applyFill="1" applyBorder="1" applyProtection="1"/>
    <xf numFmtId="10" fontId="6" fillId="78" borderId="27" xfId="115" applyNumberFormat="1" applyFont="1" applyFill="1" applyBorder="1" applyAlignment="1" applyProtection="1">
      <alignment horizontal="center" vertical="center" wrapText="1"/>
    </xf>
    <xf numFmtId="0" fontId="6" fillId="0" borderId="22" xfId="0" applyFont="1" applyBorder="1" applyAlignment="1">
      <alignment horizontal="center" wrapText="1"/>
    </xf>
    <xf numFmtId="0" fontId="10" fillId="61" borderId="22" xfId="0" applyFont="1" applyFill="1" applyBorder="1" applyAlignment="1">
      <alignment wrapText="1"/>
    </xf>
    <xf numFmtId="0" fontId="65" fillId="61" borderId="22" xfId="0" applyFont="1" applyFill="1" applyBorder="1"/>
    <xf numFmtId="0" fontId="6" fillId="61" borderId="25" xfId="0" applyFont="1" applyFill="1" applyBorder="1"/>
    <xf numFmtId="177" fontId="6" fillId="0" borderId="22" xfId="0" applyNumberFormat="1" applyFont="1" applyFill="1" applyBorder="1"/>
    <xf numFmtId="173" fontId="6" fillId="73" borderId="32" xfId="56" applyNumberFormat="1" applyFont="1" applyFill="1" applyBorder="1"/>
    <xf numFmtId="0" fontId="6" fillId="0" borderId="0" xfId="0" applyFont="1" applyBorder="1" applyAlignment="1">
      <alignment horizontal="left" wrapText="1"/>
    </xf>
    <xf numFmtId="0" fontId="69" fillId="75" borderId="0" xfId="115" applyNumberFormat="1" applyFont="1" applyFill="1" applyBorder="1" applyAlignment="1" applyProtection="1">
      <alignment horizontal="center" vertical="center" wrapText="1"/>
    </xf>
    <xf numFmtId="0" fontId="69" fillId="75" borderId="22" xfId="0" applyFont="1" applyFill="1" applyBorder="1" applyAlignment="1">
      <alignment horizontal="center" vertical="center" wrapText="1"/>
    </xf>
    <xf numFmtId="0" fontId="103" fillId="0" borderId="0" xfId="111" applyFont="1" applyFill="1" applyBorder="1" applyAlignment="1" applyProtection="1">
      <alignment horizontal="center" vertical="center" wrapText="1"/>
    </xf>
    <xf numFmtId="0" fontId="86" fillId="0" borderId="0" xfId="0" applyFont="1" applyFill="1" applyAlignment="1">
      <alignment horizontal="center" vertical="center"/>
    </xf>
    <xf numFmtId="0" fontId="6" fillId="94" borderId="26" xfId="192" quotePrefix="1" applyNumberFormat="1" applyFont="1" applyFill="1" applyBorder="1" applyAlignment="1" applyProtection="1">
      <alignment horizontal="center" vertical="center"/>
      <protection locked="0"/>
    </xf>
    <xf numFmtId="0" fontId="6" fillId="94" borderId="32" xfId="192" quotePrefix="1" applyNumberFormat="1" applyFont="1" applyFill="1" applyBorder="1" applyAlignment="1" applyProtection="1">
      <alignment horizontal="left" vertical="center" indent="1"/>
      <protection locked="0"/>
    </xf>
    <xf numFmtId="179" fontId="6" fillId="94" borderId="27" xfId="56" applyNumberFormat="1" applyFont="1" applyFill="1" applyBorder="1" applyAlignment="1" applyProtection="1">
      <alignment horizontal="right" vertical="center"/>
    </xf>
    <xf numFmtId="0" fontId="6" fillId="94" borderId="26" xfId="192" quotePrefix="1" applyNumberFormat="1" applyFont="1" applyFill="1" applyBorder="1" applyAlignment="1" applyProtection="1">
      <alignment vertical="center"/>
      <protection locked="0"/>
    </xf>
    <xf numFmtId="3" fontId="6" fillId="94" borderId="27" xfId="67" applyNumberFormat="1" applyFont="1" applyFill="1" applyBorder="1"/>
    <xf numFmtId="173" fontId="22" fillId="0" borderId="27" xfId="56" applyNumberFormat="1" applyFont="1" applyFill="1" applyBorder="1" applyAlignment="1">
      <alignment horizontal="right" indent="1"/>
    </xf>
    <xf numFmtId="0" fontId="6" fillId="0" borderId="20" xfId="0" applyFont="1" applyBorder="1"/>
    <xf numFmtId="0" fontId="17" fillId="75" borderId="21" xfId="195" applyFont="1" applyFill="1" applyBorder="1"/>
    <xf numFmtId="0" fontId="18" fillId="0" borderId="0" xfId="563" applyFont="1" applyFill="1" applyBorder="1" applyAlignment="1">
      <alignment vertical="top"/>
    </xf>
    <xf numFmtId="0" fontId="18" fillId="0" borderId="22" xfId="563" applyFont="1" applyFill="1" applyBorder="1" applyAlignment="1">
      <alignment horizontal="center" vertical="top"/>
    </xf>
    <xf numFmtId="0" fontId="22" fillId="0" borderId="0" xfId="195" applyFont="1" applyFill="1" applyBorder="1" applyAlignment="1">
      <alignment horizontal="center"/>
    </xf>
    <xf numFmtId="0" fontId="10" fillId="57" borderId="22" xfId="428" applyFont="1" applyFill="1" applyBorder="1" applyAlignment="1">
      <alignment wrapText="1"/>
    </xf>
    <xf numFmtId="0" fontId="18" fillId="0" borderId="21" xfId="563" applyFont="1" applyFill="1" applyBorder="1" applyAlignment="1">
      <alignment vertical="top"/>
    </xf>
    <xf numFmtId="3" fontId="10" fillId="0" borderId="0" xfId="563" applyNumberFormat="1" applyFont="1" applyFill="1" applyBorder="1" applyAlignment="1">
      <alignment horizontal="center" vertical="top"/>
    </xf>
    <xf numFmtId="0" fontId="22" fillId="0" borderId="0" xfId="195" applyFont="1" applyFill="1" applyBorder="1" applyAlignment="1">
      <alignment horizontal="right"/>
    </xf>
    <xf numFmtId="3" fontId="10" fillId="0" borderId="22" xfId="563" applyNumberFormat="1" applyFont="1" applyFill="1" applyBorder="1" applyAlignment="1">
      <alignment horizontal="center" vertical="top"/>
    </xf>
    <xf numFmtId="0" fontId="6" fillId="0" borderId="21" xfId="428" applyFont="1" applyBorder="1" applyAlignment="1">
      <alignment horizontal="left"/>
    </xf>
    <xf numFmtId="10" fontId="6" fillId="99" borderId="27" xfId="5" applyNumberFormat="1" applyFont="1" applyFill="1" applyBorder="1"/>
    <xf numFmtId="0" fontId="6" fillId="57" borderId="22" xfId="428" applyFont="1" applyFill="1" applyBorder="1"/>
    <xf numFmtId="0" fontId="106" fillId="75" borderId="18" xfId="563" applyFont="1" applyFill="1" applyBorder="1" applyAlignment="1">
      <alignment vertical="top"/>
    </xf>
    <xf numFmtId="0" fontId="17" fillId="75" borderId="19" xfId="563" applyFont="1" applyFill="1" applyBorder="1" applyAlignment="1">
      <alignment horizontal="center" vertical="top" wrapText="1"/>
    </xf>
    <xf numFmtId="0" fontId="17" fillId="75" borderId="19" xfId="563" applyFont="1" applyFill="1" applyBorder="1" applyAlignment="1">
      <alignment horizontal="center" vertical="center" wrapText="1"/>
    </xf>
    <xf numFmtId="0" fontId="17" fillId="75" borderId="20" xfId="563" applyFont="1" applyFill="1" applyBorder="1" applyAlignment="1">
      <alignment horizontal="center" vertical="center" wrapText="1"/>
    </xf>
    <xf numFmtId="0" fontId="17" fillId="75" borderId="18" xfId="563" applyFont="1" applyFill="1" applyBorder="1" applyAlignment="1">
      <alignment vertical="top"/>
    </xf>
    <xf numFmtId="0" fontId="17" fillId="75" borderId="20" xfId="563" applyFont="1" applyFill="1" applyBorder="1" applyAlignment="1">
      <alignment horizontal="center" vertical="top" wrapText="1"/>
    </xf>
    <xf numFmtId="0" fontId="22" fillId="0" borderId="22" xfId="195" applyFont="1" applyFill="1" applyBorder="1" applyAlignment="1">
      <alignment horizontal="center"/>
    </xf>
    <xf numFmtId="0" fontId="10" fillId="0" borderId="21" xfId="428" applyFont="1" applyBorder="1" applyAlignment="1">
      <alignment horizontal="left"/>
    </xf>
    <xf numFmtId="0" fontId="22" fillId="0" borderId="0" xfId="195" applyFont="1" applyBorder="1" applyAlignment="1">
      <alignment horizontal="center"/>
    </xf>
    <xf numFmtId="0" fontId="10" fillId="0" borderId="0" xfId="428" applyFont="1" applyBorder="1" applyAlignment="1">
      <alignment horizontal="left" indent="1"/>
    </xf>
    <xf numFmtId="0" fontId="64" fillId="0" borderId="22" xfId="195" applyFont="1" applyFill="1" applyBorder="1" applyAlignment="1">
      <alignment horizontal="left" indent="1"/>
    </xf>
    <xf numFmtId="0" fontId="10" fillId="0" borderId="0" xfId="428" applyFont="1" applyBorder="1" applyAlignment="1">
      <alignment horizontal="left"/>
    </xf>
    <xf numFmtId="0" fontId="57" fillId="0" borderId="0" xfId="195" applyFont="1" applyFill="1" applyBorder="1" applyAlignment="1">
      <alignment horizontal="center"/>
    </xf>
    <xf numFmtId="3" fontId="10" fillId="0" borderId="0" xfId="195" applyNumberFormat="1" applyFont="1" applyFill="1" applyBorder="1"/>
    <xf numFmtId="3" fontId="10" fillId="42" borderId="27" xfId="67" applyNumberFormat="1" applyFont="1" applyFill="1" applyBorder="1"/>
    <xf numFmtId="10" fontId="10" fillId="99" borderId="27" xfId="5" applyNumberFormat="1" applyFont="1" applyFill="1" applyBorder="1"/>
    <xf numFmtId="0" fontId="10" fillId="0" borderId="22" xfId="0" applyFont="1" applyBorder="1" applyAlignment="1">
      <alignment horizontal="center"/>
    </xf>
    <xf numFmtId="0" fontId="107" fillId="0" borderId="0" xfId="563" applyFont="1" applyFill="1" applyBorder="1" applyAlignment="1">
      <alignment vertical="top"/>
    </xf>
    <xf numFmtId="0" fontId="6" fillId="0" borderId="0" xfId="563" applyFont="1" applyFill="1" applyBorder="1" applyAlignment="1">
      <alignment horizontal="center" vertical="top" wrapText="1"/>
    </xf>
    <xf numFmtId="0" fontId="6" fillId="0" borderId="22" xfId="563" applyFont="1" applyFill="1" applyBorder="1" applyAlignment="1">
      <alignment horizontal="center" vertical="top" wrapText="1"/>
    </xf>
    <xf numFmtId="0" fontId="106" fillId="75" borderId="21" xfId="563" applyFont="1" applyFill="1" applyBorder="1" applyAlignment="1">
      <alignment vertical="top"/>
    </xf>
    <xf numFmtId="0" fontId="17" fillId="75" borderId="0" xfId="563" applyFont="1" applyFill="1" applyBorder="1" applyAlignment="1">
      <alignment horizontal="center" vertical="top" wrapText="1"/>
    </xf>
    <xf numFmtId="0" fontId="17" fillId="75" borderId="22" xfId="563" applyFont="1" applyFill="1" applyBorder="1" applyAlignment="1">
      <alignment horizontal="center" vertical="top" wrapText="1"/>
    </xf>
    <xf numFmtId="0" fontId="6" fillId="0" borderId="21" xfId="428" applyFont="1" applyBorder="1" applyAlignment="1">
      <alignment horizontal="left" indent="1"/>
    </xf>
    <xf numFmtId="0" fontId="6" fillId="0" borderId="0" xfId="428" applyFont="1" applyBorder="1" applyAlignment="1">
      <alignment horizontal="left" indent="1"/>
    </xf>
    <xf numFmtId="0" fontId="6" fillId="0" borderId="22" xfId="428" applyFont="1" applyBorder="1" applyAlignment="1">
      <alignment horizontal="center"/>
    </xf>
    <xf numFmtId="0" fontId="64" fillId="0" borderId="22" xfId="195" applyFont="1" applyFill="1" applyBorder="1" applyAlignment="1">
      <alignment horizontal="center"/>
    </xf>
    <xf numFmtId="0" fontId="22" fillId="0" borderId="23" xfId="195" applyFont="1" applyFill="1" applyBorder="1"/>
    <xf numFmtId="3" fontId="10" fillId="0" borderId="24" xfId="563" applyNumberFormat="1" applyFont="1" applyFill="1" applyBorder="1" applyAlignment="1">
      <alignment horizontal="center" vertical="top"/>
    </xf>
    <xf numFmtId="0" fontId="22" fillId="0" borderId="24" xfId="195" applyFont="1" applyFill="1" applyBorder="1"/>
    <xf numFmtId="0" fontId="22" fillId="0" borderId="25" xfId="195" applyFont="1" applyFill="1" applyBorder="1" applyAlignment="1">
      <alignment horizontal="center"/>
    </xf>
    <xf numFmtId="3" fontId="6" fillId="94" borderId="27" xfId="195" applyNumberFormat="1" applyFont="1" applyFill="1" applyBorder="1"/>
    <xf numFmtId="0" fontId="57" fillId="0" borderId="21" xfId="195" applyFont="1" applyBorder="1"/>
    <xf numFmtId="0" fontId="22" fillId="0" borderId="22" xfId="195" applyFont="1" applyBorder="1" applyAlignment="1">
      <alignment horizontal="center"/>
    </xf>
    <xf numFmtId="0" fontId="6" fillId="0" borderId="0" xfId="428" applyFont="1" applyBorder="1" applyAlignment="1">
      <alignment horizontal="left"/>
    </xf>
    <xf numFmtId="3" fontId="6" fillId="0" borderId="0" xfId="195" applyNumberFormat="1" applyFont="1" applyFill="1" applyBorder="1"/>
    <xf numFmtId="0" fontId="6" fillId="0" borderId="22" xfId="0" applyFont="1" applyBorder="1" applyAlignment="1">
      <alignment horizontal="center"/>
    </xf>
    <xf numFmtId="0" fontId="16" fillId="60" borderId="18" xfId="111" applyFont="1" applyFill="1" applyBorder="1" applyAlignment="1" applyProtection="1">
      <alignment horizontal="left" vertical="top"/>
    </xf>
    <xf numFmtId="0" fontId="16" fillId="60" borderId="19" xfId="111" applyFont="1" applyFill="1" applyBorder="1" applyAlignment="1" applyProtection="1">
      <alignment horizontal="left" vertical="top"/>
    </xf>
    <xf numFmtId="0" fontId="16" fillId="60" borderId="0" xfId="111" applyFont="1" applyFill="1" applyBorder="1" applyAlignment="1" applyProtection="1">
      <alignment horizontal="left" vertical="top" indent="1"/>
    </xf>
    <xf numFmtId="0" fontId="12" fillId="0" borderId="0" xfId="111" applyFont="1" applyFill="1" applyBorder="1" applyAlignment="1" applyProtection="1">
      <alignment vertical="top"/>
    </xf>
    <xf numFmtId="0" fontId="66" fillId="60" borderId="21" xfId="111" applyFont="1" applyFill="1" applyBorder="1" applyAlignment="1" applyProtection="1">
      <alignment horizontal="left" vertical="top"/>
    </xf>
    <xf numFmtId="0" fontId="17" fillId="60" borderId="21" xfId="111" applyFont="1" applyFill="1" applyBorder="1" applyAlignment="1" applyProtection="1">
      <alignment horizontal="left" vertical="top"/>
    </xf>
    <xf numFmtId="0" fontId="17" fillId="60" borderId="0" xfId="111" applyFont="1" applyFill="1" applyBorder="1" applyAlignment="1" applyProtection="1">
      <alignment horizontal="left" vertical="top"/>
    </xf>
    <xf numFmtId="0" fontId="10" fillId="100" borderId="21" xfId="111" applyFont="1" applyFill="1" applyBorder="1" applyAlignment="1" applyProtection="1">
      <alignment horizontal="left" vertical="top"/>
    </xf>
    <xf numFmtId="3" fontId="64" fillId="58" borderId="27" xfId="0" applyNumberFormat="1" applyFont="1" applyFill="1" applyBorder="1"/>
    <xf numFmtId="2" fontId="6" fillId="94" borderId="33" xfId="67" applyNumberFormat="1" applyFont="1" applyFill="1" applyBorder="1"/>
    <xf numFmtId="2" fontId="6" fillId="61" borderId="0" xfId="67" applyNumberFormat="1" applyFont="1" applyFill="1" applyBorder="1"/>
    <xf numFmtId="173" fontId="22" fillId="61" borderId="27" xfId="56" applyNumberFormat="1" applyFont="1" applyFill="1" applyBorder="1" applyAlignment="1">
      <alignment horizontal="right" indent="1"/>
    </xf>
    <xf numFmtId="1" fontId="22" fillId="94" borderId="31" xfId="195" applyNumberFormat="1" applyFont="1" applyFill="1" applyBorder="1" applyAlignment="1">
      <alignment horizontal="right" indent="1"/>
    </xf>
    <xf numFmtId="1" fontId="22" fillId="94" borderId="27" xfId="195" applyNumberFormat="1" applyFont="1" applyFill="1" applyBorder="1" applyAlignment="1">
      <alignment horizontal="right" indent="1"/>
    </xf>
    <xf numFmtId="1" fontId="22" fillId="61" borderId="31" xfId="195" applyNumberFormat="1" applyFont="1" applyFill="1" applyBorder="1" applyAlignment="1">
      <alignment horizontal="right" indent="1"/>
    </xf>
    <xf numFmtId="0" fontId="103" fillId="60" borderId="0" xfId="111" applyFont="1" applyFill="1" applyBorder="1" applyAlignment="1" applyProtection="1">
      <alignment horizontal="center" vertical="center"/>
    </xf>
    <xf numFmtId="0" fontId="103" fillId="60" borderId="0" xfId="111" applyFont="1" applyFill="1" applyBorder="1" applyAlignment="1" applyProtection="1">
      <alignment horizontal="center" vertical="center"/>
    </xf>
    <xf numFmtId="0" fontId="69" fillId="60" borderId="0" xfId="0" applyFont="1" applyFill="1" applyBorder="1" applyAlignment="1">
      <alignment horizontal="center" vertical="center"/>
    </xf>
    <xf numFmtId="0" fontId="6" fillId="57" borderId="0" xfId="0" applyFont="1" applyFill="1" applyBorder="1" applyAlignment="1">
      <alignment horizontal="center"/>
    </xf>
    <xf numFmtId="0" fontId="6" fillId="0" borderId="0" xfId="189" applyFont="1" applyAlignment="1">
      <alignment vertical="top"/>
    </xf>
    <xf numFmtId="3" fontId="6" fillId="94" borderId="27" xfId="190" applyNumberFormat="1" applyFont="1" applyFill="1" applyBorder="1" applyAlignment="1" applyProtection="1">
      <alignment vertical="top" wrapText="1"/>
    </xf>
    <xf numFmtId="0" fontId="6" fillId="94" borderId="42" xfId="192" quotePrefix="1" applyNumberFormat="1" applyFont="1" applyFill="1" applyBorder="1" applyAlignment="1" applyProtection="1">
      <alignment vertical="center"/>
      <protection locked="0"/>
    </xf>
    <xf numFmtId="0" fontId="6" fillId="94" borderId="27" xfId="192" quotePrefix="1" applyNumberFormat="1" applyFont="1" applyFill="1" applyBorder="1" applyAlignment="1" applyProtection="1">
      <alignment vertical="center"/>
      <protection locked="0"/>
    </xf>
    <xf numFmtId="0" fontId="64" fillId="61" borderId="42" xfId="195" applyFont="1" applyFill="1" applyBorder="1" applyAlignment="1">
      <alignment horizontal="left" indent="1"/>
    </xf>
    <xf numFmtId="174" fontId="6" fillId="42" borderId="27" xfId="67" applyNumberFormat="1" applyFont="1" applyFill="1" applyBorder="1"/>
    <xf numFmtId="0" fontId="6" fillId="57" borderId="21" xfId="0" applyFont="1" applyFill="1" applyBorder="1" applyAlignment="1">
      <alignment horizontal="center"/>
    </xf>
    <xf numFmtId="173" fontId="6" fillId="74" borderId="28" xfId="56" applyNumberFormat="1" applyFont="1" applyFill="1" applyBorder="1"/>
    <xf numFmtId="3" fontId="64" fillId="61" borderId="27" xfId="0" applyNumberFormat="1" applyFont="1" applyFill="1" applyBorder="1"/>
    <xf numFmtId="3" fontId="64" fillId="73" borderId="38" xfId="189" applyNumberFormat="1" applyFont="1" applyFill="1" applyBorder="1"/>
    <xf numFmtId="174" fontId="6" fillId="58" borderId="27" xfId="5" applyNumberFormat="1" applyFont="1" applyFill="1" applyBorder="1"/>
    <xf numFmtId="3" fontId="0" fillId="94" borderId="27" xfId="195" applyNumberFormat="1" applyFont="1" applyFill="1" applyBorder="1"/>
    <xf numFmtId="174" fontId="6" fillId="61" borderId="27" xfId="64" applyNumberFormat="1" applyFont="1" applyFill="1" applyBorder="1" applyAlignment="1">
      <alignment horizontal="center"/>
    </xf>
    <xf numFmtId="174" fontId="6" fillId="61" borderId="27" xfId="0" applyNumberFormat="1" applyFont="1" applyFill="1" applyBorder="1" applyAlignment="1">
      <alignment horizontal="center"/>
    </xf>
    <xf numFmtId="3" fontId="6" fillId="0" borderId="0" xfId="190" applyNumberFormat="1" applyFont="1" applyFill="1" applyBorder="1" applyAlignment="1" applyProtection="1">
      <alignment horizontal="center" vertical="center" wrapText="1"/>
    </xf>
    <xf numFmtId="179" fontId="6" fillId="0" borderId="22" xfId="0" applyNumberFormat="1" applyFont="1" applyFill="1" applyBorder="1"/>
    <xf numFmtId="179" fontId="6" fillId="59" borderId="60" xfId="0" applyNumberFormat="1" applyFont="1" applyFill="1" applyBorder="1"/>
    <xf numFmtId="179" fontId="6" fillId="61" borderId="22" xfId="0" applyNumberFormat="1" applyFont="1" applyFill="1" applyBorder="1"/>
    <xf numFmtId="179" fontId="6" fillId="59" borderId="80" xfId="0" applyNumberFormat="1" applyFont="1" applyFill="1" applyBorder="1"/>
    <xf numFmtId="179" fontId="6" fillId="0" borderId="22" xfId="0" applyNumberFormat="1" applyFont="1" applyBorder="1"/>
    <xf numFmtId="179" fontId="6" fillId="74" borderId="80" xfId="0" applyNumberFormat="1" applyFont="1" applyFill="1" applyBorder="1"/>
    <xf numFmtId="3" fontId="6" fillId="61" borderId="27" xfId="193" applyNumberFormat="1" applyFont="1" applyFill="1" applyBorder="1"/>
    <xf numFmtId="3" fontId="6" fillId="0" borderId="27" xfId="193" applyNumberFormat="1" applyFont="1" applyFill="1" applyBorder="1"/>
    <xf numFmtId="3" fontId="6" fillId="94" borderId="27" xfId="193" applyNumberFormat="1" applyFont="1" applyFill="1" applyBorder="1"/>
    <xf numFmtId="167" fontId="6" fillId="42" borderId="39" xfId="104" applyNumberFormat="1" applyFont="1" applyFill="1" applyBorder="1" applyAlignment="1" applyProtection="1">
      <alignment horizontal="right" vertical="center" indent="1"/>
      <protection locked="0"/>
    </xf>
    <xf numFmtId="167" fontId="9" fillId="42" borderId="28" xfId="104" quotePrefix="1" applyNumberFormat="1" applyFont="1" applyFill="1" applyBorder="1" applyAlignment="1" applyProtection="1">
      <alignment horizontal="right" vertical="center" indent="1"/>
      <protection locked="0"/>
    </xf>
    <xf numFmtId="0" fontId="9" fillId="42" borderId="28" xfId="104" applyNumberFormat="1" applyFont="1" applyFill="1" applyBorder="1" applyAlignment="1" applyProtection="1">
      <alignment horizontal="right" vertical="center" indent="1"/>
      <protection locked="0"/>
    </xf>
    <xf numFmtId="167" fontId="9" fillId="42" borderId="28" xfId="104" applyNumberFormat="1" applyFont="1" applyFill="1" applyBorder="1" applyAlignment="1" applyProtection="1">
      <alignment horizontal="right" vertical="center" indent="1"/>
      <protection locked="0"/>
    </xf>
    <xf numFmtId="167" fontId="0" fillId="0" borderId="0" xfId="0" applyNumberFormat="1" applyAlignment="1">
      <alignment horizontal="right"/>
    </xf>
    <xf numFmtId="167" fontId="6" fillId="42" borderId="28" xfId="192" quotePrefix="1" applyNumberFormat="1" applyFont="1" applyFill="1" applyBorder="1" applyAlignment="1" applyProtection="1">
      <alignment horizontal="right" vertical="center" indent="1"/>
      <protection locked="0"/>
    </xf>
    <xf numFmtId="167" fontId="6" fillId="42" borderId="28" xfId="104" quotePrefix="1" applyNumberFormat="1" applyFont="1" applyFill="1" applyBorder="1" applyAlignment="1" applyProtection="1">
      <alignment horizontal="right" vertical="center" indent="1"/>
      <protection locked="0"/>
    </xf>
    <xf numFmtId="167" fontId="6" fillId="59" borderId="28" xfId="0" applyNumberFormat="1" applyFont="1" applyFill="1" applyBorder="1" applyAlignment="1">
      <alignment horizontal="right"/>
    </xf>
    <xf numFmtId="167" fontId="6" fillId="59" borderId="46" xfId="0" applyNumberFormat="1" applyFont="1" applyFill="1" applyBorder="1" applyAlignment="1">
      <alignment horizontal="right"/>
    </xf>
    <xf numFmtId="167" fontId="6" fillId="59" borderId="27" xfId="0" applyNumberFormat="1" applyFont="1" applyFill="1" applyBorder="1" applyAlignment="1">
      <alignment horizontal="right"/>
    </xf>
    <xf numFmtId="167" fontId="6" fillId="42" borderId="27" xfId="104" applyNumberFormat="1" applyFont="1" applyFill="1" applyBorder="1" applyAlignment="1" applyProtection="1">
      <alignment horizontal="right" vertical="center" indent="1"/>
      <protection locked="0"/>
    </xf>
    <xf numFmtId="167" fontId="9" fillId="0" borderId="0" xfId="104" quotePrefix="1" applyNumberFormat="1" applyFont="1" applyFill="1" applyBorder="1" applyAlignment="1" applyProtection="1">
      <alignment horizontal="right" vertical="center" indent="1"/>
      <protection locked="0"/>
    </xf>
    <xf numFmtId="167" fontId="9" fillId="42" borderId="27" xfId="104" quotePrefix="1" applyNumberFormat="1" applyFont="1" applyFill="1" applyBorder="1" applyAlignment="1" applyProtection="1">
      <alignment horizontal="right" vertical="center" indent="1"/>
      <protection locked="0"/>
    </xf>
    <xf numFmtId="0" fontId="9" fillId="42" borderId="27" xfId="104" applyNumberFormat="1" applyFont="1" applyFill="1" applyBorder="1" applyAlignment="1" applyProtection="1">
      <alignment horizontal="right" vertical="center" indent="1"/>
      <protection locked="0"/>
    </xf>
    <xf numFmtId="3" fontId="9" fillId="69" borderId="27" xfId="104" applyNumberFormat="1" applyFont="1" applyFill="1" applyBorder="1" applyAlignment="1" applyProtection="1">
      <alignment horizontal="right" vertical="center" indent="1"/>
      <protection locked="0"/>
    </xf>
    <xf numFmtId="167" fontId="9" fillId="42" borderId="27" xfId="104" applyNumberFormat="1" applyFont="1" applyFill="1" applyBorder="1" applyAlignment="1" applyProtection="1">
      <alignment horizontal="right" vertical="center" indent="1"/>
      <protection locked="0"/>
    </xf>
    <xf numFmtId="167" fontId="6" fillId="42" borderId="27" xfId="104" quotePrefix="1" applyNumberFormat="1" applyFont="1" applyFill="1" applyBorder="1" applyAlignment="1" applyProtection="1">
      <alignment horizontal="right" vertical="center" indent="1"/>
      <protection locked="0"/>
    </xf>
    <xf numFmtId="1" fontId="9" fillId="58" borderId="31" xfId="104" applyNumberFormat="1" applyFont="1" applyFill="1" applyBorder="1" applyAlignment="1" applyProtection="1">
      <alignment horizontal="center" vertical="center"/>
      <protection locked="0"/>
    </xf>
    <xf numFmtId="0" fontId="9" fillId="0" borderId="0" xfId="104" quotePrefix="1" applyNumberFormat="1" applyFont="1" applyFill="1" applyBorder="1" applyAlignment="1" applyProtection="1">
      <alignment horizontal="center" vertical="center"/>
      <protection locked="0"/>
    </xf>
    <xf numFmtId="0" fontId="9" fillId="0" borderId="27" xfId="104" quotePrefix="1" applyNumberFormat="1" applyFont="1" applyFill="1" applyBorder="1" applyAlignment="1" applyProtection="1">
      <alignment horizontal="center" vertical="center"/>
      <protection locked="0"/>
    </xf>
    <xf numFmtId="0" fontId="0" fillId="0" borderId="0" xfId="0" applyAlignment="1">
      <alignment horizontal="center"/>
    </xf>
    <xf numFmtId="2" fontId="9" fillId="42" borderId="27" xfId="104" applyNumberFormat="1" applyFont="1" applyFill="1" applyBorder="1" applyAlignment="1" applyProtection="1">
      <alignment horizontal="right" vertical="center"/>
      <protection locked="0"/>
    </xf>
    <xf numFmtId="4" fontId="0" fillId="59" borderId="27" xfId="0" applyNumberFormat="1" applyFill="1" applyBorder="1" applyAlignment="1">
      <alignment horizontal="right"/>
    </xf>
    <xf numFmtId="2" fontId="6" fillId="42" borderId="27" xfId="104" applyNumberFormat="1" applyFont="1" applyFill="1" applyBorder="1" applyAlignment="1" applyProtection="1">
      <alignment horizontal="right" vertical="center" indent="1"/>
      <protection locked="0"/>
    </xf>
    <xf numFmtId="2" fontId="6" fillId="94" borderId="27" xfId="104" applyNumberFormat="1" applyFont="1" applyFill="1" applyBorder="1" applyAlignment="1" applyProtection="1">
      <alignment horizontal="right" vertical="center" indent="1"/>
      <protection locked="0"/>
    </xf>
    <xf numFmtId="173" fontId="6" fillId="42" borderId="27" xfId="56" applyNumberFormat="1" applyFont="1" applyFill="1" applyBorder="1" applyAlignment="1" applyProtection="1">
      <alignment horizontal="right" vertical="center"/>
      <protection locked="0"/>
    </xf>
    <xf numFmtId="173" fontId="0" fillId="0" borderId="0" xfId="56" applyNumberFormat="1" applyFont="1" applyAlignment="1">
      <alignment horizontal="right"/>
    </xf>
    <xf numFmtId="173" fontId="0" fillId="59" borderId="27" xfId="56" applyNumberFormat="1" applyFont="1" applyFill="1" applyBorder="1" applyAlignment="1">
      <alignment horizontal="right"/>
    </xf>
    <xf numFmtId="173" fontId="0" fillId="0" borderId="0" xfId="56" applyNumberFormat="1" applyFont="1" applyBorder="1" applyAlignment="1">
      <alignment horizontal="right"/>
    </xf>
    <xf numFmtId="173" fontId="0" fillId="0" borderId="40" xfId="56" applyNumberFormat="1" applyFont="1" applyBorder="1" applyAlignment="1">
      <alignment horizontal="right"/>
    </xf>
    <xf numFmtId="167" fontId="9" fillId="69" borderId="27" xfId="114" applyNumberFormat="1" applyFont="1" applyFill="1" applyBorder="1" applyAlignment="1">
      <alignment horizontal="right"/>
    </xf>
    <xf numFmtId="167" fontId="9" fillId="42" borderId="27" xfId="104" applyNumberFormat="1" applyFont="1" applyFill="1" applyBorder="1" applyAlignment="1" applyProtection="1">
      <alignment horizontal="right" vertical="center"/>
      <protection locked="0"/>
    </xf>
    <xf numFmtId="167" fontId="9" fillId="42" borderId="27" xfId="104" quotePrefix="1" applyNumberFormat="1" applyFont="1" applyFill="1" applyBorder="1" applyAlignment="1" applyProtection="1">
      <alignment horizontal="right" vertical="center"/>
      <protection locked="0"/>
    </xf>
    <xf numFmtId="2" fontId="6" fillId="61" borderId="27" xfId="114" applyNumberFormat="1" applyFont="1" applyFill="1" applyBorder="1" applyAlignment="1">
      <alignment horizontal="right"/>
    </xf>
    <xf numFmtId="2" fontId="9" fillId="69" borderId="27" xfId="114" applyNumberFormat="1" applyFont="1" applyFill="1" applyBorder="1" applyAlignment="1">
      <alignment horizontal="right"/>
    </xf>
    <xf numFmtId="2" fontId="6" fillId="42" borderId="27" xfId="104" quotePrefix="1" applyNumberFormat="1" applyFont="1" applyFill="1" applyBorder="1" applyAlignment="1" applyProtection="1">
      <alignment horizontal="right" vertical="center"/>
      <protection locked="0"/>
    </xf>
    <xf numFmtId="167" fontId="6" fillId="61" borderId="27" xfId="114" applyNumberFormat="1" applyFont="1" applyFill="1" applyBorder="1" applyAlignment="1">
      <alignment horizontal="right"/>
    </xf>
    <xf numFmtId="167" fontId="6" fillId="42" borderId="27" xfId="104" applyNumberFormat="1" applyFont="1" applyFill="1" applyBorder="1" applyAlignment="1" applyProtection="1">
      <alignment horizontal="right" vertical="center"/>
      <protection locked="0"/>
    </xf>
    <xf numFmtId="167" fontId="6" fillId="42" borderId="27" xfId="104" quotePrefix="1" applyNumberFormat="1" applyFont="1" applyFill="1" applyBorder="1" applyAlignment="1" applyProtection="1">
      <alignment horizontal="right" vertical="center"/>
      <protection locked="0"/>
    </xf>
    <xf numFmtId="167" fontId="6" fillId="69" borderId="27" xfId="104" applyNumberFormat="1" applyFont="1" applyFill="1" applyBorder="1" applyAlignment="1" applyProtection="1">
      <alignment horizontal="right" vertical="center"/>
      <protection locked="0"/>
    </xf>
    <xf numFmtId="167" fontId="6" fillId="69" borderId="27" xfId="114" applyNumberFormat="1" applyFont="1" applyFill="1" applyBorder="1" applyAlignment="1">
      <alignment horizontal="right"/>
    </xf>
    <xf numFmtId="167" fontId="6" fillId="94" borderId="27" xfId="104" applyNumberFormat="1" applyFont="1" applyFill="1" applyBorder="1" applyAlignment="1" applyProtection="1">
      <alignment horizontal="right" vertical="center" indent="1"/>
      <protection locked="0"/>
    </xf>
    <xf numFmtId="0" fontId="9" fillId="0" borderId="0" xfId="104" quotePrefix="1" applyNumberFormat="1" applyFont="1" applyFill="1" applyBorder="1" applyAlignment="1" applyProtection="1">
      <alignment horizontal="right" vertical="center" indent="1"/>
      <protection locked="0"/>
    </xf>
    <xf numFmtId="0" fontId="64" fillId="0" borderId="0" xfId="104" quotePrefix="1" applyNumberFormat="1" applyFont="1" applyFill="1" applyBorder="1" applyAlignment="1" applyProtection="1">
      <alignment horizontal="right" vertical="center" indent="1"/>
      <protection locked="0"/>
    </xf>
    <xf numFmtId="0" fontId="6" fillId="0" borderId="0" xfId="104" quotePrefix="1" applyNumberFormat="1" applyFont="1" applyFill="1" applyBorder="1" applyAlignment="1" applyProtection="1">
      <alignment horizontal="right" vertical="center" indent="1"/>
      <protection locked="0"/>
    </xf>
    <xf numFmtId="167" fontId="114" fillId="73" borderId="27" xfId="104" applyNumberFormat="1" applyFont="1" applyFill="1" applyBorder="1" applyAlignment="1" applyProtection="1">
      <alignment horizontal="right" vertical="center" indent="1"/>
      <protection locked="0"/>
    </xf>
    <xf numFmtId="167" fontId="114" fillId="73" borderId="27" xfId="104" quotePrefix="1" applyNumberFormat="1" applyFont="1" applyFill="1" applyBorder="1" applyAlignment="1" applyProtection="1">
      <alignment horizontal="right" vertical="center" indent="1"/>
      <protection locked="0"/>
    </xf>
    <xf numFmtId="167" fontId="0" fillId="59" borderId="27" xfId="0" applyNumberFormat="1" applyFill="1" applyBorder="1" applyAlignment="1">
      <alignment horizontal="right"/>
    </xf>
    <xf numFmtId="2" fontId="6" fillId="42" borderId="27" xfId="104" quotePrefix="1" applyNumberFormat="1" applyFont="1" applyFill="1" applyBorder="1" applyAlignment="1" applyProtection="1">
      <alignment horizontal="right" vertical="center" indent="1"/>
      <protection locked="0"/>
    </xf>
    <xf numFmtId="0" fontId="69" fillId="60" borderId="0" xfId="0" applyFont="1" applyFill="1" applyBorder="1" applyAlignment="1">
      <alignment horizontal="center" vertical="center"/>
    </xf>
    <xf numFmtId="0" fontId="2" fillId="0" borderId="21" xfId="1330" applyBorder="1" applyAlignment="1">
      <alignment vertical="top"/>
    </xf>
    <xf numFmtId="0" fontId="2" fillId="0" borderId="0" xfId="1330" applyBorder="1" applyAlignment="1">
      <alignment vertical="top"/>
    </xf>
    <xf numFmtId="0" fontId="54" fillId="0" borderId="0" xfId="1330" applyFont="1" applyBorder="1" applyAlignment="1">
      <alignment vertical="top"/>
    </xf>
    <xf numFmtId="0" fontId="10" fillId="0" borderId="0" xfId="1330" applyFont="1" applyBorder="1" applyAlignment="1">
      <alignment horizontal="left" vertical="top" indent="1"/>
    </xf>
    <xf numFmtId="0" fontId="2" fillId="0" borderId="0" xfId="1330" applyAlignment="1">
      <alignment vertical="top"/>
    </xf>
    <xf numFmtId="0" fontId="2" fillId="0" borderId="0" xfId="1330" applyBorder="1" applyAlignment="1">
      <alignment vertical="top" wrapText="1"/>
    </xf>
    <xf numFmtId="0" fontId="64" fillId="0" borderId="0" xfId="1330" applyFont="1" applyAlignment="1">
      <alignment vertical="top"/>
    </xf>
    <xf numFmtId="0" fontId="6" fillId="0" borderId="0" xfId="1330" applyFont="1" applyAlignment="1">
      <alignment vertical="top"/>
    </xf>
    <xf numFmtId="0" fontId="56" fillId="0" borderId="0" xfId="1330" applyFont="1" applyAlignment="1">
      <alignment horizontal="justify" vertical="top"/>
    </xf>
    <xf numFmtId="0" fontId="64" fillId="0" borderId="0" xfId="1330" applyFont="1" applyBorder="1" applyAlignment="1">
      <alignment vertical="top"/>
    </xf>
    <xf numFmtId="0" fontId="64" fillId="0" borderId="0" xfId="1330" applyFont="1" applyBorder="1" applyAlignment="1">
      <alignment vertical="top" wrapText="1"/>
    </xf>
    <xf numFmtId="0" fontId="66" fillId="0" borderId="0" xfId="1330" applyFont="1" applyBorder="1" applyAlignment="1">
      <alignment horizontal="left" vertical="top" indent="1"/>
    </xf>
    <xf numFmtId="0" fontId="6" fillId="100" borderId="0" xfId="1330" applyFont="1" applyFill="1" applyBorder="1" applyAlignment="1">
      <alignment vertical="top"/>
    </xf>
    <xf numFmtId="0" fontId="6" fillId="100" borderId="0" xfId="1330" applyFont="1" applyFill="1" applyBorder="1" applyAlignment="1">
      <alignment vertical="top" wrapText="1"/>
    </xf>
    <xf numFmtId="0" fontId="10" fillId="100" borderId="0" xfId="1330" applyFont="1" applyFill="1" applyBorder="1" applyAlignment="1">
      <alignment horizontal="left" vertical="top" indent="1"/>
    </xf>
    <xf numFmtId="0" fontId="6" fillId="0" borderId="21" xfId="1330" applyFont="1" applyBorder="1" applyAlignment="1">
      <alignment vertical="top"/>
    </xf>
    <xf numFmtId="0" fontId="6" fillId="0" borderId="0" xfId="1330" applyFont="1" applyBorder="1" applyAlignment="1">
      <alignment vertical="top"/>
    </xf>
    <xf numFmtId="0" fontId="6" fillId="0" borderId="0" xfId="1330" applyFont="1" applyBorder="1" applyAlignment="1">
      <alignment vertical="top" wrapText="1"/>
    </xf>
    <xf numFmtId="0" fontId="6" fillId="0" borderId="81" xfId="1330" applyFont="1" applyBorder="1" applyAlignment="1">
      <alignment vertical="top"/>
    </xf>
    <xf numFmtId="0" fontId="6" fillId="0" borderId="81" xfId="1330" applyFont="1" applyBorder="1" applyAlignment="1">
      <alignment vertical="top" wrapText="1"/>
    </xf>
    <xf numFmtId="0" fontId="10" fillId="0" borderId="81" xfId="1330" applyFont="1" applyBorder="1" applyAlignment="1">
      <alignment horizontal="left" vertical="top" indent="1"/>
    </xf>
    <xf numFmtId="0" fontId="6" fillId="0" borderId="21" xfId="1330" applyFont="1" applyFill="1" applyBorder="1" applyAlignment="1">
      <alignment vertical="top"/>
    </xf>
    <xf numFmtId="0" fontId="6" fillId="0" borderId="82" xfId="1330" applyFont="1" applyBorder="1" applyAlignment="1">
      <alignment horizontal="left" vertical="top"/>
    </xf>
    <xf numFmtId="0" fontId="125" fillId="0" borderId="83" xfId="1330" applyFont="1" applyBorder="1" applyAlignment="1">
      <alignment vertical="top" wrapText="1"/>
    </xf>
    <xf numFmtId="0" fontId="10" fillId="0" borderId="84" xfId="1330" applyFont="1" applyBorder="1" applyAlignment="1">
      <alignment horizontal="left" vertical="top" indent="1"/>
    </xf>
    <xf numFmtId="0" fontId="125" fillId="0" borderId="85" xfId="1330" applyFont="1" applyBorder="1" applyAlignment="1">
      <alignment vertical="top"/>
    </xf>
    <xf numFmtId="0" fontId="125" fillId="0" borderId="81" xfId="1330" applyFont="1" applyBorder="1" applyAlignment="1">
      <alignment vertical="top" wrapText="1"/>
    </xf>
    <xf numFmtId="0" fontId="10" fillId="0" borderId="86" xfId="1330" applyFont="1" applyBorder="1" applyAlignment="1">
      <alignment horizontal="left" vertical="top" indent="1"/>
    </xf>
    <xf numFmtId="0" fontId="6" fillId="0" borderId="91" xfId="1330" applyFont="1" applyBorder="1" applyAlignment="1">
      <alignment horizontal="left" vertical="top"/>
    </xf>
    <xf numFmtId="0" fontId="125" fillId="0" borderId="90" xfId="1330" applyFont="1" applyBorder="1" applyAlignment="1">
      <alignment vertical="top" wrapText="1"/>
    </xf>
    <xf numFmtId="0" fontId="10" fillId="0" borderId="92" xfId="1330" applyFont="1" applyBorder="1" applyAlignment="1">
      <alignment horizontal="left" vertical="top" indent="1"/>
    </xf>
    <xf numFmtId="0" fontId="6" fillId="0" borderId="87" xfId="1330" applyFont="1" applyBorder="1" applyAlignment="1">
      <alignment horizontal="left" vertical="top"/>
    </xf>
    <xf numFmtId="0" fontId="6" fillId="0" borderId="88" xfId="1330" applyFont="1" applyBorder="1" applyAlignment="1">
      <alignment vertical="top" wrapText="1"/>
    </xf>
    <xf numFmtId="0" fontId="10" fillId="0" borderId="89" xfId="1330" applyFont="1" applyBorder="1" applyAlignment="1">
      <alignment horizontal="left" vertical="top" indent="1"/>
    </xf>
    <xf numFmtId="0" fontId="6" fillId="0" borderId="81" xfId="1330" applyFont="1" applyFill="1" applyBorder="1" applyAlignment="1">
      <alignment vertical="top"/>
    </xf>
    <xf numFmtId="0" fontId="6" fillId="0" borderId="81" xfId="1330" applyFont="1" applyFill="1" applyBorder="1" applyAlignment="1">
      <alignment vertical="top" wrapText="1"/>
    </xf>
    <xf numFmtId="0" fontId="6" fillId="0" borderId="82" xfId="1330" applyFont="1" applyBorder="1" applyAlignment="1">
      <alignment vertical="top" wrapText="1"/>
    </xf>
    <xf numFmtId="0" fontId="6" fillId="0" borderId="84" xfId="1330" applyFont="1" applyBorder="1" applyAlignment="1">
      <alignment vertical="top" wrapText="1"/>
    </xf>
    <xf numFmtId="0" fontId="125" fillId="0" borderId="85" xfId="1330" applyFont="1" applyBorder="1" applyAlignment="1">
      <alignment vertical="top" wrapText="1"/>
    </xf>
    <xf numFmtId="0" fontId="6" fillId="0" borderId="86" xfId="1330" applyFont="1" applyBorder="1" applyAlignment="1">
      <alignment vertical="top" wrapText="1"/>
    </xf>
    <xf numFmtId="0" fontId="6" fillId="0" borderId="85" xfId="1330" applyFont="1" applyBorder="1" applyAlignment="1">
      <alignment vertical="top" wrapText="1"/>
    </xf>
    <xf numFmtId="0" fontId="6" fillId="0" borderId="87" xfId="1330" applyFont="1" applyBorder="1" applyAlignment="1">
      <alignment vertical="top" wrapText="1"/>
    </xf>
    <xf numFmtId="0" fontId="6" fillId="0" borderId="89" xfId="1330" applyFont="1" applyBorder="1" applyAlignment="1">
      <alignment vertical="top" wrapText="1"/>
    </xf>
    <xf numFmtId="0" fontId="64" fillId="0" borderId="21" xfId="1330" applyFont="1" applyBorder="1" applyAlignment="1">
      <alignment vertical="top"/>
    </xf>
    <xf numFmtId="0" fontId="2" fillId="0" borderId="0" xfId="1330"/>
    <xf numFmtId="0" fontId="55" fillId="57" borderId="0" xfId="1330" applyFont="1" applyFill="1" applyBorder="1" applyAlignment="1">
      <alignment horizontal="left"/>
    </xf>
    <xf numFmtId="173" fontId="54" fillId="57" borderId="0" xfId="452" applyNumberFormat="1" applyFont="1" applyFill="1" applyBorder="1"/>
    <xf numFmtId="0" fontId="54" fillId="57" borderId="0" xfId="1330" applyFont="1" applyFill="1" applyBorder="1"/>
    <xf numFmtId="0" fontId="2" fillId="57" borderId="0" xfId="1330" applyFill="1" applyBorder="1"/>
    <xf numFmtId="173" fontId="6" fillId="0" borderId="0" xfId="452" applyNumberFormat="1" applyFont="1" applyFill="1" applyBorder="1"/>
    <xf numFmtId="0" fontId="2" fillId="57" borderId="22" xfId="1330" applyFill="1" applyBorder="1"/>
    <xf numFmtId="0" fontId="17" fillId="60" borderId="0" xfId="1330" applyFont="1" applyFill="1" applyBorder="1"/>
    <xf numFmtId="0" fontId="2" fillId="60" borderId="0" xfId="1330" applyFill="1" applyBorder="1"/>
    <xf numFmtId="0" fontId="2" fillId="60" borderId="22" xfId="1330" applyFill="1" applyBorder="1"/>
    <xf numFmtId="174" fontId="2" fillId="58" borderId="27" xfId="1330" applyNumberFormat="1" applyFill="1" applyBorder="1"/>
    <xf numFmtId="0" fontId="2" fillId="57" borderId="0" xfId="1330" applyFill="1"/>
    <xf numFmtId="10" fontId="2" fillId="0" borderId="27" xfId="1330" applyNumberFormat="1" applyFill="1" applyBorder="1"/>
    <xf numFmtId="0" fontId="2" fillId="0" borderId="0" xfId="1330" applyFill="1" applyBorder="1"/>
    <xf numFmtId="0" fontId="2" fillId="0" borderId="27" xfId="1330" applyFill="1" applyBorder="1"/>
    <xf numFmtId="0" fontId="10" fillId="0" borderId="0" xfId="5" applyFont="1" applyFill="1" applyBorder="1" applyAlignment="1" applyProtection="1">
      <alignment horizontal="right"/>
    </xf>
    <xf numFmtId="0" fontId="6" fillId="57" borderId="31" xfId="5" applyFont="1" applyFill="1" applyBorder="1"/>
    <xf numFmtId="0" fontId="6" fillId="55" borderId="31" xfId="5" applyFont="1" applyFill="1" applyBorder="1"/>
    <xf numFmtId="0" fontId="2" fillId="0" borderId="0" xfId="1330" applyFill="1"/>
    <xf numFmtId="0" fontId="2" fillId="0" borderId="22" xfId="1330" applyFill="1" applyBorder="1"/>
    <xf numFmtId="0" fontId="6" fillId="55" borderId="27" xfId="5" applyFont="1" applyFill="1" applyBorder="1"/>
    <xf numFmtId="167" fontId="2" fillId="0" borderId="0" xfId="1330" applyNumberFormat="1"/>
    <xf numFmtId="0" fontId="2" fillId="0" borderId="0" xfId="1330" applyBorder="1"/>
    <xf numFmtId="0" fontId="2" fillId="0" borderId="22" xfId="1330" applyBorder="1"/>
    <xf numFmtId="167" fontId="2" fillId="0" borderId="0" xfId="1330" applyNumberFormat="1" applyFill="1"/>
    <xf numFmtId="0" fontId="2" fillId="60" borderId="59" xfId="1330" applyFill="1" applyBorder="1"/>
    <xf numFmtId="0" fontId="2" fillId="60" borderId="36" xfId="1330" applyFill="1" applyBorder="1"/>
    <xf numFmtId="0" fontId="6" fillId="57" borderId="27" xfId="64" applyFont="1" applyFill="1" applyBorder="1"/>
    <xf numFmtId="3" fontId="2" fillId="0" borderId="0" xfId="1330" applyNumberFormat="1" applyFill="1" applyBorder="1"/>
    <xf numFmtId="3" fontId="2" fillId="0" borderId="0" xfId="1330" applyNumberFormat="1" applyBorder="1"/>
    <xf numFmtId="0" fontId="55" fillId="0" borderId="0" xfId="1330" applyFont="1"/>
    <xf numFmtId="173" fontId="0" fillId="0" borderId="0" xfId="452" applyNumberFormat="1" applyFont="1" applyFill="1"/>
    <xf numFmtId="0" fontId="17" fillId="60" borderId="0" xfId="1330" applyFont="1" applyFill="1" applyBorder="1" applyAlignment="1">
      <alignment horizontal="center" vertical="center"/>
    </xf>
    <xf numFmtId="0" fontId="17" fillId="60" borderId="0" xfId="1330" applyFont="1" applyFill="1" applyAlignment="1">
      <alignment horizontal="center" vertical="center"/>
    </xf>
    <xf numFmtId="0" fontId="2" fillId="60" borderId="0" xfId="1330" applyFill="1" applyBorder="1" applyAlignment="1">
      <alignment horizontal="center" vertical="center"/>
    </xf>
    <xf numFmtId="173" fontId="17" fillId="60" borderId="0" xfId="452" applyNumberFormat="1" applyFont="1" applyFill="1" applyAlignment="1">
      <alignment horizontal="center" vertical="center"/>
    </xf>
    <xf numFmtId="0" fontId="17" fillId="60" borderId="29" xfId="1330" applyFont="1" applyFill="1" applyBorder="1" applyAlignment="1">
      <alignment horizontal="center" vertical="center"/>
    </xf>
    <xf numFmtId="0" fontId="17" fillId="60" borderId="30" xfId="1330" applyFont="1" applyFill="1" applyBorder="1" applyAlignment="1">
      <alignment horizontal="center" vertical="center"/>
    </xf>
    <xf numFmtId="0" fontId="6" fillId="0" borderId="27" xfId="1330" applyFont="1" applyFill="1" applyBorder="1"/>
    <xf numFmtId="173" fontId="66" fillId="42" borderId="27" xfId="452" applyNumberFormat="1" applyFont="1" applyFill="1" applyBorder="1"/>
    <xf numFmtId="14" fontId="6" fillId="0" borderId="27" xfId="1330" applyNumberFormat="1" applyFont="1" applyFill="1" applyBorder="1"/>
    <xf numFmtId="3" fontId="2" fillId="42" borderId="33" xfId="1330" applyNumberFormat="1" applyFill="1" applyBorder="1"/>
    <xf numFmtId="0" fontId="2" fillId="42" borderId="33" xfId="1330" applyFill="1" applyBorder="1"/>
    <xf numFmtId="9" fontId="0" fillId="42" borderId="33" xfId="368" applyFont="1" applyFill="1" applyBorder="1"/>
    <xf numFmtId="3" fontId="6" fillId="42" borderId="33" xfId="368" applyNumberFormat="1" applyFill="1" applyBorder="1"/>
    <xf numFmtId="3" fontId="6" fillId="42" borderId="28" xfId="368" applyNumberFormat="1" applyFill="1" applyBorder="1"/>
    <xf numFmtId="3" fontId="6" fillId="42" borderId="27" xfId="368" applyNumberFormat="1" applyFill="1" applyBorder="1"/>
    <xf numFmtId="185" fontId="2" fillId="42" borderId="27" xfId="1330" applyNumberFormat="1" applyFill="1" applyBorder="1"/>
    <xf numFmtId="0" fontId="2" fillId="58" borderId="27" xfId="1330" applyFill="1" applyBorder="1"/>
    <xf numFmtId="3" fontId="2" fillId="42" borderId="27" xfId="1330" applyNumberFormat="1" applyFill="1" applyBorder="1"/>
    <xf numFmtId="0" fontId="2" fillId="0" borderId="33" xfId="1330" applyFill="1" applyBorder="1"/>
    <xf numFmtId="3" fontId="2" fillId="58" borderId="33" xfId="1330" applyNumberFormat="1" applyFill="1" applyBorder="1"/>
    <xf numFmtId="3" fontId="2" fillId="42" borderId="80" xfId="1330" applyNumberFormat="1" applyFill="1" applyBorder="1"/>
    <xf numFmtId="167" fontId="2" fillId="0" borderId="0" xfId="1330" applyNumberFormat="1" applyBorder="1"/>
    <xf numFmtId="0" fontId="2" fillId="0" borderId="49" xfId="1330" applyBorder="1"/>
    <xf numFmtId="0" fontId="2" fillId="0" borderId="61" xfId="1330" applyBorder="1"/>
    <xf numFmtId="0" fontId="18" fillId="0" borderId="0" xfId="1330" applyFont="1" applyFill="1" applyBorder="1"/>
    <xf numFmtId="0" fontId="18" fillId="0" borderId="0" xfId="1330" applyFont="1" applyFill="1"/>
    <xf numFmtId="167" fontId="18" fillId="0" borderId="0" xfId="1330" applyNumberFormat="1" applyFont="1" applyFill="1"/>
    <xf numFmtId="0" fontId="18" fillId="0" borderId="22" xfId="1330" applyFont="1" applyFill="1" applyBorder="1"/>
    <xf numFmtId="0" fontId="18" fillId="60" borderId="0" xfId="1330" applyFont="1" applyFill="1" applyBorder="1"/>
    <xf numFmtId="0" fontId="18" fillId="60" borderId="0" xfId="1330" applyFont="1" applyFill="1"/>
    <xf numFmtId="167" fontId="18" fillId="60" borderId="0" xfId="1330" applyNumberFormat="1" applyFont="1" applyFill="1"/>
    <xf numFmtId="0" fontId="18" fillId="60" borderId="22" xfId="1330" applyFont="1" applyFill="1" applyBorder="1"/>
    <xf numFmtId="0" fontId="22" fillId="0" borderId="28" xfId="195" applyFont="1" applyBorder="1" applyAlignment="1">
      <alignment horizontal="left"/>
    </xf>
    <xf numFmtId="0" fontId="22" fillId="0" borderId="28" xfId="195" applyFill="1" applyBorder="1"/>
    <xf numFmtId="3" fontId="22" fillId="59" borderId="28" xfId="195" applyNumberFormat="1" applyFill="1" applyBorder="1"/>
    <xf numFmtId="0" fontId="22" fillId="0" borderId="0" xfId="195" applyFont="1" applyFill="1" applyBorder="1" applyAlignment="1">
      <alignment horizontal="left" indent="1"/>
    </xf>
    <xf numFmtId="3" fontId="22" fillId="0" borderId="0" xfId="195" applyNumberFormat="1" applyFill="1" applyBorder="1"/>
    <xf numFmtId="0" fontId="17" fillId="60" borderId="18" xfId="1330" applyFont="1" applyFill="1" applyBorder="1"/>
    <xf numFmtId="173" fontId="0" fillId="0" borderId="0" xfId="452" applyNumberFormat="1" applyFont="1"/>
    <xf numFmtId="0" fontId="2" fillId="57" borderId="27" xfId="1330" applyFill="1" applyBorder="1"/>
    <xf numFmtId="0" fontId="2" fillId="55" borderId="27" xfId="1330" applyFill="1" applyBorder="1"/>
    <xf numFmtId="3" fontId="2" fillId="55" borderId="27" xfId="1330" applyNumberFormat="1" applyFill="1" applyBorder="1"/>
    <xf numFmtId="3" fontId="2" fillId="58" borderId="27" xfId="1330" applyNumberFormat="1" applyFill="1" applyBorder="1"/>
    <xf numFmtId="3" fontId="2" fillId="42" borderId="28" xfId="1330" applyNumberFormat="1" applyFill="1" applyBorder="1"/>
    <xf numFmtId="0" fontId="22" fillId="0" borderId="0" xfId="195" applyFont="1" applyAlignment="1">
      <alignment horizontal="left" indent="1"/>
    </xf>
    <xf numFmtId="0" fontId="22" fillId="0" borderId="0" xfId="195" applyFont="1" applyBorder="1" applyAlignment="1">
      <alignment horizontal="left" indent="1"/>
    </xf>
    <xf numFmtId="0" fontId="22" fillId="0" borderId="22" xfId="195" applyFont="1" applyBorder="1" applyAlignment="1">
      <alignment horizontal="left" indent="1"/>
    </xf>
    <xf numFmtId="0" fontId="22" fillId="0" borderId="0" xfId="195"/>
    <xf numFmtId="10" fontId="90" fillId="78" borderId="27" xfId="190" applyNumberFormat="1" applyFont="1" applyFill="1" applyBorder="1" applyAlignment="1" applyProtection="1">
      <alignment horizontal="right" vertical="center" wrapText="1"/>
    </xf>
    <xf numFmtId="3" fontId="64" fillId="69" borderId="27" xfId="0" applyNumberFormat="1" applyFont="1" applyFill="1" applyBorder="1"/>
    <xf numFmtId="164" fontId="134" fillId="0" borderId="34" xfId="120" applyNumberFormat="1" applyFont="1" applyFill="1" applyBorder="1" applyAlignment="1" applyProtection="1">
      <protection locked="0"/>
    </xf>
    <xf numFmtId="0" fontId="102" fillId="0" borderId="59" xfId="113" applyFont="1" applyFill="1" applyBorder="1"/>
    <xf numFmtId="3" fontId="64" fillId="78" borderId="27" xfId="0" applyNumberFormat="1" applyFont="1" applyFill="1" applyBorder="1"/>
    <xf numFmtId="3" fontId="64" fillId="69" borderId="27" xfId="189" applyNumberFormat="1" applyFont="1" applyFill="1" applyBorder="1"/>
    <xf numFmtId="0" fontId="1" fillId="0" borderId="0" xfId="1330" applyFont="1"/>
    <xf numFmtId="173" fontId="6" fillId="61" borderId="27" xfId="56" applyNumberFormat="1" applyFont="1" applyFill="1" applyBorder="1"/>
    <xf numFmtId="173" fontId="6" fillId="42" borderId="27" xfId="56" applyNumberFormat="1" applyFont="1" applyFill="1" applyBorder="1" applyAlignment="1" applyProtection="1">
      <alignment horizontal="right" vertical="center" indent="1"/>
      <protection locked="0"/>
    </xf>
    <xf numFmtId="173" fontId="64" fillId="61" borderId="27" xfId="56" applyNumberFormat="1" applyFont="1" applyFill="1" applyBorder="1"/>
    <xf numFmtId="173" fontId="64" fillId="0" borderId="27" xfId="56" applyNumberFormat="1" applyFont="1" applyFill="1" applyBorder="1"/>
    <xf numFmtId="173" fontId="9" fillId="0" borderId="0" xfId="56" quotePrefix="1" applyNumberFormat="1" applyFont="1" applyFill="1" applyBorder="1" applyAlignment="1" applyProtection="1">
      <alignment horizontal="center" vertical="center"/>
      <protection locked="0"/>
    </xf>
    <xf numFmtId="173" fontId="6" fillId="94" borderId="27" xfId="56" applyNumberFormat="1" applyFont="1" applyFill="1" applyBorder="1" applyAlignment="1" applyProtection="1">
      <alignment horizontal="right" vertical="center" indent="1"/>
      <protection locked="0"/>
    </xf>
    <xf numFmtId="173" fontId="0" fillId="0" borderId="0" xfId="56" applyNumberFormat="1" applyFont="1" applyAlignment="1">
      <alignment horizontal="center"/>
    </xf>
    <xf numFmtId="0" fontId="2" fillId="101" borderId="0" xfId="1330" applyFill="1"/>
    <xf numFmtId="0" fontId="69" fillId="101" borderId="0" xfId="1330" applyFont="1" applyFill="1"/>
    <xf numFmtId="3" fontId="136" fillId="101" borderId="0" xfId="1330" applyNumberFormat="1" applyFont="1" applyFill="1" applyBorder="1"/>
    <xf numFmtId="0" fontId="136" fillId="101" borderId="0" xfId="1330" applyFont="1" applyFill="1"/>
    <xf numFmtId="173" fontId="65" fillId="101" borderId="0" xfId="452" applyNumberFormat="1" applyFont="1" applyFill="1"/>
    <xf numFmtId="0" fontId="136" fillId="101" borderId="0" xfId="1330" applyFont="1" applyFill="1" applyBorder="1"/>
    <xf numFmtId="0" fontId="136" fillId="101" borderId="22" xfId="1330" applyFont="1" applyFill="1" applyBorder="1"/>
    <xf numFmtId="0" fontId="103" fillId="101" borderId="0" xfId="1330" applyFont="1" applyFill="1"/>
    <xf numFmtId="0" fontId="66" fillId="101" borderId="0" xfId="1330" applyFont="1" applyFill="1"/>
    <xf numFmtId="0" fontId="2" fillId="0" borderId="96" xfId="1330" applyBorder="1"/>
    <xf numFmtId="0" fontId="2" fillId="0" borderId="97" xfId="1330" applyBorder="1"/>
    <xf numFmtId="0" fontId="2" fillId="0" borderId="100" xfId="1330" applyBorder="1"/>
    <xf numFmtId="0" fontId="2" fillId="0" borderId="101" xfId="1330" applyBorder="1"/>
    <xf numFmtId="0" fontId="10" fillId="101" borderId="98" xfId="1330" applyFont="1" applyFill="1" applyBorder="1"/>
    <xf numFmtId="3" fontId="59" fillId="101" borderId="99" xfId="1330" applyNumberFormat="1" applyFont="1" applyFill="1" applyBorder="1"/>
    <xf numFmtId="3" fontId="6" fillId="0" borderId="0" xfId="189" applyNumberFormat="1" applyFont="1" applyBorder="1"/>
    <xf numFmtId="0" fontId="6" fillId="0" borderId="0" xfId="433" applyFont="1" applyBorder="1"/>
    <xf numFmtId="0" fontId="6" fillId="0" borderId="0" xfId="189" applyFont="1" applyBorder="1"/>
    <xf numFmtId="3" fontId="6" fillId="102" borderId="27" xfId="0" applyNumberFormat="1" applyFont="1" applyFill="1" applyBorder="1"/>
    <xf numFmtId="3" fontId="22" fillId="102" borderId="27" xfId="193" applyNumberFormat="1" applyFont="1" applyFill="1" applyBorder="1"/>
    <xf numFmtId="3" fontId="64" fillId="102" borderId="31" xfId="189" applyNumberFormat="1" applyFont="1" applyFill="1" applyBorder="1"/>
    <xf numFmtId="3" fontId="6" fillId="102" borderId="27" xfId="189" applyNumberFormat="1" applyFont="1" applyFill="1" applyBorder="1"/>
    <xf numFmtId="3" fontId="6" fillId="102" borderId="27" xfId="111" applyNumberFormat="1" applyFont="1" applyFill="1" applyBorder="1" applyAlignment="1" applyProtection="1">
      <alignment horizontal="right" vertical="center"/>
    </xf>
    <xf numFmtId="3" fontId="6" fillId="102" borderId="39" xfId="104" applyNumberFormat="1" applyFont="1" applyFill="1" applyBorder="1" applyAlignment="1" applyProtection="1">
      <alignment horizontal="left" vertical="center" indent="1"/>
    </xf>
    <xf numFmtId="1" fontId="9" fillId="102" borderId="31" xfId="104" applyNumberFormat="1" applyFont="1" applyFill="1" applyBorder="1" applyAlignment="1" applyProtection="1">
      <alignment horizontal="center" vertical="center"/>
      <protection locked="0"/>
    </xf>
    <xf numFmtId="3" fontId="6" fillId="102" borderId="27" xfId="0" applyNumberFormat="1" applyFont="1" applyFill="1" applyBorder="1" applyAlignment="1">
      <alignment horizontal="left" vertical="center"/>
    </xf>
    <xf numFmtId="0" fontId="6" fillId="102" borderId="27" xfId="0" applyFont="1" applyFill="1" applyBorder="1" applyAlignment="1">
      <alignment horizontal="left" vertical="center"/>
    </xf>
    <xf numFmtId="0" fontId="6" fillId="102" borderId="27" xfId="0" applyFont="1" applyFill="1" applyBorder="1"/>
    <xf numFmtId="14" fontId="64" fillId="102" borderId="27" xfId="0" applyNumberFormat="1" applyFont="1" applyFill="1" applyBorder="1"/>
    <xf numFmtId="3" fontId="64" fillId="102" borderId="27" xfId="0" applyNumberFormat="1" applyFont="1" applyFill="1" applyBorder="1"/>
    <xf numFmtId="0" fontId="6" fillId="102" borderId="27" xfId="0" applyFont="1" applyFill="1" applyBorder="1" applyAlignment="1">
      <alignment horizontal="center"/>
    </xf>
    <xf numFmtId="167" fontId="6" fillId="102" borderId="27" xfId="0" applyNumberFormat="1" applyFont="1" applyFill="1" applyBorder="1"/>
    <xf numFmtId="3" fontId="6" fillId="102" borderId="27" xfId="67" applyNumberFormat="1" applyFont="1" applyFill="1" applyBorder="1"/>
    <xf numFmtId="173" fontId="6" fillId="102" borderId="27" xfId="0" applyNumberFormat="1" applyFont="1" applyFill="1" applyBorder="1"/>
    <xf numFmtId="3" fontId="6" fillId="102" borderId="27" xfId="0" applyNumberFormat="1" applyFont="1" applyFill="1" applyBorder="1" applyAlignment="1">
      <alignment horizontal="right" vertical="top"/>
    </xf>
    <xf numFmtId="3" fontId="6" fillId="102" borderId="27" xfId="0" applyNumberFormat="1" applyFont="1" applyFill="1" applyBorder="1" applyAlignment="1">
      <alignment horizontal="right" vertical="center"/>
    </xf>
    <xf numFmtId="14" fontId="6" fillId="102" borderId="31" xfId="0" applyNumberFormat="1" applyFont="1" applyFill="1" applyBorder="1"/>
    <xf numFmtId="0" fontId="18" fillId="102" borderId="27" xfId="0" applyFont="1" applyFill="1" applyBorder="1"/>
    <xf numFmtId="172" fontId="6" fillId="102" borderId="27" xfId="0" applyNumberFormat="1" applyFont="1" applyFill="1" applyBorder="1"/>
    <xf numFmtId="0" fontId="6" fillId="102" borderId="26" xfId="0" applyFont="1" applyFill="1" applyBorder="1"/>
    <xf numFmtId="0" fontId="117" fillId="102" borderId="27" xfId="0" applyFont="1" applyFill="1" applyBorder="1"/>
    <xf numFmtId="173" fontId="117" fillId="102" borderId="27" xfId="0" applyNumberFormat="1" applyFont="1" applyFill="1" applyBorder="1"/>
    <xf numFmtId="3" fontId="117" fillId="102" borderId="27" xfId="0" applyNumberFormat="1" applyFont="1" applyFill="1" applyBorder="1"/>
    <xf numFmtId="172" fontId="117" fillId="102" borderId="27" xfId="0" applyNumberFormat="1" applyFont="1" applyFill="1" applyBorder="1"/>
    <xf numFmtId="3" fontId="124" fillId="102" borderId="27" xfId="0" applyNumberFormat="1" applyFont="1" applyFill="1" applyBorder="1"/>
    <xf numFmtId="0" fontId="6" fillId="102" borderId="27" xfId="189" applyFont="1" applyFill="1" applyBorder="1" applyAlignment="1">
      <alignment horizontal="center"/>
    </xf>
    <xf numFmtId="3" fontId="6" fillId="102" borderId="27" xfId="190" applyNumberFormat="1" applyFont="1" applyFill="1" applyBorder="1" applyAlignment="1" applyProtection="1">
      <alignment horizontal="center" vertical="center" wrapText="1"/>
    </xf>
    <xf numFmtId="0" fontId="6" fillId="102" borderId="27" xfId="192" quotePrefix="1" applyNumberFormat="1" applyFont="1" applyFill="1" applyBorder="1" applyAlignment="1" applyProtection="1">
      <alignment horizontal="center" vertical="center"/>
      <protection locked="0"/>
    </xf>
    <xf numFmtId="186" fontId="64" fillId="0" borderId="0" xfId="433" applyNumberFormat="1" applyFont="1"/>
    <xf numFmtId="3" fontId="9" fillId="102" borderId="31" xfId="104" applyNumberFormat="1" applyFont="1" applyFill="1" applyBorder="1" applyAlignment="1" applyProtection="1">
      <alignment horizontal="right" vertical="center" indent="1"/>
      <protection locked="0"/>
    </xf>
    <xf numFmtId="3" fontId="6" fillId="102" borderId="27" xfId="112" applyNumberFormat="1" applyFont="1" applyFill="1" applyBorder="1"/>
    <xf numFmtId="3" fontId="6" fillId="102" borderId="39" xfId="104" applyNumberFormat="1" applyFont="1" applyFill="1" applyBorder="1" applyAlignment="1" applyProtection="1">
      <alignment horizontal="right" vertical="center" indent="1"/>
      <protection locked="0"/>
    </xf>
    <xf numFmtId="3" fontId="6" fillId="102" borderId="33" xfId="189" applyNumberFormat="1" applyFont="1" applyFill="1" applyBorder="1"/>
    <xf numFmtId="0" fontId="6" fillId="102" borderId="27" xfId="192" quotePrefix="1" applyNumberFormat="1" applyFont="1" applyFill="1" applyBorder="1" applyAlignment="1" applyProtection="1">
      <alignment horizontal="right" vertical="center"/>
      <protection locked="0"/>
    </xf>
    <xf numFmtId="2" fontId="6" fillId="102" borderId="27" xfId="114" applyNumberFormat="1" applyFont="1" applyFill="1" applyBorder="1"/>
    <xf numFmtId="3" fontId="0" fillId="102" borderId="27" xfId="0" applyNumberFormat="1" applyFill="1" applyBorder="1"/>
    <xf numFmtId="172" fontId="6" fillId="102" borderId="27" xfId="114" applyNumberFormat="1" applyFont="1" applyFill="1" applyBorder="1"/>
    <xf numFmtId="0" fontId="6" fillId="102" borderId="42" xfId="195" applyFont="1" applyFill="1" applyBorder="1" applyAlignment="1">
      <alignment horizontal="left" indent="1"/>
    </xf>
    <xf numFmtId="0" fontId="22" fillId="102" borderId="27" xfId="195" applyFont="1" applyFill="1" applyBorder="1" applyAlignment="1">
      <alignment horizontal="left" indent="1"/>
    </xf>
    <xf numFmtId="0" fontId="22" fillId="102" borderId="42" xfId="195" applyFont="1" applyFill="1" applyBorder="1" applyAlignment="1">
      <alignment horizontal="left" indent="1"/>
    </xf>
    <xf numFmtId="0" fontId="6" fillId="102" borderId="0" xfId="434" applyFont="1" applyFill="1" applyBorder="1"/>
    <xf numFmtId="0" fontId="65" fillId="102" borderId="0" xfId="111" applyFont="1" applyFill="1" applyBorder="1" applyAlignment="1" applyProtection="1"/>
    <xf numFmtId="0" fontId="17" fillId="102" borderId="19" xfId="111" applyFont="1" applyFill="1" applyBorder="1" applyProtection="1"/>
    <xf numFmtId="0" fontId="17" fillId="102" borderId="20" xfId="111" applyFont="1" applyFill="1" applyBorder="1" applyProtection="1"/>
    <xf numFmtId="0" fontId="16" fillId="60" borderId="21" xfId="111" applyFont="1" applyFill="1" applyBorder="1" applyAlignment="1" applyProtection="1">
      <alignment horizontal="left" vertical="center"/>
    </xf>
    <xf numFmtId="0" fontId="16" fillId="60" borderId="0" xfId="111" applyFont="1" applyFill="1" applyBorder="1" applyAlignment="1" applyProtection="1">
      <alignment horizontal="left" vertical="center"/>
    </xf>
    <xf numFmtId="0" fontId="102" fillId="0" borderId="59" xfId="113" applyFont="1" applyFill="1" applyBorder="1" applyAlignment="1">
      <alignment horizontal="left"/>
    </xf>
    <xf numFmtId="0" fontId="135" fillId="0" borderId="59" xfId="1" applyFont="1" applyFill="1" applyBorder="1" applyAlignment="1"/>
    <xf numFmtId="0" fontId="64" fillId="0" borderId="59" xfId="1" applyFont="1" applyFill="1" applyBorder="1" applyAlignment="1"/>
    <xf numFmtId="0" fontId="64" fillId="0" borderId="36" xfId="1" applyFont="1" applyFill="1" applyBorder="1" applyAlignment="1"/>
    <xf numFmtId="0" fontId="120" fillId="73" borderId="59" xfId="113" applyFont="1" applyFill="1" applyBorder="1" applyAlignment="1">
      <alignment horizontal="left"/>
    </xf>
    <xf numFmtId="0" fontId="120" fillId="73" borderId="36" xfId="113" applyFont="1" applyFill="1" applyBorder="1" applyAlignment="1">
      <alignment horizontal="left"/>
    </xf>
    <xf numFmtId="0" fontId="12" fillId="94" borderId="59" xfId="113" applyFont="1" applyFill="1" applyBorder="1" applyAlignment="1">
      <alignment horizontal="left"/>
    </xf>
    <xf numFmtId="0" fontId="13" fillId="94" borderId="59" xfId="1" applyFont="1" applyFill="1" applyBorder="1" applyAlignment="1"/>
    <xf numFmtId="0" fontId="6" fillId="94" borderId="59" xfId="1" applyFont="1" applyFill="1" applyBorder="1" applyAlignment="1"/>
    <xf numFmtId="0" fontId="6" fillId="94" borderId="36" xfId="1" applyFont="1" applyFill="1" applyBorder="1" applyAlignment="1"/>
    <xf numFmtId="0" fontId="7" fillId="0" borderId="0" xfId="111" applyFont="1" applyFill="1" applyBorder="1" applyAlignment="1" applyProtection="1">
      <alignment horizontal="center" vertical="top"/>
    </xf>
    <xf numFmtId="0" fontId="9" fillId="0" borderId="0" xfId="113" applyFont="1" applyAlignment="1"/>
    <xf numFmtId="0" fontId="6" fillId="0" borderId="0" xfId="113" applyFont="1" applyAlignment="1"/>
    <xf numFmtId="0" fontId="12" fillId="0" borderId="59" xfId="113" applyFont="1" applyFill="1" applyBorder="1" applyAlignment="1">
      <alignment horizontal="left"/>
    </xf>
    <xf numFmtId="0" fontId="13" fillId="0" borderId="59" xfId="1" applyFont="1" applyFill="1" applyBorder="1" applyAlignment="1"/>
    <xf numFmtId="0" fontId="6" fillId="0" borderId="59" xfId="1" applyFont="1" applyFill="1" applyBorder="1" applyAlignment="1"/>
    <xf numFmtId="0" fontId="6" fillId="0" borderId="36" xfId="1" applyFont="1" applyFill="1" applyBorder="1" applyAlignment="1"/>
    <xf numFmtId="0" fontId="12" fillId="58" borderId="59" xfId="113" applyFont="1" applyFill="1" applyBorder="1" applyAlignment="1">
      <alignment horizontal="left"/>
    </xf>
    <xf numFmtId="0" fontId="13" fillId="58" borderId="59" xfId="1" applyFont="1" applyFill="1" applyBorder="1" applyAlignment="1"/>
    <xf numFmtId="0" fontId="0" fillId="58" borderId="59" xfId="1" applyFont="1" applyFill="1" applyBorder="1" applyAlignment="1"/>
    <xf numFmtId="0" fontId="0" fillId="58" borderId="36" xfId="1" applyFont="1" applyFill="1" applyBorder="1" applyAlignment="1"/>
    <xf numFmtId="0" fontId="12" fillId="42" borderId="59" xfId="113" applyFont="1" applyFill="1" applyBorder="1" applyAlignment="1">
      <alignment horizontal="left"/>
    </xf>
    <xf numFmtId="0" fontId="13" fillId="0" borderId="59" xfId="1" applyFont="1" applyBorder="1" applyAlignment="1"/>
    <xf numFmtId="0" fontId="0" fillId="0" borderId="59" xfId="1" applyFont="1" applyBorder="1" applyAlignment="1"/>
    <xf numFmtId="0" fontId="0" fillId="0" borderId="36" xfId="1" applyFont="1" applyBorder="1" applyAlignment="1"/>
    <xf numFmtId="0" fontId="12" fillId="59" borderId="59" xfId="113" applyFont="1" applyFill="1" applyBorder="1" applyAlignment="1">
      <alignment horizontal="left"/>
    </xf>
    <xf numFmtId="0" fontId="17" fillId="75" borderId="21" xfId="434" applyFont="1" applyFill="1" applyBorder="1" applyAlignment="1">
      <alignment horizontal="left"/>
    </xf>
    <xf numFmtId="0" fontId="17" fillId="75" borderId="0" xfId="434" applyFont="1" applyFill="1" applyBorder="1" applyAlignment="1">
      <alignment horizontal="left"/>
    </xf>
    <xf numFmtId="0" fontId="17" fillId="75" borderId="22" xfId="434" applyFont="1" applyFill="1" applyBorder="1" applyAlignment="1">
      <alignment horizontal="left"/>
    </xf>
    <xf numFmtId="0" fontId="6" fillId="61" borderId="21" xfId="434" applyFont="1" applyFill="1" applyBorder="1" applyAlignment="1">
      <alignment horizontal="left" wrapText="1"/>
    </xf>
    <xf numFmtId="0" fontId="6" fillId="61" borderId="0" xfId="434" applyFont="1" applyFill="1" applyBorder="1" applyAlignment="1">
      <alignment horizontal="left" wrapText="1"/>
    </xf>
    <xf numFmtId="0" fontId="6" fillId="61" borderId="22" xfId="434" applyFont="1" applyFill="1" applyBorder="1" applyAlignment="1">
      <alignment horizontal="left" wrapText="1"/>
    </xf>
    <xf numFmtId="0" fontId="17" fillId="75" borderId="23" xfId="434" applyFont="1" applyFill="1" applyBorder="1" applyAlignment="1">
      <alignment horizontal="left"/>
    </xf>
    <xf numFmtId="0" fontId="17" fillId="75" borderId="24" xfId="434" applyFont="1" applyFill="1" applyBorder="1" applyAlignment="1">
      <alignment horizontal="left"/>
    </xf>
    <xf numFmtId="0" fontId="17" fillId="75" borderId="25" xfId="434" applyFont="1" applyFill="1" applyBorder="1" applyAlignment="1">
      <alignment horizontal="left"/>
    </xf>
    <xf numFmtId="0" fontId="6" fillId="61" borderId="0" xfId="0" applyFont="1" applyFill="1" applyAlignment="1">
      <alignment horizontal="left" wrapText="1"/>
    </xf>
    <xf numFmtId="0" fontId="6" fillId="61" borderId="22" xfId="0" applyFont="1" applyFill="1" applyBorder="1" applyAlignment="1">
      <alignment horizontal="left" wrapText="1"/>
    </xf>
    <xf numFmtId="0" fontId="6" fillId="61" borderId="0" xfId="0" applyFont="1" applyFill="1" applyAlignment="1">
      <alignment horizontal="center" wrapText="1"/>
    </xf>
    <xf numFmtId="0" fontId="6" fillId="61" borderId="22" xfId="0" applyFont="1" applyFill="1" applyBorder="1" applyAlignment="1">
      <alignment horizontal="center" wrapText="1"/>
    </xf>
    <xf numFmtId="0" fontId="16" fillId="75" borderId="34" xfId="1301" applyFont="1" applyFill="1" applyBorder="1" applyAlignment="1" applyProtection="1">
      <alignment horizontal="left" vertical="center"/>
    </xf>
    <xf numFmtId="0" fontId="16" fillId="75" borderId="59" xfId="1301" applyFont="1" applyFill="1" applyBorder="1" applyAlignment="1" applyProtection="1">
      <alignment horizontal="left" vertical="center"/>
    </xf>
    <xf numFmtId="0" fontId="16" fillId="75" borderId="36" xfId="1301" applyFont="1" applyFill="1" applyBorder="1" applyAlignment="1" applyProtection="1">
      <alignment horizontal="left" vertical="center"/>
    </xf>
    <xf numFmtId="0" fontId="17" fillId="61" borderId="21" xfId="434" applyFont="1" applyFill="1" applyBorder="1" applyAlignment="1">
      <alignment horizontal="left"/>
    </xf>
    <xf numFmtId="0" fontId="17" fillId="61" borderId="0" xfId="434" applyFont="1" applyFill="1" applyBorder="1" applyAlignment="1">
      <alignment horizontal="left"/>
    </xf>
    <xf numFmtId="0" fontId="17" fillId="61" borderId="22" xfId="434" applyFont="1" applyFill="1" applyBorder="1" applyAlignment="1">
      <alignment horizontal="left"/>
    </xf>
    <xf numFmtId="0" fontId="69" fillId="75" borderId="21" xfId="434" applyFont="1" applyFill="1" applyBorder="1" applyAlignment="1">
      <alignment horizontal="left"/>
    </xf>
    <xf numFmtId="0" fontId="69" fillId="75" borderId="0" xfId="434" applyFont="1" applyFill="1" applyBorder="1" applyAlignment="1">
      <alignment horizontal="left"/>
    </xf>
    <xf numFmtId="0" fontId="69" fillId="75" borderId="22" xfId="434" applyFont="1" applyFill="1" applyBorder="1" applyAlignment="1">
      <alignment horizontal="left"/>
    </xf>
    <xf numFmtId="0" fontId="69" fillId="75" borderId="23" xfId="434" applyFont="1" applyFill="1" applyBorder="1" applyAlignment="1">
      <alignment horizontal="left"/>
    </xf>
    <xf numFmtId="0" fontId="69" fillId="75" borderId="24" xfId="434" applyFont="1" applyFill="1" applyBorder="1" applyAlignment="1">
      <alignment horizontal="left"/>
    </xf>
    <xf numFmtId="0" fontId="69" fillId="75" borderId="25" xfId="434" applyFont="1" applyFill="1" applyBorder="1" applyAlignment="1">
      <alignment horizontal="left"/>
    </xf>
    <xf numFmtId="0" fontId="65" fillId="75" borderId="0" xfId="111" applyFont="1" applyFill="1" applyBorder="1" applyAlignment="1" applyProtection="1"/>
    <xf numFmtId="0" fontId="10" fillId="102" borderId="42" xfId="111" quotePrefix="1" applyFont="1" applyFill="1" applyBorder="1" applyAlignment="1" applyProtection="1">
      <protection locked="0"/>
    </xf>
    <xf numFmtId="0" fontId="6" fillId="102" borderId="43" xfId="111" applyFont="1" applyFill="1" applyBorder="1" applyAlignment="1" applyProtection="1">
      <protection locked="0"/>
    </xf>
    <xf numFmtId="0" fontId="6" fillId="102" borderId="60" xfId="111" applyFont="1" applyFill="1" applyBorder="1" applyAlignment="1" applyProtection="1">
      <protection locked="0"/>
    </xf>
    <xf numFmtId="0" fontId="10" fillId="102" borderId="42" xfId="111" applyFont="1" applyFill="1" applyBorder="1" applyAlignment="1" applyProtection="1">
      <protection locked="0"/>
    </xf>
    <xf numFmtId="0" fontId="17" fillId="102" borderId="19" xfId="111" applyFont="1" applyFill="1" applyBorder="1" applyAlignment="1" applyProtection="1"/>
    <xf numFmtId="0" fontId="10" fillId="102" borderId="19" xfId="111" applyFont="1" applyFill="1" applyBorder="1" applyAlignment="1" applyProtection="1"/>
    <xf numFmtId="0" fontId="65" fillId="102" borderId="0" xfId="111" applyFont="1" applyFill="1" applyBorder="1" applyAlignment="1" applyProtection="1"/>
    <xf numFmtId="0" fontId="65" fillId="102" borderId="22" xfId="111" applyFont="1" applyFill="1" applyBorder="1" applyAlignment="1" applyProtection="1"/>
    <xf numFmtId="0" fontId="69" fillId="75" borderId="18" xfId="111" applyFont="1" applyFill="1" applyBorder="1" applyAlignment="1" applyProtection="1">
      <alignment horizontal="center" vertical="top"/>
    </xf>
    <xf numFmtId="0" fontId="65" fillId="75" borderId="19" xfId="1" applyFont="1" applyFill="1" applyBorder="1" applyAlignment="1">
      <alignment horizontal="center" vertical="top"/>
    </xf>
    <xf numFmtId="0" fontId="65" fillId="75" borderId="20" xfId="1" applyFont="1" applyFill="1" applyBorder="1" applyAlignment="1">
      <alignment horizontal="center" vertical="top"/>
    </xf>
    <xf numFmtId="0" fontId="10" fillId="61" borderId="62" xfId="111" applyFont="1" applyFill="1" applyBorder="1" applyAlignment="1" applyProtection="1">
      <protection locked="0"/>
    </xf>
    <xf numFmtId="0" fontId="6" fillId="61" borderId="63" xfId="111" applyFont="1" applyFill="1" applyBorder="1" applyAlignment="1" applyProtection="1">
      <protection locked="0"/>
    </xf>
    <xf numFmtId="0" fontId="6" fillId="61" borderId="64" xfId="111" applyFont="1" applyFill="1" applyBorder="1" applyAlignment="1" applyProtection="1">
      <protection locked="0"/>
    </xf>
    <xf numFmtId="0" fontId="6" fillId="61" borderId="0" xfId="189" applyFont="1" applyFill="1" applyBorder="1" applyAlignment="1">
      <alignment horizontal="left"/>
    </xf>
    <xf numFmtId="0" fontId="103" fillId="60" borderId="0" xfId="111" applyFont="1" applyFill="1" applyBorder="1" applyAlignment="1" applyProtection="1">
      <alignment horizontal="center" vertical="center"/>
    </xf>
    <xf numFmtId="0" fontId="86" fillId="0" borderId="0" xfId="0" applyFont="1" applyAlignment="1">
      <alignment horizontal="center" vertical="center"/>
    </xf>
    <xf numFmtId="2" fontId="17" fillId="60" borderId="0" xfId="111" applyNumberFormat="1" applyFont="1" applyFill="1" applyBorder="1" applyAlignment="1" applyProtection="1">
      <alignment horizontal="center" vertical="center"/>
    </xf>
    <xf numFmtId="2" fontId="66" fillId="60" borderId="0" xfId="111" applyNumberFormat="1" applyFont="1" applyFill="1" applyBorder="1" applyAlignment="1" applyProtection="1">
      <alignment horizontal="center" vertical="center"/>
    </xf>
    <xf numFmtId="0" fontId="6" fillId="0" borderId="0" xfId="192" quotePrefix="1" applyNumberFormat="1" applyFont="1" applyFill="1" applyBorder="1" applyAlignment="1" applyProtection="1">
      <alignment horizontal="left" vertical="center"/>
      <protection locked="0"/>
    </xf>
    <xf numFmtId="0" fontId="92" fillId="102" borderId="32" xfId="191" applyFont="1" applyFill="1" applyBorder="1" applyAlignment="1">
      <alignment horizontal="left"/>
    </xf>
    <xf numFmtId="0" fontId="92" fillId="102" borderId="31" xfId="191" applyFont="1" applyFill="1" applyBorder="1" applyAlignment="1">
      <alignment horizontal="left"/>
    </xf>
    <xf numFmtId="0" fontId="69" fillId="75" borderId="0" xfId="191" applyFont="1" applyFill="1" applyBorder="1" applyAlignment="1">
      <alignment horizontal="left" vertical="center"/>
    </xf>
    <xf numFmtId="0" fontId="69" fillId="75" borderId="0" xfId="191" applyFont="1" applyFill="1" applyAlignment="1">
      <alignment horizontal="center" vertical="center"/>
    </xf>
    <xf numFmtId="0" fontId="6" fillId="94" borderId="32" xfId="192" quotePrefix="1" applyNumberFormat="1" applyFont="1" applyFill="1" applyBorder="1" applyAlignment="1" applyProtection="1">
      <alignment horizontal="left" vertical="center"/>
      <protection locked="0"/>
    </xf>
    <xf numFmtId="0" fontId="6" fillId="94" borderId="31" xfId="192" quotePrefix="1" applyNumberFormat="1" applyFont="1" applyFill="1" applyBorder="1" applyAlignment="1" applyProtection="1">
      <alignment horizontal="left" vertical="center"/>
      <protection locked="0"/>
    </xf>
    <xf numFmtId="0" fontId="6" fillId="102" borderId="32" xfId="192" quotePrefix="1" applyNumberFormat="1" applyFont="1" applyFill="1" applyBorder="1" applyAlignment="1" applyProtection="1">
      <alignment horizontal="left" vertical="center"/>
      <protection locked="0"/>
    </xf>
    <xf numFmtId="0" fontId="6" fillId="102" borderId="31" xfId="192" quotePrefix="1" applyNumberFormat="1" applyFont="1" applyFill="1" applyBorder="1" applyAlignment="1" applyProtection="1">
      <alignment horizontal="left" vertical="center"/>
      <protection locked="0"/>
    </xf>
    <xf numFmtId="0" fontId="103" fillId="75" borderId="21" xfId="0" applyFont="1" applyFill="1" applyBorder="1" applyAlignment="1">
      <alignment horizontal="left"/>
    </xf>
    <xf numFmtId="0" fontId="103" fillId="75" borderId="0" xfId="0" applyFont="1" applyFill="1" applyBorder="1" applyAlignment="1">
      <alignment horizontal="left"/>
    </xf>
    <xf numFmtId="0" fontId="103" fillId="75" borderId="22" xfId="0" applyFont="1" applyFill="1" applyBorder="1" applyAlignment="1">
      <alignment horizontal="left"/>
    </xf>
    <xf numFmtId="0" fontId="104" fillId="0" borderId="21" xfId="0" applyFont="1" applyBorder="1" applyAlignment="1">
      <alignment horizontal="left" wrapText="1"/>
    </xf>
    <xf numFmtId="0" fontId="104" fillId="0" borderId="0" xfId="0" applyFont="1" applyBorder="1" applyAlignment="1">
      <alignment horizontal="left" wrapText="1"/>
    </xf>
    <xf numFmtId="0" fontId="104" fillId="0" borderId="22" xfId="0" applyFont="1" applyBorder="1" applyAlignment="1">
      <alignment horizontal="left" wrapText="1"/>
    </xf>
    <xf numFmtId="0" fontId="21" fillId="60" borderId="0" xfId="111" applyFont="1" applyFill="1" applyBorder="1" applyAlignment="1" applyProtection="1">
      <alignment horizontal="right" vertical="center"/>
    </xf>
    <xf numFmtId="0" fontId="69" fillId="75" borderId="69" xfId="0" applyFont="1" applyFill="1" applyBorder="1" applyAlignment="1">
      <alignment horizontal="center" vertical="center"/>
    </xf>
    <xf numFmtId="0" fontId="69" fillId="75" borderId="0" xfId="0" applyFont="1" applyFill="1" applyBorder="1" applyAlignment="1">
      <alignment horizontal="center" vertical="center"/>
    </xf>
    <xf numFmtId="0" fontId="69" fillId="75" borderId="70" xfId="0" applyFont="1" applyFill="1" applyBorder="1" applyAlignment="1">
      <alignment horizontal="center" vertical="center"/>
    </xf>
    <xf numFmtId="0" fontId="69" fillId="75" borderId="75" xfId="0" applyFont="1" applyFill="1" applyBorder="1" applyAlignment="1">
      <alignment horizontal="center" vertical="center"/>
    </xf>
    <xf numFmtId="0" fontId="69" fillId="75" borderId="74" xfId="0" applyFont="1" applyFill="1" applyBorder="1" applyAlignment="1">
      <alignment horizontal="center" vertical="center"/>
    </xf>
    <xf numFmtId="0" fontId="69" fillId="75" borderId="21" xfId="110" applyFont="1" applyFill="1" applyBorder="1" applyAlignment="1">
      <alignment horizontal="left"/>
    </xf>
    <xf numFmtId="0" fontId="69" fillId="75" borderId="0" xfId="110" applyFont="1" applyFill="1" applyBorder="1" applyAlignment="1">
      <alignment horizontal="left"/>
    </xf>
    <xf numFmtId="0" fontId="6" fillId="0" borderId="19" xfId="0" applyFont="1" applyFill="1" applyBorder="1" applyAlignment="1">
      <alignment horizontal="center"/>
    </xf>
    <xf numFmtId="0" fontId="69" fillId="60" borderId="69" xfId="0" applyFont="1" applyFill="1" applyBorder="1" applyAlignment="1">
      <alignment horizontal="center" vertical="center"/>
    </xf>
    <xf numFmtId="0" fontId="69" fillId="60" borderId="0" xfId="0" applyFont="1" applyFill="1" applyBorder="1" applyAlignment="1">
      <alignment horizontal="center" vertical="center"/>
    </xf>
    <xf numFmtId="0" fontId="69" fillId="60" borderId="70" xfId="0" applyFont="1" applyFill="1" applyBorder="1" applyAlignment="1">
      <alignment horizontal="center" vertical="center"/>
    </xf>
    <xf numFmtId="0" fontId="69" fillId="61" borderId="0" xfId="0" applyFont="1" applyFill="1" applyBorder="1" applyAlignment="1">
      <alignment horizontal="left"/>
    </xf>
    <xf numFmtId="0" fontId="69" fillId="61" borderId="0" xfId="0" applyFont="1" applyFill="1" applyBorder="1" applyAlignment="1">
      <alignment horizontal="center"/>
    </xf>
    <xf numFmtId="0" fontId="69" fillId="60" borderId="0" xfId="0" applyFont="1" applyFill="1" applyBorder="1" applyAlignment="1">
      <alignment horizontal="center" vertical="center" wrapText="1"/>
    </xf>
    <xf numFmtId="0" fontId="69" fillId="60" borderId="69" xfId="0" applyFont="1" applyFill="1" applyBorder="1" applyAlignment="1">
      <alignment horizontal="center" vertical="center" wrapText="1"/>
    </xf>
    <xf numFmtId="0" fontId="69" fillId="60" borderId="70" xfId="0" applyFont="1" applyFill="1" applyBorder="1" applyAlignment="1">
      <alignment horizontal="center" vertical="center" wrapText="1"/>
    </xf>
    <xf numFmtId="0" fontId="16" fillId="60" borderId="34" xfId="111" applyFont="1" applyFill="1" applyBorder="1" applyAlignment="1" applyProtection="1">
      <alignment horizontal="left" vertical="center"/>
    </xf>
    <xf numFmtId="0" fontId="0" fillId="0" borderId="59" xfId="0" applyBorder="1" applyAlignment="1">
      <alignment horizontal="left"/>
    </xf>
    <xf numFmtId="0" fontId="21" fillId="60" borderId="19" xfId="111" applyFont="1" applyFill="1" applyBorder="1" applyAlignment="1" applyProtection="1">
      <alignment horizontal="right" vertical="center"/>
    </xf>
    <xf numFmtId="0" fontId="21" fillId="60" borderId="59" xfId="111" applyFont="1" applyFill="1" applyBorder="1" applyAlignment="1" applyProtection="1">
      <alignment horizontal="right" vertical="center"/>
    </xf>
    <xf numFmtId="0" fontId="21" fillId="60" borderId="36" xfId="111" applyFont="1" applyFill="1" applyBorder="1" applyAlignment="1" applyProtection="1">
      <alignment horizontal="right" vertical="center"/>
    </xf>
    <xf numFmtId="0" fontId="21" fillId="60" borderId="34" xfId="111" applyFont="1" applyFill="1" applyBorder="1" applyAlignment="1" applyProtection="1">
      <alignment horizontal="right" vertical="center"/>
    </xf>
    <xf numFmtId="0" fontId="0" fillId="0" borderId="0" xfId="0" applyBorder="1" applyAlignment="1">
      <alignment horizontal="center"/>
    </xf>
    <xf numFmtId="0" fontId="6" fillId="0" borderId="0" xfId="0" applyFont="1" applyBorder="1" applyAlignment="1">
      <alignment horizontal="center"/>
    </xf>
    <xf numFmtId="0" fontId="17" fillId="60" borderId="0" xfId="1330" applyFont="1" applyFill="1" applyBorder="1" applyAlignment="1">
      <alignment horizontal="center" vertical="center"/>
    </xf>
    <xf numFmtId="0" fontId="17" fillId="60" borderId="22" xfId="1330" applyFont="1" applyFill="1" applyBorder="1" applyAlignment="1">
      <alignment horizontal="center" vertical="center"/>
    </xf>
    <xf numFmtId="0" fontId="69" fillId="60" borderId="0" xfId="190" applyNumberFormat="1" applyFont="1" applyFill="1" applyBorder="1" applyAlignment="1" applyProtection="1">
      <alignment horizontal="center" vertical="center" wrapText="1"/>
    </xf>
    <xf numFmtId="0" fontId="127" fillId="0" borderId="0" xfId="1330" applyFont="1" applyAlignment="1">
      <alignment horizontal="center"/>
    </xf>
  </cellXfs>
  <cellStyles count="1454">
    <cellStyle name="_x000a__x000a_JournalTemplate=C:\COMFO\CTALK\JOURSTD.TPL_x000a__x000a_LbStateAddress=3 3 0 251 1 89 2 311_x000a__x000a_LbStateJou" xfId="565"/>
    <cellStyle name="_x000d__x000a_JournalTemplate=C:\COMFO\CTALK\JOURSTD.TPL_x000d__x000a_LbStateAddress=3 3 0 251 1 89 2 311_x000d__x000a_LbStateJou" xfId="1"/>
    <cellStyle name="_x000d__x000a_JournalTemplate=C:\COMFO\CTALK\JOURSTD.TPL_x000d__x000a_LbStateAddress=3 3 0 251 1 89 2 311_x000d__x000a_LbStateJou 10" xfId="434"/>
    <cellStyle name="_x000d__x000a_JournalTemplate=C:\COMFO\CTALK\JOURSTD.TPL_x000d__x000a_LbStateAddress=3 3 0 251 1 89 2 311_x000d__x000a_LbStateJou 11" xfId="435"/>
    <cellStyle name="_x000d__x000a_JournalTemplate=C:\COMFO\CTALK\JOURSTD.TPL_x000d__x000a_LbStateAddress=3 3 0 251 1 89 2 311_x000d__x000a_LbStateJou 12" xfId="436"/>
    <cellStyle name="_x000d__x000a_JournalTemplate=C:\COMFO\CTALK\JOURSTD.TPL_x000d__x000a_LbStateAddress=3 3 0 251 1 89 2 311_x000d__x000a_LbStateJou 13" xfId="437"/>
    <cellStyle name="_x000d__x000a_JournalTemplate=C:\COMFO\CTALK\JOURSTD.TPL_x000d__x000a_LbStateAddress=3 3 0 251 1 89 2 311_x000d__x000a_LbStateJou 14" xfId="438"/>
    <cellStyle name="_x000d__x000a_JournalTemplate=C:\COMFO\CTALK\JOURSTD.TPL_x000d__x000a_LbStateAddress=3 3 0 251 1 89 2 311_x000d__x000a_LbStateJou 15" xfId="439"/>
    <cellStyle name="_x000d__x000a_JournalTemplate=C:\COMFO\CTALK\JOURSTD.TPL_x000d__x000a_LbStateAddress=3 3 0 251 1 89 2 311_x000d__x000a_LbStateJou 2" xfId="2"/>
    <cellStyle name="_x000d__x000a_JournalTemplate=C:\COMFO\CTALK\JOURSTD.TPL_x000d__x000a_LbStateAddress=3 3 0 251 1 89 2 311_x000d__x000a_LbStateJou 2 2" xfId="425"/>
    <cellStyle name="_x000d__x000a_JournalTemplate=C:\COMFO\CTALK\JOURSTD.TPL_x000d__x000a_LbStateAddress=3 3 0 251 1 89 2 311_x000d__x000a_LbStateJou 3" xfId="124"/>
    <cellStyle name="_x000d__x000a_JournalTemplate=C:\COMFO\CTALK\JOURSTD.TPL_x000d__x000a_LbStateAddress=3 3 0 251 1 89 2 311_x000d__x000a_LbStateJou 3 2" xfId="429"/>
    <cellStyle name="_x000d__x000a_JournalTemplate=C:\COMFO\CTALK\JOURSTD.TPL_x000d__x000a_LbStateAddress=3 3 0 251 1 89 2 311_x000d__x000a_LbStateJou 3 2 2" xfId="567"/>
    <cellStyle name="_x000d__x000a_JournalTemplate=C:\COMFO\CTALK\JOURSTD.TPL_x000d__x000a_LbStateAddress=3 3 0 251 1 89 2 311_x000d__x000a_LbStateJou 3 3" xfId="440"/>
    <cellStyle name="_x000d__x000a_JournalTemplate=C:\COMFO\CTALK\JOURSTD.TPL_x000d__x000a_LbStateAddress=3 3 0 251 1 89 2 311_x000d__x000a_LbStateJou 3 4" xfId="566"/>
    <cellStyle name="_x000d__x000a_JournalTemplate=C:\COMFO\CTALK\JOURSTD.TPL_x000d__x000a_LbStateAddress=3 3 0 251 1 89 2 311_x000d__x000a_LbStateJou 4" xfId="193"/>
    <cellStyle name="_x000d__x000a_JournalTemplate=C:\COMFO\CTALK\JOURSTD.TPL_x000d__x000a_LbStateAddress=3 3 0 251 1 89 2 311_x000d__x000a_LbStateJou 4 2" xfId="569"/>
    <cellStyle name="_x000d__x000a_JournalTemplate=C:\COMFO\CTALK\JOURSTD.TPL_x000d__x000a_LbStateAddress=3 3 0 251 1 89 2 311_x000d__x000a_LbStateJou 4 3" xfId="568"/>
    <cellStyle name="_x000d__x000a_JournalTemplate=C:\COMFO\CTALK\JOURSTD.TPL_x000d__x000a_LbStateAddress=3 3 0 251 1 89 2 311_x000d__x000a_LbStateJou 5" xfId="441"/>
    <cellStyle name="_x000d__x000a_JournalTemplate=C:\COMFO\CTALK\JOURSTD.TPL_x000d__x000a_LbStateAddress=3 3 0 251 1 89 2 311_x000d__x000a_LbStateJou 5 2" xfId="570"/>
    <cellStyle name="_x000d__x000a_JournalTemplate=C:\COMFO\CTALK\JOURSTD.TPL_x000d__x000a_LbStateAddress=3 3 0 251 1 89 2 311_x000d__x000a_LbStateJou 6" xfId="442"/>
    <cellStyle name="_x000d__x000a_JournalTemplate=C:\COMFO\CTALK\JOURSTD.TPL_x000d__x000a_LbStateAddress=3 3 0 251 1 89 2 311_x000d__x000a_LbStateJou 7" xfId="443"/>
    <cellStyle name="_x000d__x000a_JournalTemplate=C:\COMFO\CTALK\JOURSTD.TPL_x000d__x000a_LbStateAddress=3 3 0 251 1 89 2 311_x000d__x000a_LbStateJou 8" xfId="444"/>
    <cellStyle name="_x000d__x000a_JournalTemplate=C:\COMFO\CTALK\JOURSTD.TPL_x000d__x000a_LbStateAddress=3 3 0 251 1 89 2 311_x000d__x000a_LbStateJou 9" xfId="445"/>
    <cellStyle name="_x000d__x000a_JournalTemplate=C:\COMFO\CTALK\JOURSTD.TPL_x000d__x000a_LbStateAddress=3 3 0 251 1 89 2 311_x000d__x000a_LbStateJou_01. TS-TAR(i)-12-09" xfId="446"/>
    <cellStyle name="_x000d__x000a_JournalTemplate=C:\COMFO\CTALK\JOURSTD.TPL_x000d__x000a_LbStateAddress=3 3 0 251 1 89 2 311_x000d__x000a_LbStateJou_111028 KB Berekening nacalculaties_v2" xfId="3"/>
    <cellStyle name="_x000d__x000a_JournalTemplate=C:\COMFO\CTALK\JOURSTD.TPL_x000d__x000a_LbStateAddress=3 3 0 251 1 89 2 311_x000d__x000a_LbStateJou_Concept x-factor model22-187987" xfId="4"/>
    <cellStyle name="_x000d__x000a_JournalTemplate=C:\COMFO\CTALK\JOURSTD.TPL_x000d__x000a_LbStateAddress=3 3 0 251 1 89 2 311_x000d__x000a_LbStateJou_Concept x-factor model22-187987 2" xfId="125"/>
    <cellStyle name="_x000d__x000a_JournalTemplate=C:\COMFO\CTALK\JOURSTD.TPL_x000d__x000a_LbStateAddress=3 3 0 251 1 89 2 311_x000d__x000a_LbStateJou_x factoren tennet" xfId="5"/>
    <cellStyle name="20 % - Akzent1" xfId="126"/>
    <cellStyle name="20 % - Akzent2" xfId="127"/>
    <cellStyle name="20 % - Akzent3" xfId="128"/>
    <cellStyle name="20 % - Akzent4" xfId="129"/>
    <cellStyle name="20 % - Akzent5" xfId="130"/>
    <cellStyle name="20 % - Akzent6" xfId="131"/>
    <cellStyle name="20% - Accent1" xfId="6" builtinId="30" customBuiltin="1"/>
    <cellStyle name="20% - Accent1 2" xfId="196"/>
    <cellStyle name="20% - Accent1 3" xfId="1331"/>
    <cellStyle name="20% - Accent2" xfId="7" builtinId="34" customBuiltin="1"/>
    <cellStyle name="20% - Accent2 2" xfId="197"/>
    <cellStyle name="20% - Accent2 3" xfId="1332"/>
    <cellStyle name="20% - Accent3" xfId="8" builtinId="38" customBuiltin="1"/>
    <cellStyle name="20% - Accent3 2" xfId="198"/>
    <cellStyle name="20% - Accent3 3" xfId="1333"/>
    <cellStyle name="20% - Accent4" xfId="9" builtinId="42" customBuiltin="1"/>
    <cellStyle name="20% - Accent4 2" xfId="199"/>
    <cellStyle name="20% - Accent4 3" xfId="1334"/>
    <cellStyle name="20% - Accent5" xfId="10" builtinId="46" customBuiltin="1"/>
    <cellStyle name="20% - Accent5 2" xfId="200"/>
    <cellStyle name="20% - Accent5 3" xfId="1335"/>
    <cellStyle name="20% - Accent6" xfId="11" builtinId="50" customBuiltin="1"/>
    <cellStyle name="20% - Accent6 2" xfId="201"/>
    <cellStyle name="20% - Accent6 3" xfId="1336"/>
    <cellStyle name="40 % - Akzent1" xfId="132"/>
    <cellStyle name="40 % - Akzent2" xfId="133"/>
    <cellStyle name="40 % - Akzent3" xfId="134"/>
    <cellStyle name="40 % - Akzent4" xfId="135"/>
    <cellStyle name="40 % - Akzent5" xfId="136"/>
    <cellStyle name="40 % - Akzent6" xfId="137"/>
    <cellStyle name="40% - Accent1" xfId="12" builtinId="31" customBuiltin="1"/>
    <cellStyle name="40% - Accent1 2" xfId="202"/>
    <cellStyle name="40% - Accent1 3" xfId="1337"/>
    <cellStyle name="40% - Accent2" xfId="13" builtinId="35" customBuiltin="1"/>
    <cellStyle name="40% - Accent2 2" xfId="203"/>
    <cellStyle name="40% - Accent2 3" xfId="1338"/>
    <cellStyle name="40% - Accent3" xfId="14" builtinId="39" customBuiltin="1"/>
    <cellStyle name="40% - Accent3 2" xfId="204"/>
    <cellStyle name="40% - Accent3 3" xfId="1339"/>
    <cellStyle name="40% - Accent4" xfId="15" builtinId="43" customBuiltin="1"/>
    <cellStyle name="40% - Accent4 2" xfId="205"/>
    <cellStyle name="40% - Accent4 3" xfId="1340"/>
    <cellStyle name="40% - Accent5" xfId="16" builtinId="47" customBuiltin="1"/>
    <cellStyle name="40% - Accent5 2" xfId="206"/>
    <cellStyle name="40% - Accent5 3" xfId="1341"/>
    <cellStyle name="40% - Accent6" xfId="17" builtinId="51" customBuiltin="1"/>
    <cellStyle name="40% - Accent6 2" xfId="207"/>
    <cellStyle name="40% - Accent6 3" xfId="1342"/>
    <cellStyle name="60 % - Akzent1" xfId="138"/>
    <cellStyle name="60 % - Akzent2" xfId="139"/>
    <cellStyle name="60 % - Akzent3" xfId="140"/>
    <cellStyle name="60 % - Akzent4" xfId="141"/>
    <cellStyle name="60 % - Akzent5" xfId="142"/>
    <cellStyle name="60 % - Akzent6" xfId="143"/>
    <cellStyle name="60% - Accent1" xfId="18" builtinId="32" customBuiltin="1"/>
    <cellStyle name="60% - Accent1 2" xfId="208"/>
    <cellStyle name="60% - Accent1 3" xfId="1343"/>
    <cellStyle name="60% - Accent2" xfId="19" builtinId="36" customBuiltin="1"/>
    <cellStyle name="60% - Accent2 2" xfId="209"/>
    <cellStyle name="60% - Accent2 3" xfId="1344"/>
    <cellStyle name="60% - Accent3" xfId="20" builtinId="40" customBuiltin="1"/>
    <cellStyle name="60% - Accent3 2" xfId="210"/>
    <cellStyle name="60% - Accent3 3" xfId="1345"/>
    <cellStyle name="60% - Accent4" xfId="21" builtinId="44" customBuiltin="1"/>
    <cellStyle name="60% - Accent4 2" xfId="211"/>
    <cellStyle name="60% - Accent4 3" xfId="1346"/>
    <cellStyle name="60% - Accent5" xfId="22" builtinId="48" customBuiltin="1"/>
    <cellStyle name="60% - Accent5 2" xfId="212"/>
    <cellStyle name="60% - Accent5 3" xfId="1347"/>
    <cellStyle name="60% - Accent6" xfId="23" builtinId="52" customBuiltin="1"/>
    <cellStyle name="60% - Accent6 2" xfId="213"/>
    <cellStyle name="60% - Accent6 3" xfId="1348"/>
    <cellStyle name="Accent1" xfId="24" builtinId="29" customBuiltin="1"/>
    <cellStyle name="Accent1 - 20%" xfId="25"/>
    <cellStyle name="Accent1 - 40%" xfId="26"/>
    <cellStyle name="Accent1 - 60%" xfId="27"/>
    <cellStyle name="Accent1 10" xfId="214"/>
    <cellStyle name="Accent1 11" xfId="215"/>
    <cellStyle name="Accent1 12" xfId="216"/>
    <cellStyle name="Accent1 13" xfId="217"/>
    <cellStyle name="Accent1 14" xfId="218"/>
    <cellStyle name="Accent1 15" xfId="219"/>
    <cellStyle name="Accent1 16" xfId="220"/>
    <cellStyle name="Accent1 17" xfId="221"/>
    <cellStyle name="Accent1 18" xfId="222"/>
    <cellStyle name="Accent1 19" xfId="223"/>
    <cellStyle name="Accent1 2" xfId="224"/>
    <cellStyle name="Accent1 20" xfId="225"/>
    <cellStyle name="Accent1 21" xfId="226"/>
    <cellStyle name="Accent1 22" xfId="227"/>
    <cellStyle name="Accent1 23" xfId="228"/>
    <cellStyle name="Accent1 24" xfId="229"/>
    <cellStyle name="Accent1 25" xfId="1349"/>
    <cellStyle name="Accent1 26" xfId="1350"/>
    <cellStyle name="Accent1 27" xfId="1351"/>
    <cellStyle name="Accent1 28" xfId="1352"/>
    <cellStyle name="Accent1 29" xfId="1353"/>
    <cellStyle name="Accent1 3" xfId="230"/>
    <cellStyle name="Accent1 4" xfId="231"/>
    <cellStyle name="Accent1 5" xfId="232"/>
    <cellStyle name="Accent1 6" xfId="233"/>
    <cellStyle name="Accent1 7" xfId="234"/>
    <cellStyle name="Accent1 8" xfId="235"/>
    <cellStyle name="Accent1 9" xfId="236"/>
    <cellStyle name="Accent2" xfId="28" builtinId="33" customBuiltin="1"/>
    <cellStyle name="Accent2 - 20%" xfId="29"/>
    <cellStyle name="Accent2 - 40%" xfId="30"/>
    <cellStyle name="Accent2 - 60%" xfId="31"/>
    <cellStyle name="Accent2 10" xfId="237"/>
    <cellStyle name="Accent2 11" xfId="238"/>
    <cellStyle name="Accent2 12" xfId="239"/>
    <cellStyle name="Accent2 13" xfId="240"/>
    <cellStyle name="Accent2 14" xfId="241"/>
    <cellStyle name="Accent2 15" xfId="242"/>
    <cellStyle name="Accent2 16" xfId="243"/>
    <cellStyle name="Accent2 17" xfId="244"/>
    <cellStyle name="Accent2 18" xfId="245"/>
    <cellStyle name="Accent2 19" xfId="246"/>
    <cellStyle name="Accent2 2" xfId="247"/>
    <cellStyle name="Accent2 20" xfId="248"/>
    <cellStyle name="Accent2 21" xfId="249"/>
    <cellStyle name="Accent2 22" xfId="250"/>
    <cellStyle name="Accent2 23" xfId="251"/>
    <cellStyle name="Accent2 24" xfId="252"/>
    <cellStyle name="Accent2 25" xfId="1354"/>
    <cellStyle name="Accent2 26" xfId="1355"/>
    <cellStyle name="Accent2 27" xfId="1356"/>
    <cellStyle name="Accent2 28" xfId="1357"/>
    <cellStyle name="Accent2 29" xfId="1358"/>
    <cellStyle name="Accent2 3" xfId="253"/>
    <cellStyle name="Accent2 4" xfId="254"/>
    <cellStyle name="Accent2 5" xfId="255"/>
    <cellStyle name="Accent2 6" xfId="256"/>
    <cellStyle name="Accent2 7" xfId="257"/>
    <cellStyle name="Accent2 8" xfId="258"/>
    <cellStyle name="Accent2 9" xfId="259"/>
    <cellStyle name="Accent3" xfId="32" builtinId="37" customBuiltin="1"/>
    <cellStyle name="Accent3 - 20%" xfId="33"/>
    <cellStyle name="Accent3 - 40%" xfId="34"/>
    <cellStyle name="Accent3 - 60%" xfId="35"/>
    <cellStyle name="Accent3 10" xfId="260"/>
    <cellStyle name="Accent3 11" xfId="261"/>
    <cellStyle name="Accent3 12" xfId="262"/>
    <cellStyle name="Accent3 13" xfId="263"/>
    <cellStyle name="Accent3 14" xfId="264"/>
    <cellStyle name="Accent3 15" xfId="265"/>
    <cellStyle name="Accent3 16" xfId="266"/>
    <cellStyle name="Accent3 17" xfId="267"/>
    <cellStyle name="Accent3 18" xfId="268"/>
    <cellStyle name="Accent3 19" xfId="269"/>
    <cellStyle name="Accent3 2" xfId="270"/>
    <cellStyle name="Accent3 20" xfId="271"/>
    <cellStyle name="Accent3 21" xfId="272"/>
    <cellStyle name="Accent3 22" xfId="273"/>
    <cellStyle name="Accent3 23" xfId="274"/>
    <cellStyle name="Accent3 24" xfId="275"/>
    <cellStyle name="Accent3 25" xfId="1359"/>
    <cellStyle name="Accent3 26" xfId="1360"/>
    <cellStyle name="Accent3 27" xfId="1361"/>
    <cellStyle name="Accent3 28" xfId="1362"/>
    <cellStyle name="Accent3 29" xfId="1363"/>
    <cellStyle name="Accent3 3" xfId="276"/>
    <cellStyle name="Accent3 4" xfId="277"/>
    <cellStyle name="Accent3 5" xfId="278"/>
    <cellStyle name="Accent3 6" xfId="279"/>
    <cellStyle name="Accent3 7" xfId="280"/>
    <cellStyle name="Accent3 8" xfId="281"/>
    <cellStyle name="Accent3 9" xfId="282"/>
    <cellStyle name="Accent4" xfId="36" builtinId="41" customBuiltin="1"/>
    <cellStyle name="Accent4 - 20%" xfId="37"/>
    <cellStyle name="Accent4 - 40%" xfId="38"/>
    <cellStyle name="Accent4 - 60%" xfId="39"/>
    <cellStyle name="Accent4 10" xfId="283"/>
    <cellStyle name="Accent4 11" xfId="284"/>
    <cellStyle name="Accent4 12" xfId="285"/>
    <cellStyle name="Accent4 13" xfId="286"/>
    <cellStyle name="Accent4 14" xfId="287"/>
    <cellStyle name="Accent4 15" xfId="288"/>
    <cellStyle name="Accent4 16" xfId="289"/>
    <cellStyle name="Accent4 17" xfId="290"/>
    <cellStyle name="Accent4 18" xfId="291"/>
    <cellStyle name="Accent4 19" xfId="292"/>
    <cellStyle name="Accent4 2" xfId="293"/>
    <cellStyle name="Accent4 20" xfId="294"/>
    <cellStyle name="Accent4 21" xfId="295"/>
    <cellStyle name="Accent4 22" xfId="296"/>
    <cellStyle name="Accent4 23" xfId="297"/>
    <cellStyle name="Accent4 24" xfId="298"/>
    <cellStyle name="Accent4 25" xfId="1364"/>
    <cellStyle name="Accent4 26" xfId="1365"/>
    <cellStyle name="Accent4 27" xfId="1366"/>
    <cellStyle name="Accent4 28" xfId="1367"/>
    <cellStyle name="Accent4 29" xfId="1368"/>
    <cellStyle name="Accent4 3" xfId="299"/>
    <cellStyle name="Accent4 4" xfId="300"/>
    <cellStyle name="Accent4 5" xfId="301"/>
    <cellStyle name="Accent4 6" xfId="302"/>
    <cellStyle name="Accent4 7" xfId="303"/>
    <cellStyle name="Accent4 8" xfId="304"/>
    <cellStyle name="Accent4 9" xfId="305"/>
    <cellStyle name="Accent5" xfId="40" builtinId="45" customBuiltin="1"/>
    <cellStyle name="Accent5 - 20%" xfId="41"/>
    <cellStyle name="Accent5 - 40%" xfId="42"/>
    <cellStyle name="Accent5 - 60%" xfId="43"/>
    <cellStyle name="Accent5 10" xfId="306"/>
    <cellStyle name="Accent5 11" xfId="307"/>
    <cellStyle name="Accent5 12" xfId="308"/>
    <cellStyle name="Accent5 13" xfId="309"/>
    <cellStyle name="Accent5 14" xfId="310"/>
    <cellStyle name="Accent5 15" xfId="311"/>
    <cellStyle name="Accent5 16" xfId="312"/>
    <cellStyle name="Accent5 17" xfId="313"/>
    <cellStyle name="Accent5 18" xfId="314"/>
    <cellStyle name="Accent5 19" xfId="315"/>
    <cellStyle name="Accent5 2" xfId="316"/>
    <cellStyle name="Accent5 20" xfId="317"/>
    <cellStyle name="Accent5 21" xfId="318"/>
    <cellStyle name="Accent5 22" xfId="319"/>
    <cellStyle name="Accent5 23" xfId="320"/>
    <cellStyle name="Accent5 24" xfId="321"/>
    <cellStyle name="Accent5 25" xfId="1369"/>
    <cellStyle name="Accent5 26" xfId="1370"/>
    <cellStyle name="Accent5 27" xfId="1371"/>
    <cellStyle name="Accent5 28" xfId="1372"/>
    <cellStyle name="Accent5 29" xfId="1373"/>
    <cellStyle name="Accent5 3" xfId="322"/>
    <cellStyle name="Accent5 4" xfId="323"/>
    <cellStyle name="Accent5 5" xfId="324"/>
    <cellStyle name="Accent5 6" xfId="325"/>
    <cellStyle name="Accent5 7" xfId="326"/>
    <cellStyle name="Accent5 8" xfId="327"/>
    <cellStyle name="Accent5 9" xfId="328"/>
    <cellStyle name="Accent6" xfId="44" builtinId="49" customBuiltin="1"/>
    <cellStyle name="Accent6 - 20%" xfId="45"/>
    <cellStyle name="Accent6 - 40%" xfId="46"/>
    <cellStyle name="Accent6 - 60%" xfId="47"/>
    <cellStyle name="Accent6 10" xfId="329"/>
    <cellStyle name="Accent6 11" xfId="330"/>
    <cellStyle name="Accent6 12" xfId="331"/>
    <cellStyle name="Accent6 13" xfId="332"/>
    <cellStyle name="Accent6 14" xfId="333"/>
    <cellStyle name="Accent6 15" xfId="334"/>
    <cellStyle name="Accent6 16" xfId="335"/>
    <cellStyle name="Accent6 17" xfId="336"/>
    <cellStyle name="Accent6 18" xfId="337"/>
    <cellStyle name="Accent6 19" xfId="338"/>
    <cellStyle name="Accent6 2" xfId="339"/>
    <cellStyle name="Accent6 20" xfId="340"/>
    <cellStyle name="Accent6 21" xfId="341"/>
    <cellStyle name="Accent6 22" xfId="342"/>
    <cellStyle name="Accent6 23" xfId="343"/>
    <cellStyle name="Accent6 24" xfId="344"/>
    <cellStyle name="Accent6 25" xfId="1374"/>
    <cellStyle name="Accent6 26" xfId="1375"/>
    <cellStyle name="Accent6 27" xfId="1376"/>
    <cellStyle name="Accent6 28" xfId="1377"/>
    <cellStyle name="Accent6 29" xfId="1378"/>
    <cellStyle name="Accent6 3" xfId="345"/>
    <cellStyle name="Accent6 4" xfId="346"/>
    <cellStyle name="Accent6 5" xfId="347"/>
    <cellStyle name="Accent6 6" xfId="348"/>
    <cellStyle name="Accent6 7" xfId="349"/>
    <cellStyle name="Accent6 8" xfId="350"/>
    <cellStyle name="Accent6 9" xfId="351"/>
    <cellStyle name="Akzent1" xfId="144"/>
    <cellStyle name="Akzent2" xfId="145"/>
    <cellStyle name="Akzent3" xfId="146"/>
    <cellStyle name="Akzent4" xfId="147"/>
    <cellStyle name="Akzent5" xfId="148"/>
    <cellStyle name="Akzent6" xfId="149"/>
    <cellStyle name="Ausgabe" xfId="150"/>
    <cellStyle name="Bad" xfId="66"/>
    <cellStyle name="Bad 2" xfId="151"/>
    <cellStyle name="Bad 2 2" xfId="1379"/>
    <cellStyle name="Bad 3" xfId="1380"/>
    <cellStyle name="Berechnung" xfId="152"/>
    <cellStyle name="Berekening" xfId="48" builtinId="22" customBuiltin="1"/>
    <cellStyle name="Berekening 2" xfId="352"/>
    <cellStyle name="Berekening 2 2" xfId="447"/>
    <cellStyle name="Berekening 2 3" xfId="571"/>
    <cellStyle name="Berekening 2 4" xfId="572"/>
    <cellStyle name="Berekening 2 5" xfId="573"/>
    <cellStyle name="Berekening 2 6" xfId="574"/>
    <cellStyle name="Berekening 2 7" xfId="1381"/>
    <cellStyle name="Berekening 3" xfId="575"/>
    <cellStyle name="Berekening 4" xfId="576"/>
    <cellStyle name="Berekening 5" xfId="577"/>
    <cellStyle name="Berekening 6" xfId="578"/>
    <cellStyle name="Berekening 7" xfId="579"/>
    <cellStyle name="Berekening 8" xfId="1382"/>
    <cellStyle name="Berekening 8 2" xfId="1383"/>
    <cellStyle name="Berekening 9" xfId="1384"/>
    <cellStyle name="Calculation" xfId="1385"/>
    <cellStyle name="Calculation 2" xfId="153"/>
    <cellStyle name="Calculation 2 2" xfId="448"/>
    <cellStyle name="Calculation 2 3" xfId="580"/>
    <cellStyle name="Calculation 2 4" xfId="581"/>
    <cellStyle name="Calculation 2 5" xfId="582"/>
    <cellStyle name="Calculation 2 6" xfId="583"/>
    <cellStyle name="Calculation 3" xfId="584"/>
    <cellStyle name="Calculation 4" xfId="585"/>
    <cellStyle name="Calculation 5" xfId="586"/>
    <cellStyle name="Calculation 6" xfId="587"/>
    <cellStyle name="Check Cell" xfId="49"/>
    <cellStyle name="Check Cell 2" xfId="154"/>
    <cellStyle name="Check Cell 2 2" xfId="1386"/>
    <cellStyle name="Check Cell 3" xfId="1387"/>
    <cellStyle name="Controlecel 2" xfId="353"/>
    <cellStyle name="Controlecel 3" xfId="1388"/>
    <cellStyle name="Eingabe" xfId="155"/>
    <cellStyle name="Emphasis 1" xfId="50"/>
    <cellStyle name="Emphasis 2" xfId="51"/>
    <cellStyle name="Emphasis 3" xfId="52"/>
    <cellStyle name="Ergebnis" xfId="156"/>
    <cellStyle name="Erklärender Text" xfId="157"/>
    <cellStyle name="Euro" xfId="53"/>
    <cellStyle name="Euro 2" xfId="158"/>
    <cellStyle name="Euro 2 2" xfId="430"/>
    <cellStyle name="Euro 2 3" xfId="589"/>
    <cellStyle name="Euro 3" xfId="588"/>
    <cellStyle name="Explanatory Text" xfId="121"/>
    <cellStyle name="Explanatory Text 2" xfId="159"/>
    <cellStyle name="Explanatory Text 2 2" xfId="1389"/>
    <cellStyle name="Explanatory Text 3" xfId="1390"/>
    <cellStyle name="Gekoppelde cel" xfId="61" builtinId="24" customBuiltin="1"/>
    <cellStyle name="Gekoppelde cel 2" xfId="354"/>
    <cellStyle name="Gekoppelde cel 2 2" xfId="1391"/>
    <cellStyle name="Gekoppelde cel 3" xfId="1392"/>
    <cellStyle name="Gekoppelde cel 3 2" xfId="1393"/>
    <cellStyle name="Gekoppelde cel 4" xfId="1394"/>
    <cellStyle name="Goed" xfId="54" builtinId="26" customBuiltin="1"/>
    <cellStyle name="Goed 2" xfId="355"/>
    <cellStyle name="Goed 2 2" xfId="1395"/>
    <cellStyle name="Goed 3" xfId="1396"/>
    <cellStyle name="Goed 3 2" xfId="1397"/>
    <cellStyle name="Goed 4" xfId="1398"/>
    <cellStyle name="Good" xfId="1399"/>
    <cellStyle name="Good 2" xfId="160"/>
    <cellStyle name="Gut" xfId="161"/>
    <cellStyle name="Header" xfId="162"/>
    <cellStyle name="Heading 1" xfId="57"/>
    <cellStyle name="Heading 1 2" xfId="163"/>
    <cellStyle name="Heading 1 2 2" xfId="1400"/>
    <cellStyle name="Heading 1 3" xfId="1401"/>
    <cellStyle name="Heading 2" xfId="58"/>
    <cellStyle name="Heading 2 2" xfId="164"/>
    <cellStyle name="Heading 2 2 2" xfId="1402"/>
    <cellStyle name="Heading 2 3" xfId="1403"/>
    <cellStyle name="Heading 3" xfId="59"/>
    <cellStyle name="Heading 3 2" xfId="165"/>
    <cellStyle name="Heading 3 2 2" xfId="1404"/>
    <cellStyle name="Heading 3 3" xfId="1405"/>
    <cellStyle name="Heading 4" xfId="60"/>
    <cellStyle name="Heading 4 2" xfId="166"/>
    <cellStyle name="Heading 4 2 2" xfId="1406"/>
    <cellStyle name="Heading 4 3" xfId="1407"/>
    <cellStyle name="Hyperlink" xfId="1302" builtinId="8"/>
    <cellStyle name="Hyperlink 2" xfId="449"/>
    <cellStyle name="Hyperlink 3" xfId="590"/>
    <cellStyle name="Hyperlink 4" xfId="1408"/>
    <cellStyle name="Input" xfId="55"/>
    <cellStyle name="Input 2" xfId="167"/>
    <cellStyle name="Input 2 2" xfId="450"/>
    <cellStyle name="Input 2 3" xfId="591"/>
    <cellStyle name="Input 2 4" xfId="592"/>
    <cellStyle name="Input 2 5" xfId="593"/>
    <cellStyle name="Input 2 6" xfId="594"/>
    <cellStyle name="Input 3" xfId="595"/>
    <cellStyle name="Input 4" xfId="596"/>
    <cellStyle name="Input 5" xfId="597"/>
    <cellStyle name="Input 6" xfId="598"/>
    <cellStyle name="Invoer 2" xfId="356"/>
    <cellStyle name="Invoer 2 2" xfId="451"/>
    <cellStyle name="Invoer 2 3" xfId="599"/>
    <cellStyle name="Invoer 2 4" xfId="600"/>
    <cellStyle name="Invoer 2 5" xfId="601"/>
    <cellStyle name="Invoer 2 6" xfId="602"/>
    <cellStyle name="Invoer 3" xfId="603"/>
    <cellStyle name="Invoer 4" xfId="604"/>
    <cellStyle name="Invoer 5" xfId="605"/>
    <cellStyle name="Invoer 6" xfId="606"/>
    <cellStyle name="Invoer 7" xfId="607"/>
    <cellStyle name="Invoer 8" xfId="1409"/>
    <cellStyle name="Komma" xfId="56" builtinId="3"/>
    <cellStyle name="Komma 10" xfId="452"/>
    <cellStyle name="Komma 13" xfId="453"/>
    <cellStyle name="Komma 2" xfId="168"/>
    <cellStyle name="Komma 2 2" xfId="194"/>
    <cellStyle name="Komma 2 3" xfId="454"/>
    <cellStyle name="Komma 3" xfId="357"/>
    <cellStyle name="Komma 3 2" xfId="455"/>
    <cellStyle name="Komma 3 3" xfId="608"/>
    <cellStyle name="Komma 3 4" xfId="1410"/>
    <cellStyle name="Komma 4" xfId="456"/>
    <cellStyle name="Komma 4 2" xfId="1411"/>
    <cellStyle name="Komma 5" xfId="457"/>
    <cellStyle name="Komma 5 2" xfId="1412"/>
    <cellStyle name="Komma 6" xfId="458"/>
    <cellStyle name="Komma 7" xfId="459"/>
    <cellStyle name="Komma 8" xfId="1413"/>
    <cellStyle name="Komma 9" xfId="1303"/>
    <cellStyle name="Komma 9 2" xfId="1414"/>
    <cellStyle name="Kop 1 2" xfId="358"/>
    <cellStyle name="Kop 1 3" xfId="1415"/>
    <cellStyle name="Kop 2 2" xfId="359"/>
    <cellStyle name="Kop 2 3" xfId="1416"/>
    <cellStyle name="Kop 3 2" xfId="360"/>
    <cellStyle name="Kop 3 3" xfId="1417"/>
    <cellStyle name="Kop 4 2" xfId="361"/>
    <cellStyle name="Kop 4 3" xfId="1418"/>
    <cellStyle name="Linked Cell" xfId="1419"/>
    <cellStyle name="Linked Cell 2" xfId="169"/>
    <cellStyle name="MAND_x000a_CHECK.COMMAND_x000e_RENAME.COMMAND_x0008_SHOW.BAR_x000b_DELETE.MENU_x000e_DELETE.COMMAND_x000e_GET.CHA" xfId="62"/>
    <cellStyle name="MAND_x000a_CHECK.COMMAND_x000e_RENAME.COMMAND_x0008_SHOW.BAR_x000b_DELETE.MENU_x000e_DELETE.COMMAND_x000e_GET.CHA 2" xfId="170"/>
    <cellStyle name="MAND_x000a_CHECK.COMMAND_x000e_RENAME.COMMAND_x0008_SHOW.BAR_x000b_DELETE.MENU_x000e_DELETE.COMMAND_x000e_GET.CHA 2 2" xfId="431"/>
    <cellStyle name="MAND_x000a_CHECK.COMMAND_x000e_RENAME.COMMAND_x0008_SHOW.BAR_x000b_DELETE.MENU_x000e_DELETE.COMMAND_x000e_GET.CHA 3" xfId="362"/>
    <cellStyle name="MAND_x000a_CHECK.COMMAND_x000e_RENAME.COMMAND_x0008_SHOW.BAR_x000b_DELETE.MENU_x000e_DELETE.COMMAND_x000e_GET.CHA 4" xfId="460"/>
    <cellStyle name="Neutraal" xfId="63" builtinId="28" customBuiltin="1"/>
    <cellStyle name="Neutraal 2" xfId="363"/>
    <cellStyle name="Neutraal 2 2" xfId="1420"/>
    <cellStyle name="Neutraal 3" xfId="1421"/>
    <cellStyle name="Neutraal 3 2" xfId="1422"/>
    <cellStyle name="Neutraal 4" xfId="1423"/>
    <cellStyle name="Neutral" xfId="1424"/>
    <cellStyle name="Neutral 2" xfId="171"/>
    <cellStyle name="Normal_# klanten" xfId="1425"/>
    <cellStyle name="Normal_160704 Gasunie Asset model_110920 Berekening CAPEX UI, etc.." xfId="64"/>
    <cellStyle name="Note" xfId="65"/>
    <cellStyle name="Note 2" xfId="172"/>
    <cellStyle name="Note 2 2" xfId="432"/>
    <cellStyle name="Note 2 2 2" xfId="609"/>
    <cellStyle name="Note 2 3" xfId="461"/>
    <cellStyle name="Note 2 4" xfId="610"/>
    <cellStyle name="Note 2 5" xfId="611"/>
    <cellStyle name="Note 2 6" xfId="612"/>
    <cellStyle name="Note 3" xfId="613"/>
    <cellStyle name="Note 4" xfId="614"/>
    <cellStyle name="Note 5" xfId="615"/>
    <cellStyle name="Note 6" xfId="616"/>
    <cellStyle name="Notitie 2" xfId="364"/>
    <cellStyle name="Notitie 2 2" xfId="462"/>
    <cellStyle name="Notitie 2 2 2" xfId="617"/>
    <cellStyle name="Notitie 2 2 3" xfId="618"/>
    <cellStyle name="Notitie 2 2 4" xfId="619"/>
    <cellStyle name="Notitie 2 2 5" xfId="620"/>
    <cellStyle name="Notitie 2 2 6" xfId="621"/>
    <cellStyle name="Notitie 2 3" xfId="622"/>
    <cellStyle name="Notitie 2 4" xfId="623"/>
    <cellStyle name="Notitie 2 5" xfId="624"/>
    <cellStyle name="Notitie 2 6" xfId="625"/>
    <cellStyle name="Notitie 3" xfId="365"/>
    <cellStyle name="Notitie 3 2" xfId="463"/>
    <cellStyle name="Notitie 3 3" xfId="626"/>
    <cellStyle name="Notitie 3 4" xfId="627"/>
    <cellStyle name="Notitie 3 5" xfId="628"/>
    <cellStyle name="Notitie 3 6" xfId="629"/>
    <cellStyle name="Notitie 4" xfId="366"/>
    <cellStyle name="Notitie 5" xfId="464"/>
    <cellStyle name="Notitie 6" xfId="630"/>
    <cellStyle name="Notitie 7" xfId="631"/>
    <cellStyle name="Notitie 8" xfId="1426"/>
    <cellStyle name="Notiz" xfId="173"/>
    <cellStyle name="Ongeldig 2" xfId="367"/>
    <cellStyle name="Ongeldig 3" xfId="1427"/>
    <cellStyle name="Output" xfId="119"/>
    <cellStyle name="Output 2" xfId="174"/>
    <cellStyle name="Output 2 2" xfId="465"/>
    <cellStyle name="Output 2 3" xfId="632"/>
    <cellStyle name="Output 2 4" xfId="633"/>
    <cellStyle name="Output 2 5" xfId="634"/>
    <cellStyle name="Output 2 6" xfId="635"/>
    <cellStyle name="Output 3" xfId="636"/>
    <cellStyle name="Output 4" xfId="637"/>
    <cellStyle name="Output 5" xfId="638"/>
    <cellStyle name="Output 6" xfId="639"/>
    <cellStyle name="Percentages_oorzaken" xfId="466"/>
    <cellStyle name="Procent" xfId="67" builtinId="5"/>
    <cellStyle name="Procent 2" xfId="175"/>
    <cellStyle name="Procent 2 2" xfId="368"/>
    <cellStyle name="Procent 3" xfId="467"/>
    <cellStyle name="Procent 3 2" xfId="1428"/>
    <cellStyle name="Procent 4" xfId="1304"/>
    <cellStyle name="Procent 5" xfId="1429"/>
    <cellStyle name="Ratio" xfId="176"/>
    <cellStyle name="SAPBEXaggData" xfId="68"/>
    <cellStyle name="SAPBEXaggData 2" xfId="369"/>
    <cellStyle name="SAPBEXaggData 2 2" xfId="468"/>
    <cellStyle name="SAPBEXaggData 2 2 2" xfId="641"/>
    <cellStyle name="SAPBEXaggData 2 2 3" xfId="642"/>
    <cellStyle name="SAPBEXaggData 2 2 4" xfId="643"/>
    <cellStyle name="SAPBEXaggData 2 2 5" xfId="644"/>
    <cellStyle name="SAPBEXaggData 2 2 6" xfId="645"/>
    <cellStyle name="SAPBEXaggData 2 3" xfId="646"/>
    <cellStyle name="SAPBEXaggData 2 4" xfId="647"/>
    <cellStyle name="SAPBEXaggData 2 5" xfId="648"/>
    <cellStyle name="SAPBEXaggData 2 6" xfId="649"/>
    <cellStyle name="SAPBEXaggData 2 7" xfId="1308"/>
    <cellStyle name="SAPBEXaggData 3" xfId="469"/>
    <cellStyle name="SAPBEXaggData 3 2" xfId="650"/>
    <cellStyle name="SAPBEXaggData 3 3" xfId="651"/>
    <cellStyle name="SAPBEXaggData 3 4" xfId="652"/>
    <cellStyle name="SAPBEXaggData 3 5" xfId="653"/>
    <cellStyle name="SAPBEXaggData 3 6" xfId="654"/>
    <cellStyle name="SAPBEXaggData 4" xfId="655"/>
    <cellStyle name="SAPBEXaggData 5" xfId="656"/>
    <cellStyle name="SAPBEXaggData 6" xfId="657"/>
    <cellStyle name="SAPBEXaggData 7" xfId="658"/>
    <cellStyle name="SAPBEXaggData 8" xfId="640"/>
    <cellStyle name="SAPBEXaggData 9" xfId="1307"/>
    <cellStyle name="SAPBEXaggData_20120921_SF-grote-ronde-Liesbethdump2" xfId="370"/>
    <cellStyle name="SAPBEXaggDataEmph" xfId="69"/>
    <cellStyle name="SAPBEXaggDataEmph 2" xfId="371"/>
    <cellStyle name="SAPBEXaggDataEmph 2 2" xfId="470"/>
    <cellStyle name="SAPBEXaggDataEmph 2 2 2" xfId="660"/>
    <cellStyle name="SAPBEXaggDataEmph 2 2 3" xfId="661"/>
    <cellStyle name="SAPBEXaggDataEmph 2 2 4" xfId="662"/>
    <cellStyle name="SAPBEXaggDataEmph 2 2 5" xfId="663"/>
    <cellStyle name="SAPBEXaggDataEmph 2 2 6" xfId="664"/>
    <cellStyle name="SAPBEXaggDataEmph 2 3" xfId="665"/>
    <cellStyle name="SAPBEXaggDataEmph 2 4" xfId="666"/>
    <cellStyle name="SAPBEXaggDataEmph 2 5" xfId="667"/>
    <cellStyle name="SAPBEXaggDataEmph 2 6" xfId="668"/>
    <cellStyle name="SAPBEXaggDataEmph 3" xfId="471"/>
    <cellStyle name="SAPBEXaggDataEmph 3 2" xfId="669"/>
    <cellStyle name="SAPBEXaggDataEmph 3 3" xfId="670"/>
    <cellStyle name="SAPBEXaggDataEmph 3 4" xfId="671"/>
    <cellStyle name="SAPBEXaggDataEmph 3 5" xfId="672"/>
    <cellStyle name="SAPBEXaggDataEmph 3 6" xfId="673"/>
    <cellStyle name="SAPBEXaggDataEmph 4" xfId="674"/>
    <cellStyle name="SAPBEXaggDataEmph 5" xfId="675"/>
    <cellStyle name="SAPBEXaggDataEmph 6" xfId="676"/>
    <cellStyle name="SAPBEXaggDataEmph 7" xfId="677"/>
    <cellStyle name="SAPBEXaggDataEmph 8" xfId="659"/>
    <cellStyle name="SAPBEXaggDataEmph 9" xfId="1309"/>
    <cellStyle name="SAPBEXaggDataEmph_20120921_SF-grote-ronde-Liesbethdump2" xfId="372"/>
    <cellStyle name="SAPBEXaggItem" xfId="70"/>
    <cellStyle name="SAPBEXaggItem 2" xfId="373"/>
    <cellStyle name="SAPBEXaggItem 2 2" xfId="472"/>
    <cellStyle name="SAPBEXaggItem 2 2 2" xfId="679"/>
    <cellStyle name="SAPBEXaggItem 2 2 3" xfId="680"/>
    <cellStyle name="SAPBEXaggItem 2 2 4" xfId="681"/>
    <cellStyle name="SAPBEXaggItem 2 2 5" xfId="682"/>
    <cellStyle name="SAPBEXaggItem 2 2 6" xfId="683"/>
    <cellStyle name="SAPBEXaggItem 2 3" xfId="684"/>
    <cellStyle name="SAPBEXaggItem 2 4" xfId="685"/>
    <cellStyle name="SAPBEXaggItem 2 5" xfId="686"/>
    <cellStyle name="SAPBEXaggItem 2 6" xfId="687"/>
    <cellStyle name="SAPBEXaggItem 2 7" xfId="1311"/>
    <cellStyle name="SAPBEXaggItem 3" xfId="473"/>
    <cellStyle name="SAPBEXaggItem 3 2" xfId="688"/>
    <cellStyle name="SAPBEXaggItem 3 3" xfId="689"/>
    <cellStyle name="SAPBEXaggItem 3 4" xfId="690"/>
    <cellStyle name="SAPBEXaggItem 3 5" xfId="691"/>
    <cellStyle name="SAPBEXaggItem 3 6" xfId="692"/>
    <cellStyle name="SAPBEXaggItem 4" xfId="693"/>
    <cellStyle name="SAPBEXaggItem 5" xfId="694"/>
    <cellStyle name="SAPBEXaggItem 6" xfId="695"/>
    <cellStyle name="SAPBEXaggItem 7" xfId="696"/>
    <cellStyle name="SAPBEXaggItem 8" xfId="678"/>
    <cellStyle name="SAPBEXaggItem 9" xfId="1310"/>
    <cellStyle name="SAPBEXaggItem_20120921_SF-grote-ronde-Liesbethdump2" xfId="374"/>
    <cellStyle name="SAPBEXaggItemX" xfId="71"/>
    <cellStyle name="SAPBEXaggItemX 2" xfId="474"/>
    <cellStyle name="SAPBEXaggItemX 2 2" xfId="698"/>
    <cellStyle name="SAPBEXaggItemX 2 3" xfId="699"/>
    <cellStyle name="SAPBEXaggItemX 2 4" xfId="700"/>
    <cellStyle name="SAPBEXaggItemX 2 5" xfId="701"/>
    <cellStyle name="SAPBEXaggItemX 2 6" xfId="702"/>
    <cellStyle name="SAPBEXaggItemX 3" xfId="703"/>
    <cellStyle name="SAPBEXaggItemX 4" xfId="704"/>
    <cellStyle name="SAPBEXaggItemX 5" xfId="705"/>
    <cellStyle name="SAPBEXaggItemX 6" xfId="706"/>
    <cellStyle name="SAPBEXaggItemX 7" xfId="707"/>
    <cellStyle name="SAPBEXaggItemX 8" xfId="697"/>
    <cellStyle name="SAPBEXaggItemX 9" xfId="1312"/>
    <cellStyle name="SAPBEXchaText" xfId="72"/>
    <cellStyle name="SAPBEXchaText 2" xfId="375"/>
    <cellStyle name="SAPBEXchaText 2 2" xfId="475"/>
    <cellStyle name="SAPBEXchaText 2 2 2" xfId="709"/>
    <cellStyle name="SAPBEXchaText 2 2 3" xfId="710"/>
    <cellStyle name="SAPBEXchaText 2 2 4" xfId="711"/>
    <cellStyle name="SAPBEXchaText 2 2 5" xfId="712"/>
    <cellStyle name="SAPBEXchaText 2 2 6" xfId="713"/>
    <cellStyle name="SAPBEXchaText 2 3" xfId="714"/>
    <cellStyle name="SAPBEXchaText 2 4" xfId="715"/>
    <cellStyle name="SAPBEXchaText 2 5" xfId="716"/>
    <cellStyle name="SAPBEXchaText 2 6" xfId="717"/>
    <cellStyle name="SAPBEXchaText 2 7" xfId="1313"/>
    <cellStyle name="SAPBEXchaText 3" xfId="476"/>
    <cellStyle name="SAPBEXchaText 3 2" xfId="718"/>
    <cellStyle name="SAPBEXchaText 3 3" xfId="719"/>
    <cellStyle name="SAPBEXchaText 3 4" xfId="720"/>
    <cellStyle name="SAPBEXchaText 3 5" xfId="721"/>
    <cellStyle name="SAPBEXchaText 3 6" xfId="722"/>
    <cellStyle name="SAPBEXchaText 4" xfId="723"/>
    <cellStyle name="SAPBEXchaText 5" xfId="724"/>
    <cellStyle name="SAPBEXchaText 6" xfId="725"/>
    <cellStyle name="SAPBEXchaText 7" xfId="726"/>
    <cellStyle name="SAPBEXchaText 8" xfId="708"/>
    <cellStyle name="SAPBEXchaText_20120921_SF-grote-ronde-Liesbethdump2" xfId="376"/>
    <cellStyle name="SAPBEXexcBad7" xfId="73"/>
    <cellStyle name="SAPBEXexcBad7 2" xfId="377"/>
    <cellStyle name="SAPBEXexcBad7 2 2" xfId="477"/>
    <cellStyle name="SAPBEXexcBad7 2 2 2" xfId="728"/>
    <cellStyle name="SAPBEXexcBad7 2 2 3" xfId="729"/>
    <cellStyle name="SAPBEXexcBad7 2 2 4" xfId="730"/>
    <cellStyle name="SAPBEXexcBad7 2 2 5" xfId="731"/>
    <cellStyle name="SAPBEXexcBad7 2 2 6" xfId="732"/>
    <cellStyle name="SAPBEXexcBad7 2 3" xfId="733"/>
    <cellStyle name="SAPBEXexcBad7 2 4" xfId="734"/>
    <cellStyle name="SAPBEXexcBad7 2 5" xfId="735"/>
    <cellStyle name="SAPBEXexcBad7 2 6" xfId="736"/>
    <cellStyle name="SAPBEXexcBad7 3" xfId="478"/>
    <cellStyle name="SAPBEXexcBad7 3 2" xfId="737"/>
    <cellStyle name="SAPBEXexcBad7 3 3" xfId="738"/>
    <cellStyle name="SAPBEXexcBad7 3 4" xfId="739"/>
    <cellStyle name="SAPBEXexcBad7 3 5" xfId="740"/>
    <cellStyle name="SAPBEXexcBad7 3 6" xfId="741"/>
    <cellStyle name="SAPBEXexcBad7 4" xfId="742"/>
    <cellStyle name="SAPBEXexcBad7 5" xfId="743"/>
    <cellStyle name="SAPBEXexcBad7 6" xfId="744"/>
    <cellStyle name="SAPBEXexcBad7 7" xfId="745"/>
    <cellStyle name="SAPBEXexcBad7 8" xfId="727"/>
    <cellStyle name="SAPBEXexcBad7_20120921_SF-grote-ronde-Liesbethdump2" xfId="378"/>
    <cellStyle name="SAPBEXexcBad8" xfId="74"/>
    <cellStyle name="SAPBEXexcBad8 2" xfId="379"/>
    <cellStyle name="SAPBEXexcBad8 2 2" xfId="479"/>
    <cellStyle name="SAPBEXexcBad8 2 2 2" xfId="747"/>
    <cellStyle name="SAPBEXexcBad8 2 2 3" xfId="748"/>
    <cellStyle name="SAPBEXexcBad8 2 2 4" xfId="749"/>
    <cellStyle name="SAPBEXexcBad8 2 2 5" xfId="750"/>
    <cellStyle name="SAPBEXexcBad8 2 2 6" xfId="751"/>
    <cellStyle name="SAPBEXexcBad8 2 3" xfId="752"/>
    <cellStyle name="SAPBEXexcBad8 2 4" xfId="753"/>
    <cellStyle name="SAPBEXexcBad8 2 5" xfId="754"/>
    <cellStyle name="SAPBEXexcBad8 2 6" xfId="755"/>
    <cellStyle name="SAPBEXexcBad8 3" xfId="480"/>
    <cellStyle name="SAPBEXexcBad8 3 2" xfId="756"/>
    <cellStyle name="SAPBEXexcBad8 3 3" xfId="757"/>
    <cellStyle name="SAPBEXexcBad8 3 4" xfId="758"/>
    <cellStyle name="SAPBEXexcBad8 3 5" xfId="759"/>
    <cellStyle name="SAPBEXexcBad8 3 6" xfId="760"/>
    <cellStyle name="SAPBEXexcBad8 4" xfId="761"/>
    <cellStyle name="SAPBEXexcBad8 5" xfId="762"/>
    <cellStyle name="SAPBEXexcBad8 6" xfId="763"/>
    <cellStyle name="SAPBEXexcBad8 7" xfId="764"/>
    <cellStyle name="SAPBEXexcBad8 8" xfId="746"/>
    <cellStyle name="SAPBEXexcBad8_20120921_SF-grote-ronde-Liesbethdump2" xfId="380"/>
    <cellStyle name="SAPBEXexcBad9" xfId="75"/>
    <cellStyle name="SAPBEXexcBad9 2" xfId="381"/>
    <cellStyle name="SAPBEXexcBad9 2 2" xfId="481"/>
    <cellStyle name="SAPBEXexcBad9 2 2 2" xfId="766"/>
    <cellStyle name="SAPBEXexcBad9 2 2 3" xfId="767"/>
    <cellStyle name="SAPBEXexcBad9 2 2 4" xfId="768"/>
    <cellStyle name="SAPBEXexcBad9 2 2 5" xfId="769"/>
    <cellStyle name="SAPBEXexcBad9 2 2 6" xfId="770"/>
    <cellStyle name="SAPBEXexcBad9 2 3" xfId="771"/>
    <cellStyle name="SAPBEXexcBad9 2 4" xfId="772"/>
    <cellStyle name="SAPBEXexcBad9 2 5" xfId="773"/>
    <cellStyle name="SAPBEXexcBad9 2 6" xfId="774"/>
    <cellStyle name="SAPBEXexcBad9 3" xfId="482"/>
    <cellStyle name="SAPBEXexcBad9 3 2" xfId="775"/>
    <cellStyle name="SAPBEXexcBad9 3 3" xfId="776"/>
    <cellStyle name="SAPBEXexcBad9 3 4" xfId="777"/>
    <cellStyle name="SAPBEXexcBad9 3 5" xfId="778"/>
    <cellStyle name="SAPBEXexcBad9 3 6" xfId="779"/>
    <cellStyle name="SAPBEXexcBad9 4" xfId="780"/>
    <cellStyle name="SAPBEXexcBad9 5" xfId="781"/>
    <cellStyle name="SAPBEXexcBad9 6" xfId="782"/>
    <cellStyle name="SAPBEXexcBad9 7" xfId="783"/>
    <cellStyle name="SAPBEXexcBad9 8" xfId="765"/>
    <cellStyle name="SAPBEXexcBad9_20120921_SF-grote-ronde-Liesbethdump2" xfId="382"/>
    <cellStyle name="SAPBEXexcCritical4" xfId="76"/>
    <cellStyle name="SAPBEXexcCritical4 2" xfId="383"/>
    <cellStyle name="SAPBEXexcCritical4 2 2" xfId="483"/>
    <cellStyle name="SAPBEXexcCritical4 2 2 2" xfId="785"/>
    <cellStyle name="SAPBEXexcCritical4 2 2 3" xfId="786"/>
    <cellStyle name="SAPBEXexcCritical4 2 2 4" xfId="787"/>
    <cellStyle name="SAPBEXexcCritical4 2 2 5" xfId="788"/>
    <cellStyle name="SAPBEXexcCritical4 2 2 6" xfId="789"/>
    <cellStyle name="SAPBEXexcCritical4 2 3" xfId="790"/>
    <cellStyle name="SAPBEXexcCritical4 2 4" xfId="791"/>
    <cellStyle name="SAPBEXexcCritical4 2 5" xfId="792"/>
    <cellStyle name="SAPBEXexcCritical4 2 6" xfId="793"/>
    <cellStyle name="SAPBEXexcCritical4 3" xfId="484"/>
    <cellStyle name="SAPBEXexcCritical4 3 2" xfId="794"/>
    <cellStyle name="SAPBEXexcCritical4 3 3" xfId="795"/>
    <cellStyle name="SAPBEXexcCritical4 3 4" xfId="796"/>
    <cellStyle name="SAPBEXexcCritical4 3 5" xfId="797"/>
    <cellStyle name="SAPBEXexcCritical4 3 6" xfId="798"/>
    <cellStyle name="SAPBEXexcCritical4 4" xfId="799"/>
    <cellStyle name="SAPBEXexcCritical4 5" xfId="800"/>
    <cellStyle name="SAPBEXexcCritical4 6" xfId="801"/>
    <cellStyle name="SAPBEXexcCritical4 7" xfId="802"/>
    <cellStyle name="SAPBEXexcCritical4 8" xfId="784"/>
    <cellStyle name="SAPBEXexcCritical4_20120921_SF-grote-ronde-Liesbethdump2" xfId="384"/>
    <cellStyle name="SAPBEXexcCritical5" xfId="77"/>
    <cellStyle name="SAPBEXexcCritical5 2" xfId="385"/>
    <cellStyle name="SAPBEXexcCritical5 2 2" xfId="485"/>
    <cellStyle name="SAPBEXexcCritical5 2 2 2" xfId="804"/>
    <cellStyle name="SAPBEXexcCritical5 2 2 3" xfId="805"/>
    <cellStyle name="SAPBEXexcCritical5 2 2 4" xfId="806"/>
    <cellStyle name="SAPBEXexcCritical5 2 2 5" xfId="807"/>
    <cellStyle name="SAPBEXexcCritical5 2 2 6" xfId="808"/>
    <cellStyle name="SAPBEXexcCritical5 2 3" xfId="809"/>
    <cellStyle name="SAPBEXexcCritical5 2 4" xfId="810"/>
    <cellStyle name="SAPBEXexcCritical5 2 5" xfId="811"/>
    <cellStyle name="SAPBEXexcCritical5 2 6" xfId="812"/>
    <cellStyle name="SAPBEXexcCritical5 3" xfId="486"/>
    <cellStyle name="SAPBEXexcCritical5 3 2" xfId="813"/>
    <cellStyle name="SAPBEXexcCritical5 3 3" xfId="814"/>
    <cellStyle name="SAPBEXexcCritical5 3 4" xfId="815"/>
    <cellStyle name="SAPBEXexcCritical5 3 5" xfId="816"/>
    <cellStyle name="SAPBEXexcCritical5 3 6" xfId="817"/>
    <cellStyle name="SAPBEXexcCritical5 4" xfId="818"/>
    <cellStyle name="SAPBEXexcCritical5 5" xfId="819"/>
    <cellStyle name="SAPBEXexcCritical5 6" xfId="820"/>
    <cellStyle name="SAPBEXexcCritical5 7" xfId="821"/>
    <cellStyle name="SAPBEXexcCritical5 8" xfId="803"/>
    <cellStyle name="SAPBEXexcCritical5_20120921_SF-grote-ronde-Liesbethdump2" xfId="386"/>
    <cellStyle name="SAPBEXexcCritical6" xfId="78"/>
    <cellStyle name="SAPBEXexcCritical6 2" xfId="387"/>
    <cellStyle name="SAPBEXexcCritical6 2 2" xfId="487"/>
    <cellStyle name="SAPBEXexcCritical6 2 2 2" xfId="823"/>
    <cellStyle name="SAPBEXexcCritical6 2 2 3" xfId="824"/>
    <cellStyle name="SAPBEXexcCritical6 2 2 4" xfId="825"/>
    <cellStyle name="SAPBEXexcCritical6 2 2 5" xfId="826"/>
    <cellStyle name="SAPBEXexcCritical6 2 2 6" xfId="827"/>
    <cellStyle name="SAPBEXexcCritical6 2 3" xfId="828"/>
    <cellStyle name="SAPBEXexcCritical6 2 4" xfId="829"/>
    <cellStyle name="SAPBEXexcCritical6 2 5" xfId="830"/>
    <cellStyle name="SAPBEXexcCritical6 2 6" xfId="831"/>
    <cellStyle name="SAPBEXexcCritical6 3" xfId="488"/>
    <cellStyle name="SAPBEXexcCritical6 3 2" xfId="832"/>
    <cellStyle name="SAPBEXexcCritical6 3 3" xfId="833"/>
    <cellStyle name="SAPBEXexcCritical6 3 4" xfId="834"/>
    <cellStyle name="SAPBEXexcCritical6 3 5" xfId="835"/>
    <cellStyle name="SAPBEXexcCritical6 3 6" xfId="836"/>
    <cellStyle name="SAPBEXexcCritical6 4" xfId="837"/>
    <cellStyle name="SAPBEXexcCritical6 5" xfId="838"/>
    <cellStyle name="SAPBEXexcCritical6 6" xfId="839"/>
    <cellStyle name="SAPBEXexcCritical6 7" xfId="840"/>
    <cellStyle name="SAPBEXexcCritical6 8" xfId="822"/>
    <cellStyle name="SAPBEXexcCritical6_20120921_SF-grote-ronde-Liesbethdump2" xfId="388"/>
    <cellStyle name="SAPBEXexcGood1" xfId="79"/>
    <cellStyle name="SAPBEXexcGood1 2" xfId="389"/>
    <cellStyle name="SAPBEXexcGood1 2 2" xfId="489"/>
    <cellStyle name="SAPBEXexcGood1 2 2 2" xfId="842"/>
    <cellStyle name="SAPBEXexcGood1 2 2 3" xfId="843"/>
    <cellStyle name="SAPBEXexcGood1 2 2 4" xfId="844"/>
    <cellStyle name="SAPBEXexcGood1 2 2 5" xfId="845"/>
    <cellStyle name="SAPBEXexcGood1 2 2 6" xfId="846"/>
    <cellStyle name="SAPBEXexcGood1 2 3" xfId="847"/>
    <cellStyle name="SAPBEXexcGood1 2 4" xfId="848"/>
    <cellStyle name="SAPBEXexcGood1 2 5" xfId="849"/>
    <cellStyle name="SAPBEXexcGood1 2 6" xfId="850"/>
    <cellStyle name="SAPBEXexcGood1 3" xfId="490"/>
    <cellStyle name="SAPBEXexcGood1 3 2" xfId="851"/>
    <cellStyle name="SAPBEXexcGood1 3 3" xfId="852"/>
    <cellStyle name="SAPBEXexcGood1 3 4" xfId="853"/>
    <cellStyle name="SAPBEXexcGood1 3 5" xfId="854"/>
    <cellStyle name="SAPBEXexcGood1 3 6" xfId="855"/>
    <cellStyle name="SAPBEXexcGood1 4" xfId="856"/>
    <cellStyle name="SAPBEXexcGood1 5" xfId="857"/>
    <cellStyle name="SAPBEXexcGood1 6" xfId="858"/>
    <cellStyle name="SAPBEXexcGood1 7" xfId="859"/>
    <cellStyle name="SAPBEXexcGood1 8" xfId="841"/>
    <cellStyle name="SAPBEXexcGood1_20120921_SF-grote-ronde-Liesbethdump2" xfId="390"/>
    <cellStyle name="SAPBEXexcGood2" xfId="80"/>
    <cellStyle name="SAPBEXexcGood2 2" xfId="391"/>
    <cellStyle name="SAPBEXexcGood2 2 2" xfId="491"/>
    <cellStyle name="SAPBEXexcGood2 2 2 2" xfId="861"/>
    <cellStyle name="SAPBEXexcGood2 2 2 3" xfId="862"/>
    <cellStyle name="SAPBEXexcGood2 2 2 4" xfId="863"/>
    <cellStyle name="SAPBEXexcGood2 2 2 5" xfId="864"/>
    <cellStyle name="SAPBEXexcGood2 2 2 6" xfId="865"/>
    <cellStyle name="SAPBEXexcGood2 2 3" xfId="866"/>
    <cellStyle name="SAPBEXexcGood2 2 4" xfId="867"/>
    <cellStyle name="SAPBEXexcGood2 2 5" xfId="868"/>
    <cellStyle name="SAPBEXexcGood2 2 6" xfId="869"/>
    <cellStyle name="SAPBEXexcGood2 3" xfId="492"/>
    <cellStyle name="SAPBEXexcGood2 3 2" xfId="870"/>
    <cellStyle name="SAPBEXexcGood2 3 3" xfId="871"/>
    <cellStyle name="SAPBEXexcGood2 3 4" xfId="872"/>
    <cellStyle name="SAPBEXexcGood2 3 5" xfId="873"/>
    <cellStyle name="SAPBEXexcGood2 3 6" xfId="874"/>
    <cellStyle name="SAPBEXexcGood2 4" xfId="875"/>
    <cellStyle name="SAPBEXexcGood2 5" xfId="876"/>
    <cellStyle name="SAPBEXexcGood2 6" xfId="877"/>
    <cellStyle name="SAPBEXexcGood2 7" xfId="878"/>
    <cellStyle name="SAPBEXexcGood2 8" xfId="860"/>
    <cellStyle name="SAPBEXexcGood2_20120921_SF-grote-ronde-Liesbethdump2" xfId="392"/>
    <cellStyle name="SAPBEXexcGood3" xfId="81"/>
    <cellStyle name="SAPBEXexcGood3 2" xfId="393"/>
    <cellStyle name="SAPBEXexcGood3 2 2" xfId="493"/>
    <cellStyle name="SAPBEXexcGood3 2 2 2" xfId="880"/>
    <cellStyle name="SAPBEXexcGood3 2 2 3" xfId="881"/>
    <cellStyle name="SAPBEXexcGood3 2 2 4" xfId="882"/>
    <cellStyle name="SAPBEXexcGood3 2 2 5" xfId="883"/>
    <cellStyle name="SAPBEXexcGood3 2 2 6" xfId="884"/>
    <cellStyle name="SAPBEXexcGood3 2 3" xfId="885"/>
    <cellStyle name="SAPBEXexcGood3 2 4" xfId="886"/>
    <cellStyle name="SAPBEXexcGood3 2 5" xfId="887"/>
    <cellStyle name="SAPBEXexcGood3 2 6" xfId="888"/>
    <cellStyle name="SAPBEXexcGood3 3" xfId="494"/>
    <cellStyle name="SAPBEXexcGood3 3 2" xfId="889"/>
    <cellStyle name="SAPBEXexcGood3 3 3" xfId="890"/>
    <cellStyle name="SAPBEXexcGood3 3 4" xfId="891"/>
    <cellStyle name="SAPBEXexcGood3 3 5" xfId="892"/>
    <cellStyle name="SAPBEXexcGood3 3 6" xfId="893"/>
    <cellStyle name="SAPBEXexcGood3 4" xfId="894"/>
    <cellStyle name="SAPBEXexcGood3 5" xfId="895"/>
    <cellStyle name="SAPBEXexcGood3 6" xfId="896"/>
    <cellStyle name="SAPBEXexcGood3 7" xfId="897"/>
    <cellStyle name="SAPBEXexcGood3 8" xfId="879"/>
    <cellStyle name="SAPBEXexcGood3_20120921_SF-grote-ronde-Liesbethdump2" xfId="394"/>
    <cellStyle name="SAPBEXfilterDrill" xfId="82"/>
    <cellStyle name="SAPBEXfilterDrill 2" xfId="395"/>
    <cellStyle name="SAPBEXfilterDrill 2 2" xfId="495"/>
    <cellStyle name="SAPBEXfilterDrill 2 2 2" xfId="899"/>
    <cellStyle name="SAPBEXfilterDrill 2 2 3" xfId="900"/>
    <cellStyle name="SAPBEXfilterDrill 2 2 4" xfId="901"/>
    <cellStyle name="SAPBEXfilterDrill 2 2 5" xfId="902"/>
    <cellStyle name="SAPBEXfilterDrill 2 2 6" xfId="903"/>
    <cellStyle name="SAPBEXfilterDrill 2 3" xfId="904"/>
    <cellStyle name="SAPBEXfilterDrill 2 4" xfId="905"/>
    <cellStyle name="SAPBEXfilterDrill 2 5" xfId="906"/>
    <cellStyle name="SAPBEXfilterDrill 2 6" xfId="907"/>
    <cellStyle name="SAPBEXfilterDrill 3" xfId="496"/>
    <cellStyle name="SAPBEXfilterDrill 3 2" xfId="908"/>
    <cellStyle name="SAPBEXfilterDrill 3 3" xfId="909"/>
    <cellStyle name="SAPBEXfilterDrill 3 4" xfId="910"/>
    <cellStyle name="SAPBEXfilterDrill 3 5" xfId="911"/>
    <cellStyle name="SAPBEXfilterDrill 3 6" xfId="912"/>
    <cellStyle name="SAPBEXfilterDrill 4" xfId="913"/>
    <cellStyle name="SAPBEXfilterDrill 5" xfId="914"/>
    <cellStyle name="SAPBEXfilterDrill 6" xfId="915"/>
    <cellStyle name="SAPBEXfilterDrill 7" xfId="916"/>
    <cellStyle name="SAPBEXfilterDrill 8" xfId="898"/>
    <cellStyle name="SAPBEXfilterDrill_20120921_SF-grote-ronde-Liesbethdump2" xfId="396"/>
    <cellStyle name="SAPBEXfilterItem" xfId="83"/>
    <cellStyle name="SAPBEXfilterItem 2" xfId="426"/>
    <cellStyle name="SAPBEXfilterItem 2 2" xfId="497"/>
    <cellStyle name="SAPBEXfilterItem 2 3" xfId="918"/>
    <cellStyle name="SAPBEXfilterItem 2 4" xfId="919"/>
    <cellStyle name="SAPBEXfilterItem 2 5" xfId="920"/>
    <cellStyle name="SAPBEXfilterItem 2 6" xfId="921"/>
    <cellStyle name="SAPBEXfilterItem 3" xfId="922"/>
    <cellStyle name="SAPBEXfilterItem 4" xfId="923"/>
    <cellStyle name="SAPBEXfilterItem 5" xfId="924"/>
    <cellStyle name="SAPBEXfilterItem 6" xfId="925"/>
    <cellStyle name="SAPBEXfilterItem 7" xfId="926"/>
    <cellStyle name="SAPBEXfilterItem 8" xfId="917"/>
    <cellStyle name="SAPBEXfilterText" xfId="84"/>
    <cellStyle name="SAPBEXfilterText 2" xfId="427"/>
    <cellStyle name="SAPBEXfilterText 2 2" xfId="498"/>
    <cellStyle name="SAPBEXfilterText 2 3" xfId="928"/>
    <cellStyle name="SAPBEXfilterText 2 4" xfId="929"/>
    <cellStyle name="SAPBEXfilterText 2 5" xfId="930"/>
    <cellStyle name="SAPBEXfilterText 2 6" xfId="931"/>
    <cellStyle name="SAPBEXfilterText 3" xfId="932"/>
    <cellStyle name="SAPBEXfilterText 4" xfId="933"/>
    <cellStyle name="SAPBEXfilterText 5" xfId="934"/>
    <cellStyle name="SAPBEXfilterText 6" xfId="935"/>
    <cellStyle name="SAPBEXfilterText 7" xfId="936"/>
    <cellStyle name="SAPBEXfilterText 8" xfId="927"/>
    <cellStyle name="SAPBEXformats" xfId="85"/>
    <cellStyle name="SAPBEXformats 2" xfId="397"/>
    <cellStyle name="SAPBEXformats 2 2" xfId="499"/>
    <cellStyle name="SAPBEXformats 2 2 2" xfId="938"/>
    <cellStyle name="SAPBEXformats 2 2 3" xfId="939"/>
    <cellStyle name="SAPBEXformats 2 2 4" xfId="940"/>
    <cellStyle name="SAPBEXformats 2 2 5" xfId="941"/>
    <cellStyle name="SAPBEXformats 2 2 6" xfId="942"/>
    <cellStyle name="SAPBEXformats 2 3" xfId="943"/>
    <cellStyle name="SAPBEXformats 2 4" xfId="944"/>
    <cellStyle name="SAPBEXformats 2 5" xfId="945"/>
    <cellStyle name="SAPBEXformats 2 6" xfId="946"/>
    <cellStyle name="SAPBEXformats 3" xfId="500"/>
    <cellStyle name="SAPBEXformats 3 2" xfId="947"/>
    <cellStyle name="SAPBEXformats 3 3" xfId="948"/>
    <cellStyle name="SAPBEXformats 3 4" xfId="949"/>
    <cellStyle name="SAPBEXformats 3 5" xfId="950"/>
    <cellStyle name="SAPBEXformats 3 6" xfId="951"/>
    <cellStyle name="SAPBEXformats 4" xfId="952"/>
    <cellStyle name="SAPBEXformats 5" xfId="953"/>
    <cellStyle name="SAPBEXformats 6" xfId="954"/>
    <cellStyle name="SAPBEXformats 7" xfId="955"/>
    <cellStyle name="SAPBEXformats 8" xfId="937"/>
    <cellStyle name="SAPBEXformats_20120921_SF-grote-ronde-Liesbethdump2" xfId="398"/>
    <cellStyle name="SAPBEXheaderItem" xfId="86"/>
    <cellStyle name="SAPBEXheaderItem 2" xfId="399"/>
    <cellStyle name="SAPBEXheaderItem 2 2" xfId="501"/>
    <cellStyle name="SAPBEXheaderItem 2 2 2" xfId="957"/>
    <cellStyle name="SAPBEXheaderItem 2 2 3" xfId="958"/>
    <cellStyle name="SAPBEXheaderItem 2 2 4" xfId="959"/>
    <cellStyle name="SAPBEXheaderItem 2 2 5" xfId="960"/>
    <cellStyle name="SAPBEXheaderItem 2 2 6" xfId="961"/>
    <cellStyle name="SAPBEXheaderItem 2 3" xfId="962"/>
    <cellStyle name="SAPBEXheaderItem 2 4" xfId="963"/>
    <cellStyle name="SAPBEXheaderItem 2 5" xfId="964"/>
    <cellStyle name="SAPBEXheaderItem 2 6" xfId="965"/>
    <cellStyle name="SAPBEXheaderItem 2 7" xfId="1315"/>
    <cellStyle name="SAPBEXheaderItem 3" xfId="502"/>
    <cellStyle name="SAPBEXheaderItem 3 2" xfId="966"/>
    <cellStyle name="SAPBEXheaderItem 3 3" xfId="967"/>
    <cellStyle name="SAPBEXheaderItem 3 4" xfId="968"/>
    <cellStyle name="SAPBEXheaderItem 3 5" xfId="969"/>
    <cellStyle name="SAPBEXheaderItem 3 6" xfId="970"/>
    <cellStyle name="SAPBEXheaderItem 4" xfId="971"/>
    <cellStyle name="SAPBEXheaderItem 5" xfId="972"/>
    <cellStyle name="SAPBEXheaderItem 6" xfId="973"/>
    <cellStyle name="SAPBEXheaderItem 7" xfId="974"/>
    <cellStyle name="SAPBEXheaderItem 8" xfId="956"/>
    <cellStyle name="SAPBEXheaderItem 9" xfId="1314"/>
    <cellStyle name="SAPBEXheaderItem_20120921_SF-grote-ronde-Liesbethdump2" xfId="400"/>
    <cellStyle name="SAPBEXheaderText" xfId="87"/>
    <cellStyle name="SAPBEXheaderText 2" xfId="401"/>
    <cellStyle name="SAPBEXheaderText 2 2" xfId="503"/>
    <cellStyle name="SAPBEXheaderText 2 2 2" xfId="976"/>
    <cellStyle name="SAPBEXheaderText 2 2 3" xfId="977"/>
    <cellStyle name="SAPBEXheaderText 2 2 4" xfId="978"/>
    <cellStyle name="SAPBEXheaderText 2 2 5" xfId="979"/>
    <cellStyle name="SAPBEXheaderText 2 2 6" xfId="980"/>
    <cellStyle name="SAPBEXheaderText 2 3" xfId="981"/>
    <cellStyle name="SAPBEXheaderText 2 4" xfId="982"/>
    <cellStyle name="SAPBEXheaderText 2 5" xfId="983"/>
    <cellStyle name="SAPBEXheaderText 2 6" xfId="984"/>
    <cellStyle name="SAPBEXheaderText 3" xfId="504"/>
    <cellStyle name="SAPBEXheaderText 3 2" xfId="985"/>
    <cellStyle name="SAPBEXheaderText 3 3" xfId="986"/>
    <cellStyle name="SAPBEXheaderText 3 4" xfId="987"/>
    <cellStyle name="SAPBEXheaderText 3 5" xfId="988"/>
    <cellStyle name="SAPBEXheaderText 3 6" xfId="989"/>
    <cellStyle name="SAPBEXheaderText 4" xfId="990"/>
    <cellStyle name="SAPBEXheaderText 5" xfId="991"/>
    <cellStyle name="SAPBEXheaderText 6" xfId="992"/>
    <cellStyle name="SAPBEXheaderText 7" xfId="993"/>
    <cellStyle name="SAPBEXheaderText 8" xfId="975"/>
    <cellStyle name="SAPBEXheaderText_20120921_SF-grote-ronde-Liesbethdump2" xfId="402"/>
    <cellStyle name="SAPBEXHLevel0" xfId="88"/>
    <cellStyle name="SAPBEXHLevel0 2" xfId="403"/>
    <cellStyle name="SAPBEXHLevel0 2 2" xfId="505"/>
    <cellStyle name="SAPBEXHLevel0 2 2 2" xfId="995"/>
    <cellStyle name="SAPBEXHLevel0 2 2 3" xfId="996"/>
    <cellStyle name="SAPBEXHLevel0 2 2 4" xfId="997"/>
    <cellStyle name="SAPBEXHLevel0 2 2 5" xfId="998"/>
    <cellStyle name="SAPBEXHLevel0 2 2 6" xfId="999"/>
    <cellStyle name="SAPBEXHLevel0 2 3" xfId="1000"/>
    <cellStyle name="SAPBEXHLevel0 2 4" xfId="1001"/>
    <cellStyle name="SAPBEXHLevel0 2 5" xfId="1002"/>
    <cellStyle name="SAPBEXHLevel0 2 6" xfId="1003"/>
    <cellStyle name="SAPBEXHLevel0 2 7" xfId="1317"/>
    <cellStyle name="SAPBEXHLevel0 3" xfId="506"/>
    <cellStyle name="SAPBEXHLevel0 3 2" xfId="1004"/>
    <cellStyle name="SAPBEXHLevel0 3 3" xfId="1005"/>
    <cellStyle name="SAPBEXHLevel0 3 4" xfId="1006"/>
    <cellStyle name="SAPBEXHLevel0 3 5" xfId="1007"/>
    <cellStyle name="SAPBEXHLevel0 3 6" xfId="1008"/>
    <cellStyle name="SAPBEXHLevel0 4" xfId="1009"/>
    <cellStyle name="SAPBEXHLevel0 5" xfId="1010"/>
    <cellStyle name="SAPBEXHLevel0 6" xfId="1011"/>
    <cellStyle name="SAPBEXHLevel0 7" xfId="1012"/>
    <cellStyle name="SAPBEXHLevel0 8" xfId="994"/>
    <cellStyle name="SAPBEXHLevel0 9" xfId="1316"/>
    <cellStyle name="SAPBEXHLevel0_20120921_SF-grote-ronde-Liesbethdump2" xfId="404"/>
    <cellStyle name="SAPBEXHLevel0X" xfId="89"/>
    <cellStyle name="SAPBEXHLevel0X 2" xfId="507"/>
    <cellStyle name="SAPBEXHLevel0X 2 2" xfId="1014"/>
    <cellStyle name="SAPBEXHLevel0X 2 3" xfId="1015"/>
    <cellStyle name="SAPBEXHLevel0X 2 4" xfId="1016"/>
    <cellStyle name="SAPBEXHLevel0X 2 5" xfId="1017"/>
    <cellStyle name="SAPBEXHLevel0X 2 6" xfId="1018"/>
    <cellStyle name="SAPBEXHLevel0X 3" xfId="1019"/>
    <cellStyle name="SAPBEXHLevel0X 4" xfId="1020"/>
    <cellStyle name="SAPBEXHLevel0X 5" xfId="1021"/>
    <cellStyle name="SAPBEXHLevel0X 6" xfId="1022"/>
    <cellStyle name="SAPBEXHLevel0X 7" xfId="1023"/>
    <cellStyle name="SAPBEXHLevel0X 8" xfId="1013"/>
    <cellStyle name="SAPBEXHLevel0X 9" xfId="1318"/>
    <cellStyle name="SAPBEXHLevel1" xfId="90"/>
    <cellStyle name="SAPBEXHLevel1 2" xfId="405"/>
    <cellStyle name="SAPBEXHLevel1 2 2" xfId="508"/>
    <cellStyle name="SAPBEXHLevel1 2 2 2" xfId="1025"/>
    <cellStyle name="SAPBEXHLevel1 2 2 3" xfId="1026"/>
    <cellStyle name="SAPBEXHLevel1 2 2 4" xfId="1027"/>
    <cellStyle name="SAPBEXHLevel1 2 2 5" xfId="1028"/>
    <cellStyle name="SAPBEXHLevel1 2 2 6" xfId="1029"/>
    <cellStyle name="SAPBEXHLevel1 2 3" xfId="1030"/>
    <cellStyle name="SAPBEXHLevel1 2 4" xfId="1031"/>
    <cellStyle name="SAPBEXHLevel1 2 5" xfId="1032"/>
    <cellStyle name="SAPBEXHLevel1 2 6" xfId="1033"/>
    <cellStyle name="SAPBEXHLevel1 3" xfId="509"/>
    <cellStyle name="SAPBEXHLevel1 3 2" xfId="1034"/>
    <cellStyle name="SAPBEXHLevel1 3 3" xfId="1035"/>
    <cellStyle name="SAPBEXHLevel1 3 4" xfId="1036"/>
    <cellStyle name="SAPBEXHLevel1 3 5" xfId="1037"/>
    <cellStyle name="SAPBEXHLevel1 3 6" xfId="1038"/>
    <cellStyle name="SAPBEXHLevel1 4" xfId="1039"/>
    <cellStyle name="SAPBEXHLevel1 5" xfId="1040"/>
    <cellStyle name="SAPBEXHLevel1 6" xfId="1041"/>
    <cellStyle name="SAPBEXHLevel1 7" xfId="1042"/>
    <cellStyle name="SAPBEXHLevel1 8" xfId="1024"/>
    <cellStyle name="SAPBEXHLevel1_20120921_SF-grote-ronde-Liesbethdump2" xfId="406"/>
    <cellStyle name="SAPBEXHLevel1X" xfId="91"/>
    <cellStyle name="SAPBEXHLevel1X 2" xfId="510"/>
    <cellStyle name="SAPBEXHLevel1X 2 2" xfId="1044"/>
    <cellStyle name="SAPBEXHLevel1X 2 3" xfId="1045"/>
    <cellStyle name="SAPBEXHLevel1X 2 4" xfId="1046"/>
    <cellStyle name="SAPBEXHLevel1X 2 5" xfId="1047"/>
    <cellStyle name="SAPBEXHLevel1X 2 6" xfId="1048"/>
    <cellStyle name="SAPBEXHLevel1X 3" xfId="1049"/>
    <cellStyle name="SAPBEXHLevel1X 4" xfId="1050"/>
    <cellStyle name="SAPBEXHLevel1X 5" xfId="1051"/>
    <cellStyle name="SAPBEXHLevel1X 6" xfId="1052"/>
    <cellStyle name="SAPBEXHLevel1X 7" xfId="1053"/>
    <cellStyle name="SAPBEXHLevel1X 8" xfId="1043"/>
    <cellStyle name="SAPBEXHLevel2" xfId="92"/>
    <cellStyle name="SAPBEXHLevel2 2" xfId="407"/>
    <cellStyle name="SAPBEXHLevel2 2 2" xfId="511"/>
    <cellStyle name="SAPBEXHLevel2 2 2 2" xfId="1055"/>
    <cellStyle name="SAPBEXHLevel2 2 2 3" xfId="1056"/>
    <cellStyle name="SAPBEXHLevel2 2 2 4" xfId="1057"/>
    <cellStyle name="SAPBEXHLevel2 2 2 5" xfId="1058"/>
    <cellStyle name="SAPBEXHLevel2 2 2 6" xfId="1059"/>
    <cellStyle name="SAPBEXHLevel2 2 3" xfId="1060"/>
    <cellStyle name="SAPBEXHLevel2 2 4" xfId="1061"/>
    <cellStyle name="SAPBEXHLevel2 2 5" xfId="1062"/>
    <cellStyle name="SAPBEXHLevel2 2 6" xfId="1063"/>
    <cellStyle name="SAPBEXHLevel2 3" xfId="512"/>
    <cellStyle name="SAPBEXHLevel2 3 2" xfId="1064"/>
    <cellStyle name="SAPBEXHLevel2 3 3" xfId="1065"/>
    <cellStyle name="SAPBEXHLevel2 3 4" xfId="1066"/>
    <cellStyle name="SAPBEXHLevel2 3 5" xfId="1067"/>
    <cellStyle name="SAPBEXHLevel2 3 6" xfId="1068"/>
    <cellStyle name="SAPBEXHLevel2 4" xfId="1069"/>
    <cellStyle name="SAPBEXHLevel2 5" xfId="1070"/>
    <cellStyle name="SAPBEXHLevel2 6" xfId="1071"/>
    <cellStyle name="SAPBEXHLevel2 7" xfId="1072"/>
    <cellStyle name="SAPBEXHLevel2 8" xfId="1054"/>
    <cellStyle name="SAPBEXHLevel2_20120921_SF-grote-ronde-Liesbethdump2" xfId="408"/>
    <cellStyle name="SAPBEXHLevel2X" xfId="93"/>
    <cellStyle name="SAPBEXHLevel2X 2" xfId="513"/>
    <cellStyle name="SAPBEXHLevel2X 2 2" xfId="1074"/>
    <cellStyle name="SAPBEXHLevel2X 2 3" xfId="1075"/>
    <cellStyle name="SAPBEXHLevel2X 2 4" xfId="1076"/>
    <cellStyle name="SAPBEXHLevel2X 2 5" xfId="1077"/>
    <cellStyle name="SAPBEXHLevel2X 2 6" xfId="1078"/>
    <cellStyle name="SAPBEXHLevel2X 3" xfId="1079"/>
    <cellStyle name="SAPBEXHLevel2X 4" xfId="1080"/>
    <cellStyle name="SAPBEXHLevel2X 5" xfId="1081"/>
    <cellStyle name="SAPBEXHLevel2X 6" xfId="1082"/>
    <cellStyle name="SAPBEXHLevel2X 7" xfId="1083"/>
    <cellStyle name="SAPBEXHLevel2X 8" xfId="1073"/>
    <cellStyle name="SAPBEXHLevel3" xfId="94"/>
    <cellStyle name="SAPBEXHLevel3 2" xfId="409"/>
    <cellStyle name="SAPBEXHLevel3 2 2" xfId="514"/>
    <cellStyle name="SAPBEXHLevel3 2 2 2" xfId="1085"/>
    <cellStyle name="SAPBEXHLevel3 2 2 3" xfId="1086"/>
    <cellStyle name="SAPBEXHLevel3 2 2 4" xfId="1087"/>
    <cellStyle name="SAPBEXHLevel3 2 2 5" xfId="1088"/>
    <cellStyle name="SAPBEXHLevel3 2 2 6" xfId="1089"/>
    <cellStyle name="SAPBEXHLevel3 2 3" xfId="1090"/>
    <cellStyle name="SAPBEXHLevel3 2 4" xfId="1091"/>
    <cellStyle name="SAPBEXHLevel3 2 5" xfId="1092"/>
    <cellStyle name="SAPBEXHLevel3 2 6" xfId="1093"/>
    <cellStyle name="SAPBEXHLevel3 3" xfId="515"/>
    <cellStyle name="SAPBEXHLevel3 3 2" xfId="1094"/>
    <cellStyle name="SAPBEXHLevel3 3 3" xfId="1095"/>
    <cellStyle name="SAPBEXHLevel3 3 4" xfId="1096"/>
    <cellStyle name="SAPBEXHLevel3 3 5" xfId="1097"/>
    <cellStyle name="SAPBEXHLevel3 3 6" xfId="1098"/>
    <cellStyle name="SAPBEXHLevel3 4" xfId="1099"/>
    <cellStyle name="SAPBEXHLevel3 5" xfId="1100"/>
    <cellStyle name="SAPBEXHLevel3 6" xfId="1101"/>
    <cellStyle name="SAPBEXHLevel3 7" xfId="1102"/>
    <cellStyle name="SAPBEXHLevel3 8" xfId="1084"/>
    <cellStyle name="SAPBEXHLevel3_20120921_SF-grote-ronde-Liesbethdump2" xfId="410"/>
    <cellStyle name="SAPBEXHLevel3X" xfId="95"/>
    <cellStyle name="SAPBEXHLevel3X 2" xfId="516"/>
    <cellStyle name="SAPBEXHLevel3X 2 2" xfId="1104"/>
    <cellStyle name="SAPBEXHLevel3X 2 3" xfId="1105"/>
    <cellStyle name="SAPBEXHLevel3X 2 4" xfId="1106"/>
    <cellStyle name="SAPBEXHLevel3X 2 5" xfId="1107"/>
    <cellStyle name="SAPBEXHLevel3X 2 6" xfId="1108"/>
    <cellStyle name="SAPBEXHLevel3X 3" xfId="1109"/>
    <cellStyle name="SAPBEXHLevel3X 4" xfId="1110"/>
    <cellStyle name="SAPBEXHLevel3X 5" xfId="1111"/>
    <cellStyle name="SAPBEXHLevel3X 6" xfId="1112"/>
    <cellStyle name="SAPBEXHLevel3X 7" xfId="1113"/>
    <cellStyle name="SAPBEXHLevel3X 8" xfId="1103"/>
    <cellStyle name="SAPBEXHLevel3X 9" xfId="1319"/>
    <cellStyle name="SAPBEXinputData" xfId="96"/>
    <cellStyle name="SAPBEXinputData 2" xfId="1320"/>
    <cellStyle name="SAPBEXItemHeader" xfId="97"/>
    <cellStyle name="SAPBEXItemHeader 2" xfId="517"/>
    <cellStyle name="SAPBEXItemHeader 2 2" xfId="1114"/>
    <cellStyle name="SAPBEXItemHeader 2 3" xfId="1115"/>
    <cellStyle name="SAPBEXItemHeader 2 4" xfId="1116"/>
    <cellStyle name="SAPBEXItemHeader 2 5" xfId="1117"/>
    <cellStyle name="SAPBEXItemHeader 2 6" xfId="1118"/>
    <cellStyle name="SAPBEXItemHeader 3" xfId="1119"/>
    <cellStyle name="SAPBEXItemHeader 4" xfId="1120"/>
    <cellStyle name="SAPBEXItemHeader 5" xfId="1121"/>
    <cellStyle name="SAPBEXItemHeader 6" xfId="1122"/>
    <cellStyle name="SAPBEXItemHeader 7" xfId="1321"/>
    <cellStyle name="SAPBEXresData" xfId="98"/>
    <cellStyle name="SAPBEXresData 2" xfId="518"/>
    <cellStyle name="SAPBEXresData 2 2" xfId="1124"/>
    <cellStyle name="SAPBEXresData 2 3" xfId="1125"/>
    <cellStyle name="SAPBEXresData 2 4" xfId="1126"/>
    <cellStyle name="SAPBEXresData 2 5" xfId="1127"/>
    <cellStyle name="SAPBEXresData 2 6" xfId="1128"/>
    <cellStyle name="SAPBEXresData 3" xfId="1129"/>
    <cellStyle name="SAPBEXresData 4" xfId="1130"/>
    <cellStyle name="SAPBEXresData 5" xfId="1131"/>
    <cellStyle name="SAPBEXresData 6" xfId="1132"/>
    <cellStyle name="SAPBEXresData 7" xfId="1133"/>
    <cellStyle name="SAPBEXresData 8" xfId="1123"/>
    <cellStyle name="SAPBEXresDataEmph" xfId="99"/>
    <cellStyle name="SAPBEXresDataEmph 2" xfId="411"/>
    <cellStyle name="SAPBEXresDataEmph 2 2" xfId="519"/>
    <cellStyle name="SAPBEXresDataEmph 2 2 2" xfId="1135"/>
    <cellStyle name="SAPBEXresDataEmph 2 2 3" xfId="1136"/>
    <cellStyle name="SAPBEXresDataEmph 2 2 4" xfId="1137"/>
    <cellStyle name="SAPBEXresDataEmph 2 2 5" xfId="1138"/>
    <cellStyle name="SAPBEXresDataEmph 2 2 6" xfId="1139"/>
    <cellStyle name="SAPBEXresDataEmph 2 3" xfId="1140"/>
    <cellStyle name="SAPBEXresDataEmph 3" xfId="520"/>
    <cellStyle name="SAPBEXresDataEmph 3 2" xfId="1141"/>
    <cellStyle name="SAPBEXresDataEmph 3 3" xfId="1142"/>
    <cellStyle name="SAPBEXresDataEmph 3 4" xfId="1143"/>
    <cellStyle name="SAPBEXresDataEmph 3 5" xfId="1144"/>
    <cellStyle name="SAPBEXresDataEmph 3 6" xfId="1145"/>
    <cellStyle name="SAPBEXresDataEmph 4" xfId="1146"/>
    <cellStyle name="SAPBEXresDataEmph 5" xfId="1134"/>
    <cellStyle name="SAPBEXresDataEmph 6" xfId="1322"/>
    <cellStyle name="SAPBEXresDataEmph_20120921_SF-grote-ronde-Liesbethdump2" xfId="412"/>
    <cellStyle name="SAPBEXresItem" xfId="100"/>
    <cellStyle name="SAPBEXresItem 2" xfId="521"/>
    <cellStyle name="SAPBEXresItem 2 2" xfId="1148"/>
    <cellStyle name="SAPBEXresItem 2 3" xfId="1149"/>
    <cellStyle name="SAPBEXresItem 2 4" xfId="1150"/>
    <cellStyle name="SAPBEXresItem 2 5" xfId="1151"/>
    <cellStyle name="SAPBEXresItem 2 6" xfId="1152"/>
    <cellStyle name="SAPBEXresItem 3" xfId="1153"/>
    <cellStyle name="SAPBEXresItem 4" xfId="1154"/>
    <cellStyle name="SAPBEXresItem 5" xfId="1155"/>
    <cellStyle name="SAPBEXresItem 6" xfId="1156"/>
    <cellStyle name="SAPBEXresItem 7" xfId="1157"/>
    <cellStyle name="SAPBEXresItem 8" xfId="1147"/>
    <cellStyle name="SAPBEXresItem 9" xfId="1323"/>
    <cellStyle name="SAPBEXresItemX" xfId="101"/>
    <cellStyle name="SAPBEXresItemX 2" xfId="522"/>
    <cellStyle name="SAPBEXresItemX 2 2" xfId="1159"/>
    <cellStyle name="SAPBEXresItemX 2 3" xfId="1160"/>
    <cellStyle name="SAPBEXresItemX 2 4" xfId="1161"/>
    <cellStyle name="SAPBEXresItemX 2 5" xfId="1162"/>
    <cellStyle name="SAPBEXresItemX 2 6" xfId="1163"/>
    <cellStyle name="SAPBEXresItemX 3" xfId="1164"/>
    <cellStyle name="SAPBEXresItemX 4" xfId="1165"/>
    <cellStyle name="SAPBEXresItemX 5" xfId="1166"/>
    <cellStyle name="SAPBEXresItemX 6" xfId="1167"/>
    <cellStyle name="SAPBEXresItemX 7" xfId="1168"/>
    <cellStyle name="SAPBEXresItemX 8" xfId="1158"/>
    <cellStyle name="SAPBEXstdData" xfId="102"/>
    <cellStyle name="SAPBEXstdData 2" xfId="413"/>
    <cellStyle name="SAPBEXstdData 2 2" xfId="523"/>
    <cellStyle name="SAPBEXstdData 2 2 2" xfId="1170"/>
    <cellStyle name="SAPBEXstdData 2 2 3" xfId="1171"/>
    <cellStyle name="SAPBEXstdData 2 2 4" xfId="1172"/>
    <cellStyle name="SAPBEXstdData 2 2 5" xfId="1173"/>
    <cellStyle name="SAPBEXstdData 2 2 6" xfId="1174"/>
    <cellStyle name="SAPBEXstdData 2 3" xfId="1175"/>
    <cellStyle name="SAPBEXstdData 2 4" xfId="1176"/>
    <cellStyle name="SAPBEXstdData 2 5" xfId="1177"/>
    <cellStyle name="SAPBEXstdData 2 6" xfId="1178"/>
    <cellStyle name="SAPBEXstdData 3" xfId="524"/>
    <cellStyle name="SAPBEXstdData 3 2" xfId="1179"/>
    <cellStyle name="SAPBEXstdData 3 3" xfId="1180"/>
    <cellStyle name="SAPBEXstdData 3 4" xfId="1181"/>
    <cellStyle name="SAPBEXstdData 3 5" xfId="1182"/>
    <cellStyle name="SAPBEXstdData 3 6" xfId="1183"/>
    <cellStyle name="SAPBEXstdData 4" xfId="1184"/>
    <cellStyle name="SAPBEXstdData 5" xfId="1185"/>
    <cellStyle name="SAPBEXstdData 6" xfId="1186"/>
    <cellStyle name="SAPBEXstdData 7" xfId="1187"/>
    <cellStyle name="SAPBEXstdData 8" xfId="1169"/>
    <cellStyle name="SAPBEXstdData_20120921_SF-grote-ronde-Liesbethdump2" xfId="414"/>
    <cellStyle name="SAPBEXstdDataEmph" xfId="103"/>
    <cellStyle name="SAPBEXstdDataEmph 2" xfId="415"/>
    <cellStyle name="SAPBEXstdDataEmph 2 2" xfId="525"/>
    <cellStyle name="SAPBEXstdDataEmph 2 2 2" xfId="1189"/>
    <cellStyle name="SAPBEXstdDataEmph 2 2 3" xfId="1190"/>
    <cellStyle name="SAPBEXstdDataEmph 2 2 4" xfId="1191"/>
    <cellStyle name="SAPBEXstdDataEmph 2 2 5" xfId="1192"/>
    <cellStyle name="SAPBEXstdDataEmph 2 2 6" xfId="1193"/>
    <cellStyle name="SAPBEXstdDataEmph 2 3" xfId="1194"/>
    <cellStyle name="SAPBEXstdDataEmph 2 4" xfId="1195"/>
    <cellStyle name="SAPBEXstdDataEmph 2 5" xfId="1196"/>
    <cellStyle name="SAPBEXstdDataEmph 2 6" xfId="1197"/>
    <cellStyle name="SAPBEXstdDataEmph 3" xfId="526"/>
    <cellStyle name="SAPBEXstdDataEmph 3 2" xfId="1198"/>
    <cellStyle name="SAPBEXstdDataEmph 3 3" xfId="1199"/>
    <cellStyle name="SAPBEXstdDataEmph 3 4" xfId="1200"/>
    <cellStyle name="SAPBEXstdDataEmph 3 5" xfId="1201"/>
    <cellStyle name="SAPBEXstdDataEmph 3 6" xfId="1202"/>
    <cellStyle name="SAPBEXstdDataEmph 4" xfId="1203"/>
    <cellStyle name="SAPBEXstdDataEmph 5" xfId="1204"/>
    <cellStyle name="SAPBEXstdDataEmph 6" xfId="1205"/>
    <cellStyle name="SAPBEXstdDataEmph 7" xfId="1206"/>
    <cellStyle name="SAPBEXstdDataEmph 8" xfId="1188"/>
    <cellStyle name="SAPBEXstdDataEmph 9" xfId="1324"/>
    <cellStyle name="SAPBEXstdDataEmph_20120921_SF-grote-ronde-Liesbethdump2" xfId="416"/>
    <cellStyle name="SAPBEXstdItem" xfId="104"/>
    <cellStyle name="SAPBEXstdItem 2" xfId="192"/>
    <cellStyle name="SAPBEXstdItem 2 2" xfId="527"/>
    <cellStyle name="SAPBEXstdItem 2 2 2" xfId="1208"/>
    <cellStyle name="SAPBEXstdItem 2 2 3" xfId="1209"/>
    <cellStyle name="SAPBEXstdItem 2 2 4" xfId="1210"/>
    <cellStyle name="SAPBEXstdItem 2 2 5" xfId="1211"/>
    <cellStyle name="SAPBEXstdItem 2 2 6" xfId="1212"/>
    <cellStyle name="SAPBEXstdItem 2 3" xfId="528"/>
    <cellStyle name="SAPBEXstdItem 2 4" xfId="1213"/>
    <cellStyle name="SAPBEXstdItem 2 5" xfId="1214"/>
    <cellStyle name="SAPBEXstdItem 2 6" xfId="1215"/>
    <cellStyle name="SAPBEXstdItem 2 7" xfId="1326"/>
    <cellStyle name="SAPBEXstdItem 3" xfId="529"/>
    <cellStyle name="SAPBEXstdItem 3 2" xfId="1216"/>
    <cellStyle name="SAPBEXstdItem 3 3" xfId="1217"/>
    <cellStyle name="SAPBEXstdItem 3 4" xfId="1218"/>
    <cellStyle name="SAPBEXstdItem 3 5" xfId="1219"/>
    <cellStyle name="SAPBEXstdItem 3 6" xfId="1220"/>
    <cellStyle name="SAPBEXstdItem 4" xfId="530"/>
    <cellStyle name="SAPBEXstdItem 5" xfId="1221"/>
    <cellStyle name="SAPBEXstdItem 6" xfId="1222"/>
    <cellStyle name="SAPBEXstdItem 7" xfId="1223"/>
    <cellStyle name="SAPBEXstdItem 8" xfId="1207"/>
    <cellStyle name="SAPBEXstdItem 9" xfId="1325"/>
    <cellStyle name="SAPBEXstdItem_20120921_SF-grote-ronde-Liesbethdump2" xfId="417"/>
    <cellStyle name="SAPBEXstdItemX" xfId="105"/>
    <cellStyle name="SAPBEXstdItemX 2" xfId="531"/>
    <cellStyle name="SAPBEXstdItemX 2 2" xfId="1225"/>
    <cellStyle name="SAPBEXstdItemX 2 3" xfId="1226"/>
    <cellStyle name="SAPBEXstdItemX 2 4" xfId="1227"/>
    <cellStyle name="SAPBEXstdItemX 2 5" xfId="1228"/>
    <cellStyle name="SAPBEXstdItemX 2 6" xfId="1229"/>
    <cellStyle name="SAPBEXstdItemX 3" xfId="1230"/>
    <cellStyle name="SAPBEXstdItemX 4" xfId="1231"/>
    <cellStyle name="SAPBEXstdItemX 5" xfId="1232"/>
    <cellStyle name="SAPBEXstdItemX 6" xfId="1233"/>
    <cellStyle name="SAPBEXstdItemX 7" xfId="1234"/>
    <cellStyle name="SAPBEXstdItemX 8" xfId="1224"/>
    <cellStyle name="SAPBEXstdItemX 9" xfId="1327"/>
    <cellStyle name="SAPBEXtitle" xfId="106"/>
    <cellStyle name="SAPBEXtitle 2" xfId="532"/>
    <cellStyle name="SAPBEXtitle 2 2" xfId="1236"/>
    <cellStyle name="SAPBEXtitle 2 3" xfId="1237"/>
    <cellStyle name="SAPBEXtitle 2 4" xfId="1238"/>
    <cellStyle name="SAPBEXtitle 2 5" xfId="1239"/>
    <cellStyle name="SAPBEXtitle 2 6" xfId="1240"/>
    <cellStyle name="SAPBEXtitle 3" xfId="1241"/>
    <cellStyle name="SAPBEXtitle 4" xfId="1242"/>
    <cellStyle name="SAPBEXtitle 5" xfId="1243"/>
    <cellStyle name="SAPBEXtitle 6" xfId="1244"/>
    <cellStyle name="SAPBEXtitle 7" xfId="1245"/>
    <cellStyle name="SAPBEXtitle 8" xfId="1235"/>
    <cellStyle name="SAPBEXtitle 9" xfId="1328"/>
    <cellStyle name="SAPBEXunassignedItem" xfId="107"/>
    <cellStyle name="SAPBEXunassignedItem 2" xfId="418"/>
    <cellStyle name="SAPBEXunassignedItem 2 2" xfId="533"/>
    <cellStyle name="SAPBEXunassignedItem 2 2 2" xfId="1246"/>
    <cellStyle name="SAPBEXunassignedItem 2 2 3" xfId="1247"/>
    <cellStyle name="SAPBEXunassignedItem 2 2 4" xfId="1248"/>
    <cellStyle name="SAPBEXunassignedItem 2 2 5" xfId="1249"/>
    <cellStyle name="SAPBEXunassignedItem 2 2 6" xfId="1250"/>
    <cellStyle name="SAPBEXunassignedItem 2 3" xfId="1251"/>
    <cellStyle name="SAPBEXunassignedItem 3" xfId="534"/>
    <cellStyle name="SAPBEXunassignedItem 3 2" xfId="1252"/>
    <cellStyle name="SAPBEXunassignedItem 3 3" xfId="1253"/>
    <cellStyle name="SAPBEXunassignedItem 3 4" xfId="1254"/>
    <cellStyle name="SAPBEXunassignedItem 3 5" xfId="1255"/>
    <cellStyle name="SAPBEXunassignedItem 3 6" xfId="1256"/>
    <cellStyle name="SAPBEXunassignedItem 4" xfId="1257"/>
    <cellStyle name="SAPBEXunassignedItem_20120921_SF-grote-ronde-Liesbethdump2" xfId="419"/>
    <cellStyle name="SAPBEXundefined" xfId="108"/>
    <cellStyle name="SAPBEXundefined 2" xfId="535"/>
    <cellStyle name="SAPBEXundefined 2 2" xfId="1259"/>
    <cellStyle name="SAPBEXundefined 2 3" xfId="1260"/>
    <cellStyle name="SAPBEXundefined 2 4" xfId="1261"/>
    <cellStyle name="SAPBEXundefined 2 5" xfId="1262"/>
    <cellStyle name="SAPBEXundefined 2 6" xfId="1263"/>
    <cellStyle name="SAPBEXundefined 3" xfId="1264"/>
    <cellStyle name="SAPBEXundefined 4" xfId="1265"/>
    <cellStyle name="SAPBEXundefined 5" xfId="1266"/>
    <cellStyle name="SAPBEXundefined 6" xfId="1267"/>
    <cellStyle name="SAPBEXundefined 7" xfId="1268"/>
    <cellStyle name="SAPBEXundefined 8" xfId="1258"/>
    <cellStyle name="Schlecht" xfId="177"/>
    <cellStyle name="Sheet Title" xfId="109"/>
    <cellStyle name="Standaard" xfId="0" builtinId="0"/>
    <cellStyle name="Standaard 10" xfId="536"/>
    <cellStyle name="Standaard 11" xfId="537"/>
    <cellStyle name="Standaard 12" xfId="538"/>
    <cellStyle name="Standaard 13" xfId="539"/>
    <cellStyle name="Standaard 14" xfId="540"/>
    <cellStyle name="Standaard 15" xfId="541"/>
    <cellStyle name="Standaard 16" xfId="542"/>
    <cellStyle name="Standaard 17" xfId="543"/>
    <cellStyle name="Standaard 18" xfId="544"/>
    <cellStyle name="Standaard 19" xfId="545"/>
    <cellStyle name="Standaard 2" xfId="123"/>
    <cellStyle name="Standaard 2 2" xfId="189"/>
    <cellStyle name="Standaard 2 2 2" xfId="433"/>
    <cellStyle name="Standaard 2 3" xfId="428"/>
    <cellStyle name="Standaard 2 3 2" xfId="1430"/>
    <cellStyle name="Standaard 2 4" xfId="1329"/>
    <cellStyle name="Standaard 2 4 2" xfId="1431"/>
    <cellStyle name="Standaard 20" xfId="546"/>
    <cellStyle name="Standaard 21" xfId="547"/>
    <cellStyle name="Standaard 22" xfId="548"/>
    <cellStyle name="Standaard 23" xfId="549"/>
    <cellStyle name="Standaard 24" xfId="550"/>
    <cellStyle name="Standaard 25" xfId="551"/>
    <cellStyle name="Standaard 26" xfId="1300"/>
    <cellStyle name="Standaard 27" xfId="1305"/>
    <cellStyle name="Standaard 27 2" xfId="1432"/>
    <cellStyle name="Standaard 28" xfId="1330"/>
    <cellStyle name="Standaard 3" xfId="191"/>
    <cellStyle name="Standaard 3 2" xfId="552"/>
    <cellStyle name="Standaard 3 3" xfId="1298"/>
    <cellStyle name="Standaard 3 4" xfId="1299"/>
    <cellStyle name="Standaard 3 5" xfId="564"/>
    <cellStyle name="Standaard 3 6" xfId="1306"/>
    <cellStyle name="Standaard 4" xfId="553"/>
    <cellStyle name="Standaard 4 2" xfId="1269"/>
    <cellStyle name="Standaard 4 3" xfId="1433"/>
    <cellStyle name="Standaard 5" xfId="554"/>
    <cellStyle name="Standaard 5 2" xfId="1434"/>
    <cellStyle name="Standaard 6" xfId="555"/>
    <cellStyle name="Standaard 6 2" xfId="1435"/>
    <cellStyle name="Standaard 7" xfId="556"/>
    <cellStyle name="Standaard 7 2" xfId="1436"/>
    <cellStyle name="Standaard 8" xfId="557"/>
    <cellStyle name="Standaard 9" xfId="558"/>
    <cellStyle name="Standaard_102708_3 SSNT NG-PRD(i)-07-03" xfId="562"/>
    <cellStyle name="Standaard_CODATA-module proddata TenneT cpt" xfId="1301"/>
    <cellStyle name="Standaard_Exhibit D Entries, TSC 2005-2 Final Version 3" xfId="110"/>
    <cellStyle name="Standaard_Exhibit D Entries, TSC 2005-2 Final Version 3 2" xfId="195"/>
    <cellStyle name="Standaard_GTS-TAR concept voorstel 2011 29 april 2010" xfId="563"/>
    <cellStyle name="Standaard_Handboek TSO (260202)" xfId="111"/>
    <cellStyle name="Standaard_Netwerkpunten naar Nma verstuurd15 mei" xfId="112"/>
    <cellStyle name="Standaard_NG-TAR(i)-10-08 Concept" xfId="113"/>
    <cellStyle name="Standaard_Tarieven 2004" xfId="114"/>
    <cellStyle name="Standaard_Tarievenmand 2002" xfId="115"/>
    <cellStyle name="Standaard_Tarievenmand 2002 2" xfId="190"/>
    <cellStyle name="Standaard_tennet p4" xfId="116"/>
    <cellStyle name="Titel" xfId="117" builtinId="15" customBuiltin="1"/>
    <cellStyle name="Titel 2" xfId="420"/>
    <cellStyle name="Titel 2 2" xfId="1437"/>
    <cellStyle name="Titel 3" xfId="1438"/>
    <cellStyle name="Titel 3 2" xfId="1439"/>
    <cellStyle name="Titel 4" xfId="1440"/>
    <cellStyle name="Title" xfId="1441"/>
    <cellStyle name="Title 2" xfId="178"/>
    <cellStyle name="Totaal" xfId="118" builtinId="25" customBuiltin="1"/>
    <cellStyle name="Totaal 10" xfId="1442"/>
    <cellStyle name="Totaal 2" xfId="421"/>
    <cellStyle name="Totaal 2 2" xfId="559"/>
    <cellStyle name="Totaal 2 3" xfId="1270"/>
    <cellStyle name="Totaal 2 4" xfId="1271"/>
    <cellStyle name="Totaal 2 5" xfId="1272"/>
    <cellStyle name="Totaal 2 6" xfId="1273"/>
    <cellStyle name="Totaal 2 7" xfId="1443"/>
    <cellStyle name="Totaal 3" xfId="1274"/>
    <cellStyle name="Totaal 4" xfId="1275"/>
    <cellStyle name="Totaal 5" xfId="1276"/>
    <cellStyle name="Totaal 6" xfId="1277"/>
    <cellStyle name="Totaal 7" xfId="1278"/>
    <cellStyle name="Totaal 8" xfId="1279"/>
    <cellStyle name="Totaal 9" xfId="1444"/>
    <cellStyle name="Totaal 9 2" xfId="1445"/>
    <cellStyle name="Total" xfId="1446"/>
    <cellStyle name="Total 2" xfId="179"/>
    <cellStyle name="Total 2 2" xfId="560"/>
    <cellStyle name="Total 2 3" xfId="1280"/>
    <cellStyle name="Total 2 4" xfId="1281"/>
    <cellStyle name="Total 2 5" xfId="1282"/>
    <cellStyle name="Total 2 6" xfId="1283"/>
    <cellStyle name="Total 3" xfId="1284"/>
    <cellStyle name="Total 4" xfId="1285"/>
    <cellStyle name="Total 5" xfId="1286"/>
    <cellStyle name="Total 6" xfId="1287"/>
    <cellStyle name="Total 7" xfId="1288"/>
    <cellStyle name="Überschrift" xfId="180"/>
    <cellStyle name="Überschrift 1" xfId="181"/>
    <cellStyle name="Überschrift 2" xfId="182"/>
    <cellStyle name="Überschrift 3" xfId="183"/>
    <cellStyle name="Überschrift 4" xfId="184"/>
    <cellStyle name="Uitvoer 2" xfId="422"/>
    <cellStyle name="Uitvoer 2 2" xfId="561"/>
    <cellStyle name="Uitvoer 2 3" xfId="1289"/>
    <cellStyle name="Uitvoer 2 4" xfId="1290"/>
    <cellStyle name="Uitvoer 2 5" xfId="1291"/>
    <cellStyle name="Uitvoer 2 6" xfId="1292"/>
    <cellStyle name="Uitvoer 3" xfId="1293"/>
    <cellStyle name="Uitvoer 4" xfId="1294"/>
    <cellStyle name="Uitvoer 5" xfId="1295"/>
    <cellStyle name="Uitvoer 6" xfId="1296"/>
    <cellStyle name="Uitvoer 7" xfId="1297"/>
    <cellStyle name="Uitvoer 8" xfId="1447"/>
    <cellStyle name="Valuta_DELT TM NE 2003 (3)" xfId="120"/>
    <cellStyle name="Verklarende tekst 2" xfId="423"/>
    <cellStyle name="Verklarende tekst 3" xfId="1448"/>
    <cellStyle name="Verknüpfte Zelle" xfId="185"/>
    <cellStyle name="Waarschuwingstekst" xfId="122" builtinId="11" customBuiltin="1"/>
    <cellStyle name="Waarschuwingstekst 2" xfId="424"/>
    <cellStyle name="Waarschuwingstekst 2 2" xfId="1449"/>
    <cellStyle name="Waarschuwingstekst 3" xfId="1450"/>
    <cellStyle name="Waarschuwingstekst 3 2" xfId="1451"/>
    <cellStyle name="Waarschuwingstekst 4" xfId="1452"/>
    <cellStyle name="Warnender Text" xfId="186"/>
    <cellStyle name="Warning Text" xfId="1453"/>
    <cellStyle name="Warning Text 2" xfId="187"/>
    <cellStyle name="Zelle überprüfen" xfId="188"/>
  </cellStyles>
  <dxfs count="17">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9" defaultPivotStyle="PivotStyleLight16"/>
  <colors>
    <mruColors>
      <color rgb="FF000080"/>
      <color rgb="FFCCFFCC"/>
      <color rgb="FFFFCC99"/>
      <color rgb="FFFFFF99"/>
      <color rgb="FFFF99CC"/>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R\Afgeschermd\Cluster%20Control\00%20aNieuwe%20structuur\420%20-%20Overige%20verzoeken%20Energiekamer%20(DE)\50%20-%20Werkbestanden\indirecte%20OPEX%20en%20meerkosten%20WON\model%20segmentering%202008%20def%20SB.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Te\ALGEMEEN\Tarieven%202003\Elektriciteit%20nettarieven\Output%20definitief\021015%20TM%20NE%202003%20Definitief%20UIT%20(3)\DELT%20TM%20NE%202003%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DE-Tarievenbesluiten@acm.n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96"/>
  <sheetViews>
    <sheetView showGridLines="0" topLeftCell="A25" zoomScale="80" zoomScaleNormal="80" zoomScaleSheetLayoutView="75" workbookViewId="0">
      <selection activeCell="H61" sqref="H61"/>
    </sheetView>
  </sheetViews>
  <sheetFormatPr defaultRowHeight="12.75"/>
  <cols>
    <col min="1" max="1" width="46.7109375" bestFit="1" customWidth="1"/>
    <col min="2" max="2" width="16.28515625" bestFit="1" customWidth="1"/>
    <col min="12" max="16384" width="9.140625" style="23"/>
  </cols>
  <sheetData>
    <row r="1" spans="1:42" s="13" customFormat="1" ht="23.25" customHeight="1">
      <c r="A1" s="1598" t="s">
        <v>18</v>
      </c>
      <c r="B1" s="1599"/>
      <c r="C1" s="1599"/>
      <c r="D1" s="1599"/>
      <c r="E1" s="1599"/>
      <c r="F1" s="1599"/>
      <c r="G1" s="1599"/>
      <c r="H1" s="1599"/>
      <c r="I1" s="1599"/>
      <c r="J1" s="1599"/>
      <c r="K1" s="1599"/>
      <c r="L1" s="1599"/>
      <c r="M1" s="1599"/>
      <c r="N1" s="1599"/>
      <c r="O1" s="1599"/>
      <c r="P1" s="1599"/>
      <c r="Q1" s="1599"/>
      <c r="R1" s="731"/>
      <c r="S1" s="731"/>
    </row>
    <row r="3" spans="1:42" s="148" customFormat="1">
      <c r="A3" s="39" t="s">
        <v>503</v>
      </c>
      <c r="B3" s="87"/>
      <c r="C3" s="87">
        <v>2001</v>
      </c>
      <c r="D3" s="87">
        <v>2002</v>
      </c>
      <c r="E3" s="87">
        <v>2003</v>
      </c>
      <c r="F3" s="87">
        <v>2004</v>
      </c>
      <c r="G3" s="87">
        <v>2005</v>
      </c>
      <c r="H3" s="87">
        <v>2006</v>
      </c>
      <c r="I3" s="87">
        <v>2007</v>
      </c>
      <c r="J3" s="87">
        <v>2008</v>
      </c>
      <c r="K3" s="87">
        <v>2009</v>
      </c>
      <c r="L3" s="87">
        <v>2010</v>
      </c>
      <c r="M3" s="87">
        <v>2011</v>
      </c>
      <c r="N3" s="87">
        <v>2012</v>
      </c>
      <c r="O3" s="87">
        <v>2013</v>
      </c>
      <c r="P3" s="87">
        <v>2014</v>
      </c>
      <c r="Q3" s="925">
        <v>2015</v>
      </c>
      <c r="R3" s="87">
        <v>2016</v>
      </c>
      <c r="S3" s="1219" t="s">
        <v>997</v>
      </c>
      <c r="T3" s="371"/>
      <c r="U3" s="371"/>
      <c r="V3" s="371"/>
      <c r="W3" s="371"/>
      <c r="X3" s="371"/>
      <c r="Y3" s="371"/>
      <c r="Z3" s="371"/>
      <c r="AA3" s="371"/>
      <c r="AB3" s="371"/>
      <c r="AC3" s="371"/>
      <c r="AD3" s="371"/>
      <c r="AE3" s="371"/>
      <c r="AF3" s="371"/>
      <c r="AG3" s="371"/>
      <c r="AH3" s="371"/>
      <c r="AI3" s="371"/>
      <c r="AJ3" s="371"/>
      <c r="AK3" s="371"/>
      <c r="AL3" s="371"/>
      <c r="AM3" s="371"/>
      <c r="AN3" s="371"/>
      <c r="AO3" s="371"/>
      <c r="AP3" s="371"/>
    </row>
    <row r="4" spans="1:42" s="148" customFormat="1">
      <c r="A4" s="518" t="s">
        <v>498</v>
      </c>
      <c r="B4" s="137"/>
      <c r="C4" s="137"/>
      <c r="D4" s="137"/>
      <c r="E4" s="137"/>
      <c r="F4" s="137"/>
      <c r="G4" s="49">
        <v>0.05</v>
      </c>
      <c r="H4" s="49">
        <v>3.5000000000000003E-2</v>
      </c>
      <c r="I4" s="49">
        <v>4.7E-2</v>
      </c>
      <c r="J4" s="49">
        <v>5.2999999999999999E-2</v>
      </c>
      <c r="K4" s="49">
        <v>4.9000000000000002E-2</v>
      </c>
      <c r="L4" s="49">
        <v>2.5000000000000001E-2</v>
      </c>
      <c r="M4" s="49">
        <v>2.5000000000000001E-2</v>
      </c>
      <c r="N4" s="49">
        <v>2.8500000000000001E-2</v>
      </c>
      <c r="O4" s="421">
        <v>0.03</v>
      </c>
      <c r="P4" s="422">
        <v>0.03</v>
      </c>
      <c r="Q4" s="1233">
        <v>0.04</v>
      </c>
      <c r="R4" s="814">
        <v>0.04</v>
      </c>
    </row>
    <row r="5" spans="1:42" s="148" customFormat="1">
      <c r="A5" s="518" t="s">
        <v>499</v>
      </c>
      <c r="B5" s="137"/>
      <c r="C5" s="137"/>
      <c r="D5" s="137"/>
      <c r="E5" s="137"/>
      <c r="F5" s="137"/>
      <c r="G5" s="49">
        <v>0.05</v>
      </c>
      <c r="H5" s="49">
        <v>3.7499999999999999E-2</v>
      </c>
      <c r="I5" s="49">
        <v>0.05</v>
      </c>
      <c r="J5" s="49">
        <v>4.7500000000000001E-2</v>
      </c>
      <c r="K5" s="49">
        <v>3.5000000000000003E-2</v>
      </c>
      <c r="L5" s="49">
        <v>2.5000000000000001E-2</v>
      </c>
      <c r="M5" s="49">
        <v>2.5000000000000001E-2</v>
      </c>
      <c r="N5" s="49">
        <v>2.3E-2</v>
      </c>
      <c r="O5" s="421">
        <v>0.03</v>
      </c>
      <c r="P5" s="620">
        <v>0.04</v>
      </c>
      <c r="Q5" s="1233">
        <v>0.04</v>
      </c>
      <c r="R5" s="814">
        <v>0.04</v>
      </c>
    </row>
    <row r="6" spans="1:42" s="148" customFormat="1">
      <c r="A6" s="518" t="s">
        <v>500</v>
      </c>
      <c r="B6" s="137"/>
      <c r="C6" s="137"/>
      <c r="D6" s="137"/>
      <c r="E6" s="137"/>
      <c r="F6" s="137"/>
      <c r="G6" s="49">
        <v>0.05</v>
      </c>
      <c r="H6" s="49">
        <v>0.04</v>
      </c>
      <c r="I6" s="49">
        <v>5.2499999999999998E-2</v>
      </c>
      <c r="J6" s="49">
        <v>5.1499999999999997E-2</v>
      </c>
      <c r="K6" s="49">
        <v>2.75E-2</v>
      </c>
      <c r="L6" s="49">
        <v>2.5000000000000001E-2</v>
      </c>
      <c r="M6" s="49">
        <v>2.75E-2</v>
      </c>
      <c r="N6" s="49">
        <v>2.5000000000000001E-2</v>
      </c>
      <c r="O6" s="422">
        <v>0.03</v>
      </c>
      <c r="P6" s="421">
        <v>0.04</v>
      </c>
      <c r="Q6" s="814">
        <v>0.04</v>
      </c>
      <c r="R6" s="735"/>
    </row>
    <row r="7" spans="1:42" s="148" customFormat="1">
      <c r="A7" s="518" t="s">
        <v>501</v>
      </c>
      <c r="B7" s="137"/>
      <c r="C7" s="137"/>
      <c r="D7" s="137"/>
      <c r="E7" s="137"/>
      <c r="F7" s="137"/>
      <c r="G7" s="49">
        <v>0.05</v>
      </c>
      <c r="H7" s="49">
        <v>4.2500000000000003E-2</v>
      </c>
      <c r="I7" s="49">
        <v>5.3999999999999999E-2</v>
      </c>
      <c r="J7" s="49">
        <v>5.45E-2</v>
      </c>
      <c r="K7" s="49">
        <v>2.5000000000000001E-2</v>
      </c>
      <c r="L7" s="49">
        <v>2.5000000000000001E-2</v>
      </c>
      <c r="M7" s="49">
        <v>0.03</v>
      </c>
      <c r="N7" s="422">
        <v>2.2499999999999999E-2</v>
      </c>
      <c r="O7" s="422">
        <v>0.03</v>
      </c>
      <c r="P7" s="421">
        <v>0.04</v>
      </c>
      <c r="Q7" s="814">
        <v>0.04</v>
      </c>
      <c r="R7" s="735"/>
    </row>
    <row r="8" spans="1:42" s="148" customFormat="1">
      <c r="A8" s="518"/>
      <c r="B8" s="137"/>
      <c r="C8" s="137"/>
      <c r="D8" s="137"/>
      <c r="E8" s="137"/>
      <c r="F8" s="137"/>
      <c r="G8" s="342"/>
      <c r="H8" s="342"/>
      <c r="I8" s="342"/>
      <c r="J8" s="342"/>
      <c r="K8" s="342"/>
      <c r="L8" s="342"/>
      <c r="M8" s="342"/>
      <c r="N8" s="342"/>
      <c r="O8" s="342"/>
      <c r="P8" s="355"/>
    </row>
    <row r="9" spans="1:42" s="148" customFormat="1">
      <c r="A9" s="518" t="s">
        <v>502</v>
      </c>
      <c r="B9" s="137"/>
      <c r="C9" s="137"/>
      <c r="D9" s="137"/>
      <c r="E9" s="137"/>
      <c r="F9" s="137"/>
      <c r="G9" s="137"/>
      <c r="H9" s="349">
        <f t="shared" ref="H9:O9" si="0">(1+G6)^(0.25)*(1+G7)^(0.25)*(1+H4)^(0.25)*(1+H5)^(0.25)-1</f>
        <v>4.3101964518956981E-2</v>
      </c>
      <c r="I9" s="349">
        <f t="shared" si="0"/>
        <v>4.4867800771582589E-2</v>
      </c>
      <c r="J9" s="349">
        <f t="shared" si="0"/>
        <v>5.174699428832108E-2</v>
      </c>
      <c r="K9" s="349">
        <f t="shared" si="0"/>
        <v>4.7473211046523023E-2</v>
      </c>
      <c r="L9" s="349">
        <f t="shared" si="0"/>
        <v>2.5624429165615581E-2</v>
      </c>
      <c r="M9" s="349">
        <f t="shared" si="0"/>
        <v>2.5000000000000133E-2</v>
      </c>
      <c r="N9" s="349">
        <f t="shared" si="0"/>
        <v>2.7246679826693931E-2</v>
      </c>
      <c r="O9" s="519">
        <f t="shared" si="0"/>
        <v>2.6869862241643006E-2</v>
      </c>
      <c r="P9" s="349">
        <f>(1+O6)^(0.25)*(1+O7)^(0.25)*(1+P4)^(0.25)*(1+P5)^(0.25)-1</f>
        <v>3.2490949264880387E-2</v>
      </c>
      <c r="Q9" s="349">
        <f>(1+P6)^(0.25)*(1+P7)^(0.25)*(1+Q4)^(0.25)*(1+Q5)^(0.25)-1</f>
        <v>3.9999999999999591E-2</v>
      </c>
      <c r="R9" s="815">
        <f>(1+Q6)^(0.25)*(1+Q7)^(0.25)*(1+R4)^(0.25)*(1+R5)^(0.25)-1</f>
        <v>3.9999999999999591E-2</v>
      </c>
    </row>
    <row r="10" spans="1:42" s="148" customFormat="1">
      <c r="A10" s="219"/>
      <c r="B10" s="137"/>
      <c r="C10" s="137"/>
      <c r="D10" s="137"/>
      <c r="E10" s="137"/>
      <c r="F10" s="137"/>
      <c r="G10" s="182"/>
      <c r="H10" s="182"/>
      <c r="I10" s="182"/>
      <c r="J10" s="182"/>
      <c r="K10" s="182"/>
      <c r="L10" s="182"/>
      <c r="M10" s="182"/>
      <c r="N10" s="182"/>
      <c r="O10" s="342"/>
      <c r="P10" s="355"/>
    </row>
    <row r="11" spans="1:42" s="148" customFormat="1">
      <c r="A11" s="213" t="s">
        <v>925</v>
      </c>
      <c r="B11" s="137"/>
      <c r="C11" s="137"/>
      <c r="D11" s="137"/>
      <c r="E11" s="137"/>
      <c r="F11" s="137"/>
      <c r="G11" s="924">
        <f>(1+H9)*(1+I9)*(1+J9)*(1+K9)*(1+L9)*(1+M9)*(1+N9)*(1+O9)*(1+P9)*(1+Q9)-1</f>
        <v>0.42976375191862903</v>
      </c>
      <c r="H11" s="924">
        <f>(1+I9)*(1+J9)*(1+K9)*(1+L9)*(1+M9)*(1+N9)*(1+O9)*(1+P9)*(1+Q9)-1</f>
        <v>0.3706845548680251</v>
      </c>
      <c r="I11" s="924">
        <f>(1+J9)*(1+K9)*(1+L9)*(1+M9)*(1+N9)*(1+O9)*(1+P9)*(1+Q9)-1</f>
        <v>0.31182581552981481</v>
      </c>
      <c r="J11" s="924">
        <f>(1+K9)*(1+L9)*(1+M9)*(1+N9)*(1+O9)*(1+P9)*(1+Q9)-1</f>
        <v>0.24728268552597998</v>
      </c>
      <c r="K11" s="924">
        <f>(1+L9)*(1+M9)*(1+N9)*(1+O9)*(1+P9)*(1+Q9)-1</f>
        <v>0.19075378002252541</v>
      </c>
      <c r="L11" s="924">
        <f>(1+M9)*(1+N9)*(1+O9)*(1+P9)*(1+Q9)-1</f>
        <v>0.16100372237744853</v>
      </c>
      <c r="M11" s="924">
        <f>(1+N9)*(1+O9)*(1+P9)*(1+Q9)-1</f>
        <v>0.13268655841702293</v>
      </c>
      <c r="N11" s="924">
        <f>(1+O9)*(1+P9)*(1+Q9)-1</f>
        <v>0.10264319239086528</v>
      </c>
      <c r="O11" s="924">
        <f>(1+P9)*(1+Q9)-1</f>
        <v>7.3790587235475158E-2</v>
      </c>
      <c r="P11" s="924">
        <f>(1+Q9)-1</f>
        <v>3.9999999999999591E-2</v>
      </c>
      <c r="Q11" s="1159"/>
    </row>
    <row r="12" spans="1:42" s="148" customFormat="1">
      <c r="A12" s="288"/>
      <c r="B12" s="420"/>
      <c r="C12" s="420"/>
      <c r="D12" s="420"/>
      <c r="E12" s="420"/>
      <c r="F12" s="420"/>
      <c r="G12" s="420"/>
      <c r="H12" s="420"/>
      <c r="I12" s="420"/>
      <c r="J12" s="182"/>
      <c r="K12" s="137"/>
    </row>
    <row r="13" spans="1:42" s="148" customFormat="1">
      <c r="A13" s="39" t="s">
        <v>15</v>
      </c>
      <c r="B13" s="420"/>
      <c r="C13" s="137"/>
      <c r="D13" s="420"/>
      <c r="E13" s="420"/>
      <c r="F13" s="420"/>
      <c r="G13" s="420"/>
      <c r="H13" s="420"/>
      <c r="I13" s="420"/>
      <c r="J13" s="182"/>
      <c r="K13" s="137"/>
    </row>
    <row r="14" spans="1:42" s="148" customFormat="1">
      <c r="A14" s="288" t="s">
        <v>690</v>
      </c>
      <c r="B14" s="289">
        <v>5.8000000000000003E-2</v>
      </c>
      <c r="C14" s="520" t="s">
        <v>722</v>
      </c>
      <c r="D14" s="420"/>
      <c r="E14" s="420"/>
      <c r="F14" s="420"/>
      <c r="G14" s="420"/>
      <c r="H14" s="420"/>
      <c r="I14" s="420"/>
      <c r="J14" s="182"/>
      <c r="K14" s="137"/>
    </row>
    <row r="15" spans="1:42" s="148" customFormat="1">
      <c r="A15" s="288" t="s">
        <v>563</v>
      </c>
      <c r="B15" s="423">
        <v>3.5999999999999997E-2</v>
      </c>
      <c r="C15" s="521" t="s">
        <v>721</v>
      </c>
      <c r="D15" s="420"/>
      <c r="E15" s="420"/>
      <c r="F15" s="420"/>
      <c r="G15" s="420"/>
      <c r="H15" s="420"/>
      <c r="I15" s="420"/>
      <c r="J15" s="182"/>
      <c r="K15" s="137"/>
    </row>
    <row r="16" spans="1:42" s="148" customFormat="1">
      <c r="A16" s="288"/>
      <c r="B16" s="420"/>
      <c r="C16" s="420"/>
      <c r="D16" s="420"/>
      <c r="E16" s="420"/>
      <c r="F16" s="420"/>
      <c r="G16" s="420"/>
      <c r="H16" s="420"/>
      <c r="I16" s="420"/>
      <c r="J16" s="182"/>
      <c r="K16" s="137"/>
    </row>
    <row r="17" spans="1:18" s="148" customFormat="1">
      <c r="A17" s="39" t="s">
        <v>16</v>
      </c>
      <c r="B17" s="420"/>
      <c r="C17" s="521" t="s">
        <v>643</v>
      </c>
      <c r="D17" s="420"/>
      <c r="E17" s="420"/>
      <c r="F17" s="180"/>
      <c r="G17" s="420"/>
      <c r="H17" s="420"/>
      <c r="I17" s="420"/>
      <c r="J17" s="182"/>
      <c r="K17" s="137"/>
    </row>
    <row r="18" spans="1:18" s="148" customFormat="1">
      <c r="A18" s="213" t="s">
        <v>564</v>
      </c>
      <c r="B18" s="423">
        <v>5.6399999999999999E-2</v>
      </c>
      <c r="C18" s="420"/>
      <c r="D18" s="420"/>
      <c r="E18" s="420"/>
      <c r="F18" s="420"/>
      <c r="G18" s="420"/>
      <c r="H18" s="420"/>
      <c r="I18" s="420"/>
      <c r="J18" s="182"/>
      <c r="K18" s="137"/>
    </row>
    <row r="19" spans="1:18" s="148" customFormat="1">
      <c r="A19" s="213" t="s">
        <v>566</v>
      </c>
      <c r="B19" s="423">
        <v>5.6399999999999999E-2</v>
      </c>
      <c r="C19" s="420"/>
      <c r="D19" s="420"/>
      <c r="E19" s="420"/>
      <c r="F19" s="420"/>
      <c r="G19" s="420"/>
      <c r="H19" s="420"/>
      <c r="I19" s="420"/>
      <c r="J19" s="182"/>
      <c r="K19" s="137"/>
    </row>
    <row r="20" spans="1:18" s="148" customFormat="1">
      <c r="A20" s="213" t="s">
        <v>691</v>
      </c>
      <c r="B20" s="423">
        <v>6.5699999999999995E-2</v>
      </c>
      <c r="C20" s="420"/>
      <c r="D20" s="420"/>
      <c r="E20" s="420"/>
      <c r="F20" s="420"/>
      <c r="G20" s="420"/>
      <c r="H20" s="420"/>
      <c r="I20" s="420"/>
      <c r="J20" s="182"/>
      <c r="K20" s="137"/>
    </row>
    <row r="21" spans="1:18" s="148" customFormat="1">
      <c r="A21" s="213" t="s">
        <v>567</v>
      </c>
      <c r="B21" s="424">
        <v>0</v>
      </c>
      <c r="C21" s="420"/>
      <c r="D21" s="420"/>
      <c r="E21" s="420"/>
      <c r="F21" s="420"/>
      <c r="G21" s="420"/>
      <c r="H21" s="420"/>
      <c r="I21" s="420"/>
      <c r="J21" s="182"/>
      <c r="K21" s="137"/>
    </row>
    <row r="22" spans="1:18" s="148" customFormat="1">
      <c r="A22" s="213" t="s">
        <v>565</v>
      </c>
      <c r="B22" s="423">
        <v>9.3100000000000002E-2</v>
      </c>
      <c r="C22" s="420"/>
      <c r="D22" s="420"/>
      <c r="E22" s="420"/>
      <c r="F22" s="420"/>
      <c r="G22" s="420"/>
      <c r="H22" s="420"/>
      <c r="I22" s="420"/>
      <c r="J22" s="182"/>
      <c r="K22" s="137"/>
    </row>
    <row r="23" spans="1:18" s="148" customFormat="1">
      <c r="A23" s="213"/>
      <c r="B23" s="420"/>
      <c r="C23" s="420"/>
      <c r="D23" s="420"/>
      <c r="E23" s="420"/>
      <c r="F23" s="420"/>
      <c r="G23" s="420"/>
      <c r="H23" s="420"/>
      <c r="I23" s="420"/>
      <c r="J23" s="182"/>
      <c r="K23" s="137"/>
    </row>
    <row r="24" spans="1:18" s="148" customFormat="1">
      <c r="A24" s="89" t="s">
        <v>14</v>
      </c>
      <c r="B24" s="137"/>
      <c r="C24" s="137"/>
      <c r="D24" s="137"/>
      <c r="E24" s="137"/>
      <c r="F24" s="137"/>
      <c r="G24" s="137"/>
      <c r="H24" s="137"/>
      <c r="I24" s="137"/>
      <c r="J24" s="137"/>
      <c r="K24" s="137"/>
    </row>
    <row r="25" spans="1:18" s="148" customFormat="1">
      <c r="A25" s="518" t="s">
        <v>11</v>
      </c>
      <c r="B25" s="522"/>
      <c r="C25" s="522"/>
      <c r="D25" s="522"/>
      <c r="E25" s="522"/>
      <c r="F25" s="522"/>
      <c r="G25" s="522"/>
      <c r="H25" s="522"/>
      <c r="I25" s="522"/>
      <c r="J25" s="522"/>
      <c r="K25" s="522"/>
      <c r="L25" s="522"/>
      <c r="M25" s="522"/>
      <c r="N25" s="522"/>
      <c r="O25" s="522"/>
      <c r="P25" s="522"/>
      <c r="Q25" s="522"/>
      <c r="R25" s="522"/>
    </row>
    <row r="26" spans="1:18" s="148" customFormat="1">
      <c r="A26" s="523" t="s">
        <v>508</v>
      </c>
      <c r="B26" s="523" t="s">
        <v>509</v>
      </c>
      <c r="C26" s="524"/>
      <c r="D26" s="525"/>
      <c r="E26" s="526"/>
      <c r="F26" s="522"/>
      <c r="G26" s="527"/>
      <c r="H26" s="522"/>
      <c r="I26" s="527"/>
      <c r="J26" s="522"/>
      <c r="K26" s="527"/>
      <c r="L26" s="522"/>
      <c r="M26" s="527"/>
      <c r="N26" s="522"/>
      <c r="O26" s="527"/>
      <c r="P26" s="522"/>
    </row>
    <row r="27" spans="1:18" s="148" customFormat="1">
      <c r="A27" s="528">
        <v>2001</v>
      </c>
      <c r="B27" s="529">
        <v>2.5</v>
      </c>
      <c r="C27" s="521" t="s">
        <v>510</v>
      </c>
      <c r="D27" s="530"/>
      <c r="E27" s="531"/>
      <c r="F27" s="522"/>
      <c r="G27" s="532"/>
      <c r="H27" s="522"/>
      <c r="I27" s="527"/>
      <c r="J27" s="522"/>
      <c r="K27" s="527"/>
      <c r="L27" s="522"/>
      <c r="M27" s="527"/>
      <c r="N27" s="522"/>
      <c r="O27" s="527"/>
      <c r="P27" s="524"/>
    </row>
    <row r="28" spans="1:18" s="148" customFormat="1">
      <c r="A28" s="528">
        <v>2002</v>
      </c>
      <c r="B28" s="529">
        <v>4.7</v>
      </c>
      <c r="C28" s="521" t="s">
        <v>510</v>
      </c>
      <c r="D28" s="530"/>
      <c r="E28" s="531"/>
      <c r="F28" s="522"/>
      <c r="G28" s="532"/>
      <c r="H28" s="522"/>
      <c r="I28" s="532"/>
      <c r="J28" s="522"/>
      <c r="K28" s="533"/>
      <c r="L28" s="522"/>
      <c r="M28" s="533"/>
      <c r="N28" s="522"/>
      <c r="O28" s="533"/>
      <c r="P28" s="524"/>
    </row>
    <row r="29" spans="1:18" s="148" customFormat="1">
      <c r="A29" s="528">
        <v>2003</v>
      </c>
      <c r="B29" s="529">
        <v>3.3</v>
      </c>
      <c r="C29" s="521" t="s">
        <v>510</v>
      </c>
      <c r="D29" s="530"/>
      <c r="E29" s="531"/>
      <c r="F29" s="522"/>
      <c r="G29" s="532"/>
      <c r="H29" s="522"/>
      <c r="I29" s="532"/>
      <c r="J29" s="522"/>
      <c r="K29" s="532"/>
      <c r="L29" s="522"/>
      <c r="M29" s="533"/>
      <c r="N29" s="522"/>
      <c r="O29" s="533"/>
      <c r="P29" s="524"/>
    </row>
    <row r="30" spans="1:18" s="148" customFormat="1">
      <c r="A30" s="528">
        <v>2004</v>
      </c>
      <c r="B30" s="529">
        <v>2.1</v>
      </c>
      <c r="C30" s="521" t="s">
        <v>510</v>
      </c>
      <c r="D30" s="530"/>
      <c r="E30" s="531"/>
      <c r="F30" s="534"/>
      <c r="G30" s="532"/>
      <c r="H30" s="534"/>
      <c r="I30" s="532"/>
      <c r="J30" s="534"/>
      <c r="K30" s="532"/>
      <c r="L30" s="534"/>
      <c r="M30" s="532"/>
      <c r="N30" s="534"/>
      <c r="O30" s="533"/>
      <c r="P30" s="524"/>
    </row>
    <row r="31" spans="1:18" s="148" customFormat="1">
      <c r="A31" s="528">
        <v>2005</v>
      </c>
      <c r="B31" s="529">
        <v>1.1000000000000001</v>
      </c>
      <c r="C31" s="521" t="s">
        <v>510</v>
      </c>
      <c r="D31" s="530"/>
      <c r="E31" s="531"/>
      <c r="F31" s="534"/>
      <c r="G31" s="532"/>
      <c r="H31" s="534"/>
      <c r="I31" s="532"/>
      <c r="J31" s="534"/>
      <c r="K31" s="532"/>
      <c r="L31" s="534"/>
      <c r="M31" s="532"/>
      <c r="N31" s="534"/>
      <c r="O31" s="532"/>
      <c r="P31" s="524"/>
    </row>
    <row r="32" spans="1:18" s="148" customFormat="1">
      <c r="A32" s="528">
        <v>2006</v>
      </c>
      <c r="B32" s="529">
        <v>1.8</v>
      </c>
      <c r="C32" s="521" t="s">
        <v>510</v>
      </c>
      <c r="D32" s="530"/>
      <c r="E32" s="531"/>
      <c r="F32" s="534"/>
      <c r="G32" s="532"/>
      <c r="H32" s="534"/>
      <c r="I32" s="532"/>
      <c r="J32" s="534"/>
      <c r="K32" s="532"/>
      <c r="L32" s="534"/>
      <c r="M32" s="532"/>
      <c r="N32" s="534"/>
      <c r="O32" s="532"/>
      <c r="P32" s="524"/>
    </row>
    <row r="33" spans="1:18" s="148" customFormat="1">
      <c r="A33" s="528">
        <v>2007</v>
      </c>
      <c r="B33" s="529">
        <v>1.4</v>
      </c>
      <c r="C33" s="521" t="s">
        <v>510</v>
      </c>
      <c r="D33" s="530"/>
      <c r="E33" s="531"/>
      <c r="F33" s="534"/>
      <c r="G33" s="532"/>
      <c r="H33" s="534"/>
      <c r="I33" s="532"/>
      <c r="J33" s="534"/>
      <c r="K33" s="532"/>
      <c r="L33" s="534"/>
      <c r="M33" s="532"/>
      <c r="N33" s="534"/>
      <c r="O33" s="532"/>
      <c r="P33" s="524"/>
    </row>
    <row r="34" spans="1:18" s="148" customFormat="1">
      <c r="A34" s="528">
        <v>2008</v>
      </c>
      <c r="B34" s="529">
        <v>1.1000000000000001</v>
      </c>
      <c r="C34" s="521" t="s">
        <v>510</v>
      </c>
      <c r="D34" s="530"/>
      <c r="E34" s="535"/>
      <c r="F34" s="522"/>
      <c r="G34" s="532"/>
      <c r="H34" s="522"/>
      <c r="I34" s="532"/>
      <c r="J34" s="522"/>
      <c r="K34" s="532"/>
      <c r="L34" s="522"/>
      <c r="M34" s="532"/>
      <c r="N34" s="522"/>
      <c r="O34" s="532"/>
      <c r="P34" s="524"/>
    </row>
    <row r="35" spans="1:18" s="148" customFormat="1">
      <c r="A35" s="528">
        <v>2009</v>
      </c>
      <c r="B35" s="529">
        <v>3.2</v>
      </c>
      <c r="C35" s="521" t="s">
        <v>510</v>
      </c>
      <c r="D35" s="530"/>
      <c r="E35" s="531"/>
      <c r="F35" s="522"/>
      <c r="G35" s="536"/>
      <c r="H35" s="536"/>
      <c r="I35" s="536"/>
      <c r="J35" s="536"/>
      <c r="K35" s="536"/>
      <c r="L35" s="536"/>
      <c r="M35" s="536"/>
      <c r="N35" s="536"/>
      <c r="O35" s="536"/>
      <c r="P35" s="532"/>
    </row>
    <row r="36" spans="1:18" s="148" customFormat="1">
      <c r="A36" s="528">
        <v>2010</v>
      </c>
      <c r="B36" s="529">
        <v>0.3</v>
      </c>
      <c r="C36" s="521" t="s">
        <v>510</v>
      </c>
      <c r="D36" s="530"/>
      <c r="E36" s="535"/>
      <c r="F36" s="526"/>
      <c r="G36" s="526"/>
      <c r="H36" s="526"/>
      <c r="I36" s="526"/>
      <c r="J36" s="526"/>
      <c r="K36" s="526"/>
      <c r="L36" s="526"/>
      <c r="M36" s="526"/>
      <c r="N36" s="526"/>
      <c r="O36" s="526"/>
      <c r="P36" s="526"/>
    </row>
    <row r="37" spans="1:18" s="148" customFormat="1">
      <c r="A37" s="528">
        <v>2011</v>
      </c>
      <c r="B37" s="537">
        <v>1.5</v>
      </c>
      <c r="C37" s="521" t="s">
        <v>510</v>
      </c>
      <c r="D37" s="531"/>
      <c r="E37" s="526"/>
      <c r="F37" s="526"/>
      <c r="G37" s="526"/>
      <c r="H37" s="526"/>
      <c r="I37" s="526"/>
      <c r="J37" s="526"/>
      <c r="K37" s="526"/>
      <c r="L37" s="526"/>
      <c r="M37" s="526"/>
      <c r="N37" s="526"/>
      <c r="O37" s="526"/>
      <c r="P37" s="526"/>
    </row>
    <row r="38" spans="1:18" s="148" customFormat="1">
      <c r="A38" s="528">
        <v>2012</v>
      </c>
      <c r="B38" s="537">
        <v>2.6</v>
      </c>
      <c r="C38" s="521" t="s">
        <v>510</v>
      </c>
      <c r="D38" s="530"/>
      <c r="E38" s="526"/>
      <c r="F38" s="526"/>
      <c r="G38" s="526"/>
      <c r="H38" s="526"/>
      <c r="I38" s="526"/>
      <c r="J38" s="526"/>
      <c r="K38" s="526"/>
      <c r="L38" s="526"/>
      <c r="M38" s="526"/>
      <c r="N38" s="526"/>
      <c r="O38" s="526"/>
      <c r="P38" s="526"/>
    </row>
    <row r="39" spans="1:18" s="148" customFormat="1">
      <c r="A39" s="528">
        <v>2013</v>
      </c>
      <c r="B39" s="537">
        <v>2.2999999999999998</v>
      </c>
      <c r="C39" s="521" t="s">
        <v>510</v>
      </c>
      <c r="D39" s="530"/>
      <c r="E39" s="538"/>
      <c r="F39" s="538"/>
      <c r="G39" s="538"/>
      <c r="H39" s="538"/>
      <c r="I39" s="538"/>
      <c r="J39" s="538"/>
      <c r="K39" s="538"/>
      <c r="L39" s="538"/>
      <c r="M39" s="538"/>
      <c r="N39" s="538"/>
      <c r="O39" s="538"/>
      <c r="P39" s="538"/>
    </row>
    <row r="40" spans="1:18" s="148" customFormat="1">
      <c r="A40" s="528">
        <v>2014</v>
      </c>
      <c r="B40" s="621">
        <v>2.8</v>
      </c>
      <c r="C40" s="521" t="s">
        <v>510</v>
      </c>
      <c r="D40" s="539"/>
      <c r="E40" s="538"/>
      <c r="F40" s="538"/>
      <c r="G40" s="538"/>
      <c r="H40" s="538"/>
      <c r="I40" s="538"/>
      <c r="J40" s="538"/>
      <c r="K40" s="538"/>
      <c r="L40" s="538"/>
      <c r="M40" s="538"/>
      <c r="N40" s="538"/>
      <c r="O40" s="538"/>
      <c r="P40" s="538"/>
    </row>
    <row r="41" spans="1:18" s="148" customFormat="1">
      <c r="A41" s="528">
        <v>2015</v>
      </c>
      <c r="B41" s="1234">
        <v>1</v>
      </c>
      <c r="C41" s="521" t="s">
        <v>510</v>
      </c>
      <c r="D41" s="539"/>
      <c r="E41" s="538"/>
      <c r="F41" s="538"/>
      <c r="G41" s="538"/>
      <c r="H41" s="538"/>
      <c r="I41" s="538"/>
      <c r="J41" s="538"/>
      <c r="K41" s="538"/>
      <c r="L41" s="538"/>
      <c r="M41" s="538"/>
      <c r="N41" s="538"/>
      <c r="O41" s="538"/>
      <c r="P41" s="538"/>
    </row>
    <row r="42" spans="1:18" s="148" customFormat="1">
      <c r="A42" s="528">
        <v>2016</v>
      </c>
      <c r="B42" s="750">
        <v>2</v>
      </c>
      <c r="C42" s="521"/>
      <c r="D42" s="539"/>
      <c r="E42" s="538"/>
      <c r="F42" s="538"/>
      <c r="G42" s="538"/>
      <c r="H42" s="538"/>
      <c r="I42" s="538"/>
      <c r="J42" s="538"/>
      <c r="K42" s="538"/>
      <c r="L42" s="538"/>
      <c r="M42" s="538"/>
      <c r="N42" s="538"/>
      <c r="O42" s="538"/>
      <c r="P42" s="538"/>
    </row>
    <row r="43" spans="1:18" s="148" customFormat="1">
      <c r="A43" s="137"/>
      <c r="B43" s="83"/>
      <c r="C43" s="84"/>
      <c r="D43" s="85"/>
      <c r="E43" s="85"/>
      <c r="F43" s="83"/>
      <c r="G43" s="540"/>
      <c r="H43" s="540"/>
      <c r="I43" s="540"/>
      <c r="J43" s="540"/>
      <c r="K43" s="540"/>
      <c r="L43" s="540"/>
      <c r="M43" s="540"/>
      <c r="N43" s="540"/>
      <c r="O43" s="540"/>
      <c r="P43" s="540"/>
      <c r="Q43" s="172"/>
    </row>
    <row r="44" spans="1:18" s="148" customFormat="1">
      <c r="A44" s="288" t="s">
        <v>12</v>
      </c>
      <c r="B44" s="526"/>
      <c r="C44" s="541" t="s">
        <v>13</v>
      </c>
      <c r="D44" s="526"/>
      <c r="E44" s="526"/>
      <c r="F44" s="526"/>
      <c r="G44" s="526"/>
      <c r="H44" s="526"/>
      <c r="I44" s="526"/>
      <c r="J44" s="526"/>
      <c r="K44" s="526"/>
      <c r="L44" s="526"/>
      <c r="M44" s="526"/>
      <c r="N44" s="526"/>
      <c r="O44" s="526"/>
      <c r="P44" s="538"/>
    </row>
    <row r="45" spans="1:18" s="148" customFormat="1">
      <c r="A45" s="542" t="s">
        <v>511</v>
      </c>
      <c r="B45" s="523" t="s">
        <v>504</v>
      </c>
      <c r="C45" s="543">
        <v>2001</v>
      </c>
      <c r="D45" s="543">
        <v>2002</v>
      </c>
      <c r="E45" s="543">
        <v>2003</v>
      </c>
      <c r="F45" s="543">
        <v>2004</v>
      </c>
      <c r="G45" s="543">
        <v>2005</v>
      </c>
      <c r="H45" s="543">
        <v>2006</v>
      </c>
      <c r="I45" s="543">
        <v>2007</v>
      </c>
      <c r="J45" s="543">
        <v>2008</v>
      </c>
      <c r="K45" s="543">
        <v>2009</v>
      </c>
      <c r="L45" s="543">
        <v>2010</v>
      </c>
      <c r="M45" s="543">
        <v>2011</v>
      </c>
      <c r="N45" s="543">
        <v>2012</v>
      </c>
      <c r="O45" s="543">
        <v>2013</v>
      </c>
      <c r="P45" s="543">
        <v>2014</v>
      </c>
      <c r="Q45" s="543">
        <v>2015</v>
      </c>
      <c r="R45" s="754">
        <v>2016</v>
      </c>
    </row>
    <row r="46" spans="1:18" s="148" customFormat="1">
      <c r="A46" s="544">
        <v>2000</v>
      </c>
      <c r="B46" s="545"/>
      <c r="C46" s="546">
        <f>C47*$B47</f>
        <v>1.0249999999999999</v>
      </c>
      <c r="D46" s="546">
        <f>D47*$B47</f>
        <v>1.0731749999999998</v>
      </c>
      <c r="E46" s="546">
        <f t="shared" ref="E46:R58" si="1">E47*$B47</f>
        <v>1.1085897749999998</v>
      </c>
      <c r="F46" s="546">
        <f t="shared" si="1"/>
        <v>1.1318701602749996</v>
      </c>
      <c r="G46" s="546">
        <f t="shared" si="1"/>
        <v>1.1443207320380246</v>
      </c>
      <c r="H46" s="546">
        <f t="shared" si="1"/>
        <v>1.1649185052147089</v>
      </c>
      <c r="I46" s="546">
        <f t="shared" si="1"/>
        <v>1.1812273642877147</v>
      </c>
      <c r="J46" s="546">
        <f t="shared" si="1"/>
        <v>1.1942208652948796</v>
      </c>
      <c r="K46" s="546">
        <f t="shared" si="1"/>
        <v>1.2324359329843158</v>
      </c>
      <c r="L46" s="546">
        <f t="shared" si="1"/>
        <v>1.2361332407832686</v>
      </c>
      <c r="M46" s="546">
        <f t="shared" si="1"/>
        <v>1.2546752393950178</v>
      </c>
      <c r="N46" s="546">
        <f t="shared" si="1"/>
        <v>1.2872967956192884</v>
      </c>
      <c r="O46" s="546">
        <f t="shared" si="1"/>
        <v>1.3169046219185316</v>
      </c>
      <c r="P46" s="546">
        <f t="shared" si="1"/>
        <v>1.3537779513322505</v>
      </c>
      <c r="Q46" s="546">
        <f t="shared" si="1"/>
        <v>1.367315730845573</v>
      </c>
      <c r="R46" s="751">
        <f t="shared" si="1"/>
        <v>1.3946620454624843</v>
      </c>
    </row>
    <row r="47" spans="1:18" s="148" customFormat="1">
      <c r="A47" s="544">
        <v>2001</v>
      </c>
      <c r="B47" s="547">
        <f t="shared" ref="B47:B61" si="2">1+B27/100</f>
        <v>1.0249999999999999</v>
      </c>
      <c r="C47" s="548">
        <v>1</v>
      </c>
      <c r="D47" s="549">
        <f>D48*$B48</f>
        <v>1.0469999999999999</v>
      </c>
      <c r="E47" s="549">
        <f t="shared" si="1"/>
        <v>1.0815509999999999</v>
      </c>
      <c r="F47" s="549">
        <f t="shared" si="1"/>
        <v>1.1042635709999997</v>
      </c>
      <c r="G47" s="549">
        <f t="shared" si="1"/>
        <v>1.1164104702809998</v>
      </c>
      <c r="H47" s="549">
        <f t="shared" si="1"/>
        <v>1.1365058587460575</v>
      </c>
      <c r="I47" s="549">
        <f t="shared" si="1"/>
        <v>1.1524169407685023</v>
      </c>
      <c r="J47" s="549">
        <f t="shared" si="1"/>
        <v>1.1650935271169558</v>
      </c>
      <c r="K47" s="549">
        <f t="shared" si="1"/>
        <v>1.2023765199846983</v>
      </c>
      <c r="L47" s="549">
        <f t="shared" si="1"/>
        <v>1.2059836495446523</v>
      </c>
      <c r="M47" s="549">
        <f t="shared" si="1"/>
        <v>1.2240734042878223</v>
      </c>
      <c r="N47" s="549">
        <f t="shared" si="1"/>
        <v>1.2558993127993059</v>
      </c>
      <c r="O47" s="549">
        <f t="shared" si="1"/>
        <v>1.2847849969936895</v>
      </c>
      <c r="P47" s="549">
        <f t="shared" si="1"/>
        <v>1.3207589769095129</v>
      </c>
      <c r="Q47" s="549">
        <f t="shared" si="1"/>
        <v>1.333966566678608</v>
      </c>
      <c r="R47" s="752">
        <f t="shared" si="1"/>
        <v>1.3606458980121798</v>
      </c>
    </row>
    <row r="48" spans="1:18" s="148" customFormat="1">
      <c r="A48" s="544">
        <v>2002</v>
      </c>
      <c r="B48" s="547">
        <f t="shared" si="2"/>
        <v>1.0469999999999999</v>
      </c>
      <c r="C48" s="550"/>
      <c r="D48" s="548">
        <v>1</v>
      </c>
      <c r="E48" s="549">
        <f t="shared" si="1"/>
        <v>1.0329999999999999</v>
      </c>
      <c r="F48" s="549">
        <f t="shared" si="1"/>
        <v>1.0546929999999999</v>
      </c>
      <c r="G48" s="549">
        <f t="shared" si="1"/>
        <v>1.0662946229999999</v>
      </c>
      <c r="H48" s="549">
        <f t="shared" si="1"/>
        <v>1.0854879262139996</v>
      </c>
      <c r="I48" s="549">
        <f t="shared" si="1"/>
        <v>1.1006847571809957</v>
      </c>
      <c r="J48" s="549">
        <f t="shared" si="1"/>
        <v>1.1127922895099864</v>
      </c>
      <c r="K48" s="549">
        <f t="shared" si="1"/>
        <v>1.148401642774306</v>
      </c>
      <c r="L48" s="549">
        <f t="shared" si="1"/>
        <v>1.1518468477026289</v>
      </c>
      <c r="M48" s="549">
        <f t="shared" si="1"/>
        <v>1.1691245504181684</v>
      </c>
      <c r="N48" s="549">
        <f t="shared" si="1"/>
        <v>1.199521788729041</v>
      </c>
      <c r="O48" s="549">
        <f t="shared" si="1"/>
        <v>1.2271107898698086</v>
      </c>
      <c r="P48" s="549">
        <f t="shared" si="1"/>
        <v>1.2614698919861633</v>
      </c>
      <c r="Q48" s="549">
        <f t="shared" si="1"/>
        <v>1.274084590906025</v>
      </c>
      <c r="R48" s="752">
        <f t="shared" si="1"/>
        <v>1.2995662827241452</v>
      </c>
    </row>
    <row r="49" spans="1:18" s="148" customFormat="1">
      <c r="A49" s="544">
        <v>2003</v>
      </c>
      <c r="B49" s="547">
        <f t="shared" si="2"/>
        <v>1.0329999999999999</v>
      </c>
      <c r="C49" s="550"/>
      <c r="D49" s="550"/>
      <c r="E49" s="548">
        <v>1</v>
      </c>
      <c r="F49" s="549">
        <f t="shared" si="1"/>
        <v>1.0209999999999999</v>
      </c>
      <c r="G49" s="549">
        <f t="shared" si="1"/>
        <v>1.0322309999999999</v>
      </c>
      <c r="H49" s="549">
        <f t="shared" si="1"/>
        <v>1.0508111579999997</v>
      </c>
      <c r="I49" s="549">
        <f t="shared" si="1"/>
        <v>1.0655225142119997</v>
      </c>
      <c r="J49" s="549">
        <f t="shared" si="1"/>
        <v>1.0772432618683316</v>
      </c>
      <c r="K49" s="549">
        <f t="shared" si="1"/>
        <v>1.1117150462481182</v>
      </c>
      <c r="L49" s="549">
        <f t="shared" si="1"/>
        <v>1.1150501913868625</v>
      </c>
      <c r="M49" s="549">
        <f t="shared" si="1"/>
        <v>1.1317759442576656</v>
      </c>
      <c r="N49" s="549">
        <f t="shared" si="1"/>
        <v>1.161202118808365</v>
      </c>
      <c r="O49" s="549">
        <f t="shared" si="1"/>
        <v>1.1879097675409571</v>
      </c>
      <c r="P49" s="549">
        <f t="shared" si="1"/>
        <v>1.2211712410321041</v>
      </c>
      <c r="Q49" s="549">
        <f t="shared" si="1"/>
        <v>1.233382953442425</v>
      </c>
      <c r="R49" s="752">
        <f t="shared" si="1"/>
        <v>1.2580506125112734</v>
      </c>
    </row>
    <row r="50" spans="1:18" s="148" customFormat="1">
      <c r="A50" s="544">
        <v>2004</v>
      </c>
      <c r="B50" s="547">
        <f t="shared" si="2"/>
        <v>1.0209999999999999</v>
      </c>
      <c r="C50" s="550"/>
      <c r="D50" s="550"/>
      <c r="E50" s="550"/>
      <c r="F50" s="548">
        <v>1</v>
      </c>
      <c r="G50" s="549">
        <f t="shared" si="1"/>
        <v>1.0109999999999999</v>
      </c>
      <c r="H50" s="549">
        <f t="shared" si="1"/>
        <v>1.0291979999999998</v>
      </c>
      <c r="I50" s="549">
        <f t="shared" si="1"/>
        <v>1.0436067719999997</v>
      </c>
      <c r="J50" s="549">
        <f t="shared" si="1"/>
        <v>1.0550864464919998</v>
      </c>
      <c r="K50" s="549">
        <f t="shared" si="1"/>
        <v>1.0888492127797438</v>
      </c>
      <c r="L50" s="549">
        <f t="shared" si="1"/>
        <v>1.0921157604180829</v>
      </c>
      <c r="M50" s="549">
        <f t="shared" si="1"/>
        <v>1.1084974968243542</v>
      </c>
      <c r="N50" s="549">
        <f t="shared" si="1"/>
        <v>1.1373184317417875</v>
      </c>
      <c r="O50" s="549">
        <f t="shared" si="1"/>
        <v>1.1634767556718484</v>
      </c>
      <c r="P50" s="549">
        <f t="shared" si="1"/>
        <v>1.1960541048306603</v>
      </c>
      <c r="Q50" s="549">
        <f t="shared" si="1"/>
        <v>1.2080146458789669</v>
      </c>
      <c r="R50" s="752">
        <f t="shared" si="1"/>
        <v>1.2321749387965459</v>
      </c>
    </row>
    <row r="51" spans="1:18" s="148" customFormat="1">
      <c r="A51" s="544">
        <v>2005</v>
      </c>
      <c r="B51" s="547">
        <f t="shared" si="2"/>
        <v>1.0109999999999999</v>
      </c>
      <c r="C51" s="550"/>
      <c r="D51" s="550"/>
      <c r="E51" s="550"/>
      <c r="F51" s="550"/>
      <c r="G51" s="548">
        <v>1</v>
      </c>
      <c r="H51" s="549">
        <f t="shared" si="1"/>
        <v>1.018</v>
      </c>
      <c r="I51" s="549">
        <f t="shared" si="1"/>
        <v>1.0322519999999999</v>
      </c>
      <c r="J51" s="549">
        <f t="shared" si="1"/>
        <v>1.043606772</v>
      </c>
      <c r="K51" s="549">
        <f t="shared" si="1"/>
        <v>1.077002188704</v>
      </c>
      <c r="L51" s="549">
        <f t="shared" si="1"/>
        <v>1.0802331952701119</v>
      </c>
      <c r="M51" s="549">
        <f t="shared" si="1"/>
        <v>1.0964366931991634</v>
      </c>
      <c r="N51" s="549">
        <f t="shared" si="1"/>
        <v>1.1249440472223418</v>
      </c>
      <c r="O51" s="549">
        <f t="shared" si="1"/>
        <v>1.1508177603084555</v>
      </c>
      <c r="P51" s="549">
        <f t="shared" si="1"/>
        <v>1.1830406575970924</v>
      </c>
      <c r="Q51" s="549">
        <f t="shared" si="1"/>
        <v>1.1948710641730633</v>
      </c>
      <c r="R51" s="752">
        <f t="shared" si="1"/>
        <v>1.2187684854565244</v>
      </c>
    </row>
    <row r="52" spans="1:18" s="148" customFormat="1">
      <c r="A52" s="544">
        <v>2006</v>
      </c>
      <c r="B52" s="547">
        <f t="shared" si="2"/>
        <v>1.018</v>
      </c>
      <c r="C52" s="550"/>
      <c r="D52" s="550"/>
      <c r="E52" s="550"/>
      <c r="F52" s="550"/>
      <c r="G52" s="550"/>
      <c r="H52" s="548">
        <v>1</v>
      </c>
      <c r="I52" s="549">
        <f t="shared" si="1"/>
        <v>1.014</v>
      </c>
      <c r="J52" s="549">
        <f t="shared" si="1"/>
        <v>1.0251539999999999</v>
      </c>
      <c r="K52" s="549">
        <f t="shared" si="1"/>
        <v>1.0579589279999999</v>
      </c>
      <c r="L52" s="549">
        <f t="shared" si="1"/>
        <v>1.0611328047839999</v>
      </c>
      <c r="M52" s="549">
        <f t="shared" si="1"/>
        <v>1.0770497968557597</v>
      </c>
      <c r="N52" s="549">
        <f t="shared" si="1"/>
        <v>1.1050530915740095</v>
      </c>
      <c r="O52" s="549">
        <f t="shared" si="1"/>
        <v>1.1304693126802117</v>
      </c>
      <c r="P52" s="549">
        <f t="shared" si="1"/>
        <v>1.1621224534352577</v>
      </c>
      <c r="Q52" s="549">
        <f t="shared" si="1"/>
        <v>1.1737436779696102</v>
      </c>
      <c r="R52" s="752">
        <f t="shared" si="1"/>
        <v>1.1972185515290024</v>
      </c>
    </row>
    <row r="53" spans="1:18" s="148" customFormat="1">
      <c r="A53" s="544">
        <v>2007</v>
      </c>
      <c r="B53" s="547">
        <f t="shared" si="2"/>
        <v>1.014</v>
      </c>
      <c r="C53" s="550"/>
      <c r="D53" s="550"/>
      <c r="E53" s="550"/>
      <c r="F53" s="550"/>
      <c r="G53" s="550"/>
      <c r="H53" s="550"/>
      <c r="I53" s="548">
        <v>1</v>
      </c>
      <c r="J53" s="549">
        <f t="shared" si="1"/>
        <v>1.0109999999999999</v>
      </c>
      <c r="K53" s="549">
        <f t="shared" si="1"/>
        <v>1.0433519999999998</v>
      </c>
      <c r="L53" s="549">
        <f t="shared" si="1"/>
        <v>1.0464820559999999</v>
      </c>
      <c r="M53" s="549">
        <f t="shared" si="1"/>
        <v>1.0621792868399997</v>
      </c>
      <c r="N53" s="549">
        <f t="shared" si="1"/>
        <v>1.0897959482978399</v>
      </c>
      <c r="O53" s="549">
        <f t="shared" si="1"/>
        <v>1.1148612551086901</v>
      </c>
      <c r="P53" s="549">
        <f t="shared" si="1"/>
        <v>1.1460773702517333</v>
      </c>
      <c r="Q53" s="549">
        <f t="shared" si="1"/>
        <v>1.1575381439542507</v>
      </c>
      <c r="R53" s="752">
        <f t="shared" si="1"/>
        <v>1.1806889068333357</v>
      </c>
    </row>
    <row r="54" spans="1:18" s="148" customFormat="1">
      <c r="A54" s="544">
        <v>2008</v>
      </c>
      <c r="B54" s="547">
        <f t="shared" si="2"/>
        <v>1.0109999999999999</v>
      </c>
      <c r="C54" s="550"/>
      <c r="D54" s="550"/>
      <c r="E54" s="550"/>
      <c r="F54" s="550"/>
      <c r="G54" s="550"/>
      <c r="H54" s="550"/>
      <c r="I54" s="550"/>
      <c r="J54" s="548">
        <v>1</v>
      </c>
      <c r="K54" s="549">
        <f t="shared" si="1"/>
        <v>1.032</v>
      </c>
      <c r="L54" s="549">
        <f t="shared" si="1"/>
        <v>1.035096</v>
      </c>
      <c r="M54" s="549">
        <f t="shared" si="1"/>
        <v>1.0506224399999999</v>
      </c>
      <c r="N54" s="549">
        <f t="shared" si="1"/>
        <v>1.0779386234399999</v>
      </c>
      <c r="O54" s="549">
        <f t="shared" si="1"/>
        <v>1.1027312117791199</v>
      </c>
      <c r="P54" s="549">
        <f t="shared" si="1"/>
        <v>1.1336076857089352</v>
      </c>
      <c r="Q54" s="549">
        <f t="shared" si="1"/>
        <v>1.1449437625660246</v>
      </c>
      <c r="R54" s="752">
        <f t="shared" si="1"/>
        <v>1.167842637817345</v>
      </c>
    </row>
    <row r="55" spans="1:18" s="148" customFormat="1">
      <c r="A55" s="544">
        <v>2009</v>
      </c>
      <c r="B55" s="547">
        <f t="shared" si="2"/>
        <v>1.032</v>
      </c>
      <c r="C55" s="550"/>
      <c r="D55" s="550"/>
      <c r="E55" s="550"/>
      <c r="F55" s="550"/>
      <c r="G55" s="550"/>
      <c r="H55" s="550"/>
      <c r="I55" s="550"/>
      <c r="J55" s="550"/>
      <c r="K55" s="548">
        <v>1</v>
      </c>
      <c r="L55" s="549">
        <f t="shared" si="1"/>
        <v>1.0029999999999999</v>
      </c>
      <c r="M55" s="549">
        <f t="shared" si="1"/>
        <v>1.0180449999999999</v>
      </c>
      <c r="N55" s="549">
        <f t="shared" si="1"/>
        <v>1.0445141699999998</v>
      </c>
      <c r="O55" s="549">
        <f t="shared" si="1"/>
        <v>1.0685379959099999</v>
      </c>
      <c r="P55" s="549">
        <f t="shared" si="1"/>
        <v>1.0984570597954799</v>
      </c>
      <c r="Q55" s="549">
        <f t="shared" si="1"/>
        <v>1.1094416303934347</v>
      </c>
      <c r="R55" s="752">
        <f t="shared" si="1"/>
        <v>1.1316304630013032</v>
      </c>
    </row>
    <row r="56" spans="1:18" s="148" customFormat="1">
      <c r="A56" s="544">
        <v>2010</v>
      </c>
      <c r="B56" s="547">
        <f t="shared" si="2"/>
        <v>1.0029999999999999</v>
      </c>
      <c r="C56" s="551"/>
      <c r="D56" s="551"/>
      <c r="E56" s="551"/>
      <c r="F56" s="551"/>
      <c r="G56" s="551"/>
      <c r="H56" s="551"/>
      <c r="I56" s="551"/>
      <c r="J56" s="551"/>
      <c r="K56" s="551"/>
      <c r="L56" s="552">
        <v>1</v>
      </c>
      <c r="M56" s="549">
        <f t="shared" si="1"/>
        <v>1.0149999999999999</v>
      </c>
      <c r="N56" s="549">
        <f t="shared" si="1"/>
        <v>1.0413899999999998</v>
      </c>
      <c r="O56" s="549">
        <f t="shared" si="1"/>
        <v>1.06534197</v>
      </c>
      <c r="P56" s="549">
        <f t="shared" si="1"/>
        <v>1.0951715451599999</v>
      </c>
      <c r="Q56" s="549">
        <f t="shared" si="1"/>
        <v>1.1061232606116</v>
      </c>
      <c r="R56" s="752">
        <f t="shared" si="1"/>
        <v>1.1282457258238319</v>
      </c>
    </row>
    <row r="57" spans="1:18" s="148" customFormat="1">
      <c r="A57" s="544">
        <v>2011</v>
      </c>
      <c r="B57" s="547">
        <f t="shared" si="2"/>
        <v>1.0149999999999999</v>
      </c>
      <c r="C57" s="551"/>
      <c r="D57" s="551"/>
      <c r="E57" s="551"/>
      <c r="F57" s="551"/>
      <c r="G57" s="551"/>
      <c r="H57" s="551"/>
      <c r="I57" s="551"/>
      <c r="J57" s="551"/>
      <c r="K57" s="551"/>
      <c r="L57" s="551"/>
      <c r="M57" s="552">
        <v>1</v>
      </c>
      <c r="N57" s="549">
        <f t="shared" si="1"/>
        <v>1.026</v>
      </c>
      <c r="O57" s="549">
        <f t="shared" si="1"/>
        <v>1.049598</v>
      </c>
      <c r="P57" s="549">
        <f t="shared" si="1"/>
        <v>1.0789867440000001</v>
      </c>
      <c r="Q57" s="549">
        <f>Q58*$B58</f>
        <v>1.08977661144</v>
      </c>
      <c r="R57" s="752">
        <f>R58*$B58</f>
        <v>1.1115721436688</v>
      </c>
    </row>
    <row r="58" spans="1:18" s="148" customFormat="1">
      <c r="A58" s="544">
        <v>2012</v>
      </c>
      <c r="B58" s="547">
        <f t="shared" si="2"/>
        <v>1.026</v>
      </c>
      <c r="C58" s="551"/>
      <c r="D58" s="551"/>
      <c r="E58" s="551"/>
      <c r="F58" s="551"/>
      <c r="G58" s="551"/>
      <c r="H58" s="551"/>
      <c r="I58" s="551"/>
      <c r="J58" s="551"/>
      <c r="K58" s="551"/>
      <c r="L58" s="551"/>
      <c r="M58" s="551"/>
      <c r="N58" s="552">
        <v>1</v>
      </c>
      <c r="O58" s="549">
        <f t="shared" si="1"/>
        <v>1.0229999999999999</v>
      </c>
      <c r="P58" s="549">
        <f t="shared" si="1"/>
        <v>1.051644</v>
      </c>
      <c r="Q58" s="549">
        <f t="shared" si="1"/>
        <v>1.06216044</v>
      </c>
      <c r="R58" s="752">
        <f t="shared" si="1"/>
        <v>1.0834036487999998</v>
      </c>
    </row>
    <row r="59" spans="1:18" s="148" customFormat="1">
      <c r="A59" s="544">
        <v>2013</v>
      </c>
      <c r="B59" s="547">
        <f t="shared" si="2"/>
        <v>1.0229999999999999</v>
      </c>
      <c r="C59" s="551"/>
      <c r="D59" s="551"/>
      <c r="E59" s="551"/>
      <c r="F59" s="551"/>
      <c r="G59" s="551"/>
      <c r="H59" s="551"/>
      <c r="I59" s="551"/>
      <c r="J59" s="551"/>
      <c r="K59" s="551"/>
      <c r="L59" s="551"/>
      <c r="M59" s="551"/>
      <c r="N59" s="551"/>
      <c r="O59" s="552">
        <v>1</v>
      </c>
      <c r="P59" s="549">
        <f>P60*$B60</f>
        <v>1.028</v>
      </c>
      <c r="Q59" s="549">
        <f>Q60*$B60</f>
        <v>1.0382800000000001</v>
      </c>
      <c r="R59" s="752">
        <f>R60*$B60</f>
        <v>1.0590455999999999</v>
      </c>
    </row>
    <row r="60" spans="1:18" s="148" customFormat="1">
      <c r="A60" s="544">
        <v>2014</v>
      </c>
      <c r="B60" s="732">
        <f t="shared" si="2"/>
        <v>1.028</v>
      </c>
      <c r="C60" s="926"/>
      <c r="D60" s="926"/>
      <c r="E60" s="926"/>
      <c r="F60" s="926"/>
      <c r="G60" s="926"/>
      <c r="H60" s="926"/>
      <c r="I60" s="926"/>
      <c r="J60" s="926"/>
      <c r="K60" s="926"/>
      <c r="L60" s="926"/>
      <c r="M60" s="926"/>
      <c r="N60" s="926"/>
      <c r="O60" s="926"/>
      <c r="P60" s="733">
        <v>1</v>
      </c>
      <c r="Q60" s="927">
        <f>Q61*$B61</f>
        <v>1.01</v>
      </c>
      <c r="R60" s="753">
        <f>R61*$B61</f>
        <v>1.0302</v>
      </c>
    </row>
    <row r="61" spans="1:18" s="148" customFormat="1">
      <c r="A61" s="526">
        <v>2015</v>
      </c>
      <c r="B61" s="928">
        <f t="shared" si="2"/>
        <v>1.01</v>
      </c>
      <c r="C61" s="551"/>
      <c r="D61" s="551"/>
      <c r="E61" s="551"/>
      <c r="F61" s="551"/>
      <c r="G61" s="551"/>
      <c r="H61" s="551"/>
      <c r="I61" s="551"/>
      <c r="J61" s="551"/>
      <c r="K61" s="551"/>
      <c r="L61" s="551"/>
      <c r="M61" s="551"/>
      <c r="N61" s="551"/>
      <c r="O61" s="551"/>
      <c r="P61" s="551"/>
      <c r="Q61" s="552">
        <v>1</v>
      </c>
      <c r="R61" s="744">
        <f>R62*$B62</f>
        <v>1.02</v>
      </c>
    </row>
    <row r="62" spans="1:18" s="148" customFormat="1">
      <c r="A62" s="755">
        <v>2016</v>
      </c>
      <c r="B62" s="756">
        <f>1+B42%</f>
        <v>1.02</v>
      </c>
      <c r="C62" s="553"/>
      <c r="D62" s="553"/>
      <c r="E62" s="553"/>
      <c r="F62" s="553"/>
      <c r="G62" s="553"/>
      <c r="H62" s="553"/>
      <c r="I62" s="553"/>
      <c r="J62" s="553"/>
      <c r="K62" s="553"/>
      <c r="L62" s="553"/>
      <c r="M62" s="553"/>
      <c r="N62" s="553"/>
      <c r="O62" s="553"/>
      <c r="P62" s="553"/>
      <c r="Q62" s="734"/>
      <c r="R62" s="741">
        <v>1</v>
      </c>
    </row>
    <row r="63" spans="1:18" s="148" customFormat="1">
      <c r="A63" s="137"/>
      <c r="B63" s="137"/>
      <c r="C63" s="137"/>
      <c r="D63" s="137"/>
      <c r="E63" s="137"/>
      <c r="F63" s="137"/>
      <c r="G63" s="137"/>
      <c r="H63" s="137"/>
      <c r="I63" s="137"/>
      <c r="J63" s="137"/>
      <c r="K63" s="137"/>
    </row>
    <row r="64" spans="1:18" s="148" customFormat="1">
      <c r="A64" s="215" t="s">
        <v>694</v>
      </c>
      <c r="B64" s="137"/>
      <c r="C64" s="521" t="s">
        <v>643</v>
      </c>
      <c r="D64" s="137"/>
      <c r="E64" s="137"/>
      <c r="F64" s="137"/>
      <c r="G64" s="137"/>
      <c r="H64" s="137"/>
      <c r="I64" s="137"/>
      <c r="J64" s="137"/>
      <c r="K64" s="137"/>
    </row>
    <row r="65" spans="1:11" s="118" customFormat="1">
      <c r="A65" s="214" t="s">
        <v>589</v>
      </c>
      <c r="B65" s="423">
        <f>100%-B66-B67</f>
        <v>0.93199999999999994</v>
      </c>
      <c r="C65" s="137"/>
      <c r="D65" s="137"/>
      <c r="E65" s="114"/>
      <c r="F65" s="114"/>
      <c r="G65" s="114"/>
      <c r="H65" s="114"/>
      <c r="I65" s="114"/>
      <c r="J65" s="114"/>
      <c r="K65" s="114"/>
    </row>
    <row r="66" spans="1:11" s="118" customFormat="1">
      <c r="A66" s="137" t="s">
        <v>692</v>
      </c>
      <c r="B66" s="423">
        <v>3.3000000000000002E-2</v>
      </c>
      <c r="C66" s="137"/>
      <c r="D66" s="137"/>
      <c r="E66" s="114"/>
      <c r="F66" s="114"/>
      <c r="G66" s="114"/>
      <c r="H66" s="114"/>
      <c r="I66" s="114"/>
      <c r="J66" s="114"/>
      <c r="K66" s="114"/>
    </row>
    <row r="67" spans="1:11" s="118" customFormat="1">
      <c r="A67" s="137" t="s">
        <v>693</v>
      </c>
      <c r="B67" s="423">
        <v>3.5000000000000003E-2</v>
      </c>
      <c r="C67" s="137"/>
      <c r="D67" s="137"/>
      <c r="E67" s="114"/>
      <c r="F67" s="114"/>
      <c r="G67" s="114"/>
      <c r="H67" s="114"/>
      <c r="I67" s="114"/>
      <c r="J67" s="114"/>
      <c r="K67" s="114"/>
    </row>
    <row r="68" spans="1:11" s="148" customFormat="1">
      <c r="A68" s="137"/>
      <c r="B68" s="137"/>
      <c r="C68" s="137"/>
      <c r="D68" s="137"/>
      <c r="E68" s="137"/>
      <c r="F68" s="137"/>
      <c r="G68" s="137"/>
      <c r="H68" s="137"/>
      <c r="I68" s="137"/>
      <c r="J68" s="137"/>
      <c r="K68" s="137"/>
    </row>
    <row r="69" spans="1:11" s="148" customFormat="1">
      <c r="A69" s="215" t="s">
        <v>711</v>
      </c>
      <c r="B69" s="137"/>
      <c r="C69" s="521" t="s">
        <v>643</v>
      </c>
      <c r="D69" s="137"/>
      <c r="E69" s="137"/>
      <c r="F69" s="137"/>
      <c r="G69" s="137"/>
      <c r="H69" s="137"/>
      <c r="I69" s="137"/>
      <c r="J69" s="137"/>
      <c r="K69" s="137"/>
    </row>
    <row r="70" spans="1:11" s="118" customFormat="1">
      <c r="A70" s="214" t="s">
        <v>589</v>
      </c>
      <c r="B70" s="816">
        <v>996568025.98063099</v>
      </c>
      <c r="C70" s="137"/>
      <c r="D70" s="137"/>
      <c r="E70" s="114"/>
      <c r="F70" s="114"/>
      <c r="G70" s="114"/>
      <c r="H70" s="114"/>
      <c r="I70" s="114"/>
      <c r="J70" s="114"/>
      <c r="K70" s="114"/>
    </row>
    <row r="71" spans="1:11" s="118" customFormat="1">
      <c r="A71" s="137" t="s">
        <v>692</v>
      </c>
      <c r="B71" s="816">
        <v>35286206.928498752</v>
      </c>
      <c r="C71" s="137"/>
      <c r="D71" s="137"/>
      <c r="E71" s="114"/>
      <c r="F71" s="114"/>
      <c r="G71" s="114"/>
      <c r="H71" s="114"/>
      <c r="I71" s="114"/>
      <c r="J71" s="114"/>
      <c r="K71" s="114"/>
    </row>
    <row r="72" spans="1:11" s="118" customFormat="1">
      <c r="A72" s="137" t="s">
        <v>693</v>
      </c>
      <c r="B72" s="816">
        <v>37424764.924165346</v>
      </c>
      <c r="C72" s="137"/>
      <c r="D72" s="137"/>
      <c r="E72" s="114"/>
      <c r="F72" s="114"/>
      <c r="G72" s="114"/>
      <c r="H72" s="114"/>
      <c r="I72" s="114"/>
      <c r="J72" s="114"/>
      <c r="K72" s="114"/>
    </row>
    <row r="73" spans="1:11" s="118" customFormat="1">
      <c r="A73" s="172" t="s">
        <v>651</v>
      </c>
      <c r="B73" s="816">
        <v>0</v>
      </c>
      <c r="C73" s="137"/>
      <c r="D73" s="137"/>
      <c r="E73" s="114"/>
      <c r="F73" s="114"/>
      <c r="G73" s="114"/>
      <c r="H73" s="114"/>
      <c r="I73" s="114"/>
      <c r="J73" s="114"/>
      <c r="K73" s="114"/>
    </row>
    <row r="74" spans="1:11" s="118" customFormat="1">
      <c r="A74" s="172" t="s">
        <v>652</v>
      </c>
      <c r="B74" s="816">
        <v>98573790.774709851</v>
      </c>
      <c r="C74" s="137"/>
      <c r="D74" s="137"/>
      <c r="E74" s="114"/>
      <c r="F74" s="114"/>
      <c r="G74" s="114"/>
      <c r="H74" s="114"/>
      <c r="I74" s="114"/>
      <c r="J74" s="114"/>
      <c r="K74" s="114"/>
    </row>
    <row r="75" spans="1:11" s="148" customFormat="1">
      <c r="A75" s="137"/>
      <c r="B75" s="137"/>
      <c r="C75" s="137"/>
      <c r="D75" s="137"/>
      <c r="E75" s="137"/>
      <c r="F75" s="137"/>
      <c r="G75" s="137"/>
      <c r="H75" s="137"/>
      <c r="I75" s="137"/>
      <c r="J75" s="137"/>
      <c r="K75" s="137"/>
    </row>
    <row r="76" spans="1:11" s="148" customFormat="1">
      <c r="A76" s="215" t="s">
        <v>712</v>
      </c>
      <c r="B76" s="114"/>
      <c r="C76" s="622"/>
      <c r="D76" s="114"/>
      <c r="E76" s="114"/>
      <c r="F76" s="137"/>
      <c r="G76" s="137"/>
      <c r="H76" s="137"/>
      <c r="I76" s="137"/>
      <c r="J76" s="137"/>
      <c r="K76" s="137"/>
    </row>
    <row r="77" spans="1:11" s="148" customFormat="1">
      <c r="A77" s="214" t="s">
        <v>589</v>
      </c>
      <c r="B77" s="929">
        <f>B70*(1+$B$40%-B18)</f>
        <v>968265494.04278111</v>
      </c>
      <c r="C77" s="114"/>
      <c r="D77" s="114"/>
      <c r="E77" s="114"/>
      <c r="F77" s="137"/>
      <c r="G77" s="137"/>
      <c r="H77" s="137"/>
      <c r="I77" s="137"/>
      <c r="J77" s="137"/>
      <c r="K77" s="137"/>
    </row>
    <row r="78" spans="1:11" s="148" customFormat="1">
      <c r="A78" s="137" t="s">
        <v>692</v>
      </c>
      <c r="B78" s="929">
        <f>B71*(1+$B$40%-B19)</f>
        <v>34284078.65172939</v>
      </c>
      <c r="C78" s="114"/>
      <c r="D78" s="114"/>
      <c r="E78" s="114"/>
      <c r="F78" s="137"/>
      <c r="G78" s="137"/>
      <c r="H78" s="137"/>
      <c r="I78" s="137"/>
      <c r="J78" s="137"/>
      <c r="K78" s="137"/>
    </row>
    <row r="79" spans="1:11" s="148" customFormat="1">
      <c r="A79" s="137" t="s">
        <v>693</v>
      </c>
      <c r="B79" s="929">
        <f>B72*(1+$B$40%-B20)</f>
        <v>36013851.286524311</v>
      </c>
      <c r="C79" s="114"/>
      <c r="D79" s="114"/>
      <c r="E79" s="114"/>
      <c r="F79" s="137"/>
      <c r="G79" s="137"/>
      <c r="H79" s="137"/>
      <c r="I79" s="137"/>
      <c r="J79" s="137"/>
      <c r="K79" s="137"/>
    </row>
    <row r="80" spans="1:11" s="148" customFormat="1">
      <c r="A80" s="172" t="s">
        <v>651</v>
      </c>
      <c r="B80" s="929">
        <f>B73*(1+$B$40%-B21)</f>
        <v>0</v>
      </c>
      <c r="C80" s="114"/>
      <c r="D80" s="114"/>
      <c r="E80" s="114"/>
      <c r="F80" s="137"/>
      <c r="G80" s="137"/>
      <c r="H80" s="137"/>
      <c r="I80" s="137"/>
      <c r="J80" s="137"/>
      <c r="K80" s="137"/>
    </row>
    <row r="81" spans="1:11" s="148" customFormat="1">
      <c r="A81" s="172" t="s">
        <v>652</v>
      </c>
      <c r="B81" s="929">
        <f>B74*(1+$B$40%-B22)</f>
        <v>92156636.995276242</v>
      </c>
      <c r="C81" s="114"/>
      <c r="D81" s="114"/>
      <c r="E81" s="114"/>
      <c r="F81" s="137"/>
      <c r="G81" s="137"/>
      <c r="H81" s="137"/>
      <c r="I81" s="137"/>
      <c r="J81" s="137"/>
      <c r="K81" s="137"/>
    </row>
    <row r="84" spans="1:11">
      <c r="A84" s="757" t="s">
        <v>808</v>
      </c>
    </row>
    <row r="85" spans="1:11">
      <c r="A85" s="214" t="s">
        <v>589</v>
      </c>
      <c r="B85" s="250">
        <f>B77*(1+$B$41%-B18)</f>
        <v>923337975.11919606</v>
      </c>
      <c r="F85" s="910"/>
    </row>
    <row r="86" spans="1:11">
      <c r="A86" s="137" t="s">
        <v>692</v>
      </c>
      <c r="B86" s="250">
        <f>B78*(1+$B$41%-B19)</f>
        <v>32693297.402289145</v>
      </c>
    </row>
    <row r="87" spans="1:11">
      <c r="A87" s="137" t="s">
        <v>693</v>
      </c>
      <c r="B87" s="250">
        <f>B79*(1+$B$41%-B20)</f>
        <v>34007879.769864909</v>
      </c>
    </row>
    <row r="88" spans="1:11">
      <c r="A88" s="172" t="s">
        <v>651</v>
      </c>
      <c r="B88" s="250">
        <f>B80*(1+$B$41%-B21)</f>
        <v>0</v>
      </c>
    </row>
    <row r="89" spans="1:11">
      <c r="A89" s="172" t="s">
        <v>652</v>
      </c>
      <c r="B89" s="250">
        <f>B81*(1+$B$41%-B22)</f>
        <v>84498420.460968792</v>
      </c>
      <c r="F89" s="910"/>
    </row>
    <row r="91" spans="1:11">
      <c r="A91" s="757" t="s">
        <v>853</v>
      </c>
    </row>
    <row r="92" spans="1:11">
      <c r="A92" s="214" t="s">
        <v>589</v>
      </c>
      <c r="B92" s="742">
        <f>B85*(1+$B$42%-B18)</f>
        <v>889728472.82485735</v>
      </c>
    </row>
    <row r="93" spans="1:11">
      <c r="A93" s="371" t="s">
        <v>692</v>
      </c>
      <c r="B93" s="742">
        <f t="shared" ref="B93:B96" si="3">B86*(1+$B$42%-B19)</f>
        <v>31503261.376845822</v>
      </c>
    </row>
    <row r="94" spans="1:11">
      <c r="A94" s="371" t="s">
        <v>693</v>
      </c>
      <c r="B94" s="742">
        <f t="shared" si="3"/>
        <v>32453719.664382085</v>
      </c>
    </row>
    <row r="95" spans="1:11">
      <c r="A95" s="355" t="s">
        <v>651</v>
      </c>
      <c r="B95" s="742">
        <f t="shared" si="3"/>
        <v>0</v>
      </c>
    </row>
    <row r="96" spans="1:11">
      <c r="A96" s="355" t="s">
        <v>652</v>
      </c>
      <c r="B96" s="742">
        <f t="shared" si="3"/>
        <v>78321585.925271973</v>
      </c>
    </row>
  </sheetData>
  <mergeCells count="1">
    <mergeCell ref="A1:Q1"/>
  </mergeCells>
  <phoneticPr fontId="20" type="noConversion"/>
  <pageMargins left="0.75" right="0.75" top="1" bottom="1" header="0.5" footer="0.5"/>
  <pageSetup paperSize="9" scale="37" orientation="landscape" r:id="rId1"/>
  <headerFooter alignWithMargins="0">
    <oddFooter>&amp;LEnergiekamer NMa&amp;R&amp;F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19"/>
  <sheetViews>
    <sheetView showGridLines="0" topLeftCell="P1" zoomScale="80" zoomScaleNormal="80" zoomScaleSheetLayoutView="25" workbookViewId="0">
      <selection activeCell="U41" sqref="U41"/>
    </sheetView>
  </sheetViews>
  <sheetFormatPr defaultRowHeight="12.75"/>
  <cols>
    <col min="1" max="1" width="43.42578125" style="171" customWidth="1"/>
    <col min="2" max="2" width="41.42578125" style="171" bestFit="1" customWidth="1"/>
    <col min="3" max="3" width="29.28515625" style="171" customWidth="1"/>
    <col min="4" max="4" width="22.7109375" style="171" customWidth="1"/>
    <col min="5" max="5" width="24" style="171" customWidth="1"/>
    <col min="6" max="6" width="21.85546875" style="171" customWidth="1"/>
    <col min="7" max="7" width="25.5703125" style="171" customWidth="1"/>
    <col min="8" max="8" width="25.140625" style="171" customWidth="1"/>
    <col min="9" max="9" width="25.28515625" style="171" customWidth="1"/>
    <col min="10" max="10" width="26.85546875" style="171" customWidth="1"/>
    <col min="11" max="11" width="27.42578125" style="171" customWidth="1"/>
    <col min="12" max="12" width="30.7109375" style="171" customWidth="1"/>
    <col min="13" max="13" width="30.28515625" style="171" customWidth="1"/>
    <col min="14" max="14" width="39.140625" style="171" customWidth="1"/>
    <col min="15" max="15" width="27.42578125" style="114" customWidth="1"/>
    <col min="16" max="16" width="32" style="171" customWidth="1"/>
    <col min="17" max="17" width="40.42578125" style="171" customWidth="1"/>
    <col min="18" max="18" width="28" style="171" customWidth="1"/>
    <col min="19" max="19" width="39.85546875" style="171" customWidth="1"/>
    <col min="20" max="20" width="39.7109375" style="171" customWidth="1"/>
    <col min="21" max="21" width="41.140625" style="1083" customWidth="1"/>
    <col min="22" max="22" width="5.7109375" style="171" customWidth="1"/>
    <col min="23" max="23" width="53.140625" style="144" bestFit="1" customWidth="1"/>
    <col min="24" max="16384" width="9.140625" style="23"/>
  </cols>
  <sheetData>
    <row r="1" spans="1:45" s="13" customFormat="1" ht="23.25" customHeight="1">
      <c r="A1" s="1703" t="s">
        <v>158</v>
      </c>
      <c r="B1" s="1704"/>
      <c r="C1" s="1704"/>
      <c r="D1" s="1704"/>
      <c r="E1" s="1704"/>
      <c r="F1" s="111"/>
      <c r="G1" s="112"/>
      <c r="H1" s="111"/>
      <c r="I1" s="112"/>
      <c r="J1" s="711"/>
      <c r="K1" s="711"/>
      <c r="L1" s="712"/>
      <c r="M1" s="638"/>
      <c r="N1" s="638"/>
      <c r="O1" s="638"/>
      <c r="P1" s="638"/>
      <c r="Q1" s="638"/>
      <c r="R1" s="731"/>
      <c r="S1" s="738"/>
      <c r="T1" s="738"/>
      <c r="U1" s="738" t="s">
        <v>165</v>
      </c>
      <c r="V1" s="96"/>
      <c r="W1" s="971" t="s">
        <v>813</v>
      </c>
    </row>
    <row r="2" spans="1:45" s="148" customFormat="1">
      <c r="A2" s="45"/>
      <c r="B2" s="25"/>
      <c r="C2" s="25"/>
      <c r="D2" s="25"/>
      <c r="E2" s="25"/>
      <c r="F2" s="25"/>
      <c r="G2" s="182"/>
      <c r="H2" s="182"/>
      <c r="I2" s="182"/>
      <c r="J2" s="182"/>
      <c r="K2" s="182"/>
      <c r="L2" s="25"/>
      <c r="M2" s="25"/>
      <c r="N2" s="182"/>
      <c r="O2" s="123"/>
      <c r="P2" s="182"/>
      <c r="Q2" s="182"/>
      <c r="R2" s="182"/>
      <c r="S2" s="182"/>
      <c r="T2" s="182"/>
      <c r="U2" s="1075"/>
      <c r="V2" s="137"/>
      <c r="W2" s="728"/>
    </row>
    <row r="3" spans="1:45" s="148" customFormat="1">
      <c r="A3" s="713" t="s">
        <v>17</v>
      </c>
      <c r="B3" s="714"/>
      <c r="C3" s="182"/>
      <c r="D3" s="182"/>
      <c r="E3" s="182"/>
      <c r="F3" s="182"/>
      <c r="G3" s="182"/>
      <c r="H3" s="182"/>
      <c r="I3" s="182"/>
      <c r="J3" s="182"/>
      <c r="K3" s="182"/>
      <c r="L3" s="182"/>
      <c r="M3" s="182"/>
      <c r="N3" s="182"/>
      <c r="O3" s="123"/>
      <c r="P3" s="182"/>
      <c r="Q3" s="182"/>
      <c r="R3" s="182"/>
      <c r="S3" s="182"/>
      <c r="T3" s="182"/>
      <c r="U3" s="1075"/>
      <c r="V3" s="137"/>
      <c r="W3" s="728"/>
    </row>
    <row r="4" spans="1:45" s="342" customFormat="1">
      <c r="A4" s="278" t="s">
        <v>690</v>
      </c>
      <c r="B4" s="1097">
        <v>5.8000000000000003E-2</v>
      </c>
      <c r="C4" s="342" t="s">
        <v>682</v>
      </c>
      <c r="K4" s="121"/>
      <c r="M4" s="121"/>
      <c r="P4" s="121"/>
      <c r="S4" s="121"/>
      <c r="U4" s="1076"/>
      <c r="W4" s="728"/>
      <c r="AM4" s="121"/>
      <c r="AN4" s="121"/>
      <c r="AO4" s="121"/>
      <c r="AS4" s="345"/>
    </row>
    <row r="5" spans="1:45" s="148" customFormat="1">
      <c r="A5" s="213" t="s">
        <v>563</v>
      </c>
      <c r="B5" s="351">
        <v>3.5999999999999997E-2</v>
      </c>
      <c r="C5" s="342" t="s">
        <v>894</v>
      </c>
      <c r="D5" s="182"/>
      <c r="E5" s="182"/>
      <c r="F5" s="182"/>
      <c r="G5" s="182"/>
      <c r="H5" s="182"/>
      <c r="I5" s="182"/>
      <c r="J5" s="182"/>
      <c r="K5" s="182"/>
      <c r="L5" s="182"/>
      <c r="M5" s="182"/>
      <c r="N5" s="182"/>
      <c r="O5" s="123"/>
      <c r="P5" s="182"/>
      <c r="Q5" s="182"/>
      <c r="R5" s="182"/>
      <c r="S5" s="182"/>
      <c r="T5" s="182"/>
      <c r="U5" s="1075"/>
      <c r="V5" s="137"/>
      <c r="W5" s="727"/>
    </row>
    <row r="6" spans="1:45" s="148" customFormat="1">
      <c r="A6" s="278" t="s">
        <v>713</v>
      </c>
      <c r="B6" s="351">
        <v>0.01</v>
      </c>
      <c r="C6" s="342" t="s">
        <v>894</v>
      </c>
      <c r="D6" s="182"/>
      <c r="E6" s="182"/>
      <c r="F6" s="182"/>
      <c r="G6" s="182"/>
      <c r="H6" s="182"/>
      <c r="I6" s="182"/>
      <c r="U6" s="1077"/>
      <c r="V6" s="137"/>
      <c r="W6" s="728"/>
    </row>
    <row r="7" spans="1:45" s="148" customFormat="1">
      <c r="A7" s="213"/>
      <c r="B7" s="715"/>
      <c r="C7" s="182"/>
      <c r="U7" s="1077"/>
      <c r="V7" s="137"/>
      <c r="W7" s="727"/>
    </row>
    <row r="8" spans="1:45" s="148" customFormat="1">
      <c r="A8" s="713" t="s">
        <v>509</v>
      </c>
      <c r="U8" s="1077"/>
      <c r="W8" s="728"/>
    </row>
    <row r="9" spans="1:45" s="148" customFormat="1">
      <c r="A9" s="263" t="s">
        <v>511</v>
      </c>
      <c r="B9" s="77" t="s">
        <v>504</v>
      </c>
      <c r="C9" s="343">
        <v>2013</v>
      </c>
      <c r="D9" s="344">
        <v>2014</v>
      </c>
      <c r="E9" s="344">
        <v>2015</v>
      </c>
      <c r="F9" s="784">
        <v>2016</v>
      </c>
      <c r="G9" s="747"/>
      <c r="H9" s="747"/>
      <c r="I9" s="746"/>
      <c r="U9" s="1077"/>
      <c r="W9" s="727"/>
    </row>
    <row r="10" spans="1:45" s="148" customFormat="1">
      <c r="A10" s="278">
        <v>2013</v>
      </c>
      <c r="B10" s="346">
        <f>Parameters!B59</f>
        <v>1.0229999999999999</v>
      </c>
      <c r="C10" s="249">
        <f>Parameters!O59</f>
        <v>1</v>
      </c>
      <c r="D10" s="249">
        <f>Parameters!P59</f>
        <v>1.028</v>
      </c>
      <c r="E10" s="249">
        <f>Parameters!Q59</f>
        <v>1.0382800000000001</v>
      </c>
      <c r="F10" s="783">
        <f>Parameters!R59</f>
        <v>1.0590455999999999</v>
      </c>
      <c r="G10" s="747"/>
      <c r="H10" s="747"/>
      <c r="I10" s="746"/>
      <c r="U10" s="1077"/>
      <c r="W10" s="728"/>
    </row>
    <row r="11" spans="1:45" s="148" customFormat="1">
      <c r="A11" s="264">
        <v>2014</v>
      </c>
      <c r="B11" s="346">
        <f>Parameters!B60</f>
        <v>1.028</v>
      </c>
      <c r="C11" s="781"/>
      <c r="D11" s="249">
        <f>Parameters!P60</f>
        <v>1</v>
      </c>
      <c r="E11" s="249">
        <f>Parameters!Q60</f>
        <v>1.01</v>
      </c>
      <c r="F11" s="783">
        <f>Parameters!R60</f>
        <v>1.0302</v>
      </c>
      <c r="G11" s="747"/>
      <c r="H11" s="747"/>
      <c r="I11" s="746"/>
      <c r="U11" s="1077"/>
      <c r="W11" s="727"/>
    </row>
    <row r="12" spans="1:45" s="148" customFormat="1">
      <c r="A12" s="264">
        <v>2015</v>
      </c>
      <c r="B12" s="346">
        <f>Parameters!B61</f>
        <v>1.01</v>
      </c>
      <c r="C12" s="781"/>
      <c r="D12" s="781"/>
      <c r="E12" s="249">
        <f>Parameters!Q61</f>
        <v>1</v>
      </c>
      <c r="F12" s="783">
        <f>Parameters!R61</f>
        <v>1.02</v>
      </c>
      <c r="G12" s="747"/>
      <c r="H12" s="747"/>
      <c r="I12" s="746"/>
      <c r="J12" s="721"/>
      <c r="K12" s="729"/>
      <c r="L12" s="172"/>
      <c r="M12" s="190"/>
      <c r="N12" s="963"/>
      <c r="O12" s="190"/>
      <c r="P12" s="964"/>
      <c r="Q12" s="964"/>
      <c r="R12" s="964"/>
      <c r="S12" s="964"/>
      <c r="T12" s="721"/>
      <c r="U12" s="1078"/>
      <c r="W12" s="728"/>
    </row>
    <row r="13" spans="1:45" s="148" customFormat="1">
      <c r="A13" s="782">
        <v>2016</v>
      </c>
      <c r="B13" s="797">
        <f>Parameters!B62</f>
        <v>1.02</v>
      </c>
      <c r="C13" s="781"/>
      <c r="D13" s="781"/>
      <c r="E13" s="781"/>
      <c r="F13" s="783">
        <f>Parameters!R62</f>
        <v>1</v>
      </c>
      <c r="G13" s="979"/>
      <c r="H13" s="747"/>
      <c r="I13" s="746"/>
      <c r="K13" s="172"/>
      <c r="L13" s="117"/>
      <c r="M13" s="172"/>
      <c r="N13" s="172"/>
      <c r="O13" s="172"/>
      <c r="P13" s="172"/>
      <c r="Q13" s="172"/>
      <c r="R13" s="172"/>
      <c r="S13" s="172"/>
      <c r="T13" s="172"/>
      <c r="U13" s="1077"/>
      <c r="W13" s="727"/>
    </row>
    <row r="14" spans="1:45" s="148" customFormat="1">
      <c r="B14" s="796"/>
      <c r="C14" s="748"/>
      <c r="D14" s="748"/>
      <c r="E14" s="748"/>
      <c r="F14" s="796"/>
      <c r="G14" s="172"/>
      <c r="H14" s="172"/>
      <c r="I14" s="172"/>
      <c r="J14" s="172"/>
      <c r="K14" s="172"/>
      <c r="L14" s="172"/>
      <c r="M14" s="172"/>
      <c r="N14" s="172"/>
      <c r="O14" s="117"/>
      <c r="P14" s="172"/>
      <c r="Q14" s="172"/>
      <c r="R14" s="172"/>
      <c r="S14" s="172"/>
      <c r="T14" s="172"/>
      <c r="U14" s="1077"/>
      <c r="W14" s="728"/>
    </row>
    <row r="15" spans="1:45" s="148" customFormat="1">
      <c r="B15" s="743"/>
      <c r="C15" s="747"/>
      <c r="D15" s="747"/>
      <c r="E15" s="747"/>
      <c r="F15" s="746"/>
      <c r="G15" s="172"/>
      <c r="H15" s="172"/>
      <c r="I15" s="172"/>
      <c r="J15" s="172"/>
      <c r="K15" s="172"/>
      <c r="L15" s="172"/>
      <c r="M15" s="172"/>
      <c r="N15" s="172"/>
      <c r="O15" s="117"/>
      <c r="P15" s="172"/>
      <c r="Q15" s="172"/>
      <c r="R15" s="172"/>
      <c r="S15" s="172"/>
      <c r="T15" s="172"/>
      <c r="U15" s="1077"/>
      <c r="W15" s="727"/>
    </row>
    <row r="16" spans="1:45" s="148" customFormat="1">
      <c r="B16" s="743"/>
      <c r="C16" s="749"/>
      <c r="D16" s="747"/>
      <c r="E16" s="747"/>
      <c r="F16" s="746"/>
      <c r="G16" s="355"/>
      <c r="H16" s="172"/>
      <c r="I16" s="172"/>
      <c r="J16" s="172"/>
      <c r="K16" s="172"/>
      <c r="L16" s="172"/>
      <c r="M16" s="172"/>
      <c r="N16" s="172"/>
      <c r="O16" s="117"/>
      <c r="P16" s="172"/>
      <c r="Q16" s="172"/>
      <c r="R16" s="172"/>
      <c r="S16" s="172"/>
      <c r="T16" s="172"/>
      <c r="U16" s="1077"/>
      <c r="W16" s="728"/>
    </row>
    <row r="17" spans="1:38" s="172" customFormat="1">
      <c r="A17" s="713" t="s">
        <v>552</v>
      </c>
      <c r="B17" s="223">
        <v>2013</v>
      </c>
      <c r="C17" s="223">
        <v>2014</v>
      </c>
      <c r="D17" s="184"/>
      <c r="E17" s="177"/>
      <c r="F17" s="177" t="s">
        <v>568</v>
      </c>
      <c r="G17" s="172" t="s">
        <v>568</v>
      </c>
      <c r="O17" s="117"/>
      <c r="U17" s="1077"/>
      <c r="V17" s="148"/>
      <c r="W17" s="727"/>
      <c r="X17" s="148"/>
      <c r="Y17" s="148"/>
      <c r="Z17" s="148"/>
      <c r="AA17" s="148"/>
      <c r="AB17" s="148"/>
      <c r="AC17" s="148"/>
      <c r="AD17" s="148"/>
      <c r="AE17" s="148"/>
      <c r="AF17" s="148"/>
      <c r="AG17" s="148"/>
      <c r="AH17" s="148"/>
      <c r="AI17" s="148"/>
      <c r="AJ17" s="462"/>
      <c r="AK17" s="148"/>
      <c r="AL17" s="148"/>
    </row>
    <row r="18" spans="1:38" s="182" customFormat="1">
      <c r="A18" s="264" t="s">
        <v>864</v>
      </c>
      <c r="B18" s="170">
        <f>Parameters!O11</f>
        <v>7.3790587235475158E-2</v>
      </c>
      <c r="C18" s="170">
        <f>Parameters!P11</f>
        <v>3.9999999999999591E-2</v>
      </c>
      <c r="D18" s="177"/>
      <c r="E18" s="177" t="s">
        <v>568</v>
      </c>
      <c r="F18" s="464"/>
      <c r="O18" s="123"/>
      <c r="U18" s="1075"/>
      <c r="V18" s="137"/>
      <c r="W18" s="728"/>
      <c r="X18" s="137"/>
      <c r="Y18" s="137"/>
      <c r="Z18" s="137"/>
      <c r="AA18" s="137"/>
      <c r="AB18" s="137"/>
      <c r="AC18" s="137"/>
      <c r="AD18" s="137"/>
      <c r="AE18" s="137"/>
      <c r="AF18" s="137"/>
      <c r="AG18" s="137"/>
      <c r="AH18" s="137"/>
      <c r="AI18" s="137"/>
      <c r="AJ18" s="465"/>
      <c r="AK18" s="137"/>
      <c r="AL18" s="137"/>
    </row>
    <row r="19" spans="1:38" s="182" customFormat="1">
      <c r="A19" s="264"/>
      <c r="B19" s="401"/>
      <c r="C19" s="401"/>
      <c r="D19" s="177"/>
      <c r="E19" s="177"/>
      <c r="F19" s="464"/>
      <c r="J19" s="1164"/>
      <c r="O19" s="123"/>
      <c r="U19" s="1075"/>
      <c r="V19" s="137"/>
      <c r="W19" s="727"/>
      <c r="X19" s="137"/>
      <c r="Y19" s="137"/>
      <c r="Z19" s="137"/>
      <c r="AA19" s="137"/>
      <c r="AB19" s="137"/>
      <c r="AC19" s="137"/>
      <c r="AD19" s="137"/>
      <c r="AE19" s="137"/>
      <c r="AF19" s="137"/>
      <c r="AG19" s="137"/>
      <c r="AH19" s="137"/>
      <c r="AI19" s="137"/>
      <c r="AJ19" s="465"/>
      <c r="AK19" s="137"/>
      <c r="AL19" s="137"/>
    </row>
    <row r="20" spans="1:38" s="148" customFormat="1">
      <c r="A20" s="716"/>
      <c r="B20" s="420"/>
      <c r="C20" s="172"/>
      <c r="D20" s="729"/>
      <c r="E20" s="172"/>
      <c r="F20" s="172"/>
      <c r="G20" s="172"/>
      <c r="H20" s="172"/>
      <c r="I20" s="172"/>
      <c r="J20" s="1163"/>
      <c r="K20" s="172"/>
      <c r="L20" s="172"/>
      <c r="M20" s="172"/>
      <c r="N20" s="172"/>
      <c r="O20" s="117"/>
      <c r="P20" s="172"/>
      <c r="Q20" s="172"/>
      <c r="R20" s="172"/>
      <c r="S20" s="172"/>
      <c r="T20" s="172"/>
      <c r="U20" s="1077"/>
      <c r="W20" s="728"/>
    </row>
    <row r="21" spans="1:38" s="359" customFormat="1" ht="18" customHeight="1">
      <c r="A21" s="1098" t="s">
        <v>862</v>
      </c>
      <c r="B21" s="971"/>
      <c r="C21" s="971"/>
      <c r="D21" s="971"/>
      <c r="E21" s="971"/>
      <c r="F21" s="1158" t="s">
        <v>960</v>
      </c>
      <c r="G21" s="737" t="s">
        <v>865</v>
      </c>
      <c r="H21" s="737" t="s">
        <v>855</v>
      </c>
      <c r="I21" s="1157" t="s">
        <v>851</v>
      </c>
      <c r="J21" s="1186" t="s">
        <v>965</v>
      </c>
      <c r="K21" s="1696" t="s">
        <v>876</v>
      </c>
      <c r="L21" s="1696"/>
      <c r="M21" s="1696"/>
      <c r="N21" s="1696" t="s">
        <v>889</v>
      </c>
      <c r="O21" s="1696"/>
      <c r="P21" s="1696"/>
      <c r="U21" s="1079"/>
      <c r="W21" s="727"/>
    </row>
    <row r="22" spans="1:38" s="426" customFormat="1">
      <c r="A22" s="757"/>
      <c r="B22" s="737"/>
      <c r="C22" s="737"/>
      <c r="D22" s="737"/>
      <c r="E22" s="737"/>
      <c r="F22" s="1158">
        <v>2014</v>
      </c>
      <c r="G22" s="757"/>
      <c r="H22" s="1157">
        <v>2014</v>
      </c>
      <c r="I22" s="1157">
        <v>2015</v>
      </c>
      <c r="J22" s="1166">
        <v>2015</v>
      </c>
      <c r="K22" s="1070" t="s">
        <v>890</v>
      </c>
      <c r="L22" s="1070" t="s">
        <v>891</v>
      </c>
      <c r="M22" s="1070" t="s">
        <v>892</v>
      </c>
      <c r="N22" s="1070" t="s">
        <v>582</v>
      </c>
      <c r="O22" s="1070" t="s">
        <v>583</v>
      </c>
      <c r="P22" s="1070" t="s">
        <v>545</v>
      </c>
      <c r="S22" s="1113"/>
      <c r="U22" s="1080"/>
      <c r="W22" s="728"/>
    </row>
    <row r="23" spans="1:38" s="426" customFormat="1">
      <c r="A23" s="279" t="s">
        <v>505</v>
      </c>
      <c r="B23" s="971" t="s">
        <v>540</v>
      </c>
      <c r="C23" s="971" t="s">
        <v>542</v>
      </c>
      <c r="D23" s="971" t="s">
        <v>506</v>
      </c>
      <c r="E23" s="971" t="s">
        <v>541</v>
      </c>
      <c r="F23" s="1158" t="s">
        <v>945</v>
      </c>
      <c r="G23" s="757" t="s">
        <v>964</v>
      </c>
      <c r="H23" s="1157" t="s">
        <v>857</v>
      </c>
      <c r="I23" s="1157" t="s">
        <v>857</v>
      </c>
      <c r="J23" s="1166" t="s">
        <v>860</v>
      </c>
      <c r="K23" s="1070"/>
      <c r="L23" s="1070"/>
      <c r="M23" s="1070"/>
      <c r="N23" s="1070" t="s">
        <v>860</v>
      </c>
      <c r="O23" s="1070" t="s">
        <v>860</v>
      </c>
      <c r="P23" s="1070" t="s">
        <v>860</v>
      </c>
      <c r="S23" s="1113"/>
      <c r="U23" s="1080"/>
      <c r="W23" s="727"/>
    </row>
    <row r="24" spans="1:38" s="148" customFormat="1">
      <c r="A24" s="987"/>
      <c r="B24" s="496"/>
      <c r="C24" s="736"/>
      <c r="D24" s="496"/>
      <c r="E24" s="988"/>
      <c r="F24" s="1005"/>
      <c r="G24" s="449"/>
      <c r="H24" s="1074"/>
      <c r="I24" s="427"/>
      <c r="J24" s="169"/>
      <c r="K24" s="720"/>
      <c r="L24" s="720"/>
      <c r="M24" s="720"/>
      <c r="N24" s="183"/>
      <c r="O24" s="183"/>
      <c r="P24" s="183"/>
      <c r="S24" s="1113"/>
      <c r="U24" s="1077"/>
      <c r="W24" s="728"/>
    </row>
    <row r="25" spans="1:38" s="148" customFormat="1">
      <c r="A25" s="722"/>
      <c r="B25" s="718"/>
      <c r="C25" s="719"/>
      <c r="D25" s="718"/>
      <c r="E25" s="730"/>
      <c r="F25" s="730"/>
      <c r="G25" s="449"/>
      <c r="H25" s="1074"/>
      <c r="I25" s="427"/>
      <c r="J25" s="169"/>
      <c r="K25" s="720"/>
      <c r="L25" s="720"/>
      <c r="M25" s="720"/>
      <c r="N25" s="183"/>
      <c r="O25" s="183"/>
      <c r="P25" s="183"/>
      <c r="S25" s="1113"/>
      <c r="U25" s="1077"/>
      <c r="W25" s="727"/>
    </row>
    <row r="26" spans="1:38" s="148" customFormat="1">
      <c r="A26" s="978"/>
      <c r="B26" s="980"/>
      <c r="C26" s="981"/>
      <c r="D26" s="980"/>
      <c r="E26" s="969"/>
      <c r="F26" s="980"/>
      <c r="G26" s="1022"/>
      <c r="H26" s="982"/>
      <c r="I26" s="983"/>
      <c r="J26" s="969"/>
      <c r="K26" s="984"/>
      <c r="L26" s="984"/>
      <c r="M26" s="984"/>
      <c r="N26" s="985">
        <f>SUM(N24:N25)</f>
        <v>0</v>
      </c>
      <c r="O26" s="985">
        <f>SUM(O24:O25)</f>
        <v>0</v>
      </c>
      <c r="P26" s="986">
        <f>SUM(P24:P25)</f>
        <v>0</v>
      </c>
      <c r="U26" s="1077"/>
      <c r="W26" s="728"/>
    </row>
    <row r="27" spans="1:38" s="148" customFormat="1">
      <c r="A27" s="972"/>
      <c r="B27" s="972"/>
      <c r="C27" s="972"/>
      <c r="D27" s="972"/>
      <c r="E27" s="972"/>
      <c r="F27" s="973"/>
      <c r="G27" s="972"/>
      <c r="H27" s="972"/>
      <c r="I27" s="972"/>
      <c r="J27" s="974"/>
      <c r="K27" s="974"/>
      <c r="L27" s="974"/>
      <c r="M27" s="972"/>
      <c r="N27" s="972"/>
      <c r="O27" s="972"/>
      <c r="P27" s="975"/>
      <c r="Q27" s="972"/>
      <c r="R27" s="974"/>
      <c r="S27" s="974"/>
      <c r="T27" s="974"/>
      <c r="U27" s="1081"/>
      <c r="V27" s="965"/>
      <c r="W27" s="727"/>
    </row>
    <row r="28" spans="1:38" s="148" customFormat="1">
      <c r="A28" s="1099" t="s">
        <v>962</v>
      </c>
      <c r="B28" s="875"/>
      <c r="C28" s="976"/>
      <c r="D28" s="875"/>
      <c r="E28" s="977"/>
      <c r="F28" s="1023"/>
      <c r="G28" s="966" t="s">
        <v>979</v>
      </c>
      <c r="H28" s="1166" t="s">
        <v>854</v>
      </c>
      <c r="I28" s="968" t="s">
        <v>858</v>
      </c>
      <c r="J28" s="1071" t="s">
        <v>963</v>
      </c>
      <c r="K28" s="737" t="s">
        <v>934</v>
      </c>
      <c r="L28" s="737" t="s">
        <v>934</v>
      </c>
      <c r="M28" s="966" t="s">
        <v>714</v>
      </c>
      <c r="N28" s="966" t="s">
        <v>854</v>
      </c>
      <c r="O28" s="737" t="s">
        <v>855</v>
      </c>
      <c r="P28" s="966" t="s">
        <v>859</v>
      </c>
      <c r="Q28" s="912" t="s">
        <v>854</v>
      </c>
      <c r="R28" s="966" t="s">
        <v>851</v>
      </c>
      <c r="S28" s="1072" t="s">
        <v>861</v>
      </c>
      <c r="T28" s="1073" t="s">
        <v>966</v>
      </c>
      <c r="U28" s="1073" t="s">
        <v>967</v>
      </c>
      <c r="W28" s="728"/>
    </row>
    <row r="29" spans="1:38" s="148" customFormat="1">
      <c r="A29" s="875"/>
      <c r="B29" s="875"/>
      <c r="C29" s="976"/>
      <c r="D29" s="875"/>
      <c r="E29" s="977"/>
      <c r="F29" s="1023"/>
      <c r="G29" s="737" t="s">
        <v>943</v>
      </c>
      <c r="H29" s="1166">
        <v>2014</v>
      </c>
      <c r="I29" s="968">
        <v>2014</v>
      </c>
      <c r="J29" s="737"/>
      <c r="K29" s="737">
        <v>2014</v>
      </c>
      <c r="L29" s="968">
        <v>2015</v>
      </c>
      <c r="M29" s="757"/>
      <c r="N29" s="966">
        <v>2014</v>
      </c>
      <c r="O29" s="966">
        <v>2014</v>
      </c>
      <c r="P29" s="966">
        <v>2014</v>
      </c>
      <c r="Q29" s="912">
        <v>2015</v>
      </c>
      <c r="R29" s="966">
        <v>2015</v>
      </c>
      <c r="S29" s="1072" t="s">
        <v>860</v>
      </c>
      <c r="T29" s="1073">
        <v>2015</v>
      </c>
      <c r="U29" s="1073">
        <v>2015</v>
      </c>
      <c r="W29" s="727"/>
    </row>
    <row r="30" spans="1:38" s="148" customFormat="1">
      <c r="A30" s="757" t="s">
        <v>166</v>
      </c>
      <c r="B30" s="1024" t="s">
        <v>167</v>
      </c>
      <c r="C30" s="966" t="s">
        <v>540</v>
      </c>
      <c r="D30" s="966" t="s">
        <v>542</v>
      </c>
      <c r="E30" s="1025" t="s">
        <v>506</v>
      </c>
      <c r="F30" s="1025" t="s">
        <v>541</v>
      </c>
      <c r="G30" s="912" t="s">
        <v>715</v>
      </c>
      <c r="H30" s="1166" t="s">
        <v>944</v>
      </c>
      <c r="I30" s="1070"/>
      <c r="J30" s="737"/>
      <c r="K30" s="737"/>
      <c r="L30" s="757"/>
      <c r="M30" s="225"/>
      <c r="N30" s="966" t="s">
        <v>857</v>
      </c>
      <c r="O30" s="966" t="s">
        <v>857</v>
      </c>
      <c r="P30" s="966" t="s">
        <v>860</v>
      </c>
      <c r="Q30" s="966" t="s">
        <v>857</v>
      </c>
      <c r="R30" s="966" t="s">
        <v>857</v>
      </c>
      <c r="S30" s="737" t="s">
        <v>933</v>
      </c>
      <c r="T30" s="745"/>
      <c r="U30" s="1073" t="s">
        <v>968</v>
      </c>
      <c r="W30" s="728"/>
    </row>
    <row r="31" spans="1:38" s="148" customFormat="1">
      <c r="A31" s="1559"/>
      <c r="B31" s="1560"/>
      <c r="C31" s="1561"/>
      <c r="D31" s="1562"/>
      <c r="E31" s="1561"/>
      <c r="F31" s="1563"/>
      <c r="G31" s="1564"/>
      <c r="H31" s="1561"/>
      <c r="I31" s="1561"/>
      <c r="J31" s="1561"/>
      <c r="K31" s="1565"/>
      <c r="L31" s="1565"/>
      <c r="M31" s="1566"/>
      <c r="N31" s="1566"/>
      <c r="O31" s="1567"/>
      <c r="P31" s="1552"/>
      <c r="Q31" s="1566"/>
      <c r="R31" s="1568"/>
      <c r="S31" s="1569"/>
      <c r="T31" s="1566"/>
      <c r="U31" s="1088">
        <v>0.112</v>
      </c>
      <c r="W31" s="1323" t="s">
        <v>1252</v>
      </c>
    </row>
    <row r="32" spans="1:38" s="148" customFormat="1" ht="13.5" thickBot="1">
      <c r="A32" s="1559"/>
      <c r="B32" s="1560"/>
      <c r="C32" s="1561"/>
      <c r="D32" s="1570"/>
      <c r="E32" s="1561"/>
      <c r="F32" s="1552"/>
      <c r="G32" s="1564"/>
      <c r="H32" s="1552"/>
      <c r="I32" s="1552"/>
      <c r="J32" s="1561"/>
      <c r="K32" s="1565"/>
      <c r="L32" s="1565"/>
      <c r="M32" s="1566"/>
      <c r="N32" s="1566"/>
      <c r="O32" s="1567"/>
      <c r="P32" s="1552"/>
      <c r="Q32" s="1566"/>
      <c r="R32" s="1568"/>
      <c r="S32" s="1569"/>
      <c r="T32" s="1566"/>
      <c r="U32" s="1088">
        <v>0.26800000000000002</v>
      </c>
      <c r="W32" s="728"/>
    </row>
    <row r="33" spans="1:43" s="148" customFormat="1" ht="13.5" thickTop="1">
      <c r="A33" s="219"/>
      <c r="B33" s="182"/>
      <c r="C33" s="182"/>
      <c r="D33" s="182"/>
      <c r="E33" s="182"/>
      <c r="F33" s="182"/>
      <c r="G33" s="182"/>
      <c r="H33" s="182"/>
      <c r="I33" s="182"/>
      <c r="J33" s="182"/>
      <c r="K33" s="639"/>
      <c r="L33" s="639"/>
      <c r="M33" s="989"/>
      <c r="N33" s="128"/>
      <c r="O33" s="639"/>
      <c r="P33" s="639"/>
      <c r="Q33" s="967"/>
      <c r="R33" s="408"/>
      <c r="S33" s="1084">
        <v>99327.717339740266</v>
      </c>
      <c r="T33" s="739"/>
      <c r="U33" s="739"/>
      <c r="W33" s="727"/>
    </row>
    <row r="34" spans="1:43" s="148" customFormat="1">
      <c r="A34" s="713" t="s">
        <v>160</v>
      </c>
      <c r="B34" s="580"/>
      <c r="C34" s="580"/>
      <c r="D34" s="182"/>
      <c r="E34" s="182"/>
      <c r="F34" s="182"/>
      <c r="G34" s="182"/>
      <c r="H34" s="182"/>
      <c r="I34" s="182"/>
      <c r="J34" s="182"/>
      <c r="K34" s="182"/>
      <c r="L34" s="182"/>
      <c r="M34" s="182"/>
      <c r="N34" s="990"/>
      <c r="O34" s="123"/>
      <c r="P34" s="182"/>
      <c r="Q34" s="182"/>
      <c r="R34" s="182"/>
      <c r="S34" s="137"/>
      <c r="T34" s="1075"/>
      <c r="U34" s="182"/>
      <c r="W34" s="728"/>
    </row>
    <row r="35" spans="1:43" s="148" customFormat="1">
      <c r="A35" s="233" t="s">
        <v>598</v>
      </c>
      <c r="B35" s="234">
        <f>N26</f>
        <v>0</v>
      </c>
      <c r="C35" s="182"/>
      <c r="D35" s="182"/>
      <c r="E35" s="495"/>
      <c r="F35" s="182"/>
      <c r="H35" s="182"/>
      <c r="I35" s="182"/>
      <c r="J35" s="182"/>
      <c r="K35" s="182"/>
      <c r="L35" s="182"/>
      <c r="M35" s="182"/>
      <c r="N35" s="990"/>
      <c r="O35" s="123"/>
      <c r="P35" s="182"/>
      <c r="R35" s="182"/>
      <c r="S35" s="182"/>
      <c r="T35" s="137"/>
      <c r="U35" s="1075"/>
      <c r="V35" s="137"/>
      <c r="W35" s="727"/>
    </row>
    <row r="36" spans="1:43" s="118" customFormat="1">
      <c r="A36" s="233" t="s">
        <v>597</v>
      </c>
      <c r="B36" s="234">
        <f>O26</f>
        <v>0</v>
      </c>
      <c r="C36" s="123"/>
      <c r="D36" s="181"/>
      <c r="E36" s="181"/>
      <c r="F36" s="123"/>
      <c r="U36" s="1082"/>
      <c r="V36" s="114"/>
      <c r="W36" s="728"/>
    </row>
    <row r="37" spans="1:43" s="148" customFormat="1">
      <c r="A37" s="233" t="s">
        <v>553</v>
      </c>
      <c r="B37" s="235">
        <f>P26</f>
        <v>0</v>
      </c>
      <c r="C37" s="182"/>
      <c r="D37" s="138"/>
      <c r="E37" s="182"/>
      <c r="F37" s="194"/>
      <c r="U37" s="1077"/>
      <c r="V37" s="137"/>
      <c r="W37" s="727"/>
    </row>
    <row r="38" spans="1:43" s="148" customFormat="1">
      <c r="A38" s="723"/>
      <c r="B38" s="182"/>
      <c r="C38" s="182"/>
      <c r="D38" s="355"/>
      <c r="E38" s="182"/>
      <c r="F38" s="182"/>
      <c r="U38" s="1077"/>
      <c r="V38" s="137"/>
      <c r="W38" s="728"/>
    </row>
    <row r="39" spans="1:43" s="148" customFormat="1">
      <c r="A39" s="724" t="s">
        <v>942</v>
      </c>
      <c r="B39" s="169">
        <v>914419181.44699395</v>
      </c>
      <c r="C39" s="181"/>
      <c r="D39" s="181"/>
      <c r="E39" s="355"/>
      <c r="F39" s="182"/>
      <c r="U39" s="1077"/>
      <c r="W39" s="727"/>
    </row>
    <row r="40" spans="1:43" s="118" customFormat="1">
      <c r="A40" s="592" t="s">
        <v>885</v>
      </c>
      <c r="B40" s="578">
        <f>Parameters!B86</f>
        <v>32693297.402289145</v>
      </c>
      <c r="C40" s="123"/>
      <c r="D40" s="480"/>
      <c r="E40" s="138"/>
      <c r="F40" s="123"/>
      <c r="U40" s="1082"/>
      <c r="V40" s="126"/>
      <c r="W40" s="728"/>
      <c r="X40" s="126"/>
      <c r="Y40" s="126"/>
      <c r="Z40" s="126"/>
      <c r="AA40" s="126"/>
      <c r="AB40" s="126"/>
      <c r="AC40" s="126"/>
      <c r="AD40" s="126"/>
      <c r="AE40" s="126"/>
      <c r="AF40" s="126"/>
    </row>
    <row r="41" spans="1:43" s="148" customFormat="1">
      <c r="A41" s="592" t="s">
        <v>887</v>
      </c>
      <c r="B41" s="578">
        <f>Parameters!B89</f>
        <v>84498420.460968792</v>
      </c>
      <c r="C41" s="173"/>
      <c r="D41" s="182"/>
      <c r="E41" s="182"/>
      <c r="F41" s="182"/>
      <c r="H41" s="172"/>
      <c r="I41" s="962"/>
      <c r="J41" s="172"/>
      <c r="L41" s="911"/>
      <c r="M41" s="172"/>
      <c r="N41" s="182"/>
      <c r="O41" s="182"/>
      <c r="P41" s="182"/>
      <c r="R41" s="182"/>
      <c r="S41" s="182"/>
      <c r="T41" s="137"/>
      <c r="U41" s="1077"/>
      <c r="W41" s="727"/>
    </row>
    <row r="42" spans="1:43" s="148" customFormat="1">
      <c r="A42" s="579"/>
      <c r="B42" s="725"/>
      <c r="C42" s="182"/>
      <c r="D42" s="182"/>
      <c r="E42" s="182"/>
      <c r="F42" s="182"/>
      <c r="H42" s="182"/>
      <c r="I42" s="182"/>
      <c r="J42" s="182"/>
      <c r="L42" s="182"/>
      <c r="M42" s="182"/>
      <c r="N42" s="182"/>
      <c r="O42" s="182"/>
      <c r="P42" s="182"/>
      <c r="R42" s="182"/>
      <c r="S42" s="182"/>
      <c r="T42" s="137"/>
      <c r="U42" s="1077"/>
      <c r="W42" s="728"/>
    </row>
    <row r="43" spans="1:43" s="148" customFormat="1">
      <c r="A43" s="713" t="s">
        <v>159</v>
      </c>
      <c r="B43" s="580"/>
      <c r="C43" s="182"/>
      <c r="D43" s="468"/>
      <c r="E43" s="182"/>
      <c r="F43" s="182"/>
      <c r="H43" s="182"/>
      <c r="I43" s="182"/>
      <c r="J43" s="182"/>
      <c r="L43" s="182"/>
      <c r="M43" s="182"/>
      <c r="N43" s="182"/>
      <c r="O43" s="123"/>
      <c r="P43" s="182"/>
      <c r="R43" s="182"/>
      <c r="S43" s="182"/>
      <c r="T43" s="137"/>
      <c r="U43" s="1075"/>
      <c r="V43" s="137"/>
      <c r="W43" s="727"/>
    </row>
    <row r="44" spans="1:43" s="148" customFormat="1">
      <c r="A44" s="726" t="s">
        <v>666</v>
      </c>
      <c r="B44" s="33">
        <f>B35/B39</f>
        <v>0</v>
      </c>
      <c r="C44" s="182"/>
      <c r="D44" s="173"/>
      <c r="E44" s="182"/>
      <c r="F44" s="182"/>
      <c r="H44" s="182"/>
      <c r="I44" s="182"/>
      <c r="J44" s="182"/>
      <c r="L44" s="182"/>
      <c r="M44" s="182"/>
      <c r="N44" s="182"/>
      <c r="O44" s="182"/>
      <c r="P44" s="182"/>
      <c r="R44" s="182"/>
      <c r="S44" s="182"/>
      <c r="T44" s="137"/>
      <c r="U44" s="1077"/>
      <c r="W44" s="728"/>
    </row>
    <row r="45" spans="1:43" s="118" customFormat="1">
      <c r="A45" s="591" t="s">
        <v>570</v>
      </c>
      <c r="B45" s="232">
        <f>B36/B40</f>
        <v>0</v>
      </c>
      <c r="C45" s="123"/>
      <c r="D45" s="123"/>
      <c r="E45" s="182"/>
      <c r="F45" s="123"/>
      <c r="G45" s="123"/>
      <c r="H45" s="123"/>
      <c r="I45" s="123"/>
      <c r="J45" s="123"/>
      <c r="L45" s="123"/>
      <c r="M45" s="123"/>
      <c r="N45" s="123"/>
      <c r="O45" s="123"/>
      <c r="P45" s="123"/>
      <c r="Q45" s="123"/>
      <c r="R45" s="123"/>
      <c r="S45" s="123"/>
      <c r="T45" s="114"/>
      <c r="U45" s="1082"/>
      <c r="W45" s="727"/>
    </row>
    <row r="46" spans="1:43" s="148" customFormat="1">
      <c r="A46" s="726" t="s">
        <v>24</v>
      </c>
      <c r="B46" s="33">
        <f>B37/B41</f>
        <v>0</v>
      </c>
      <c r="C46" s="182"/>
      <c r="D46" s="182"/>
      <c r="E46" s="182"/>
      <c r="F46" s="182"/>
      <c r="G46" s="182"/>
      <c r="H46" s="495"/>
      <c r="I46" s="182"/>
      <c r="J46" s="182"/>
      <c r="L46" s="182"/>
      <c r="M46" s="182"/>
      <c r="N46" s="182"/>
      <c r="O46" s="182"/>
      <c r="P46" s="182"/>
      <c r="Q46" s="182"/>
      <c r="R46" s="182"/>
      <c r="S46" s="182"/>
      <c r="T46" s="137"/>
      <c r="U46" s="1077"/>
      <c r="W46" s="728"/>
    </row>
    <row r="47" spans="1:43" s="172" customFormat="1">
      <c r="A47" s="219"/>
      <c r="B47" s="182"/>
      <c r="C47" s="173"/>
      <c r="D47" s="182"/>
      <c r="H47" s="495"/>
      <c r="L47" s="342"/>
      <c r="M47" s="342"/>
      <c r="N47" s="342"/>
      <c r="O47" s="121"/>
      <c r="P47" s="342"/>
      <c r="Q47" s="342"/>
      <c r="R47" s="342"/>
      <c r="S47" s="342"/>
      <c r="T47" s="342"/>
      <c r="U47" s="1076"/>
      <c r="V47" s="342"/>
      <c r="W47" s="727"/>
      <c r="AO47" s="148"/>
      <c r="AP47" s="148"/>
      <c r="AQ47" s="148"/>
    </row>
    <row r="48" spans="1:43" s="148" customFormat="1">
      <c r="A48" s="717" t="s">
        <v>893</v>
      </c>
      <c r="B48" s="381"/>
      <c r="C48" s="381"/>
      <c r="D48" s="381"/>
      <c r="E48" s="381"/>
      <c r="F48" s="381"/>
      <c r="G48" s="381"/>
      <c r="H48" s="381"/>
      <c r="I48" s="381"/>
      <c r="J48" s="355"/>
      <c r="K48" s="355"/>
      <c r="L48" s="172"/>
      <c r="M48" s="172"/>
      <c r="N48" s="172"/>
      <c r="O48" s="117"/>
      <c r="P48" s="172"/>
      <c r="Q48" s="172"/>
      <c r="R48" s="172"/>
      <c r="S48" s="172"/>
      <c r="U48" s="1077"/>
      <c r="W48" s="728"/>
    </row>
    <row r="49" spans="1:43" s="148" customFormat="1">
      <c r="A49" s="262">
        <f>B31</f>
        <v>0</v>
      </c>
      <c r="B49" s="70" t="s">
        <v>556</v>
      </c>
      <c r="C49" s="70" t="s">
        <v>557</v>
      </c>
      <c r="D49" s="70" t="s">
        <v>558</v>
      </c>
      <c r="E49" s="70" t="s">
        <v>8</v>
      </c>
      <c r="F49" s="70" t="s">
        <v>559</v>
      </c>
      <c r="G49" s="70" t="s">
        <v>560</v>
      </c>
      <c r="H49" s="70" t="s">
        <v>561</v>
      </c>
      <c r="I49" s="225" t="s">
        <v>851</v>
      </c>
      <c r="J49" s="139"/>
      <c r="K49" s="139"/>
      <c r="L49" s="342"/>
      <c r="M49" s="342"/>
      <c r="N49" s="342"/>
      <c r="O49" s="121"/>
      <c r="P49" s="342"/>
      <c r="Q49" s="342"/>
      <c r="R49" s="342"/>
      <c r="S49" s="342"/>
      <c r="T49" s="342"/>
      <c r="U49" s="1076"/>
      <c r="V49" s="342"/>
      <c r="W49" s="727"/>
      <c r="X49" s="172"/>
      <c r="Y49" s="172"/>
      <c r="Z49" s="172"/>
      <c r="AA49" s="172"/>
      <c r="AB49" s="172"/>
      <c r="AC49" s="172"/>
      <c r="AD49" s="172"/>
      <c r="AE49" s="172"/>
      <c r="AF49" s="172"/>
      <c r="AG49" s="172"/>
      <c r="AH49" s="172"/>
      <c r="AI49" s="172"/>
      <c r="AJ49" s="172"/>
      <c r="AK49" s="172"/>
      <c r="AL49" s="172"/>
      <c r="AM49" s="172"/>
      <c r="AN49" s="172"/>
    </row>
    <row r="50" spans="1:43" s="148" customFormat="1">
      <c r="A50" s="1561"/>
      <c r="B50" s="1571"/>
      <c r="C50" s="1567"/>
      <c r="D50" s="1552"/>
      <c r="E50" s="1572"/>
      <c r="F50" s="1552"/>
      <c r="G50" s="1552"/>
      <c r="H50" s="1552"/>
      <c r="I50" s="1552"/>
      <c r="J50" s="139"/>
      <c r="K50" s="139"/>
      <c r="L50" s="342"/>
      <c r="M50" s="342"/>
      <c r="N50" s="342"/>
      <c r="O50" s="121"/>
      <c r="P50" s="342"/>
      <c r="Q50" s="342"/>
      <c r="R50" s="342"/>
      <c r="S50" s="342"/>
      <c r="T50" s="342"/>
      <c r="U50" s="1076"/>
      <c r="V50" s="342"/>
      <c r="W50" s="727"/>
      <c r="X50" s="172"/>
      <c r="Y50" s="172"/>
      <c r="Z50" s="172"/>
      <c r="AA50" s="172"/>
      <c r="AB50" s="172"/>
      <c r="AC50" s="172"/>
      <c r="AD50" s="172"/>
      <c r="AE50" s="172"/>
      <c r="AF50" s="172"/>
      <c r="AG50" s="172"/>
      <c r="AH50" s="172"/>
      <c r="AI50" s="172"/>
      <c r="AJ50" s="172"/>
      <c r="AK50" s="172"/>
      <c r="AL50" s="172"/>
      <c r="AM50" s="172"/>
      <c r="AN50" s="172"/>
    </row>
    <row r="51" spans="1:43" s="148" customFormat="1">
      <c r="A51" s="1573"/>
      <c r="B51" s="1567"/>
      <c r="C51" s="1567"/>
      <c r="D51" s="1552"/>
      <c r="E51" s="1572"/>
      <c r="F51" s="1552"/>
      <c r="G51" s="1552"/>
      <c r="H51" s="1552"/>
      <c r="I51" s="1552"/>
      <c r="J51" s="189"/>
      <c r="K51" s="189"/>
      <c r="L51" s="182"/>
      <c r="M51" s="182"/>
      <c r="N51" s="182"/>
      <c r="O51" s="123"/>
      <c r="P51" s="182"/>
      <c r="Q51" s="182"/>
      <c r="R51" s="182"/>
      <c r="S51" s="182"/>
      <c r="T51" s="137"/>
      <c r="U51" s="1075"/>
      <c r="V51" s="137"/>
      <c r="W51" s="727"/>
      <c r="AO51" s="172"/>
      <c r="AP51" s="172"/>
      <c r="AQ51" s="172"/>
    </row>
    <row r="52" spans="1:43" s="148" customFormat="1">
      <c r="A52" s="1573"/>
      <c r="B52" s="1567"/>
      <c r="C52" s="1567"/>
      <c r="D52" s="1552"/>
      <c r="E52" s="1572"/>
      <c r="F52" s="1552"/>
      <c r="G52" s="1552"/>
      <c r="H52" s="1552"/>
      <c r="I52" s="1552"/>
      <c r="J52" s="189"/>
      <c r="K52" s="189"/>
      <c r="L52" s="182"/>
      <c r="M52" s="182"/>
      <c r="N52" s="182"/>
      <c r="O52" s="123"/>
      <c r="P52" s="182"/>
      <c r="Q52" s="182"/>
      <c r="R52" s="182"/>
      <c r="S52" s="182"/>
      <c r="T52" s="137"/>
      <c r="U52" s="1075"/>
      <c r="V52" s="137"/>
      <c r="W52" s="727"/>
    </row>
    <row r="53" spans="1:43" s="148" customFormat="1">
      <c r="A53" s="1574"/>
      <c r="B53" s="1575"/>
      <c r="C53" s="1575"/>
      <c r="D53" s="1576"/>
      <c r="E53" s="1577"/>
      <c r="F53" s="1576"/>
      <c r="G53" s="1576"/>
      <c r="H53" s="1576"/>
      <c r="I53" s="1578"/>
      <c r="J53" s="189"/>
      <c r="K53" s="189"/>
      <c r="L53" s="182"/>
      <c r="M53" s="182"/>
      <c r="N53" s="182"/>
      <c r="O53" s="123"/>
      <c r="P53" s="182"/>
      <c r="Q53" s="182"/>
      <c r="R53" s="182"/>
      <c r="S53" s="182"/>
      <c r="T53" s="137"/>
      <c r="U53" s="1075"/>
      <c r="V53" s="137"/>
      <c r="W53" s="727"/>
    </row>
    <row r="54" spans="1:43" s="148" customFormat="1">
      <c r="A54" s="219"/>
      <c r="B54" s="182"/>
      <c r="C54" s="182"/>
      <c r="D54" s="182"/>
      <c r="E54" s="182"/>
      <c r="F54" s="182"/>
      <c r="G54" s="182"/>
      <c r="H54" s="182"/>
      <c r="I54" s="182"/>
      <c r="J54" s="355"/>
      <c r="K54" s="355"/>
      <c r="L54" s="182"/>
      <c r="M54" s="182"/>
      <c r="N54" s="182"/>
      <c r="O54" s="123"/>
      <c r="P54" s="182"/>
      <c r="Q54" s="182"/>
      <c r="R54" s="182"/>
      <c r="S54" s="182"/>
      <c r="T54" s="137"/>
      <c r="U54" s="1075"/>
      <c r="V54" s="137"/>
      <c r="W54" s="727"/>
    </row>
    <row r="55" spans="1:43" s="148" customFormat="1">
      <c r="A55" s="717" t="s">
        <v>893</v>
      </c>
      <c r="B55" s="381"/>
      <c r="C55" s="381"/>
      <c r="D55" s="381"/>
      <c r="E55" s="381"/>
      <c r="F55" s="381"/>
      <c r="G55" s="381"/>
      <c r="H55" s="381"/>
      <c r="I55" s="381"/>
      <c r="J55" s="355"/>
      <c r="K55" s="355"/>
      <c r="L55" s="172"/>
      <c r="M55" s="172"/>
      <c r="N55" s="172"/>
      <c r="O55" s="117"/>
      <c r="P55" s="172"/>
      <c r="Q55" s="172"/>
      <c r="R55" s="172"/>
      <c r="S55" s="172"/>
      <c r="U55" s="1077"/>
      <c r="W55" s="727"/>
    </row>
    <row r="56" spans="1:43" s="148" customFormat="1">
      <c r="A56" s="262">
        <f>B32</f>
        <v>0</v>
      </c>
      <c r="B56" s="70" t="s">
        <v>556</v>
      </c>
      <c r="C56" s="70" t="s">
        <v>557</v>
      </c>
      <c r="D56" s="70" t="s">
        <v>558</v>
      </c>
      <c r="E56" s="70" t="s">
        <v>8</v>
      </c>
      <c r="F56" s="70" t="s">
        <v>559</v>
      </c>
      <c r="G56" s="70" t="s">
        <v>560</v>
      </c>
      <c r="H56" s="70" t="s">
        <v>561</v>
      </c>
      <c r="I56" s="225" t="s">
        <v>851</v>
      </c>
      <c r="J56" s="139"/>
      <c r="K56" s="139"/>
      <c r="L56" s="342"/>
      <c r="M56" s="342"/>
      <c r="N56" s="342"/>
      <c r="O56" s="121"/>
      <c r="P56" s="342"/>
      <c r="Q56" s="342"/>
      <c r="R56" s="342"/>
      <c r="S56" s="342"/>
      <c r="T56" s="342"/>
      <c r="U56" s="1076"/>
      <c r="V56" s="342"/>
      <c r="W56" s="727"/>
      <c r="X56" s="172"/>
      <c r="Y56" s="172"/>
      <c r="Z56" s="172"/>
      <c r="AA56" s="172"/>
      <c r="AB56" s="172"/>
      <c r="AC56" s="172"/>
      <c r="AD56" s="172"/>
      <c r="AE56" s="172"/>
      <c r="AF56" s="172"/>
      <c r="AG56" s="172"/>
      <c r="AH56" s="172"/>
      <c r="AI56" s="172"/>
      <c r="AJ56" s="172"/>
      <c r="AK56" s="172"/>
      <c r="AL56" s="172"/>
      <c r="AM56" s="172"/>
      <c r="AN56" s="172"/>
    </row>
    <row r="57" spans="1:43" s="148" customFormat="1">
      <c r="A57" s="1561"/>
      <c r="B57" s="1571"/>
      <c r="C57" s="1567"/>
      <c r="D57" s="1552"/>
      <c r="E57" s="1572"/>
      <c r="F57" s="1552"/>
      <c r="G57" s="1552"/>
      <c r="H57" s="1552"/>
      <c r="I57" s="1552"/>
      <c r="J57" s="139"/>
      <c r="K57" s="139"/>
      <c r="L57" s="342"/>
      <c r="M57" s="342"/>
      <c r="N57" s="342"/>
      <c r="O57" s="121"/>
      <c r="P57" s="342"/>
      <c r="Q57" s="342"/>
      <c r="R57" s="342"/>
      <c r="S57" s="342"/>
      <c r="T57" s="342"/>
      <c r="U57" s="1076"/>
      <c r="V57" s="342"/>
      <c r="W57" s="727"/>
      <c r="X57" s="172"/>
      <c r="Y57" s="172"/>
      <c r="Z57" s="172"/>
      <c r="AA57" s="172"/>
      <c r="AB57" s="172"/>
      <c r="AC57" s="172"/>
      <c r="AD57" s="172"/>
      <c r="AE57" s="172"/>
      <c r="AF57" s="172"/>
      <c r="AG57" s="172"/>
      <c r="AH57" s="172"/>
      <c r="AI57" s="172"/>
      <c r="AJ57" s="172"/>
      <c r="AK57" s="172"/>
      <c r="AL57" s="172"/>
      <c r="AM57" s="172"/>
      <c r="AN57" s="172"/>
    </row>
    <row r="58" spans="1:43" s="148" customFormat="1">
      <c r="A58" s="1573"/>
      <c r="B58" s="1567"/>
      <c r="C58" s="1567"/>
      <c r="D58" s="1552"/>
      <c r="E58" s="1572"/>
      <c r="F58" s="1552"/>
      <c r="G58" s="1552"/>
      <c r="H58" s="1552"/>
      <c r="I58" s="1552"/>
      <c r="J58" s="189"/>
      <c r="K58" s="189"/>
      <c r="L58" s="182"/>
      <c r="M58" s="182"/>
      <c r="N58" s="182"/>
      <c r="O58" s="123"/>
      <c r="P58" s="182"/>
      <c r="Q58" s="182"/>
      <c r="R58" s="182"/>
      <c r="S58" s="182"/>
      <c r="T58" s="137"/>
      <c r="U58" s="1075"/>
      <c r="V58" s="137"/>
      <c r="W58" s="727"/>
      <c r="AO58" s="172"/>
      <c r="AP58" s="172"/>
      <c r="AQ58" s="172"/>
    </row>
    <row r="59" spans="1:43" s="148" customFormat="1">
      <c r="A59" s="1573"/>
      <c r="B59" s="1567"/>
      <c r="C59" s="1567"/>
      <c r="D59" s="1552"/>
      <c r="E59" s="1572"/>
      <c r="F59" s="1552"/>
      <c r="G59" s="1552"/>
      <c r="H59" s="1552"/>
      <c r="I59" s="1552"/>
      <c r="J59" s="189"/>
      <c r="K59" s="189"/>
      <c r="L59" s="182"/>
      <c r="M59" s="182"/>
      <c r="N59" s="182"/>
      <c r="O59" s="123"/>
      <c r="P59" s="182"/>
      <c r="Q59" s="182"/>
      <c r="R59" s="182"/>
      <c r="S59" s="182"/>
      <c r="T59" s="137"/>
      <c r="U59" s="1075"/>
      <c r="V59" s="137"/>
      <c r="W59" s="727"/>
    </row>
    <row r="60" spans="1:43" s="148" customFormat="1">
      <c r="A60" s="1574"/>
      <c r="B60" s="1575"/>
      <c r="C60" s="1575"/>
      <c r="D60" s="1576"/>
      <c r="E60" s="1577"/>
      <c r="F60" s="1576"/>
      <c r="G60" s="1576"/>
      <c r="H60" s="1576"/>
      <c r="I60" s="1578"/>
      <c r="J60" s="189"/>
      <c r="K60" s="189"/>
      <c r="L60" s="182"/>
      <c r="M60" s="182"/>
      <c r="N60" s="182"/>
      <c r="O60" s="123"/>
      <c r="P60" s="182"/>
      <c r="Q60" s="182"/>
      <c r="R60" s="182"/>
      <c r="S60" s="182"/>
      <c r="T60" s="137"/>
      <c r="U60" s="1075"/>
      <c r="V60" s="137"/>
      <c r="W60" s="1312"/>
    </row>
    <row r="61" spans="1:43" s="148" customFormat="1">
      <c r="A61" s="219"/>
      <c r="B61" s="182"/>
      <c r="C61" s="182"/>
      <c r="D61" s="182"/>
      <c r="E61" s="182"/>
      <c r="F61" s="182"/>
      <c r="G61" s="182"/>
      <c r="H61" s="182"/>
      <c r="I61" s="182"/>
      <c r="J61" s="355"/>
      <c r="K61" s="355"/>
      <c r="L61" s="182"/>
      <c r="M61" s="182"/>
      <c r="N61" s="182"/>
      <c r="O61" s="123"/>
      <c r="P61" s="182"/>
      <c r="Q61" s="182"/>
      <c r="R61" s="182"/>
      <c r="S61" s="182"/>
      <c r="T61" s="137"/>
      <c r="U61" s="1075"/>
      <c r="V61" s="137"/>
      <c r="W61" s="1313"/>
    </row>
    <row r="62" spans="1:43">
      <c r="W62" s="1313"/>
    </row>
    <row r="63" spans="1:43">
      <c r="W63" s="1313"/>
    </row>
    <row r="64" spans="1:43">
      <c r="W64" s="1313"/>
    </row>
    <row r="65" spans="23:23">
      <c r="W65" s="1313"/>
    </row>
    <row r="66" spans="23:23">
      <c r="W66" s="1313"/>
    </row>
    <row r="67" spans="23:23">
      <c r="W67" s="1313"/>
    </row>
    <row r="68" spans="23:23">
      <c r="W68" s="1313"/>
    </row>
    <row r="69" spans="23:23">
      <c r="W69" s="1313"/>
    </row>
    <row r="70" spans="23:23">
      <c r="W70" s="1313"/>
    </row>
    <row r="71" spans="23:23">
      <c r="W71" s="1313"/>
    </row>
    <row r="72" spans="23:23">
      <c r="W72" s="1313"/>
    </row>
    <row r="73" spans="23:23">
      <c r="W73" s="1313"/>
    </row>
    <row r="74" spans="23:23">
      <c r="W74" s="1313"/>
    </row>
    <row r="75" spans="23:23">
      <c r="W75" s="1313"/>
    </row>
    <row r="76" spans="23:23">
      <c r="W76" s="1313"/>
    </row>
    <row r="77" spans="23:23">
      <c r="W77" s="1313"/>
    </row>
    <row r="78" spans="23:23">
      <c r="W78" s="1313"/>
    </row>
    <row r="79" spans="23:23">
      <c r="W79" s="1313"/>
    </row>
    <row r="80" spans="23:23">
      <c r="W80" s="1313"/>
    </row>
    <row r="81" spans="23:23">
      <c r="W81" s="1313"/>
    </row>
    <row r="82" spans="23:23">
      <c r="W82" s="1313"/>
    </row>
    <row r="83" spans="23:23">
      <c r="W83" s="1313"/>
    </row>
    <row r="84" spans="23:23">
      <c r="W84" s="1313"/>
    </row>
    <row r="85" spans="23:23">
      <c r="W85" s="1313"/>
    </row>
    <row r="86" spans="23:23">
      <c r="W86" s="1313"/>
    </row>
    <row r="87" spans="23:23">
      <c r="W87" s="1313"/>
    </row>
    <row r="88" spans="23:23">
      <c r="W88" s="1313"/>
    </row>
    <row r="89" spans="23:23">
      <c r="W89" s="1313"/>
    </row>
    <row r="90" spans="23:23">
      <c r="W90" s="1313"/>
    </row>
    <row r="91" spans="23:23">
      <c r="W91" s="1313"/>
    </row>
    <row r="92" spans="23:23">
      <c r="W92" s="1313"/>
    </row>
    <row r="93" spans="23:23">
      <c r="W93" s="1313"/>
    </row>
    <row r="94" spans="23:23">
      <c r="W94" s="1313"/>
    </row>
    <row r="95" spans="23:23">
      <c r="W95" s="1313"/>
    </row>
    <row r="96" spans="23:23">
      <c r="W96" s="1313"/>
    </row>
    <row r="97" spans="23:23">
      <c r="W97" s="1313"/>
    </row>
    <row r="98" spans="23:23">
      <c r="W98" s="1313"/>
    </row>
    <row r="99" spans="23:23">
      <c r="W99" s="1313"/>
    </row>
    <row r="100" spans="23:23">
      <c r="W100" s="1313"/>
    </row>
    <row r="101" spans="23:23">
      <c r="W101" s="1313"/>
    </row>
    <row r="102" spans="23:23">
      <c r="W102" s="1313"/>
    </row>
    <row r="103" spans="23:23">
      <c r="W103" s="1313"/>
    </row>
    <row r="104" spans="23:23">
      <c r="W104" s="1313"/>
    </row>
    <row r="105" spans="23:23">
      <c r="W105" s="1313"/>
    </row>
    <row r="106" spans="23:23">
      <c r="W106" s="1313"/>
    </row>
    <row r="107" spans="23:23">
      <c r="W107" s="1313"/>
    </row>
    <row r="108" spans="23:23">
      <c r="W108" s="1313"/>
    </row>
    <row r="109" spans="23:23">
      <c r="W109" s="1313"/>
    </row>
    <row r="110" spans="23:23">
      <c r="W110" s="1313"/>
    </row>
    <row r="111" spans="23:23">
      <c r="W111" s="1313"/>
    </row>
    <row r="112" spans="23:23">
      <c r="W112" s="1313"/>
    </row>
    <row r="113" spans="23:23">
      <c r="W113" s="1313"/>
    </row>
    <row r="114" spans="23:23">
      <c r="W114" s="1313"/>
    </row>
    <row r="115" spans="23:23">
      <c r="W115" s="1313"/>
    </row>
    <row r="116" spans="23:23">
      <c r="W116" s="1313"/>
    </row>
    <row r="117" spans="23:23">
      <c r="W117" s="1313"/>
    </row>
    <row r="118" spans="23:23">
      <c r="W118" s="1313"/>
    </row>
    <row r="119" spans="23:23">
      <c r="W119" s="1313"/>
    </row>
  </sheetData>
  <mergeCells count="3">
    <mergeCell ref="A1:E1"/>
    <mergeCell ref="K21:M21"/>
    <mergeCell ref="N21:P21"/>
  </mergeCells>
  <pageMargins left="0.75" right="0.75" top="1" bottom="1" header="0.5" footer="0.5"/>
  <pageSetup paperSize="9" scale="16" orientation="landscape" r:id="rId1"/>
  <headerFooter alignWithMargins="0">
    <oddFooter>&amp;LEnergiekamer NMa&amp;R&amp;F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137"/>
  <sheetViews>
    <sheetView showGridLines="0" showWhiteSpace="0" zoomScale="80" zoomScaleNormal="80" zoomScaleSheetLayoutView="25" zoomScalePageLayoutView="85" workbookViewId="0">
      <selection activeCell="C11" sqref="C11"/>
    </sheetView>
  </sheetViews>
  <sheetFormatPr defaultRowHeight="12.75"/>
  <cols>
    <col min="1" max="1" width="47.28515625" style="171" bestFit="1" customWidth="1"/>
    <col min="2" max="2" width="52.42578125" style="171" customWidth="1"/>
    <col min="3" max="3" width="34.42578125" style="171" bestFit="1" customWidth="1"/>
    <col min="4" max="4" width="22.5703125" style="171" bestFit="1" customWidth="1"/>
    <col min="5" max="5" width="37.140625" style="171" customWidth="1"/>
    <col min="6" max="6" width="23.5703125" style="171" customWidth="1"/>
    <col min="7" max="7" width="21.42578125" style="171" customWidth="1"/>
    <col min="8" max="8" width="22.42578125" style="171" bestFit="1" customWidth="1"/>
    <col min="9" max="9" width="32.42578125" style="171" bestFit="1" customWidth="1"/>
    <col min="10" max="10" width="40" style="171" customWidth="1"/>
    <col min="11" max="11" width="39.42578125" style="114" customWidth="1"/>
    <col min="12" max="12" width="38.42578125" style="171" customWidth="1"/>
    <col min="13" max="13" width="34" style="171" bestFit="1" customWidth="1"/>
    <col min="14" max="14" width="21.7109375" style="171" bestFit="1" customWidth="1"/>
    <col min="15" max="15" width="34" style="114" bestFit="1" customWidth="1"/>
    <col min="16" max="17" width="34" style="171" bestFit="1" customWidth="1"/>
    <col min="18" max="18" width="36" style="171" customWidth="1"/>
    <col min="19" max="19" width="20.140625" style="171" customWidth="1"/>
    <col min="20" max="20" width="57.85546875" style="171" customWidth="1"/>
    <col min="21" max="21" width="19.42578125" style="171" bestFit="1" customWidth="1"/>
    <col min="22" max="22" width="25.7109375" style="171" bestFit="1" customWidth="1"/>
    <col min="23" max="23" width="22.7109375" style="171" bestFit="1" customWidth="1"/>
    <col min="24" max="24" width="22" style="171" customWidth="1"/>
    <col min="25" max="16384" width="9.140625" style="23"/>
  </cols>
  <sheetData>
    <row r="1" spans="1:49" s="13" customFormat="1" ht="23.25" customHeight="1">
      <c r="A1" s="9" t="s">
        <v>646</v>
      </c>
      <c r="B1" s="9"/>
      <c r="C1" s="711"/>
      <c r="D1" s="711"/>
      <c r="E1" s="112"/>
      <c r="F1" s="111"/>
      <c r="G1" s="112"/>
      <c r="H1" s="111"/>
      <c r="I1" s="112"/>
      <c r="J1" s="712"/>
      <c r="K1" s="1217"/>
      <c r="L1" s="712"/>
      <c r="M1" s="604" t="s">
        <v>165</v>
      </c>
      <c r="N1" s="604"/>
      <c r="O1" s="604"/>
      <c r="P1" s="604"/>
      <c r="Q1" s="604"/>
      <c r="R1" s="1218"/>
      <c r="S1" s="79"/>
      <c r="T1" s="1320" t="s">
        <v>813</v>
      </c>
      <c r="U1" s="304"/>
      <c r="V1" s="304"/>
      <c r="W1" s="96"/>
      <c r="X1" s="79"/>
    </row>
    <row r="2" spans="1:49" s="57" customFormat="1">
      <c r="A2" s="45"/>
      <c r="B2" s="25"/>
      <c r="C2" s="25"/>
      <c r="D2" s="25"/>
      <c r="E2" s="25"/>
      <c r="F2" s="25"/>
      <c r="G2" s="37"/>
      <c r="H2" s="37"/>
      <c r="I2" s="37"/>
      <c r="J2" s="25"/>
      <c r="K2" s="123"/>
      <c r="L2" s="25"/>
      <c r="M2" s="25"/>
      <c r="N2" s="37"/>
      <c r="O2" s="123"/>
      <c r="P2" s="37"/>
      <c r="Q2" s="37"/>
      <c r="R2" s="281"/>
      <c r="S2" s="34"/>
      <c r="T2" s="728"/>
      <c r="U2" s="34"/>
      <c r="V2" s="34"/>
      <c r="W2" s="34"/>
      <c r="X2" s="34"/>
    </row>
    <row r="3" spans="1:49" s="148" customFormat="1">
      <c r="A3" s="39" t="s">
        <v>17</v>
      </c>
      <c r="B3" s="60"/>
      <c r="C3" s="182"/>
      <c r="D3" s="182"/>
      <c r="E3" s="182"/>
      <c r="F3" s="182"/>
      <c r="G3" s="182"/>
      <c r="H3" s="182"/>
      <c r="I3" s="182"/>
      <c r="J3" s="182"/>
      <c r="K3" s="123"/>
      <c r="L3" s="182"/>
      <c r="M3" s="182"/>
      <c r="N3" s="182"/>
      <c r="O3" s="123"/>
      <c r="P3" s="182"/>
      <c r="Q3" s="182"/>
      <c r="R3" s="245"/>
      <c r="S3" s="137"/>
      <c r="T3" s="728"/>
      <c r="U3" s="137"/>
      <c r="V3" s="137"/>
      <c r="W3" s="137"/>
      <c r="X3" s="137"/>
    </row>
    <row r="4" spans="1:49" s="148" customFormat="1">
      <c r="A4" s="213" t="s">
        <v>690</v>
      </c>
      <c r="B4" s="351">
        <f>Parameters!B14</f>
        <v>5.8000000000000003E-2</v>
      </c>
      <c r="C4" s="342" t="s">
        <v>682</v>
      </c>
      <c r="D4" s="182"/>
      <c r="E4" s="182"/>
      <c r="F4" s="182"/>
      <c r="G4" s="182"/>
      <c r="H4" s="182"/>
      <c r="I4" s="182"/>
      <c r="J4" s="182"/>
      <c r="K4" s="123"/>
      <c r="L4" s="182"/>
      <c r="M4" s="182"/>
      <c r="N4" s="182"/>
      <c r="O4" s="123"/>
      <c r="P4" s="182"/>
      <c r="Q4" s="182"/>
      <c r="R4" s="245"/>
      <c r="S4" s="137"/>
      <c r="T4" s="728"/>
      <c r="U4" s="137"/>
      <c r="V4" s="137"/>
      <c r="W4" s="137"/>
      <c r="X4" s="137"/>
      <c r="AW4" s="172"/>
    </row>
    <row r="5" spans="1:49" s="148" customFormat="1">
      <c r="A5" s="213" t="s">
        <v>563</v>
      </c>
      <c r="B5" s="351">
        <f>Parameters!B15</f>
        <v>3.5999999999999997E-2</v>
      </c>
      <c r="C5" s="342" t="s">
        <v>718</v>
      </c>
      <c r="D5" s="182"/>
      <c r="E5" s="182"/>
      <c r="F5" s="182"/>
      <c r="G5" s="182"/>
      <c r="H5" s="182"/>
      <c r="I5" s="182"/>
      <c r="J5" s="182"/>
      <c r="K5" s="123"/>
      <c r="L5" s="182"/>
      <c r="M5" s="182"/>
      <c r="N5" s="182"/>
      <c r="O5" s="123"/>
      <c r="P5" s="182"/>
      <c r="Q5" s="182"/>
      <c r="R5" s="245"/>
      <c r="S5" s="137"/>
      <c r="T5" s="728"/>
      <c r="U5" s="137"/>
      <c r="V5" s="137"/>
      <c r="W5" s="137"/>
      <c r="X5" s="137"/>
      <c r="AW5" s="172"/>
    </row>
    <row r="6" spans="1:49" s="148" customFormat="1">
      <c r="A6" s="213"/>
      <c r="B6" s="55"/>
      <c r="C6" s="121"/>
      <c r="D6" s="182"/>
      <c r="E6" s="182"/>
      <c r="F6" s="182"/>
      <c r="G6" s="182"/>
      <c r="H6" s="172"/>
      <c r="I6" s="182"/>
      <c r="J6" s="182"/>
      <c r="K6" s="123"/>
      <c r="L6" s="182"/>
      <c r="M6" s="182"/>
      <c r="N6" s="182"/>
      <c r="O6" s="123"/>
      <c r="P6" s="182"/>
      <c r="Q6" s="182"/>
      <c r="R6" s="245"/>
      <c r="S6" s="137"/>
      <c r="T6" s="728"/>
      <c r="U6" s="137"/>
      <c r="V6" s="137"/>
      <c r="W6" s="137"/>
      <c r="X6" s="137"/>
      <c r="AW6" s="172"/>
    </row>
    <row r="7" spans="1:49" s="342" customFormat="1">
      <c r="A7" s="39" t="s">
        <v>512</v>
      </c>
      <c r="B7" s="458"/>
      <c r="K7" s="121"/>
      <c r="O7" s="121"/>
      <c r="R7" s="345"/>
      <c r="T7" s="728"/>
      <c r="AP7" s="121"/>
      <c r="AQ7" s="121"/>
      <c r="AR7" s="121"/>
    </row>
    <row r="8" spans="1:49" s="342" customFormat="1">
      <c r="A8" s="263" t="s">
        <v>511</v>
      </c>
      <c r="B8" s="77" t="s">
        <v>504</v>
      </c>
      <c r="C8" s="941">
        <v>2010</v>
      </c>
      <c r="D8" s="941">
        <v>2011</v>
      </c>
      <c r="E8" s="941">
        <v>2012</v>
      </c>
      <c r="F8" s="942">
        <v>2013</v>
      </c>
      <c r="G8" s="942">
        <v>2014</v>
      </c>
      <c r="H8" s="961">
        <v>2015</v>
      </c>
      <c r="R8" s="345"/>
      <c r="T8" s="728"/>
    </row>
    <row r="9" spans="1:49" s="342" customFormat="1">
      <c r="A9" s="352">
        <v>2010</v>
      </c>
      <c r="B9" s="353">
        <f>Parameters!B56</f>
        <v>1.0029999999999999</v>
      </c>
      <c r="C9" s="353">
        <f>Parameters!L56</f>
        <v>1</v>
      </c>
      <c r="D9" s="353">
        <f>Parameters!M56</f>
        <v>1.0149999999999999</v>
      </c>
      <c r="E9" s="353">
        <f>Parameters!N56</f>
        <v>1.0413899999999998</v>
      </c>
      <c r="F9" s="353">
        <f>Parameters!O56</f>
        <v>1.06534197</v>
      </c>
      <c r="G9" s="353">
        <v>1.0951715451599999</v>
      </c>
      <c r="H9" s="353">
        <f>Parameters!Q56</f>
        <v>1.1061232606116</v>
      </c>
      <c r="R9" s="345"/>
      <c r="T9" s="728"/>
    </row>
    <row r="10" spans="1:49" s="342" customFormat="1">
      <c r="A10" s="352">
        <v>2011</v>
      </c>
      <c r="B10" s="353">
        <f>Parameters!B57</f>
        <v>1.0149999999999999</v>
      </c>
      <c r="C10" s="354"/>
      <c r="D10" s="353">
        <f>Parameters!M57</f>
        <v>1</v>
      </c>
      <c r="E10" s="353">
        <f>Parameters!N57</f>
        <v>1.026</v>
      </c>
      <c r="F10" s="353">
        <f>Parameters!O57</f>
        <v>1.049598</v>
      </c>
      <c r="G10" s="353">
        <v>1.0789867440000001</v>
      </c>
      <c r="H10" s="353">
        <f>Parameters!Q57</f>
        <v>1.08977661144</v>
      </c>
      <c r="R10" s="345"/>
      <c r="T10" s="728"/>
    </row>
    <row r="11" spans="1:49" s="342" customFormat="1">
      <c r="A11" s="278">
        <v>2012</v>
      </c>
      <c r="B11" s="353">
        <f>Parameters!B58</f>
        <v>1.026</v>
      </c>
      <c r="C11" s="354"/>
      <c r="D11" s="354"/>
      <c r="E11" s="353">
        <f>Parameters!N58</f>
        <v>1</v>
      </c>
      <c r="F11" s="353">
        <f>Parameters!O58</f>
        <v>1.0229999999999999</v>
      </c>
      <c r="G11" s="353">
        <v>1.051644</v>
      </c>
      <c r="H11" s="353">
        <f>Parameters!Q58</f>
        <v>1.06216044</v>
      </c>
      <c r="R11" s="345"/>
      <c r="T11" s="728"/>
    </row>
    <row r="12" spans="1:49" s="172" customFormat="1">
      <c r="A12" s="264">
        <v>2013</v>
      </c>
      <c r="B12" s="353">
        <f>Parameters!B59</f>
        <v>1.0229999999999999</v>
      </c>
      <c r="C12" s="354"/>
      <c r="D12" s="354"/>
      <c r="E12" s="354"/>
      <c r="F12" s="353">
        <f>Parameters!O59</f>
        <v>1</v>
      </c>
      <c r="G12" s="353">
        <v>1.028</v>
      </c>
      <c r="H12" s="353">
        <f>Parameters!Q59</f>
        <v>1.0382800000000001</v>
      </c>
      <c r="I12" s="177"/>
      <c r="R12" s="347"/>
      <c r="T12" s="728"/>
    </row>
    <row r="13" spans="1:49" s="355" customFormat="1">
      <c r="A13" s="459">
        <v>2014</v>
      </c>
      <c r="B13" s="353">
        <f>Parameters!B60</f>
        <v>1.028</v>
      </c>
      <c r="C13" s="354"/>
      <c r="D13" s="354"/>
      <c r="E13" s="354"/>
      <c r="F13" s="354"/>
      <c r="G13" s="353">
        <v>1</v>
      </c>
      <c r="H13" s="353">
        <f>Parameters!Q60</f>
        <v>1.01</v>
      </c>
      <c r="I13" s="460"/>
      <c r="K13" s="138"/>
      <c r="O13" s="138"/>
      <c r="R13" s="347"/>
      <c r="T13" s="728"/>
      <c r="AP13" s="138"/>
      <c r="AQ13" s="138"/>
      <c r="AR13" s="138"/>
    </row>
    <row r="14" spans="1:49" s="355" customFormat="1">
      <c r="A14" s="459">
        <v>2015</v>
      </c>
      <c r="B14" s="353">
        <f>Parameters!B61</f>
        <v>1.01</v>
      </c>
      <c r="C14" s="354"/>
      <c r="D14" s="354"/>
      <c r="E14" s="354"/>
      <c r="F14" s="354"/>
      <c r="G14" s="354"/>
      <c r="H14" s="353">
        <f>Parameters!Q61</f>
        <v>1</v>
      </c>
      <c r="I14" s="460"/>
      <c r="K14" s="138"/>
      <c r="O14" s="138"/>
      <c r="R14" s="431"/>
      <c r="T14" s="728"/>
      <c r="AP14" s="138"/>
      <c r="AQ14" s="138"/>
      <c r="AR14" s="138"/>
    </row>
    <row r="15" spans="1:49" s="355" customFormat="1">
      <c r="A15" s="459"/>
      <c r="B15" s="959"/>
      <c r="C15" s="959"/>
      <c r="D15" s="959"/>
      <c r="E15" s="959"/>
      <c r="F15" s="959"/>
      <c r="G15" s="959"/>
      <c r="H15" s="950"/>
      <c r="I15" s="460"/>
      <c r="K15" s="138"/>
      <c r="O15" s="138"/>
      <c r="R15" s="431"/>
      <c r="T15" s="728"/>
      <c r="AP15" s="138"/>
      <c r="AQ15" s="138"/>
      <c r="AR15" s="138"/>
    </row>
    <row r="16" spans="1:49" s="172" customFormat="1">
      <c r="A16" s="39" t="s">
        <v>552</v>
      </c>
      <c r="B16" s="223">
        <v>2013</v>
      </c>
      <c r="C16" s="326"/>
      <c r="E16" s="327"/>
      <c r="F16" s="177"/>
      <c r="K16" s="117"/>
      <c r="O16" s="117"/>
      <c r="R16" s="347"/>
      <c r="S16" s="148"/>
      <c r="T16" s="728"/>
      <c r="U16" s="148"/>
      <c r="V16" s="148"/>
      <c r="W16" s="148"/>
      <c r="X16" s="148"/>
      <c r="Y16" s="148"/>
      <c r="Z16" s="148"/>
      <c r="AA16" s="148"/>
      <c r="AB16" s="148"/>
      <c r="AC16" s="148"/>
      <c r="AD16" s="148"/>
      <c r="AE16" s="148"/>
      <c r="AF16" s="148"/>
      <c r="AG16" s="148"/>
      <c r="AH16" s="148"/>
      <c r="AI16" s="148"/>
      <c r="AJ16" s="148"/>
      <c r="AK16" s="462"/>
      <c r="AL16" s="148"/>
      <c r="AM16" s="148"/>
    </row>
    <row r="17" spans="1:39" s="182" customFormat="1">
      <c r="A17" s="264" t="s">
        <v>864</v>
      </c>
      <c r="B17" s="170">
        <f>Parameters!O11</f>
        <v>7.3790587235475158E-2</v>
      </c>
      <c r="C17" s="328"/>
      <c r="D17" s="172"/>
      <c r="E17" s="463"/>
      <c r="F17" s="464"/>
      <c r="K17" s="123"/>
      <c r="O17" s="123"/>
      <c r="R17" s="245"/>
      <c r="S17" s="137"/>
      <c r="T17" s="728"/>
      <c r="U17" s="137"/>
      <c r="V17" s="137"/>
      <c r="W17" s="137"/>
      <c r="X17" s="137"/>
      <c r="Y17" s="137"/>
      <c r="Z17" s="137"/>
      <c r="AA17" s="137"/>
      <c r="AB17" s="137"/>
      <c r="AC17" s="137"/>
      <c r="AD17" s="137"/>
      <c r="AE17" s="137"/>
      <c r="AF17" s="137"/>
      <c r="AG17" s="137"/>
      <c r="AH17" s="137"/>
      <c r="AI17" s="137"/>
      <c r="AJ17" s="137"/>
      <c r="AK17" s="465"/>
      <c r="AL17" s="137"/>
      <c r="AM17" s="137"/>
    </row>
    <row r="18" spans="1:39" s="148" customFormat="1">
      <c r="A18" s="276"/>
      <c r="B18" s="323"/>
      <c r="C18" s="172"/>
      <c r="D18" s="172"/>
      <c r="E18" s="172"/>
      <c r="F18" s="172"/>
      <c r="G18" s="172"/>
      <c r="H18" s="172"/>
      <c r="I18" s="172"/>
      <c r="J18" s="172"/>
      <c r="K18" s="117"/>
      <c r="L18" s="172"/>
      <c r="M18" s="172"/>
      <c r="N18" s="172"/>
      <c r="O18" s="117"/>
      <c r="P18" s="172"/>
      <c r="Q18" s="172"/>
      <c r="R18" s="347"/>
      <c r="T18" s="728"/>
    </row>
    <row r="19" spans="1:39" s="148" customFormat="1">
      <c r="A19" s="262" t="s">
        <v>683</v>
      </c>
      <c r="B19" s="1193"/>
      <c r="C19" s="868"/>
      <c r="D19" s="868"/>
      <c r="E19" s="868"/>
      <c r="F19" s="1194"/>
      <c r="G19" s="1194"/>
      <c r="H19" s="1194"/>
      <c r="I19" s="868"/>
      <c r="J19" s="868"/>
      <c r="K19" s="1195"/>
      <c r="L19" s="868"/>
      <c r="M19" s="868"/>
      <c r="N19" s="868"/>
      <c r="O19" s="1195"/>
      <c r="P19" s="868"/>
      <c r="Q19" s="868"/>
      <c r="R19" s="1196" t="s">
        <v>813</v>
      </c>
      <c r="T19" s="728"/>
    </row>
    <row r="20" spans="1:39" s="94" customFormat="1">
      <c r="A20" s="262" t="s">
        <v>505</v>
      </c>
      <c r="B20" s="262" t="s">
        <v>540</v>
      </c>
      <c r="C20" s="70" t="s">
        <v>542</v>
      </c>
      <c r="D20" s="70" t="s">
        <v>0</v>
      </c>
      <c r="E20" s="70" t="s">
        <v>551</v>
      </c>
      <c r="F20" s="225" t="s">
        <v>873</v>
      </c>
      <c r="G20" s="225" t="s">
        <v>927</v>
      </c>
      <c r="H20" s="225" t="s">
        <v>23</v>
      </c>
      <c r="I20" s="225" t="s">
        <v>928</v>
      </c>
      <c r="J20" s="70" t="s">
        <v>590</v>
      </c>
      <c r="K20" s="225" t="s">
        <v>594</v>
      </c>
      <c r="L20" s="225" t="s">
        <v>647</v>
      </c>
      <c r="M20" s="70" t="s">
        <v>507</v>
      </c>
      <c r="N20" s="70" t="s">
        <v>595</v>
      </c>
      <c r="O20" s="225" t="s">
        <v>596</v>
      </c>
      <c r="P20" s="225" t="s">
        <v>648</v>
      </c>
      <c r="Q20" s="70" t="s">
        <v>9</v>
      </c>
      <c r="R20" s="1171"/>
      <c r="T20" s="1323" t="s">
        <v>1255</v>
      </c>
      <c r="U20" s="133"/>
    </row>
    <row r="21" spans="1:39" s="148" customFormat="1">
      <c r="A21" s="600" t="s">
        <v>736</v>
      </c>
      <c r="B21" s="271" t="s">
        <v>737</v>
      </c>
      <c r="C21" s="598">
        <v>40179</v>
      </c>
      <c r="D21" s="449">
        <v>5</v>
      </c>
      <c r="E21" s="617"/>
      <c r="F21" s="943">
        <v>1077396.4114977999</v>
      </c>
      <c r="G21" s="325">
        <f>I56</f>
        <v>0</v>
      </c>
      <c r="H21" s="944"/>
      <c r="I21" s="169">
        <f t="shared" ref="I21:I28" si="0">((F21+G21)-H21)*(1+$B$17)</f>
        <v>1156898.1253876162</v>
      </c>
      <c r="J21" s="602">
        <f>Parameters!$B$65</f>
        <v>0.93199999999999994</v>
      </c>
      <c r="K21" s="602">
        <f>Parameters!$B$66</f>
        <v>3.3000000000000002E-2</v>
      </c>
      <c r="L21" s="602">
        <f>Parameters!$B$67</f>
        <v>3.5000000000000003E-2</v>
      </c>
      <c r="M21" s="599">
        <v>0</v>
      </c>
      <c r="N21" s="183">
        <f t="shared" ref="N21:N28" si="1">J21*(I21)</f>
        <v>1078229.0528612582</v>
      </c>
      <c r="O21" s="183">
        <f t="shared" ref="O21:O28" si="2">K21*(I21)</f>
        <v>38177.638137791335</v>
      </c>
      <c r="P21" s="183">
        <f t="shared" ref="P21:P26" si="3">L21*(I21)</f>
        <v>40491.434388566573</v>
      </c>
      <c r="Q21" s="1172">
        <f t="shared" ref="Q21:Q28" si="4">M21*(I21)</f>
        <v>0</v>
      </c>
      <c r="R21" s="1197"/>
      <c r="T21" s="1323"/>
    </row>
    <row r="22" spans="1:39" s="148" customFormat="1">
      <c r="A22" s="600" t="s">
        <v>738</v>
      </c>
      <c r="B22" s="271" t="s">
        <v>739</v>
      </c>
      <c r="C22" s="598">
        <v>40444</v>
      </c>
      <c r="D22" s="449">
        <v>5</v>
      </c>
      <c r="E22" s="601">
        <v>134000</v>
      </c>
      <c r="F22" s="943">
        <v>21413.373597000002</v>
      </c>
      <c r="G22" s="325">
        <f>I63</f>
        <v>31311.11072628</v>
      </c>
      <c r="H22" s="944"/>
      <c r="I22" s="169">
        <f t="shared" si="0"/>
        <v>56615.054983182439</v>
      </c>
      <c r="J22" s="602">
        <f>Parameters!$B$65</f>
        <v>0.93199999999999994</v>
      </c>
      <c r="K22" s="602">
        <f>Parameters!$B$66</f>
        <v>3.3000000000000002E-2</v>
      </c>
      <c r="L22" s="602">
        <f>Parameters!$B$67</f>
        <v>3.5000000000000003E-2</v>
      </c>
      <c r="M22" s="599">
        <v>0</v>
      </c>
      <c r="N22" s="183">
        <f t="shared" si="1"/>
        <v>52765.231244326031</v>
      </c>
      <c r="O22" s="183">
        <f t="shared" si="2"/>
        <v>1868.2968144450206</v>
      </c>
      <c r="P22" s="183">
        <f t="shared" si="3"/>
        <v>1981.5269244113856</v>
      </c>
      <c r="Q22" s="1172">
        <f t="shared" si="4"/>
        <v>0</v>
      </c>
      <c r="R22" s="1197"/>
      <c r="T22" s="728"/>
    </row>
    <row r="23" spans="1:39" s="148" customFormat="1">
      <c r="A23" s="600" t="s">
        <v>742</v>
      </c>
      <c r="B23" s="271" t="s">
        <v>743</v>
      </c>
      <c r="C23" s="598">
        <v>40357</v>
      </c>
      <c r="D23" s="449">
        <v>5</v>
      </c>
      <c r="E23" s="601">
        <v>143000</v>
      </c>
      <c r="F23" s="855">
        <v>22851.585256499999</v>
      </c>
      <c r="G23" s="325">
        <f>I70</f>
        <v>32972.298460100996</v>
      </c>
      <c r="H23" s="944"/>
      <c r="I23" s="169">
        <f t="shared" si="0"/>
        <v>59943.160877813854</v>
      </c>
      <c r="J23" s="602">
        <f>Parameters!$B$65</f>
        <v>0.93199999999999994</v>
      </c>
      <c r="K23" s="602">
        <f>Parameters!$B$66</f>
        <v>3.3000000000000002E-2</v>
      </c>
      <c r="L23" s="602">
        <f>Parameters!$B$67</f>
        <v>3.5000000000000003E-2</v>
      </c>
      <c r="M23" s="599">
        <v>0</v>
      </c>
      <c r="N23" s="183">
        <f t="shared" si="1"/>
        <v>55867.025938122511</v>
      </c>
      <c r="O23" s="183">
        <f t="shared" si="2"/>
        <v>1978.1243089678574</v>
      </c>
      <c r="P23" s="183">
        <f t="shared" si="3"/>
        <v>2098.0106307234851</v>
      </c>
      <c r="Q23" s="1172">
        <f t="shared" si="4"/>
        <v>0</v>
      </c>
      <c r="R23" s="1197"/>
      <c r="T23" s="728"/>
    </row>
    <row r="24" spans="1:39" s="148" customFormat="1">
      <c r="A24" s="600" t="s">
        <v>744</v>
      </c>
      <c r="B24" s="271" t="s">
        <v>745</v>
      </c>
      <c r="C24" s="598">
        <v>40179</v>
      </c>
      <c r="D24" s="449">
        <v>5</v>
      </c>
      <c r="E24" s="601">
        <v>15000</v>
      </c>
      <c r="F24" s="855">
        <v>2397.0194324999998</v>
      </c>
      <c r="G24" s="325">
        <f>I77</f>
        <v>3381.3954127799998</v>
      </c>
      <c r="H24" s="944"/>
      <c r="I24" s="169">
        <f t="shared" si="0"/>
        <v>6204.8074700033985</v>
      </c>
      <c r="J24" s="602">
        <f>Parameters!$B$65</f>
        <v>0.93199999999999994</v>
      </c>
      <c r="K24" s="602">
        <f>Parameters!$B$66</f>
        <v>3.3000000000000002E-2</v>
      </c>
      <c r="L24" s="602">
        <f>Parameters!$B$67</f>
        <v>3.5000000000000003E-2</v>
      </c>
      <c r="M24" s="599">
        <v>0</v>
      </c>
      <c r="N24" s="183">
        <f t="shared" si="1"/>
        <v>5782.8805620431667</v>
      </c>
      <c r="O24" s="183">
        <f t="shared" si="2"/>
        <v>204.75864651011216</v>
      </c>
      <c r="P24" s="183">
        <f t="shared" si="3"/>
        <v>217.16826145011896</v>
      </c>
      <c r="Q24" s="1172">
        <f t="shared" si="4"/>
        <v>0</v>
      </c>
      <c r="R24" s="1197"/>
      <c r="T24" s="728"/>
    </row>
    <row r="25" spans="1:39" s="148" customFormat="1">
      <c r="A25" s="600" t="s">
        <v>746</v>
      </c>
      <c r="B25" s="271" t="s">
        <v>747</v>
      </c>
      <c r="C25" s="598">
        <v>40728</v>
      </c>
      <c r="D25" s="449">
        <v>5</v>
      </c>
      <c r="E25" s="601">
        <v>221400</v>
      </c>
      <c r="F25" s="855">
        <v>34857.149579999998</v>
      </c>
      <c r="G25" s="325">
        <f>I84</f>
        <v>53215.248358800003</v>
      </c>
      <c r="H25" s="944"/>
      <c r="I25" s="169">
        <f t="shared" si="0"/>
        <v>94571.311901940499</v>
      </c>
      <c r="J25" s="602">
        <f>Parameters!$B$65</f>
        <v>0.93199999999999994</v>
      </c>
      <c r="K25" s="602">
        <f>Parameters!$B$66</f>
        <v>3.3000000000000002E-2</v>
      </c>
      <c r="L25" s="602">
        <f>Parameters!$B$67</f>
        <v>3.5000000000000003E-2</v>
      </c>
      <c r="M25" s="599">
        <v>0</v>
      </c>
      <c r="N25" s="183">
        <f t="shared" si="1"/>
        <v>88140.462692608533</v>
      </c>
      <c r="O25" s="183">
        <f t="shared" si="2"/>
        <v>3120.8532927640367</v>
      </c>
      <c r="P25" s="183">
        <f t="shared" si="3"/>
        <v>3309.9959165679179</v>
      </c>
      <c r="Q25" s="1172">
        <f t="shared" si="4"/>
        <v>0</v>
      </c>
      <c r="R25" s="1197"/>
      <c r="T25" s="728"/>
    </row>
    <row r="26" spans="1:39" s="148" customFormat="1">
      <c r="A26" s="600" t="s">
        <v>748</v>
      </c>
      <c r="B26" s="271" t="s">
        <v>749</v>
      </c>
      <c r="C26" s="598">
        <v>40816</v>
      </c>
      <c r="D26" s="449">
        <v>5</v>
      </c>
      <c r="E26" s="601">
        <v>516380</v>
      </c>
      <c r="F26" s="855">
        <v>81094.040676000004</v>
      </c>
      <c r="G26" s="325">
        <f>I91</f>
        <v>125163.88415942399</v>
      </c>
      <c r="H26" s="944"/>
      <c r="I26" s="169">
        <f t="shared" si="0"/>
        <v>221477.81823100042</v>
      </c>
      <c r="J26" s="602">
        <f>Parameters!$B$65</f>
        <v>0.93199999999999994</v>
      </c>
      <c r="K26" s="602">
        <f>Parameters!$B$66</f>
        <v>3.3000000000000002E-2</v>
      </c>
      <c r="L26" s="602">
        <f>Parameters!$B$67</f>
        <v>3.5000000000000003E-2</v>
      </c>
      <c r="M26" s="599">
        <v>0</v>
      </c>
      <c r="N26" s="183">
        <f t="shared" si="1"/>
        <v>206417.32659129237</v>
      </c>
      <c r="O26" s="183">
        <f t="shared" si="2"/>
        <v>7308.7680016230142</v>
      </c>
      <c r="P26" s="183">
        <f t="shared" si="3"/>
        <v>7751.7236380850154</v>
      </c>
      <c r="Q26" s="1172">
        <f t="shared" si="4"/>
        <v>0</v>
      </c>
      <c r="R26" s="1197"/>
      <c r="T26" s="728"/>
    </row>
    <row r="27" spans="1:39" s="148" customFormat="1">
      <c r="A27" s="614" t="s">
        <v>752</v>
      </c>
      <c r="B27" s="1198" t="s">
        <v>753</v>
      </c>
      <c r="C27" s="615">
        <v>40544</v>
      </c>
      <c r="D27" s="446">
        <v>5</v>
      </c>
      <c r="E27" s="616"/>
      <c r="F27" s="855">
        <v>2652459</v>
      </c>
      <c r="G27" s="325">
        <f>I98</f>
        <v>0</v>
      </c>
      <c r="H27" s="945"/>
      <c r="I27" s="169">
        <f>((F27+G27)-H27)*(1+$B$17)</f>
        <v>2848185.507228021</v>
      </c>
      <c r="J27" s="602">
        <f>Parameters!$B$65</f>
        <v>0.93199999999999994</v>
      </c>
      <c r="K27" s="602">
        <f>Parameters!$B$66</f>
        <v>3.3000000000000002E-2</v>
      </c>
      <c r="L27" s="602">
        <f>Parameters!$B$67</f>
        <v>3.5000000000000003E-2</v>
      </c>
      <c r="M27" s="599">
        <v>0</v>
      </c>
      <c r="N27" s="183">
        <f t="shared" ref="N27" si="5">J27*(I27)</f>
        <v>2654508.8927365155</v>
      </c>
      <c r="O27" s="183">
        <f t="shared" ref="O27" si="6">K27*(I27)</f>
        <v>93990.1217385247</v>
      </c>
      <c r="P27" s="183">
        <f>L27*(I27)</f>
        <v>99686.492752980746</v>
      </c>
      <c r="Q27" s="1172">
        <f t="shared" ref="Q27" si="7">M27*(I27)</f>
        <v>0</v>
      </c>
      <c r="R27" s="1197"/>
      <c r="T27" s="728"/>
    </row>
    <row r="28" spans="1:39" s="148" customFormat="1">
      <c r="A28" s="600" t="s">
        <v>801</v>
      </c>
      <c r="B28" s="271" t="s">
        <v>802</v>
      </c>
      <c r="C28" s="598">
        <v>41214</v>
      </c>
      <c r="D28" s="449">
        <v>5</v>
      </c>
      <c r="E28" s="601">
        <v>70466.070000000007</v>
      </c>
      <c r="F28" s="855">
        <v>710669.34822499997</v>
      </c>
      <c r="G28" s="325">
        <f>I105</f>
        <v>17622.817166658002</v>
      </c>
      <c r="H28" s="855">
        <v>112010.88</v>
      </c>
      <c r="I28" s="169">
        <f t="shared" si="0"/>
        <v>661757.04334294191</v>
      </c>
      <c r="J28" s="602">
        <f>Parameters!$B$65</f>
        <v>0.93199999999999994</v>
      </c>
      <c r="K28" s="602">
        <f>Parameters!$B$66</f>
        <v>3.3000000000000002E-2</v>
      </c>
      <c r="L28" s="602">
        <f>Parameters!$B$67</f>
        <v>3.5000000000000003E-2</v>
      </c>
      <c r="M28" s="599">
        <v>0</v>
      </c>
      <c r="N28" s="183">
        <f t="shared" si="1"/>
        <v>616757.56439562177</v>
      </c>
      <c r="O28" s="183">
        <f t="shared" si="2"/>
        <v>21837.982430317083</v>
      </c>
      <c r="P28" s="183">
        <f>L28*(I28)</f>
        <v>23161.496517002968</v>
      </c>
      <c r="Q28" s="1172">
        <f t="shared" si="4"/>
        <v>0</v>
      </c>
      <c r="R28" s="1197"/>
      <c r="T28" s="728"/>
    </row>
    <row r="29" spans="1:39" s="148" customFormat="1" ht="15" customHeight="1" thickBot="1">
      <c r="A29" s="954" t="s">
        <v>1169</v>
      </c>
      <c r="B29" s="954" t="s">
        <v>1169</v>
      </c>
      <c r="C29" s="956">
        <v>41275</v>
      </c>
      <c r="D29" s="955">
        <v>5</v>
      </c>
      <c r="E29" s="957">
        <v>0</v>
      </c>
      <c r="F29" s="943">
        <v>9081.0499999999993</v>
      </c>
      <c r="G29" s="953">
        <f>I112</f>
        <v>0</v>
      </c>
      <c r="H29" s="945"/>
      <c r="I29" s="169">
        <f>((F29+G29)-H29)*(1+$B$17)</f>
        <v>9751.1460122147109</v>
      </c>
      <c r="J29" s="602">
        <f>Parameters!$B$65</f>
        <v>0.93199999999999994</v>
      </c>
      <c r="K29" s="602">
        <f>Parameters!$B$66</f>
        <v>3.3000000000000002E-2</v>
      </c>
      <c r="L29" s="602">
        <f>Parameters!$B$67</f>
        <v>3.5000000000000003E-2</v>
      </c>
      <c r="M29" s="599">
        <v>0</v>
      </c>
      <c r="N29" s="183">
        <f>J29*(I29)</f>
        <v>9088.0680833841107</v>
      </c>
      <c r="O29" s="183">
        <f>K29*(I29)</f>
        <v>321.78781840308545</v>
      </c>
      <c r="P29" s="183">
        <f>L29*(I29)</f>
        <v>341.29011042751489</v>
      </c>
      <c r="Q29" s="1172">
        <f>M29*(I29)</f>
        <v>0</v>
      </c>
      <c r="R29" s="1197"/>
      <c r="T29" s="1323" t="s">
        <v>1253</v>
      </c>
    </row>
    <row r="30" spans="1:39" s="148" customFormat="1" ht="13.5" thickTop="1">
      <c r="A30" s="1188" t="s">
        <v>429</v>
      </c>
      <c r="B30" s="1199"/>
      <c r="C30" s="428"/>
      <c r="D30" s="428"/>
      <c r="E30" s="428"/>
      <c r="F30" s="466">
        <f>SUM(F21:F29)</f>
        <v>4612218.9782648003</v>
      </c>
      <c r="G30" s="466">
        <f>SUM(G21:G29)</f>
        <v>263666.75428404298</v>
      </c>
      <c r="H30" s="466">
        <f>SUM(H21:H29)</f>
        <v>112010.88</v>
      </c>
      <c r="I30" s="466">
        <f>SUM(I21:I29)</f>
        <v>5115403.9754347354</v>
      </c>
      <c r="J30" s="429"/>
      <c r="K30" s="187"/>
      <c r="L30" s="429"/>
      <c r="M30" s="429"/>
      <c r="N30" s="188">
        <f>SUM(N21:N29)</f>
        <v>4767556.5051051723</v>
      </c>
      <c r="O30" s="188">
        <f>SUM(O21:O29)</f>
        <v>168808.33118934627</v>
      </c>
      <c r="P30" s="188">
        <f>SUM(P21:P29)</f>
        <v>179039.1391402157</v>
      </c>
      <c r="Q30" s="1187">
        <f>SUM(Q21:Q29)</f>
        <v>0</v>
      </c>
      <c r="R30" s="347"/>
      <c r="T30" s="728"/>
    </row>
    <row r="31" spans="1:39" s="148" customFormat="1">
      <c r="A31" s="219"/>
      <c r="B31" s="219"/>
      <c r="C31" s="182"/>
      <c r="D31" s="182"/>
      <c r="E31" s="182"/>
      <c r="F31" s="182"/>
      <c r="G31" s="182"/>
      <c r="H31" s="182"/>
      <c r="I31" s="182"/>
      <c r="J31" s="182"/>
      <c r="K31" s="123"/>
      <c r="L31" s="1167"/>
      <c r="M31" s="1167"/>
      <c r="N31" s="1167"/>
      <c r="O31" s="128"/>
      <c r="P31" s="1167"/>
      <c r="Q31" s="1167"/>
      <c r="R31" s="356"/>
      <c r="S31" s="1328"/>
      <c r="T31" s="728"/>
      <c r="U31" s="357"/>
      <c r="V31" s="357"/>
      <c r="W31" s="357"/>
      <c r="X31" s="357"/>
    </row>
    <row r="32" spans="1:39" s="148" customFormat="1">
      <c r="A32" s="39" t="s">
        <v>932</v>
      </c>
      <c r="B32" s="40"/>
      <c r="C32" s="38"/>
      <c r="D32" s="182"/>
      <c r="E32" s="182"/>
      <c r="F32" s="182"/>
      <c r="G32" s="182"/>
      <c r="H32" s="182"/>
      <c r="I32" s="182"/>
      <c r="J32" s="182"/>
      <c r="K32" s="123"/>
      <c r="L32" s="182"/>
      <c r="M32" s="182"/>
      <c r="N32" s="182"/>
      <c r="O32" s="123"/>
      <c r="P32" s="182"/>
      <c r="Q32" s="182"/>
      <c r="R32" s="245"/>
      <c r="S32" s="137"/>
      <c r="T32" s="728"/>
      <c r="U32" s="137"/>
      <c r="V32" s="137"/>
      <c r="W32" s="137"/>
      <c r="X32" s="137"/>
    </row>
    <row r="33" spans="1:33" s="148" customFormat="1">
      <c r="A33" s="233" t="s">
        <v>931</v>
      </c>
      <c r="B33" s="1200">
        <f>B136*H11</f>
        <v>1588369.1385557333</v>
      </c>
      <c r="C33" s="182"/>
      <c r="D33" s="182"/>
      <c r="E33" s="182"/>
      <c r="F33" s="182"/>
      <c r="G33" s="182"/>
      <c r="H33" s="182"/>
      <c r="I33" s="182"/>
      <c r="J33" s="182"/>
      <c r="K33" s="182"/>
      <c r="L33" s="182"/>
      <c r="M33" s="182"/>
      <c r="N33" s="182"/>
      <c r="O33" s="182"/>
      <c r="P33" s="182"/>
      <c r="Q33" s="182"/>
      <c r="R33" s="245"/>
      <c r="S33" s="137"/>
      <c r="T33" s="728"/>
    </row>
    <row r="34" spans="1:33" s="148" customFormat="1">
      <c r="A34" s="233" t="s">
        <v>598</v>
      </c>
      <c r="B34" s="1201">
        <f>N30+(1-Parameters!B66)*B33</f>
        <v>6303509.4620885663</v>
      </c>
      <c r="C34" s="182"/>
      <c r="D34" s="182"/>
      <c r="E34" s="182"/>
      <c r="F34" s="182"/>
      <c r="G34" s="182"/>
      <c r="H34" s="182"/>
      <c r="I34" s="182"/>
      <c r="J34" s="182"/>
      <c r="K34" s="123"/>
      <c r="L34" s="182"/>
      <c r="M34" s="182"/>
      <c r="N34" s="182"/>
      <c r="O34" s="123"/>
      <c r="P34" s="182"/>
      <c r="Q34" s="182"/>
      <c r="R34" s="245"/>
      <c r="S34" s="137"/>
      <c r="T34" s="728"/>
      <c r="U34" s="137"/>
      <c r="V34" s="137"/>
      <c r="W34" s="137"/>
      <c r="X34" s="137"/>
    </row>
    <row r="35" spans="1:33" s="118" customFormat="1">
      <c r="A35" s="233" t="s">
        <v>597</v>
      </c>
      <c r="B35" s="1201">
        <f>O30+B33*Parameters!B66</f>
        <v>221224.51276168547</v>
      </c>
      <c r="C35" s="123"/>
      <c r="D35" s="123"/>
      <c r="E35" s="123"/>
      <c r="F35" s="123"/>
      <c r="G35" s="123"/>
      <c r="H35" s="123"/>
      <c r="I35" s="123"/>
      <c r="J35" s="123"/>
      <c r="K35" s="123"/>
      <c r="L35" s="123"/>
      <c r="M35" s="123"/>
      <c r="N35" s="123"/>
      <c r="O35" s="123"/>
      <c r="P35" s="123"/>
      <c r="Q35" s="123"/>
      <c r="R35" s="280"/>
      <c r="S35" s="114"/>
      <c r="T35" s="728"/>
      <c r="U35" s="114"/>
      <c r="V35" s="114"/>
      <c r="W35" s="114"/>
      <c r="X35" s="114"/>
    </row>
    <row r="36" spans="1:33" s="148" customFormat="1">
      <c r="A36" s="219" t="s">
        <v>653</v>
      </c>
      <c r="B36" s="1202">
        <f>P30</f>
        <v>179039.1391402157</v>
      </c>
      <c r="C36" s="182"/>
      <c r="D36" s="322"/>
      <c r="E36" s="182"/>
      <c r="F36" s="182"/>
      <c r="G36" s="182"/>
      <c r="H36" s="182"/>
      <c r="I36" s="182"/>
      <c r="J36" s="182"/>
      <c r="K36" s="123"/>
      <c r="L36" s="182"/>
      <c r="M36" s="182"/>
      <c r="N36" s="182"/>
      <c r="O36" s="123"/>
      <c r="P36" s="182"/>
      <c r="Q36" s="182"/>
      <c r="R36" s="245"/>
      <c r="S36" s="137"/>
      <c r="T36" s="728"/>
      <c r="U36" s="137"/>
      <c r="V36" s="137"/>
      <c r="W36" s="137"/>
      <c r="X36" s="137"/>
    </row>
    <row r="37" spans="1:33" s="148" customFormat="1">
      <c r="A37" s="233" t="s">
        <v>553</v>
      </c>
      <c r="B37" s="1204">
        <f>Q30</f>
        <v>0</v>
      </c>
      <c r="C37" s="182"/>
      <c r="D37" s="182"/>
      <c r="E37" s="182"/>
      <c r="F37" s="182"/>
      <c r="G37" s="182"/>
      <c r="H37" s="182"/>
      <c r="I37" s="182"/>
      <c r="J37" s="182"/>
      <c r="K37" s="123"/>
      <c r="L37" s="182"/>
      <c r="M37" s="182"/>
      <c r="N37" s="182"/>
      <c r="O37" s="123"/>
      <c r="P37" s="182"/>
      <c r="Q37" s="182"/>
      <c r="R37" s="245"/>
      <c r="S37" s="137"/>
      <c r="T37" s="728"/>
      <c r="U37" s="137"/>
      <c r="V37" s="137"/>
      <c r="W37" s="137"/>
      <c r="X37" s="137"/>
    </row>
    <row r="38" spans="1:33" s="148" customFormat="1">
      <c r="A38" s="236"/>
      <c r="B38" s="219"/>
      <c r="C38" s="182"/>
      <c r="D38" s="182"/>
      <c r="E38" s="182"/>
      <c r="F38" s="182"/>
      <c r="G38" s="182"/>
      <c r="H38" s="182"/>
      <c r="I38" s="182"/>
      <c r="J38" s="182"/>
      <c r="K38" s="123"/>
      <c r="L38" s="182"/>
      <c r="M38" s="182"/>
      <c r="N38" s="182"/>
      <c r="O38" s="123"/>
      <c r="P38" s="182"/>
      <c r="Q38" s="182"/>
      <c r="R38" s="245"/>
      <c r="S38" s="137"/>
      <c r="T38" s="728"/>
      <c r="U38" s="137"/>
      <c r="V38" s="137"/>
      <c r="W38" s="137"/>
      <c r="X38" s="137"/>
    </row>
    <row r="39" spans="1:33" s="148" customFormat="1">
      <c r="A39" s="220" t="s">
        <v>906</v>
      </c>
      <c r="B39" s="1203">
        <v>914419181.44699395</v>
      </c>
      <c r="C39" s="355"/>
      <c r="D39" s="182"/>
      <c r="E39" s="182"/>
      <c r="F39" s="182"/>
      <c r="G39" s="182"/>
      <c r="H39" s="182"/>
      <c r="I39" s="182"/>
      <c r="J39" s="182"/>
      <c r="K39" s="182"/>
      <c r="L39" s="182"/>
      <c r="M39" s="182"/>
      <c r="N39" s="182"/>
      <c r="O39" s="182"/>
      <c r="P39" s="182"/>
      <c r="Q39" s="182"/>
      <c r="R39" s="356"/>
      <c r="S39" s="1321"/>
      <c r="T39" s="728"/>
    </row>
    <row r="40" spans="1:33" s="118" customFormat="1">
      <c r="A40" s="220" t="s">
        <v>885</v>
      </c>
      <c r="B40" s="1204">
        <f>Parameters!B86</f>
        <v>32693297.402289145</v>
      </c>
      <c r="C40" s="123"/>
      <c r="D40" s="123"/>
      <c r="E40" s="123"/>
      <c r="F40" s="123"/>
      <c r="G40" s="182"/>
      <c r="H40" s="123"/>
      <c r="I40" s="123"/>
      <c r="J40" s="123"/>
      <c r="K40" s="123"/>
      <c r="L40" s="123"/>
      <c r="M40" s="123"/>
      <c r="N40" s="123"/>
      <c r="O40" s="123"/>
      <c r="P40" s="123"/>
      <c r="Q40" s="123"/>
      <c r="R40" s="280"/>
      <c r="S40" s="114"/>
      <c r="T40" s="728"/>
      <c r="U40" s="126"/>
      <c r="V40" s="126"/>
      <c r="W40" s="126"/>
      <c r="X40" s="126"/>
      <c r="Y40" s="126"/>
      <c r="Z40" s="126"/>
      <c r="AA40" s="126"/>
      <c r="AB40" s="126"/>
      <c r="AC40" s="126"/>
      <c r="AD40" s="126"/>
      <c r="AE40" s="126"/>
      <c r="AF40" s="126"/>
      <c r="AG40" s="126"/>
    </row>
    <row r="41" spans="1:33" s="148" customFormat="1">
      <c r="A41" s="220" t="s">
        <v>886</v>
      </c>
      <c r="B41" s="1204">
        <f>Parameters!B87</f>
        <v>34007879.769864909</v>
      </c>
      <c r="C41" s="182"/>
      <c r="D41" s="182"/>
      <c r="E41" s="182"/>
      <c r="F41" s="182"/>
      <c r="G41" s="182"/>
      <c r="H41" s="182"/>
      <c r="I41" s="182"/>
      <c r="J41" s="182"/>
      <c r="K41" s="182"/>
      <c r="L41" s="182"/>
      <c r="M41" s="182"/>
      <c r="N41" s="182"/>
      <c r="O41" s="182"/>
      <c r="P41" s="182"/>
      <c r="Q41" s="182"/>
      <c r="R41" s="245"/>
      <c r="S41" s="137"/>
      <c r="T41" s="728"/>
    </row>
    <row r="42" spans="1:33" s="148" customFormat="1">
      <c r="A42" s="220" t="s">
        <v>887</v>
      </c>
      <c r="B42" s="1204">
        <f>Parameters!B89</f>
        <v>84498420.460968792</v>
      </c>
      <c r="C42" s="173"/>
      <c r="D42" s="182"/>
      <c r="E42" s="182"/>
      <c r="F42" s="182"/>
      <c r="G42" s="182"/>
      <c r="H42" s="182"/>
      <c r="I42" s="182"/>
      <c r="J42" s="182"/>
      <c r="K42" s="182"/>
      <c r="L42" s="182"/>
      <c r="M42" s="182"/>
      <c r="N42" s="182"/>
      <c r="O42" s="182"/>
      <c r="P42" s="182"/>
      <c r="Q42" s="182"/>
      <c r="R42" s="245"/>
      <c r="S42" s="137"/>
      <c r="T42" s="728"/>
    </row>
    <row r="43" spans="1:33" s="148" customFormat="1">
      <c r="A43" s="40"/>
      <c r="B43" s="1205"/>
      <c r="C43" s="182"/>
      <c r="D43" s="182"/>
      <c r="E43" s="182"/>
      <c r="F43" s="182"/>
      <c r="G43" s="182"/>
      <c r="H43" s="182"/>
      <c r="I43" s="182"/>
      <c r="J43" s="182"/>
      <c r="K43" s="182"/>
      <c r="L43" s="182"/>
      <c r="M43" s="182"/>
      <c r="N43" s="182"/>
      <c r="O43" s="182"/>
      <c r="P43" s="182"/>
      <c r="Q43" s="182"/>
      <c r="R43" s="245"/>
      <c r="S43" s="137"/>
      <c r="T43" s="728"/>
    </row>
    <row r="44" spans="1:33" s="148" customFormat="1">
      <c r="A44" s="39" t="s">
        <v>159</v>
      </c>
      <c r="B44" s="40"/>
      <c r="C44" s="182"/>
      <c r="D44" s="468"/>
      <c r="E44" s="182"/>
      <c r="F44" s="182"/>
      <c r="G44" s="182"/>
      <c r="H44" s="182"/>
      <c r="I44" s="182"/>
      <c r="J44" s="182"/>
      <c r="K44" s="123"/>
      <c r="L44" s="182"/>
      <c r="M44" s="182"/>
      <c r="N44" s="182"/>
      <c r="O44" s="123"/>
      <c r="P44" s="182"/>
      <c r="Q44" s="182"/>
      <c r="R44" s="245"/>
      <c r="S44" s="137"/>
      <c r="T44" s="728"/>
      <c r="U44" s="137"/>
      <c r="V44" s="137"/>
      <c r="W44" s="137"/>
      <c r="X44" s="137"/>
    </row>
    <row r="45" spans="1:33" s="148" customFormat="1">
      <c r="A45" s="221" t="s">
        <v>645</v>
      </c>
      <c r="B45" s="1206">
        <f>(B34/B39)</f>
        <v>6.8934571692971002E-3</v>
      </c>
      <c r="C45" s="182"/>
      <c r="D45" s="182"/>
      <c r="E45" s="182"/>
      <c r="F45" s="182"/>
      <c r="G45" s="182"/>
      <c r="H45" s="182"/>
      <c r="I45" s="182"/>
      <c r="J45" s="182"/>
      <c r="K45" s="182"/>
      <c r="L45" s="182"/>
      <c r="M45" s="182"/>
      <c r="N45" s="182"/>
      <c r="O45" s="182"/>
      <c r="P45" s="182"/>
      <c r="Q45" s="182"/>
      <c r="R45" s="245"/>
      <c r="S45" s="137"/>
      <c r="T45" s="728"/>
    </row>
    <row r="46" spans="1:33" s="118" customFormat="1">
      <c r="A46" s="221" t="s">
        <v>570</v>
      </c>
      <c r="B46" s="1206">
        <f>(B35/B40)</f>
        <v>6.7666625987440349E-3</v>
      </c>
      <c r="C46" s="123"/>
      <c r="D46" s="123"/>
      <c r="E46" s="123"/>
      <c r="F46" s="123"/>
      <c r="G46" s="764"/>
      <c r="H46" s="123"/>
      <c r="I46" s="123"/>
      <c r="J46" s="123"/>
      <c r="K46" s="123"/>
      <c r="L46" s="123"/>
      <c r="M46" s="123"/>
      <c r="N46" s="123"/>
      <c r="O46" s="123"/>
      <c r="P46" s="123"/>
      <c r="Q46" s="123"/>
      <c r="R46" s="280"/>
      <c r="S46" s="114"/>
      <c r="T46" s="728"/>
    </row>
    <row r="47" spans="1:33" s="148" customFormat="1">
      <c r="A47" s="221" t="s">
        <v>618</v>
      </c>
      <c r="B47" s="1206">
        <f>B36/B41</f>
        <v>5.2646369121448731E-3</v>
      </c>
      <c r="C47" s="182"/>
      <c r="D47" s="322"/>
      <c r="E47" s="182"/>
      <c r="F47" s="182"/>
      <c r="G47" s="182"/>
      <c r="H47" s="172"/>
      <c r="I47" s="182"/>
      <c r="J47" s="182"/>
      <c r="K47" s="182"/>
      <c r="L47" s="182"/>
      <c r="M47" s="182"/>
      <c r="N47" s="182"/>
      <c r="O47" s="182"/>
      <c r="P47" s="182"/>
      <c r="Q47" s="182"/>
      <c r="R47" s="245"/>
      <c r="S47" s="137"/>
      <c r="T47" s="728"/>
    </row>
    <row r="48" spans="1:33" s="148" customFormat="1">
      <c r="A48" s="41" t="s">
        <v>24</v>
      </c>
      <c r="B48" s="1207">
        <f>B37/B42</f>
        <v>0</v>
      </c>
      <c r="C48" s="182"/>
      <c r="D48" s="123"/>
      <c r="E48" s="182"/>
      <c r="F48" s="123"/>
      <c r="G48" s="182"/>
      <c r="H48" s="172"/>
      <c r="I48" s="182"/>
      <c r="J48" s="182"/>
      <c r="K48" s="182"/>
      <c r="L48" s="182"/>
      <c r="M48" s="182"/>
      <c r="N48" s="182"/>
      <c r="O48" s="182"/>
      <c r="P48" s="182"/>
      <c r="Q48" s="182"/>
      <c r="R48" s="245"/>
      <c r="S48" s="137"/>
      <c r="T48" s="728"/>
    </row>
    <row r="49" spans="1:44" s="172" customFormat="1">
      <c r="A49" s="219"/>
      <c r="B49" s="219"/>
      <c r="C49" s="173"/>
      <c r="D49" s="123"/>
      <c r="E49" s="173"/>
      <c r="F49" s="117"/>
      <c r="J49" s="342"/>
      <c r="K49" s="121"/>
      <c r="L49" s="342"/>
      <c r="M49" s="342"/>
      <c r="N49" s="342"/>
      <c r="O49" s="121"/>
      <c r="P49" s="342"/>
      <c r="Q49" s="342"/>
      <c r="R49" s="345"/>
      <c r="S49" s="342"/>
      <c r="T49" s="728"/>
      <c r="U49" s="342"/>
      <c r="V49" s="342"/>
      <c r="W49" s="342"/>
      <c r="X49" s="342"/>
      <c r="AP49" s="148"/>
      <c r="AQ49" s="148"/>
      <c r="AR49" s="148"/>
    </row>
    <row r="50" spans="1:44" s="148" customFormat="1">
      <c r="A50" s="219"/>
      <c r="B50" s="219"/>
      <c r="C50" s="123"/>
      <c r="D50" s="182"/>
      <c r="E50" s="209"/>
      <c r="F50" s="182"/>
      <c r="G50" s="173"/>
      <c r="H50" s="182"/>
      <c r="I50" s="182"/>
      <c r="J50" s="182"/>
      <c r="K50" s="123"/>
      <c r="L50" s="182"/>
      <c r="M50" s="182"/>
      <c r="N50" s="182"/>
      <c r="O50" s="123"/>
      <c r="P50" s="182"/>
      <c r="Q50" s="182"/>
      <c r="R50" s="245"/>
      <c r="S50" s="137"/>
      <c r="T50" s="728"/>
      <c r="U50" s="137"/>
      <c r="V50" s="137"/>
      <c r="W50" s="137"/>
      <c r="X50" s="137"/>
    </row>
    <row r="51" spans="1:44" s="359" customFormat="1">
      <c r="A51" s="272" t="s">
        <v>929</v>
      </c>
      <c r="B51" s="1210"/>
      <c r="C51" s="228"/>
      <c r="D51" s="228"/>
      <c r="E51" s="228"/>
      <c r="F51" s="228"/>
      <c r="G51" s="228"/>
      <c r="H51" s="228"/>
      <c r="I51" s="228"/>
      <c r="J51" s="254"/>
      <c r="K51" s="254"/>
      <c r="L51" s="254"/>
      <c r="M51" s="254"/>
      <c r="N51" s="254"/>
      <c r="O51" s="254"/>
      <c r="P51" s="254"/>
      <c r="Q51" s="254"/>
      <c r="R51" s="259"/>
      <c r="T51" s="728"/>
    </row>
    <row r="52" spans="1:44" s="148" customFormat="1">
      <c r="A52" s="358" t="str">
        <f>$A$21</f>
        <v xml:space="preserve">Europese samenwerking </v>
      </c>
      <c r="B52" s="279" t="s">
        <v>556</v>
      </c>
      <c r="C52" s="225" t="s">
        <v>557</v>
      </c>
      <c r="D52" s="225" t="s">
        <v>558</v>
      </c>
      <c r="E52" s="225" t="s">
        <v>8</v>
      </c>
      <c r="F52" s="225" t="s">
        <v>559</v>
      </c>
      <c r="G52" s="225" t="s">
        <v>560</v>
      </c>
      <c r="H52" s="225" t="s">
        <v>561</v>
      </c>
      <c r="I52" s="225" t="s">
        <v>851</v>
      </c>
      <c r="J52" s="342"/>
      <c r="K52" s="342"/>
      <c r="L52" s="342"/>
      <c r="M52" s="342"/>
      <c r="N52" s="342"/>
      <c r="O52" s="342"/>
      <c r="P52" s="342"/>
      <c r="Q52" s="342"/>
      <c r="R52" s="345"/>
      <c r="S52" s="342"/>
      <c r="T52" s="728"/>
      <c r="U52" s="342"/>
      <c r="V52" s="342"/>
      <c r="W52" s="342"/>
      <c r="X52" s="342"/>
      <c r="Y52" s="172"/>
      <c r="Z52" s="172"/>
      <c r="AA52" s="172"/>
      <c r="AB52" s="172"/>
      <c r="AC52" s="172"/>
      <c r="AD52" s="172"/>
      <c r="AE52" s="172"/>
      <c r="AF52" s="172"/>
      <c r="AG52" s="172"/>
      <c r="AH52" s="172"/>
      <c r="AI52" s="172"/>
      <c r="AJ52" s="172"/>
      <c r="AK52" s="172"/>
      <c r="AL52" s="172"/>
      <c r="AM52" s="172"/>
      <c r="AN52" s="172"/>
      <c r="AO52" s="172"/>
    </row>
    <row r="53" spans="1:44" s="148" customFormat="1">
      <c r="A53" s="1189">
        <v>2010</v>
      </c>
      <c r="B53" s="1208"/>
      <c r="C53" s="325">
        <f>IF(YEAR($C$21)=$A53,$E$21,0)</f>
        <v>0</v>
      </c>
      <c r="D53" s="169">
        <f>IF($A53=YEAR($C$21),(13-MONTH($C$21))/12*$E$21/$D$21,IF($A53&lt;YEAR($C$21),0,$E$21/$D$21))</f>
        <v>0</v>
      </c>
      <c r="E53" s="360">
        <f>IF(YEAR($C$21)&gt;A53,0,HLOOKUP(A53,$C$8:$G$13,YEAR($C$21)-2008,FALSE))</f>
        <v>1</v>
      </c>
      <c r="F53" s="361">
        <f>D53*E53</f>
        <v>0</v>
      </c>
      <c r="G53" s="362">
        <f>B53*(VLOOKUP(A53,$A$9:$B$13,2,FALSE)-1)</f>
        <v>0</v>
      </c>
      <c r="H53" s="361">
        <f>B53+C53-F53+G53</f>
        <v>0</v>
      </c>
      <c r="I53" s="947">
        <f>F53+H53*$B$4</f>
        <v>0</v>
      </c>
      <c r="J53" s="182"/>
      <c r="K53" s="182"/>
      <c r="L53" s="182"/>
      <c r="M53" s="182"/>
      <c r="N53" s="182"/>
      <c r="O53" s="182"/>
      <c r="P53" s="182"/>
      <c r="Q53" s="182"/>
      <c r="R53" s="245"/>
      <c r="S53" s="137"/>
      <c r="T53" s="728"/>
      <c r="U53" s="137"/>
      <c r="V53" s="137"/>
      <c r="W53" s="137"/>
      <c r="X53" s="137"/>
      <c r="AP53" s="172"/>
      <c r="AQ53" s="172"/>
      <c r="AR53" s="172"/>
    </row>
    <row r="54" spans="1:44" s="148" customFormat="1">
      <c r="A54" s="600">
        <v>2011</v>
      </c>
      <c r="B54" s="1209">
        <f>H53</f>
        <v>0</v>
      </c>
      <c r="C54" s="325">
        <f>IF(YEAR($C$21)=$A54,$E$21,0)</f>
        <v>0</v>
      </c>
      <c r="D54" s="169">
        <f t="shared" ref="D54:D56" si="8">IF($A54=YEAR($C$21),(13-MONTH($C$21))/12*$E$21/$D$21,IF($A54&lt;YEAR($C$21),0,$E$21/$D$21))</f>
        <v>0</v>
      </c>
      <c r="E54" s="360">
        <f>IF(YEAR($C$21)&gt;A54,0,HLOOKUP(A54,$C$8:$G$13,YEAR($C$21)-2008,FALSE))</f>
        <v>1.0149999999999999</v>
      </c>
      <c r="F54" s="361">
        <f t="shared" ref="F54:F56" si="9">D54*E54</f>
        <v>0</v>
      </c>
      <c r="G54" s="946">
        <f t="shared" ref="G54:G56" si="10">B54*(VLOOKUP(A54,$A$9:$B$13,2,FALSE)-1)</f>
        <v>0</v>
      </c>
      <c r="H54" s="361">
        <f t="shared" ref="H54:H56" si="11">B54+C54-F54+G54</f>
        <v>0</v>
      </c>
      <c r="I54" s="947">
        <f t="shared" ref="I54:I56" si="12">F54+H54*$B$4</f>
        <v>0</v>
      </c>
      <c r="J54" s="182"/>
      <c r="K54" s="182"/>
      <c r="L54" s="182"/>
      <c r="M54" s="182"/>
      <c r="N54" s="182"/>
      <c r="O54" s="182"/>
      <c r="P54" s="182"/>
      <c r="Q54" s="182"/>
      <c r="R54" s="245"/>
      <c r="S54" s="137"/>
      <c r="T54" s="728"/>
      <c r="U54" s="137"/>
      <c r="V54" s="137"/>
      <c r="W54" s="137"/>
      <c r="X54" s="137"/>
    </row>
    <row r="55" spans="1:44" s="148" customFormat="1">
      <c r="A55" s="1189">
        <v>2012</v>
      </c>
      <c r="B55" s="1209">
        <f>H54</f>
        <v>0</v>
      </c>
      <c r="C55" s="325">
        <f t="shared" ref="C55:C56" si="13">IF(YEAR($C$21)=$A55,$E$21,0)</f>
        <v>0</v>
      </c>
      <c r="D55" s="169">
        <f t="shared" si="8"/>
        <v>0</v>
      </c>
      <c r="E55" s="360">
        <f>IF(YEAR($C$21)&gt;A55,0,HLOOKUP(A55,$C$8:$G$13,YEAR($C$21)-2008,FALSE))</f>
        <v>1.0413899999999998</v>
      </c>
      <c r="F55" s="361">
        <f t="shared" si="9"/>
        <v>0</v>
      </c>
      <c r="G55" s="946">
        <f t="shared" si="10"/>
        <v>0</v>
      </c>
      <c r="H55" s="361">
        <f t="shared" si="11"/>
        <v>0</v>
      </c>
      <c r="I55" s="947">
        <f t="shared" si="12"/>
        <v>0</v>
      </c>
      <c r="J55" s="182"/>
      <c r="K55" s="182"/>
      <c r="L55" s="182"/>
      <c r="M55" s="182"/>
      <c r="N55" s="182"/>
      <c r="O55" s="182"/>
      <c r="P55" s="182"/>
      <c r="Q55" s="182"/>
      <c r="R55" s="245"/>
      <c r="S55" s="137"/>
      <c r="T55" s="728"/>
      <c r="U55" s="137"/>
      <c r="V55" s="137"/>
      <c r="W55" s="137"/>
      <c r="X55" s="137"/>
      <c r="AP55" s="172"/>
      <c r="AQ55" s="172"/>
      <c r="AR55" s="172"/>
    </row>
    <row r="56" spans="1:44" s="148" customFormat="1">
      <c r="A56" s="1189">
        <v>2013</v>
      </c>
      <c r="B56" s="1209">
        <f>H55</f>
        <v>0</v>
      </c>
      <c r="C56" s="325">
        <f t="shared" si="13"/>
        <v>0</v>
      </c>
      <c r="D56" s="169">
        <f t="shared" si="8"/>
        <v>0</v>
      </c>
      <c r="E56" s="360">
        <f>IF(YEAR($C$21)&gt;A56,0,HLOOKUP(A56,$C$8:$G$13,YEAR($C$21)-2008,FALSE))</f>
        <v>1.06534197</v>
      </c>
      <c r="F56" s="361">
        <f t="shared" si="9"/>
        <v>0</v>
      </c>
      <c r="G56" s="946">
        <f t="shared" si="10"/>
        <v>0</v>
      </c>
      <c r="H56" s="361">
        <f t="shared" si="11"/>
        <v>0</v>
      </c>
      <c r="I56" s="947">
        <f t="shared" si="12"/>
        <v>0</v>
      </c>
      <c r="J56" s="182"/>
      <c r="K56" s="182"/>
      <c r="L56" s="182"/>
      <c r="M56" s="182"/>
      <c r="N56" s="182"/>
      <c r="O56" s="182"/>
      <c r="P56" s="182"/>
      <c r="Q56" s="182"/>
      <c r="R56" s="245"/>
      <c r="S56" s="137"/>
      <c r="T56" s="728"/>
      <c r="U56" s="137"/>
      <c r="V56" s="137"/>
      <c r="W56" s="137"/>
      <c r="X56" s="137"/>
      <c r="AP56" s="172"/>
      <c r="AQ56" s="172"/>
      <c r="AR56" s="172"/>
    </row>
    <row r="57" spans="1:44" s="148" customFormat="1">
      <c r="A57" s="219"/>
      <c r="B57" s="219"/>
      <c r="C57" s="182"/>
      <c r="D57" s="182"/>
      <c r="E57" s="182"/>
      <c r="F57" s="182"/>
      <c r="G57" s="182"/>
      <c r="H57" s="182"/>
      <c r="I57" s="182"/>
      <c r="J57" s="182"/>
      <c r="K57" s="123"/>
      <c r="L57" s="182"/>
      <c r="M57" s="182"/>
      <c r="N57" s="182"/>
      <c r="O57" s="123"/>
      <c r="P57" s="182"/>
      <c r="Q57" s="182"/>
      <c r="R57" s="245"/>
      <c r="S57" s="137"/>
      <c r="T57" s="728"/>
      <c r="U57" s="137"/>
      <c r="V57" s="137"/>
      <c r="W57" s="137"/>
      <c r="X57" s="137"/>
    </row>
    <row r="58" spans="1:44" s="359" customFormat="1">
      <c r="A58" s="272" t="s">
        <v>929</v>
      </c>
      <c r="B58" s="1210"/>
      <c r="C58" s="228"/>
      <c r="D58" s="228"/>
      <c r="E58" s="228"/>
      <c r="F58" s="228"/>
      <c r="G58" s="228"/>
      <c r="H58" s="228"/>
      <c r="I58" s="228"/>
      <c r="J58" s="254"/>
      <c r="K58" s="254"/>
      <c r="L58" s="254"/>
      <c r="M58" s="254"/>
      <c r="N58" s="254"/>
      <c r="O58" s="254"/>
      <c r="P58" s="254"/>
      <c r="Q58" s="254"/>
      <c r="R58" s="259"/>
      <c r="T58" s="728"/>
    </row>
    <row r="59" spans="1:44" s="148" customFormat="1">
      <c r="A59" s="358" t="str">
        <f>$A$22</f>
        <v>Transparantie deel 1 en 2</v>
      </c>
      <c r="B59" s="279" t="s">
        <v>556</v>
      </c>
      <c r="C59" s="225" t="s">
        <v>557</v>
      </c>
      <c r="D59" s="225" t="s">
        <v>558</v>
      </c>
      <c r="E59" s="225" t="s">
        <v>8</v>
      </c>
      <c r="F59" s="225" t="s">
        <v>559</v>
      </c>
      <c r="G59" s="225" t="s">
        <v>560</v>
      </c>
      <c r="H59" s="225" t="s">
        <v>561</v>
      </c>
      <c r="I59" s="225" t="s">
        <v>851</v>
      </c>
      <c r="J59" s="342"/>
      <c r="K59" s="342"/>
      <c r="L59" s="342"/>
      <c r="M59" s="342"/>
      <c r="N59" s="342"/>
      <c r="O59" s="342"/>
      <c r="P59" s="342"/>
      <c r="Q59" s="342"/>
      <c r="R59" s="345"/>
      <c r="S59" s="342"/>
      <c r="T59" s="728"/>
      <c r="U59" s="342"/>
      <c r="V59" s="342"/>
      <c r="W59" s="342"/>
      <c r="X59" s="342"/>
      <c r="Y59" s="172"/>
      <c r="Z59" s="172"/>
      <c r="AA59" s="172"/>
      <c r="AB59" s="172"/>
      <c r="AC59" s="172"/>
      <c r="AD59" s="172"/>
      <c r="AE59" s="172"/>
      <c r="AF59" s="172"/>
      <c r="AG59" s="172"/>
      <c r="AH59" s="172"/>
      <c r="AI59" s="172"/>
      <c r="AJ59" s="172"/>
      <c r="AK59" s="172"/>
      <c r="AL59" s="172"/>
      <c r="AM59" s="172"/>
      <c r="AN59" s="172"/>
      <c r="AO59" s="172"/>
    </row>
    <row r="60" spans="1:44" s="148" customFormat="1">
      <c r="A60" s="1189">
        <v>2010</v>
      </c>
      <c r="B60" s="1208"/>
      <c r="C60" s="325">
        <f>IF(YEAR($C$22)=$A60,$E$22,0)</f>
        <v>134000</v>
      </c>
      <c r="D60" s="169">
        <f>IF($A60=YEAR($C$22),(13-MONTH($C$22))/12*$E$22/$D$22,IF($A60&lt;YEAR($C$22),0,$E$22/$D$22))</f>
        <v>8933.3333333333321</v>
      </c>
      <c r="E60" s="360">
        <f>IF(YEAR($C$22)&gt;A60,0,HLOOKUP(A60,$C$8:$G$13,YEAR($C$22)-2008,FALSE))</f>
        <v>1</v>
      </c>
      <c r="F60" s="361">
        <f>D60*E60</f>
        <v>8933.3333333333321</v>
      </c>
      <c r="G60" s="362">
        <f>B60*(VLOOKUP(A60,$A$9:$B$13,2,FALSE)-1)</f>
        <v>0</v>
      </c>
      <c r="H60" s="361">
        <f>B60+C60-F60+G60</f>
        <v>125066.66666666667</v>
      </c>
      <c r="I60" s="948">
        <f>F60+H60*$B$4</f>
        <v>16187.2</v>
      </c>
      <c r="J60" s="182"/>
      <c r="K60" s="182"/>
      <c r="L60" s="182"/>
      <c r="M60" s="182"/>
      <c r="N60" s="182"/>
      <c r="O60" s="182"/>
      <c r="P60" s="182"/>
      <c r="Q60" s="182"/>
      <c r="R60" s="245"/>
      <c r="S60" s="137"/>
      <c r="T60" s="728"/>
      <c r="U60" s="137"/>
      <c r="V60" s="137"/>
      <c r="W60" s="137"/>
      <c r="X60" s="137"/>
      <c r="AP60" s="172"/>
      <c r="AQ60" s="172"/>
      <c r="AR60" s="172"/>
    </row>
    <row r="61" spans="1:44" s="148" customFormat="1">
      <c r="A61" s="600">
        <v>2011</v>
      </c>
      <c r="B61" s="1209">
        <f>H60</f>
        <v>125066.66666666667</v>
      </c>
      <c r="C61" s="325">
        <f t="shared" ref="C61:C63" si="14">IF(YEAR($C$22)=$A61,$E$22,0)</f>
        <v>0</v>
      </c>
      <c r="D61" s="169">
        <f t="shared" ref="D61:D63" si="15">IF($A61=YEAR($C$22),(13-MONTH($C$22))/12*$E$22/$D$22,IF($A61&lt;YEAR($C$22),0,$E$22/$D$22))</f>
        <v>26800</v>
      </c>
      <c r="E61" s="360">
        <f>IF(YEAR($C$22)&gt;A61,0,HLOOKUP(A61,$C$8:$G$13,YEAR($C$22)-2008,FALSE))</f>
        <v>1.0149999999999999</v>
      </c>
      <c r="F61" s="361">
        <f t="shared" ref="F61:F63" si="16">D61*E61</f>
        <v>27201.999999999996</v>
      </c>
      <c r="G61" s="946">
        <f>B61*(VLOOKUP(A61,$A$9:$B$13,2,FALSE)-1)</f>
        <v>1875.9999999999879</v>
      </c>
      <c r="H61" s="361">
        <f>B61+C61-F61+G61</f>
        <v>99740.666666666657</v>
      </c>
      <c r="I61" s="948">
        <f t="shared" ref="I61:I63" si="17">F61+H61*$B$4</f>
        <v>32986.958666666666</v>
      </c>
      <c r="J61" s="182"/>
      <c r="K61" s="182"/>
      <c r="L61" s="182"/>
      <c r="M61" s="182"/>
      <c r="N61" s="182"/>
      <c r="O61" s="182"/>
      <c r="P61" s="182"/>
      <c r="Q61" s="182"/>
      <c r="R61" s="245"/>
      <c r="S61" s="137"/>
      <c r="T61" s="728"/>
      <c r="U61" s="137"/>
      <c r="V61" s="137"/>
      <c r="W61" s="137"/>
      <c r="X61" s="137"/>
    </row>
    <row r="62" spans="1:44" s="148" customFormat="1">
      <c r="A62" s="1189">
        <v>2012</v>
      </c>
      <c r="B62" s="1209">
        <f>H61</f>
        <v>99740.666666666657</v>
      </c>
      <c r="C62" s="325">
        <f t="shared" si="14"/>
        <v>0</v>
      </c>
      <c r="D62" s="169">
        <f t="shared" si="15"/>
        <v>26800</v>
      </c>
      <c r="E62" s="360">
        <f>IF(YEAR($C$22)&gt;A62,0,HLOOKUP(A62,$C$8:$G$13,YEAR($C$22)-2008,FALSE))</f>
        <v>1.0413899999999998</v>
      </c>
      <c r="F62" s="361">
        <f t="shared" si="16"/>
        <v>27909.251999999997</v>
      </c>
      <c r="G62" s="946">
        <f t="shared" ref="G62:G63" si="18">B62*(VLOOKUP(A62,$A$9:$B$13,2,FALSE)-1)</f>
        <v>2593.2573333333353</v>
      </c>
      <c r="H62" s="361">
        <f t="shared" ref="H62:H63" si="19">B62+C62-F62+G62</f>
        <v>74424.672000000006</v>
      </c>
      <c r="I62" s="948">
        <f t="shared" si="17"/>
        <v>32225.882975999997</v>
      </c>
      <c r="J62" s="182"/>
      <c r="K62" s="182"/>
      <c r="L62" s="182"/>
      <c r="M62" s="182"/>
      <c r="N62" s="182"/>
      <c r="O62" s="182"/>
      <c r="P62" s="182"/>
      <c r="Q62" s="182"/>
      <c r="R62" s="245"/>
      <c r="S62" s="137"/>
      <c r="T62" s="728"/>
      <c r="U62" s="137"/>
      <c r="V62" s="137"/>
      <c r="W62" s="137"/>
      <c r="X62" s="137"/>
      <c r="AP62" s="172"/>
      <c r="AQ62" s="172"/>
      <c r="AR62" s="172"/>
    </row>
    <row r="63" spans="1:44" s="148" customFormat="1">
      <c r="A63" s="1189">
        <v>2013</v>
      </c>
      <c r="B63" s="1209">
        <f>H62</f>
        <v>74424.672000000006</v>
      </c>
      <c r="C63" s="325">
        <f t="shared" si="14"/>
        <v>0</v>
      </c>
      <c r="D63" s="169">
        <f t="shared" si="15"/>
        <v>26800</v>
      </c>
      <c r="E63" s="360">
        <f>IF(YEAR($C$22)&gt;A63,0,HLOOKUP(A63,$C$8:$G$13,YEAR($C$22)-2008,FALSE))</f>
        <v>1.06534197</v>
      </c>
      <c r="F63" s="361">
        <f t="shared" si="16"/>
        <v>28551.164796000001</v>
      </c>
      <c r="G63" s="946">
        <f t="shared" si="18"/>
        <v>1711.7674559999934</v>
      </c>
      <c r="H63" s="361">
        <f t="shared" si="19"/>
        <v>47585.274660000003</v>
      </c>
      <c r="I63" s="948">
        <f t="shared" si="17"/>
        <v>31311.11072628</v>
      </c>
      <c r="J63" s="182"/>
      <c r="K63" s="182"/>
      <c r="L63" s="182"/>
      <c r="M63" s="182"/>
      <c r="N63" s="182"/>
      <c r="O63" s="182"/>
      <c r="P63" s="182"/>
      <c r="Q63" s="182"/>
      <c r="R63" s="245"/>
      <c r="S63" s="137"/>
      <c r="T63" s="728"/>
      <c r="U63" s="137"/>
      <c r="V63" s="137"/>
      <c r="W63" s="137"/>
      <c r="X63" s="137"/>
      <c r="AP63" s="172"/>
      <c r="AQ63" s="172"/>
      <c r="AR63" s="172"/>
    </row>
    <row r="64" spans="1:44" s="148" customFormat="1">
      <c r="A64" s="219"/>
      <c r="B64" s="219"/>
      <c r="C64" s="182"/>
      <c r="D64" s="182"/>
      <c r="E64" s="182"/>
      <c r="F64" s="182"/>
      <c r="G64" s="182"/>
      <c r="H64" s="182"/>
      <c r="I64" s="182"/>
      <c r="J64" s="182"/>
      <c r="K64" s="123"/>
      <c r="L64" s="182"/>
      <c r="M64" s="182"/>
      <c r="N64" s="182"/>
      <c r="O64" s="123"/>
      <c r="P64" s="182"/>
      <c r="Q64" s="182"/>
      <c r="R64" s="245"/>
      <c r="S64" s="137"/>
      <c r="T64" s="728"/>
      <c r="U64" s="137"/>
      <c r="V64" s="137"/>
      <c r="W64" s="137"/>
      <c r="X64" s="137"/>
    </row>
    <row r="65" spans="1:44" s="359" customFormat="1">
      <c r="A65" s="272" t="s">
        <v>929</v>
      </c>
      <c r="B65" s="1210"/>
      <c r="C65" s="228"/>
      <c r="D65" s="228"/>
      <c r="E65" s="228"/>
      <c r="F65" s="228"/>
      <c r="G65" s="228"/>
      <c r="H65" s="228"/>
      <c r="I65" s="228"/>
      <c r="J65" s="254"/>
      <c r="K65" s="254"/>
      <c r="L65" s="254"/>
      <c r="M65" s="254"/>
      <c r="N65" s="254"/>
      <c r="O65" s="254"/>
      <c r="P65" s="254"/>
      <c r="Q65" s="254"/>
      <c r="R65" s="259"/>
      <c r="T65" s="728"/>
    </row>
    <row r="66" spans="1:44" s="359" customFormat="1">
      <c r="A66" s="358" t="str">
        <f>$A$23</f>
        <v>Nomineren</v>
      </c>
      <c r="B66" s="279" t="s">
        <v>556</v>
      </c>
      <c r="C66" s="225" t="s">
        <v>557</v>
      </c>
      <c r="D66" s="225" t="s">
        <v>558</v>
      </c>
      <c r="E66" s="225" t="s">
        <v>8</v>
      </c>
      <c r="F66" s="225" t="s">
        <v>559</v>
      </c>
      <c r="G66" s="225" t="s">
        <v>560</v>
      </c>
      <c r="H66" s="225" t="s">
        <v>561</v>
      </c>
      <c r="I66" s="225" t="s">
        <v>851</v>
      </c>
      <c r="J66" s="142"/>
      <c r="K66" s="142"/>
      <c r="L66" s="142"/>
      <c r="M66" s="142"/>
      <c r="N66" s="142"/>
      <c r="O66" s="142"/>
      <c r="P66" s="142"/>
      <c r="Q66" s="142"/>
      <c r="R66" s="258"/>
      <c r="S66" s="142"/>
      <c r="T66" s="728"/>
      <c r="U66" s="142"/>
      <c r="V66" s="142"/>
      <c r="W66" s="142"/>
      <c r="X66" s="142"/>
      <c r="Y66" s="254"/>
      <c r="Z66" s="254"/>
      <c r="AA66" s="254"/>
      <c r="AB66" s="254"/>
      <c r="AC66" s="254"/>
      <c r="AD66" s="254"/>
      <c r="AE66" s="254"/>
      <c r="AF66" s="254"/>
      <c r="AG66" s="254"/>
      <c r="AH66" s="254"/>
      <c r="AI66" s="254"/>
      <c r="AJ66" s="254"/>
      <c r="AK66" s="254"/>
      <c r="AL66" s="254"/>
      <c r="AM66" s="254"/>
      <c r="AN66" s="254"/>
      <c r="AO66" s="254"/>
    </row>
    <row r="67" spans="1:44" s="148" customFormat="1">
      <c r="A67" s="1189">
        <v>2010</v>
      </c>
      <c r="B67" s="1208"/>
      <c r="C67" s="325">
        <f>IF(YEAR($C$23)=$A67,$E$23,0)</f>
        <v>143000</v>
      </c>
      <c r="D67" s="169">
        <f>IF($A67=YEAR($C$23),(13-MONTH($C$23))/12*$E$23/$D$23,IF($A67&lt;YEAR($C$23),0,$E$23/$D$23))</f>
        <v>16683.333333333336</v>
      </c>
      <c r="E67" s="360">
        <f>IF(YEAR($C$23)&gt;A67,0,HLOOKUP(A67,$C$8:$G$13,YEAR($C$23)-2008,FALSE))</f>
        <v>1</v>
      </c>
      <c r="F67" s="361">
        <f>D67*E67</f>
        <v>16683.333333333336</v>
      </c>
      <c r="G67" s="362">
        <f>B67*(VLOOKUP(A67,$A$9:$B$13,2,FALSE)-1)</f>
        <v>0</v>
      </c>
      <c r="H67" s="361">
        <f>B67+C67-F67+G67</f>
        <v>126316.66666666666</v>
      </c>
      <c r="I67" s="952">
        <f>F67+H67*$B$4</f>
        <v>24009.700000000004</v>
      </c>
      <c r="J67" s="182"/>
      <c r="K67" s="182"/>
      <c r="L67" s="182"/>
      <c r="M67" s="182"/>
      <c r="N67" s="182"/>
      <c r="O67" s="182"/>
      <c r="P67" s="182"/>
      <c r="Q67" s="182"/>
      <c r="R67" s="245"/>
      <c r="S67" s="137"/>
      <c r="T67" s="728"/>
      <c r="U67" s="137"/>
      <c r="V67" s="137"/>
      <c r="W67" s="137"/>
      <c r="X67" s="137"/>
      <c r="AP67" s="172"/>
      <c r="AQ67" s="172"/>
      <c r="AR67" s="172"/>
    </row>
    <row r="68" spans="1:44" s="148" customFormat="1">
      <c r="A68" s="600">
        <v>2011</v>
      </c>
      <c r="B68" s="1209">
        <f>H67</f>
        <v>126316.66666666666</v>
      </c>
      <c r="C68" s="325">
        <f t="shared" ref="C68:C70" si="20">IF(YEAR($C$23)=$A68,$E$23,0)</f>
        <v>0</v>
      </c>
      <c r="D68" s="169">
        <f t="shared" ref="D68:D70" si="21">IF($A68=YEAR($C$23),(13-MONTH($C$23))/12*$E$23/$D$23,IF($A68&lt;YEAR($C$23),0,$E$23/$D$23))</f>
        <v>28600</v>
      </c>
      <c r="E68" s="360">
        <f>IF(YEAR($C$23)&gt;A68,0,HLOOKUP(A68,$C$8:$G$13,YEAR($C$23)-2008,FALSE))</f>
        <v>1.0149999999999999</v>
      </c>
      <c r="F68" s="361">
        <f t="shared" ref="F68:F70" si="22">D68*E68</f>
        <v>29028.999999999996</v>
      </c>
      <c r="G68" s="946">
        <f t="shared" ref="G68:G70" si="23">B68*(VLOOKUP(A68,$A$9:$B$13,2,FALSE)-1)</f>
        <v>1894.7499999999875</v>
      </c>
      <c r="H68" s="361">
        <f t="shared" ref="H68:H70" si="24">B68+C68-F68+G68</f>
        <v>99182.416666666642</v>
      </c>
      <c r="I68" s="952">
        <f t="shared" ref="I68:I70" si="25">F68+H68*$B$4</f>
        <v>34781.580166666659</v>
      </c>
      <c r="J68" s="182"/>
      <c r="K68" s="182"/>
      <c r="L68" s="182"/>
      <c r="M68" s="182"/>
      <c r="N68" s="182"/>
      <c r="O68" s="182"/>
      <c r="P68" s="182"/>
      <c r="Q68" s="182"/>
      <c r="R68" s="245"/>
      <c r="S68" s="137"/>
      <c r="T68" s="728"/>
      <c r="U68" s="137"/>
      <c r="V68" s="137"/>
      <c r="W68" s="137"/>
      <c r="X68" s="137"/>
    </row>
    <row r="69" spans="1:44" s="148" customFormat="1">
      <c r="A69" s="1189">
        <v>2012</v>
      </c>
      <c r="B69" s="1209">
        <f>H68</f>
        <v>99182.416666666642</v>
      </c>
      <c r="C69" s="325">
        <f t="shared" si="20"/>
        <v>0</v>
      </c>
      <c r="D69" s="169">
        <f t="shared" si="21"/>
        <v>28600</v>
      </c>
      <c r="E69" s="360">
        <f>IF(YEAR($C$23)&gt;A69,0,HLOOKUP(A69,$C$8:$G$13,YEAR($C$23)-2008,FALSE))</f>
        <v>1.0413899999999998</v>
      </c>
      <c r="F69" s="361">
        <f t="shared" si="22"/>
        <v>29783.753999999994</v>
      </c>
      <c r="G69" s="946">
        <f t="shared" si="23"/>
        <v>2578.7428333333351</v>
      </c>
      <c r="H69" s="361">
        <f t="shared" si="24"/>
        <v>71977.405499999979</v>
      </c>
      <c r="I69" s="952">
        <f t="shared" si="25"/>
        <v>33958.443518999993</v>
      </c>
      <c r="J69" s="182"/>
      <c r="K69" s="182"/>
      <c r="L69" s="182"/>
      <c r="M69" s="182"/>
      <c r="N69" s="182"/>
      <c r="O69" s="182"/>
      <c r="P69" s="182"/>
      <c r="Q69" s="182"/>
      <c r="R69" s="245"/>
      <c r="S69" s="137"/>
      <c r="T69" s="728"/>
      <c r="U69" s="137"/>
      <c r="V69" s="137"/>
      <c r="W69" s="137"/>
      <c r="X69" s="137"/>
      <c r="AP69" s="172"/>
      <c r="AQ69" s="172"/>
      <c r="AR69" s="172"/>
    </row>
    <row r="70" spans="1:44" s="148" customFormat="1">
      <c r="A70" s="1189">
        <v>2013</v>
      </c>
      <c r="B70" s="1209">
        <f>H69</f>
        <v>71977.405499999979</v>
      </c>
      <c r="C70" s="325">
        <f t="shared" si="20"/>
        <v>0</v>
      </c>
      <c r="D70" s="169">
        <f t="shared" si="21"/>
        <v>28600</v>
      </c>
      <c r="E70" s="360">
        <f>IF(YEAR($C$23)&gt;A70,0,HLOOKUP(A70,$C$8:$G$13,YEAR($C$23)-2008,FALSE))</f>
        <v>1.06534197</v>
      </c>
      <c r="F70" s="361">
        <f t="shared" si="22"/>
        <v>30468.780341999998</v>
      </c>
      <c r="G70" s="946">
        <f t="shared" si="23"/>
        <v>1655.480326499993</v>
      </c>
      <c r="H70" s="361">
        <f t="shared" si="24"/>
        <v>43164.105484499974</v>
      </c>
      <c r="I70" s="952">
        <f t="shared" si="25"/>
        <v>32972.298460100996</v>
      </c>
      <c r="J70" s="182"/>
      <c r="K70" s="182"/>
      <c r="L70" s="182"/>
      <c r="M70" s="182"/>
      <c r="N70" s="182"/>
      <c r="O70" s="182"/>
      <c r="P70" s="182"/>
      <c r="Q70" s="182"/>
      <c r="R70" s="245"/>
      <c r="S70" s="137"/>
      <c r="T70" s="728"/>
      <c r="U70" s="137"/>
      <c r="V70" s="137"/>
      <c r="W70" s="137"/>
      <c r="X70" s="137"/>
      <c r="AP70" s="172"/>
      <c r="AQ70" s="172"/>
      <c r="AR70" s="172"/>
    </row>
    <row r="71" spans="1:44" s="148" customFormat="1">
      <c r="A71" s="219"/>
      <c r="B71" s="219"/>
      <c r="C71" s="182"/>
      <c r="D71" s="182"/>
      <c r="E71" s="182"/>
      <c r="F71" s="182"/>
      <c r="G71" s="182"/>
      <c r="H71" s="182"/>
      <c r="I71" s="182"/>
      <c r="J71" s="182"/>
      <c r="K71" s="123"/>
      <c r="L71" s="182"/>
      <c r="M71" s="182"/>
      <c r="N71" s="182"/>
      <c r="O71" s="123"/>
      <c r="P71" s="182"/>
      <c r="Q71" s="182"/>
      <c r="R71" s="245"/>
      <c r="S71" s="137"/>
      <c r="T71" s="728"/>
      <c r="U71" s="137"/>
      <c r="V71" s="137"/>
      <c r="W71" s="137"/>
      <c r="X71" s="137"/>
    </row>
    <row r="72" spans="1:44" s="359" customFormat="1">
      <c r="A72" s="272" t="s">
        <v>929</v>
      </c>
      <c r="B72" s="1210"/>
      <c r="C72" s="228"/>
      <c r="D72" s="228"/>
      <c r="E72" s="228"/>
      <c r="F72" s="228"/>
      <c r="G72" s="228"/>
      <c r="H72" s="228"/>
      <c r="I72" s="228"/>
      <c r="J72" s="254"/>
      <c r="K72" s="254"/>
      <c r="L72" s="254"/>
      <c r="M72" s="254"/>
      <c r="N72" s="254"/>
      <c r="O72" s="254"/>
      <c r="P72" s="254"/>
      <c r="Q72" s="254"/>
      <c r="R72" s="259"/>
      <c r="T72" s="728"/>
    </row>
    <row r="73" spans="1:44" s="359" customFormat="1">
      <c r="A73" s="358" t="str">
        <f>$A$24</f>
        <v>Edig@s 4.0</v>
      </c>
      <c r="B73" s="279" t="s">
        <v>556</v>
      </c>
      <c r="C73" s="225" t="s">
        <v>557</v>
      </c>
      <c r="D73" s="225" t="s">
        <v>558</v>
      </c>
      <c r="E73" s="225" t="s">
        <v>8</v>
      </c>
      <c r="F73" s="225" t="s">
        <v>559</v>
      </c>
      <c r="G73" s="225" t="s">
        <v>560</v>
      </c>
      <c r="H73" s="225" t="s">
        <v>561</v>
      </c>
      <c r="I73" s="225" t="s">
        <v>851</v>
      </c>
      <c r="J73" s="142"/>
      <c r="K73" s="142"/>
      <c r="L73" s="142"/>
      <c r="M73" s="142"/>
      <c r="N73" s="142"/>
      <c r="O73" s="142"/>
      <c r="P73" s="142"/>
      <c r="Q73" s="142"/>
      <c r="R73" s="258"/>
      <c r="S73" s="142"/>
      <c r="T73" s="728"/>
      <c r="U73" s="142"/>
      <c r="V73" s="142"/>
      <c r="W73" s="142"/>
      <c r="X73" s="142"/>
      <c r="Y73" s="254"/>
      <c r="Z73" s="254"/>
      <c r="AA73" s="254"/>
      <c r="AB73" s="254"/>
      <c r="AC73" s="254"/>
      <c r="AD73" s="254"/>
      <c r="AE73" s="254"/>
      <c r="AF73" s="254"/>
      <c r="AG73" s="254"/>
      <c r="AH73" s="254"/>
      <c r="AI73" s="254"/>
      <c r="AJ73" s="254"/>
      <c r="AK73" s="254"/>
      <c r="AL73" s="254"/>
      <c r="AM73" s="254"/>
      <c r="AN73" s="254"/>
      <c r="AO73" s="254"/>
    </row>
    <row r="74" spans="1:44" s="148" customFormat="1">
      <c r="A74" s="1189">
        <v>2010</v>
      </c>
      <c r="B74" s="1208"/>
      <c r="C74" s="325">
        <f>IF(YEAR($C$24)=$A74,$E$24,0)</f>
        <v>15000</v>
      </c>
      <c r="D74" s="169">
        <f>IF($A74=YEAR($C$24),(13-MONTH($C$24))/12*$E$24/$D$24,IF($A74&lt;YEAR($C$24),0,$E$24/$D$24))</f>
        <v>3000</v>
      </c>
      <c r="E74" s="360">
        <f>IF(YEAR($C$24)&gt;A74,0,HLOOKUP(A74,$C$8:$G$13,YEAR($C$24)-2008,FALSE))</f>
        <v>1</v>
      </c>
      <c r="F74" s="361">
        <f>D74*E74</f>
        <v>3000</v>
      </c>
      <c r="G74" s="362">
        <f>B74*(VLOOKUP(A74,$A$9:$B$13,2,FALSE)-1)</f>
        <v>0</v>
      </c>
      <c r="H74" s="361">
        <f>B74+C74-F74+G74</f>
        <v>12000</v>
      </c>
      <c r="I74" s="952">
        <f>F74+H74*$B$4</f>
        <v>3696</v>
      </c>
      <c r="J74" s="182"/>
      <c r="K74" s="182"/>
      <c r="L74" s="182"/>
      <c r="M74" s="182"/>
      <c r="N74" s="182"/>
      <c r="O74" s="182"/>
      <c r="P74" s="182"/>
      <c r="Q74" s="182"/>
      <c r="R74" s="245"/>
      <c r="S74" s="137"/>
      <c r="T74" s="728"/>
      <c r="U74" s="137"/>
      <c r="V74" s="137"/>
      <c r="W74" s="137"/>
      <c r="X74" s="137"/>
      <c r="AP74" s="172"/>
      <c r="AQ74" s="172"/>
      <c r="AR74" s="172"/>
    </row>
    <row r="75" spans="1:44" s="148" customFormat="1">
      <c r="A75" s="600">
        <v>2011</v>
      </c>
      <c r="B75" s="1209">
        <f>H74</f>
        <v>12000</v>
      </c>
      <c r="C75" s="325">
        <f t="shared" ref="C75:C77" si="26">IF(YEAR($C$24)=$A75,$E$24,0)</f>
        <v>0</v>
      </c>
      <c r="D75" s="169">
        <f t="shared" ref="D75:D77" si="27">IF($A75=YEAR($C$24),(13-MONTH($C$24))/12*$E$24/$D$24,IF($A75&lt;YEAR($C$24),0,$E$24/$D$24))</f>
        <v>3000</v>
      </c>
      <c r="E75" s="360">
        <f>IF(YEAR($C$24)&gt;A75,0,HLOOKUP(A75,$C$8:$G$13,YEAR($C$24)-2008,FALSE))</f>
        <v>1.0149999999999999</v>
      </c>
      <c r="F75" s="361">
        <f t="shared" ref="F75:F77" si="28">D75*E75</f>
        <v>3044.9999999999995</v>
      </c>
      <c r="G75" s="946">
        <f t="shared" ref="G75:G77" si="29">B75*(VLOOKUP(A75,$A$9:$B$13,2,FALSE)-1)</f>
        <v>179.99999999999883</v>
      </c>
      <c r="H75" s="361">
        <f t="shared" ref="H75:H77" si="30">B75+C75-F75+G75</f>
        <v>9134.9999999999982</v>
      </c>
      <c r="I75" s="952">
        <f t="shared" ref="I75:I77" si="31">F75+H75*$B$4</f>
        <v>3574.8299999999995</v>
      </c>
      <c r="J75" s="182"/>
      <c r="K75" s="182"/>
      <c r="L75" s="182"/>
      <c r="M75" s="182"/>
      <c r="N75" s="182"/>
      <c r="O75" s="182"/>
      <c r="P75" s="182"/>
      <c r="Q75" s="182"/>
      <c r="R75" s="245"/>
      <c r="S75" s="137"/>
      <c r="T75" s="728"/>
      <c r="U75" s="137"/>
      <c r="V75" s="137"/>
      <c r="W75" s="137"/>
      <c r="X75" s="137"/>
    </row>
    <row r="76" spans="1:44" s="148" customFormat="1">
      <c r="A76" s="1189">
        <v>2012</v>
      </c>
      <c r="B76" s="1209">
        <f>H75</f>
        <v>9134.9999999999982</v>
      </c>
      <c r="C76" s="325">
        <f t="shared" si="26"/>
        <v>0</v>
      </c>
      <c r="D76" s="169">
        <f t="shared" si="27"/>
        <v>3000</v>
      </c>
      <c r="E76" s="360">
        <f>IF(YEAR($C$24)&gt;A76,0,HLOOKUP(A76,$C$8:$G$13,YEAR($C$24)-2008,FALSE))</f>
        <v>1.0413899999999998</v>
      </c>
      <c r="F76" s="361">
        <f t="shared" si="28"/>
        <v>3124.1699999999996</v>
      </c>
      <c r="G76" s="946">
        <f t="shared" si="29"/>
        <v>237.51000000000016</v>
      </c>
      <c r="H76" s="361">
        <f t="shared" si="30"/>
        <v>6248.3399999999983</v>
      </c>
      <c r="I76" s="952">
        <f t="shared" si="31"/>
        <v>3486.5737199999994</v>
      </c>
      <c r="J76" s="182"/>
      <c r="K76" s="182"/>
      <c r="L76" s="182"/>
      <c r="M76" s="182"/>
      <c r="N76" s="182"/>
      <c r="O76" s="182"/>
      <c r="P76" s="182"/>
      <c r="Q76" s="182"/>
      <c r="R76" s="245"/>
      <c r="S76" s="137"/>
      <c r="T76" s="728"/>
      <c r="U76" s="137"/>
      <c r="V76" s="137"/>
      <c r="W76" s="137"/>
      <c r="X76" s="137"/>
      <c r="AP76" s="172"/>
      <c r="AQ76" s="172"/>
      <c r="AR76" s="172"/>
    </row>
    <row r="77" spans="1:44" s="148" customFormat="1">
      <c r="A77" s="1189">
        <v>2013</v>
      </c>
      <c r="B77" s="1209">
        <f>H76</f>
        <v>6248.3399999999983</v>
      </c>
      <c r="C77" s="325">
        <f t="shared" si="26"/>
        <v>0</v>
      </c>
      <c r="D77" s="169">
        <f t="shared" si="27"/>
        <v>3000</v>
      </c>
      <c r="E77" s="360">
        <f>IF(YEAR($C$24)&gt;A77,0,HLOOKUP(A77,$C$8:$G$13,YEAR($C$24)-2008,FALSE))</f>
        <v>1.06534197</v>
      </c>
      <c r="F77" s="361">
        <f t="shared" si="28"/>
        <v>3196.0259099999998</v>
      </c>
      <c r="G77" s="946">
        <f t="shared" si="29"/>
        <v>143.71181999999939</v>
      </c>
      <c r="H77" s="361">
        <f t="shared" si="30"/>
        <v>3196.025909999998</v>
      </c>
      <c r="I77" s="952">
        <f t="shared" si="31"/>
        <v>3381.3954127799998</v>
      </c>
      <c r="J77" s="182"/>
      <c r="K77" s="182"/>
      <c r="L77" s="182"/>
      <c r="M77" s="182"/>
      <c r="N77" s="182"/>
      <c r="O77" s="182"/>
      <c r="P77" s="182"/>
      <c r="Q77" s="182"/>
      <c r="R77" s="245"/>
      <c r="S77" s="137"/>
      <c r="T77" s="728"/>
      <c r="U77" s="137"/>
      <c r="V77" s="137"/>
      <c r="W77" s="137"/>
      <c r="X77" s="137"/>
      <c r="AP77" s="172"/>
      <c r="AQ77" s="172"/>
      <c r="AR77" s="172"/>
    </row>
    <row r="78" spans="1:44" s="148" customFormat="1">
      <c r="A78" s="219"/>
      <c r="B78" s="219"/>
      <c r="C78" s="182"/>
      <c r="D78" s="182"/>
      <c r="E78" s="182"/>
      <c r="F78" s="182"/>
      <c r="G78" s="182"/>
      <c r="H78" s="182"/>
      <c r="I78" s="182"/>
      <c r="J78" s="182"/>
      <c r="K78" s="123" t="s">
        <v>568</v>
      </c>
      <c r="L78" s="182"/>
      <c r="M78" s="182"/>
      <c r="N78" s="182"/>
      <c r="O78" s="123"/>
      <c r="P78" s="182"/>
      <c r="Q78" s="182"/>
      <c r="R78" s="245"/>
      <c r="S78" s="137"/>
      <c r="T78" s="728"/>
      <c r="U78" s="137"/>
      <c r="V78" s="137"/>
      <c r="W78" s="137"/>
      <c r="X78" s="137"/>
    </row>
    <row r="79" spans="1:44" s="359" customFormat="1">
      <c r="A79" s="272" t="s">
        <v>929</v>
      </c>
      <c r="B79" s="1210"/>
      <c r="C79" s="228"/>
      <c r="D79" s="228"/>
      <c r="E79" s="228"/>
      <c r="F79" s="228"/>
      <c r="G79" s="228"/>
      <c r="H79" s="228"/>
      <c r="I79" s="228"/>
      <c r="J79" s="254"/>
      <c r="K79" s="254"/>
      <c r="L79" s="254"/>
      <c r="M79" s="254"/>
      <c r="N79" s="254"/>
      <c r="O79" s="254"/>
      <c r="P79" s="254"/>
      <c r="Q79" s="254"/>
      <c r="R79" s="259"/>
      <c r="T79" s="728"/>
    </row>
    <row r="80" spans="1:44" s="359" customFormat="1">
      <c r="A80" s="358" t="str">
        <f>$A$25</f>
        <v>Transparantie deel 4</v>
      </c>
      <c r="B80" s="279" t="s">
        <v>556</v>
      </c>
      <c r="C80" s="225" t="s">
        <v>557</v>
      </c>
      <c r="D80" s="225" t="s">
        <v>558</v>
      </c>
      <c r="E80" s="225" t="s">
        <v>8</v>
      </c>
      <c r="F80" s="225" t="s">
        <v>559</v>
      </c>
      <c r="G80" s="225" t="s">
        <v>560</v>
      </c>
      <c r="H80" s="225" t="s">
        <v>561</v>
      </c>
      <c r="I80" s="225" t="s">
        <v>851</v>
      </c>
      <c r="J80" s="142"/>
      <c r="K80" s="142"/>
      <c r="L80" s="142"/>
      <c r="M80" s="142"/>
      <c r="N80" s="142"/>
      <c r="O80" s="142"/>
      <c r="P80" s="142"/>
      <c r="Q80" s="142"/>
      <c r="R80" s="258"/>
      <c r="S80" s="142"/>
      <c r="T80" s="728"/>
      <c r="U80" s="142"/>
      <c r="V80" s="142"/>
      <c r="W80" s="142"/>
      <c r="X80" s="142"/>
      <c r="Y80" s="254"/>
      <c r="Z80" s="254"/>
      <c r="AA80" s="254"/>
      <c r="AB80" s="254"/>
      <c r="AC80" s="254"/>
      <c r="AD80" s="254"/>
      <c r="AE80" s="254"/>
      <c r="AF80" s="254"/>
      <c r="AG80" s="254"/>
      <c r="AH80" s="254"/>
      <c r="AI80" s="254"/>
      <c r="AJ80" s="254"/>
      <c r="AK80" s="254"/>
      <c r="AL80" s="254"/>
      <c r="AM80" s="254"/>
      <c r="AN80" s="254"/>
      <c r="AO80" s="254"/>
    </row>
    <row r="81" spans="1:44" s="148" customFormat="1">
      <c r="A81" s="1189">
        <v>2010</v>
      </c>
      <c r="B81" s="1208"/>
      <c r="C81" s="325">
        <f>IF(YEAR($C$25)=$A81,$E$25,0)</f>
        <v>0</v>
      </c>
      <c r="D81" s="169">
        <f>IF($A81=YEAR($C$25),(13-MONTH($C$25))/12*$E$25/$D$25,IF($A81&lt;YEAR($C$25),0,$E$25/$D$25))</f>
        <v>0</v>
      </c>
      <c r="E81" s="360">
        <f>IF(YEAR($C$25)&gt;A81,0,HLOOKUP(A81,$C$8:$G$13,YEAR($C$25)-2008,FALSE))</f>
        <v>0</v>
      </c>
      <c r="F81" s="361">
        <f>D81*E81</f>
        <v>0</v>
      </c>
      <c r="G81" s="362">
        <f>B81*(VLOOKUP(A81,$A$9:$B$13,2,FALSE)-1)</f>
        <v>0</v>
      </c>
      <c r="H81" s="361">
        <f>B81+C81-F81+G81</f>
        <v>0</v>
      </c>
      <c r="I81" s="952">
        <f>F81+H81*$B$4</f>
        <v>0</v>
      </c>
      <c r="J81" s="182"/>
      <c r="K81" s="182"/>
      <c r="L81" s="182"/>
      <c r="M81" s="182"/>
      <c r="N81" s="182"/>
      <c r="O81" s="182"/>
      <c r="P81" s="182"/>
      <c r="Q81" s="182"/>
      <c r="R81" s="245"/>
      <c r="S81" s="137"/>
      <c r="T81" s="728"/>
      <c r="U81" s="137"/>
      <c r="V81" s="137"/>
      <c r="W81" s="137"/>
      <c r="X81" s="137"/>
      <c r="AP81" s="172"/>
      <c r="AQ81" s="172"/>
      <c r="AR81" s="172"/>
    </row>
    <row r="82" spans="1:44" s="148" customFormat="1">
      <c r="A82" s="600">
        <v>2011</v>
      </c>
      <c r="B82" s="1209">
        <f>H81</f>
        <v>0</v>
      </c>
      <c r="C82" s="325">
        <f t="shared" ref="C82:C84" si="32">IF(YEAR($C$25)=$A82,$E$25,0)</f>
        <v>221400</v>
      </c>
      <c r="D82" s="169">
        <f t="shared" ref="D82:D84" si="33">IF($A82=YEAR($C$25),(13-MONTH($C$25))/12*$E$25/$D$25,IF($A82&lt;YEAR($C$25),0,$E$25/$D$25))</f>
        <v>22140</v>
      </c>
      <c r="E82" s="360">
        <f>IF(YEAR($C$25)&gt;A82,0,HLOOKUP(A82,$C$8:$G$13,YEAR($C$25)-2008,FALSE))</f>
        <v>1</v>
      </c>
      <c r="F82" s="361">
        <f t="shared" ref="F82:F84" si="34">D82*E82</f>
        <v>22140</v>
      </c>
      <c r="G82" s="946">
        <f t="shared" ref="G82:G84" si="35">B82*(VLOOKUP(A82,$A$9:$B$13,2,FALSE)-1)</f>
        <v>0</v>
      </c>
      <c r="H82" s="361">
        <f t="shared" ref="H82:H84" si="36">B82+C82-F82+G82</f>
        <v>199260</v>
      </c>
      <c r="I82" s="952">
        <f t="shared" ref="I82:I84" si="37">F82+H82*$B$4</f>
        <v>33697.08</v>
      </c>
      <c r="J82" s="182"/>
      <c r="K82" s="182"/>
      <c r="L82" s="182"/>
      <c r="M82" s="182"/>
      <c r="N82" s="182"/>
      <c r="O82" s="182"/>
      <c r="P82" s="182"/>
      <c r="Q82" s="182"/>
      <c r="R82" s="245"/>
      <c r="S82" s="137"/>
      <c r="T82" s="728"/>
      <c r="U82" s="137"/>
      <c r="V82" s="137"/>
      <c r="W82" s="137"/>
      <c r="X82" s="137"/>
    </row>
    <row r="83" spans="1:44" s="148" customFormat="1">
      <c r="A83" s="1189">
        <v>2012</v>
      </c>
      <c r="B83" s="1209">
        <f>H82</f>
        <v>199260</v>
      </c>
      <c r="C83" s="325">
        <f t="shared" si="32"/>
        <v>0</v>
      </c>
      <c r="D83" s="169">
        <f t="shared" si="33"/>
        <v>44280</v>
      </c>
      <c r="E83" s="360">
        <f>IF(YEAR($C$25)&gt;A83,0,HLOOKUP(A83,$C$8:$G$13,YEAR($C$25)-2008,FALSE))</f>
        <v>1.026</v>
      </c>
      <c r="F83" s="361">
        <f t="shared" si="34"/>
        <v>45431.28</v>
      </c>
      <c r="G83" s="946">
        <f t="shared" si="35"/>
        <v>5180.7600000000048</v>
      </c>
      <c r="H83" s="361">
        <f t="shared" si="36"/>
        <v>159009.48000000001</v>
      </c>
      <c r="I83" s="952">
        <f t="shared" si="37"/>
        <v>54653.829839999999</v>
      </c>
      <c r="J83" s="182"/>
      <c r="K83" s="182"/>
      <c r="L83" s="182"/>
      <c r="M83" s="182"/>
      <c r="N83" s="182"/>
      <c r="O83" s="182"/>
      <c r="P83" s="182"/>
      <c r="Q83" s="182"/>
      <c r="R83" s="245"/>
      <c r="S83" s="137"/>
      <c r="T83" s="728"/>
      <c r="U83" s="137"/>
      <c r="V83" s="137"/>
      <c r="W83" s="137"/>
      <c r="X83" s="137"/>
      <c r="AP83" s="172"/>
      <c r="AQ83" s="172"/>
      <c r="AR83" s="172"/>
    </row>
    <row r="84" spans="1:44" s="148" customFormat="1">
      <c r="A84" s="1189">
        <v>2013</v>
      </c>
      <c r="B84" s="1209">
        <f>H83</f>
        <v>159009.48000000001</v>
      </c>
      <c r="C84" s="325">
        <f t="shared" si="32"/>
        <v>0</v>
      </c>
      <c r="D84" s="169">
        <f t="shared" si="33"/>
        <v>44280</v>
      </c>
      <c r="E84" s="360">
        <f>IF(YEAR($C$25)&gt;A84,0,HLOOKUP(A84,$C$8:$G$13,YEAR($C$25)-2008,FALSE))</f>
        <v>1.049598</v>
      </c>
      <c r="F84" s="361">
        <f t="shared" si="34"/>
        <v>46476.199440000004</v>
      </c>
      <c r="G84" s="946">
        <f t="shared" si="35"/>
        <v>3657.2180399999856</v>
      </c>
      <c r="H84" s="361">
        <f t="shared" si="36"/>
        <v>116190.49860000001</v>
      </c>
      <c r="I84" s="952">
        <f t="shared" si="37"/>
        <v>53215.248358800003</v>
      </c>
      <c r="J84" s="182"/>
      <c r="K84" s="182"/>
      <c r="L84" s="182"/>
      <c r="M84" s="182"/>
      <c r="N84" s="182"/>
      <c r="O84" s="182"/>
      <c r="P84" s="182"/>
      <c r="Q84" s="182"/>
      <c r="R84" s="245"/>
      <c r="S84" s="137"/>
      <c r="T84" s="728"/>
      <c r="U84" s="137"/>
      <c r="V84" s="137"/>
      <c r="W84" s="137"/>
      <c r="X84" s="137"/>
      <c r="AP84" s="172"/>
      <c r="AQ84" s="172"/>
      <c r="AR84" s="172"/>
    </row>
    <row r="85" spans="1:44" s="148" customFormat="1">
      <c r="A85" s="219"/>
      <c r="B85" s="219"/>
      <c r="C85" s="182"/>
      <c r="D85" s="182"/>
      <c r="E85" s="182"/>
      <c r="F85" s="182"/>
      <c r="G85" s="182"/>
      <c r="H85" s="182"/>
      <c r="I85" s="182"/>
      <c r="J85" s="182"/>
      <c r="K85" s="123" t="s">
        <v>568</v>
      </c>
      <c r="L85" s="182"/>
      <c r="M85" s="182"/>
      <c r="N85" s="182"/>
      <c r="O85" s="123"/>
      <c r="P85" s="182"/>
      <c r="Q85" s="182"/>
      <c r="R85" s="245"/>
      <c r="S85" s="137"/>
      <c r="T85" s="728"/>
      <c r="U85" s="137"/>
      <c r="V85" s="137"/>
      <c r="W85" s="137"/>
      <c r="X85" s="137"/>
    </row>
    <row r="86" spans="1:44" s="359" customFormat="1">
      <c r="A86" s="272" t="s">
        <v>929</v>
      </c>
      <c r="B86" s="1210"/>
      <c r="C86" s="228"/>
      <c r="D86" s="228"/>
      <c r="E86" s="228"/>
      <c r="F86" s="228"/>
      <c r="G86" s="228"/>
      <c r="H86" s="228"/>
      <c r="I86" s="228"/>
      <c r="J86" s="254"/>
      <c r="K86" s="254"/>
      <c r="L86" s="254"/>
      <c r="M86" s="254"/>
      <c r="N86" s="254"/>
      <c r="O86" s="254"/>
      <c r="P86" s="254"/>
      <c r="Q86" s="254"/>
      <c r="R86" s="259"/>
      <c r="T86" s="728"/>
    </row>
    <row r="87" spans="1:44" s="359" customFormat="1">
      <c r="A87" s="358" t="str">
        <f>$A$26</f>
        <v xml:space="preserve">GC link </v>
      </c>
      <c r="B87" s="279" t="s">
        <v>556</v>
      </c>
      <c r="C87" s="225" t="s">
        <v>557</v>
      </c>
      <c r="D87" s="225" t="s">
        <v>558</v>
      </c>
      <c r="E87" s="225" t="s">
        <v>8</v>
      </c>
      <c r="F87" s="225" t="s">
        <v>559</v>
      </c>
      <c r="G87" s="225" t="s">
        <v>560</v>
      </c>
      <c r="H87" s="225" t="s">
        <v>561</v>
      </c>
      <c r="I87" s="225" t="s">
        <v>851</v>
      </c>
      <c r="J87" s="142"/>
      <c r="K87" s="142"/>
      <c r="L87" s="142"/>
      <c r="M87" s="142"/>
      <c r="N87" s="142"/>
      <c r="O87" s="142"/>
      <c r="P87" s="142"/>
      <c r="Q87" s="142"/>
      <c r="R87" s="258"/>
      <c r="S87" s="142"/>
      <c r="T87" s="728"/>
      <c r="U87" s="142"/>
      <c r="V87" s="142"/>
      <c r="W87" s="142"/>
      <c r="X87" s="142"/>
      <c r="Y87" s="254"/>
      <c r="Z87" s="254"/>
      <c r="AA87" s="254"/>
      <c r="AB87" s="254"/>
      <c r="AC87" s="254"/>
      <c r="AD87" s="254"/>
      <c r="AE87" s="254"/>
      <c r="AF87" s="254"/>
      <c r="AG87" s="254"/>
      <c r="AH87" s="254"/>
      <c r="AI87" s="254"/>
      <c r="AJ87" s="254"/>
      <c r="AK87" s="254"/>
      <c r="AL87" s="254"/>
      <c r="AM87" s="254"/>
      <c r="AN87" s="254"/>
      <c r="AO87" s="254"/>
    </row>
    <row r="88" spans="1:44" s="148" customFormat="1">
      <c r="A88" s="1189">
        <v>2010</v>
      </c>
      <c r="B88" s="1208"/>
      <c r="C88" s="325">
        <f>IF(YEAR($C$26)=$A88,$E$26,0)</f>
        <v>0</v>
      </c>
      <c r="D88" s="169">
        <f>IF($A88=YEAR($C$26),(13-MONTH($C$26))/12*$E$26/$D$26,IF($A88&lt;YEAR($C$26),0,$E$26/$D$26))</f>
        <v>0</v>
      </c>
      <c r="E88" s="360">
        <f>IF(YEAR($C$26)&gt;A88,0,HLOOKUP(A88,$C$8:$G$13,YEAR($C$26)-2008,FALSE))</f>
        <v>0</v>
      </c>
      <c r="F88" s="361">
        <f>D88*E88</f>
        <v>0</v>
      </c>
      <c r="G88" s="362">
        <f>B88*(VLOOKUP(A88,$A$9:$B$13,2,FALSE)-1)</f>
        <v>0</v>
      </c>
      <c r="H88" s="361">
        <f>B88+C88-F88+G88</f>
        <v>0</v>
      </c>
      <c r="I88" s="952">
        <f>F88+H88*$B$4</f>
        <v>0</v>
      </c>
      <c r="J88" s="182"/>
      <c r="K88" s="182"/>
      <c r="L88" s="182"/>
      <c r="M88" s="182"/>
      <c r="N88" s="182"/>
      <c r="O88" s="182"/>
      <c r="P88" s="182"/>
      <c r="Q88" s="182"/>
      <c r="R88" s="245"/>
      <c r="S88" s="137"/>
      <c r="T88" s="728"/>
      <c r="U88" s="137"/>
      <c r="V88" s="137"/>
      <c r="W88" s="137"/>
      <c r="X88" s="137"/>
      <c r="AP88" s="172"/>
      <c r="AQ88" s="172"/>
      <c r="AR88" s="172"/>
    </row>
    <row r="89" spans="1:44" s="148" customFormat="1">
      <c r="A89" s="600">
        <v>2011</v>
      </c>
      <c r="B89" s="1209">
        <f>H88</f>
        <v>0</v>
      </c>
      <c r="C89" s="325">
        <f t="shared" ref="C89:C91" si="38">IF(YEAR($C$26)=$A89,$E$26,0)</f>
        <v>516380</v>
      </c>
      <c r="D89" s="169">
        <f t="shared" ref="D89:D91" si="39">IF($A89=YEAR($C$26),(13-MONTH($C$26))/12*$E$26/$D$26,IF($A89&lt;YEAR($C$26),0,$E$26/$D$26))</f>
        <v>34425.333333333328</v>
      </c>
      <c r="E89" s="360">
        <f>IF(YEAR($C$26)&gt;A89,0,HLOOKUP(A89,$C$8:$G$13,YEAR($C$26)-2008,FALSE))</f>
        <v>1</v>
      </c>
      <c r="F89" s="361">
        <f t="shared" ref="F89:F91" si="40">D89*E89</f>
        <v>34425.333333333328</v>
      </c>
      <c r="G89" s="946">
        <f t="shared" ref="G89:G91" si="41">B89*(VLOOKUP(A89,$A$9:$B$13,2,FALSE)-1)</f>
        <v>0</v>
      </c>
      <c r="H89" s="361">
        <f t="shared" ref="H89:H91" si="42">B89+C89-F89+G89</f>
        <v>481954.66666666669</v>
      </c>
      <c r="I89" s="952">
        <f t="shared" ref="I89:I91" si="43">F89+H89*$B$4</f>
        <v>62378.703999999998</v>
      </c>
      <c r="J89" s="182"/>
      <c r="K89" s="182"/>
      <c r="L89" s="182"/>
      <c r="M89" s="182"/>
      <c r="N89" s="182"/>
      <c r="O89" s="182"/>
      <c r="P89" s="182"/>
      <c r="Q89" s="182"/>
      <c r="R89" s="245"/>
      <c r="S89" s="137"/>
      <c r="T89" s="728"/>
      <c r="U89" s="137"/>
      <c r="V89" s="137"/>
      <c r="W89" s="137"/>
      <c r="X89" s="137"/>
    </row>
    <row r="90" spans="1:44" s="148" customFormat="1">
      <c r="A90" s="1189">
        <v>2012</v>
      </c>
      <c r="B90" s="1209">
        <f>H89</f>
        <v>481954.66666666669</v>
      </c>
      <c r="C90" s="325">
        <f t="shared" si="38"/>
        <v>0</v>
      </c>
      <c r="D90" s="169">
        <f t="shared" si="39"/>
        <v>103276</v>
      </c>
      <c r="E90" s="360">
        <f>IF(YEAR($C$26)&gt;A90,0,HLOOKUP(A90,$C$8:$G$13,YEAR($C$26)-2008,FALSE))</f>
        <v>1.026</v>
      </c>
      <c r="F90" s="361">
        <f t="shared" si="40"/>
        <v>105961.17600000001</v>
      </c>
      <c r="G90" s="946">
        <f t="shared" si="41"/>
        <v>12530.821333333344</v>
      </c>
      <c r="H90" s="361">
        <f t="shared" si="42"/>
        <v>388524.31199999998</v>
      </c>
      <c r="I90" s="952">
        <f t="shared" si="43"/>
        <v>128495.58609600001</v>
      </c>
      <c r="J90" s="182"/>
      <c r="K90" s="182"/>
      <c r="L90" s="182"/>
      <c r="M90" s="182"/>
      <c r="N90" s="182"/>
      <c r="O90" s="182"/>
      <c r="P90" s="182"/>
      <c r="Q90" s="182"/>
      <c r="R90" s="245"/>
      <c r="S90" s="137"/>
      <c r="T90" s="728"/>
      <c r="U90" s="137"/>
      <c r="V90" s="137"/>
      <c r="W90" s="137"/>
      <c r="X90" s="137"/>
      <c r="AP90" s="172"/>
      <c r="AQ90" s="172"/>
      <c r="AR90" s="172"/>
    </row>
    <row r="91" spans="1:44" s="148" customFormat="1">
      <c r="A91" s="1189">
        <v>2013</v>
      </c>
      <c r="B91" s="1209">
        <f>H90</f>
        <v>388524.31199999998</v>
      </c>
      <c r="C91" s="325">
        <f t="shared" si="38"/>
        <v>0</v>
      </c>
      <c r="D91" s="169">
        <f t="shared" si="39"/>
        <v>103276</v>
      </c>
      <c r="E91" s="360">
        <f>IF(YEAR($C$26)&gt;A91,0,HLOOKUP(A91,$C$8:$G$13,YEAR($C$26)-2008,FALSE))</f>
        <v>1.049598</v>
      </c>
      <c r="F91" s="361">
        <f t="shared" si="40"/>
        <v>108398.283048</v>
      </c>
      <c r="G91" s="946">
        <f t="shared" si="41"/>
        <v>8936.0591759999643</v>
      </c>
      <c r="H91" s="361">
        <f t="shared" si="42"/>
        <v>289062.08812799992</v>
      </c>
      <c r="I91" s="952">
        <f t="shared" si="43"/>
        <v>125163.88415942399</v>
      </c>
      <c r="J91" s="182"/>
      <c r="K91" s="182"/>
      <c r="L91" s="182"/>
      <c r="M91" s="182"/>
      <c r="N91" s="182"/>
      <c r="O91" s="182"/>
      <c r="P91" s="182"/>
      <c r="Q91" s="182"/>
      <c r="R91" s="245"/>
      <c r="S91" s="137"/>
      <c r="T91" s="728"/>
      <c r="U91" s="137"/>
      <c r="V91" s="137"/>
      <c r="W91" s="137"/>
      <c r="X91" s="137"/>
      <c r="AP91" s="172"/>
      <c r="AQ91" s="172"/>
      <c r="AR91" s="172"/>
    </row>
    <row r="92" spans="1:44" s="148" customFormat="1">
      <c r="A92" s="219"/>
      <c r="B92" s="219"/>
      <c r="C92" s="182"/>
      <c r="D92" s="182"/>
      <c r="E92" s="603"/>
      <c r="F92" s="182"/>
      <c r="G92" s="182"/>
      <c r="H92" s="182"/>
      <c r="I92" s="182"/>
      <c r="J92" s="182"/>
      <c r="K92" s="123" t="s">
        <v>568</v>
      </c>
      <c r="L92" s="182"/>
      <c r="M92" s="182"/>
      <c r="N92" s="182"/>
      <c r="O92" s="123"/>
      <c r="P92" s="182"/>
      <c r="Q92" s="182"/>
      <c r="R92" s="245"/>
      <c r="S92" s="137"/>
      <c r="T92" s="728"/>
      <c r="U92" s="137"/>
      <c r="V92" s="137"/>
      <c r="W92" s="137"/>
      <c r="X92" s="137"/>
    </row>
    <row r="93" spans="1:44" s="359" customFormat="1">
      <c r="A93" s="272" t="s">
        <v>929</v>
      </c>
      <c r="B93" s="1210"/>
      <c r="C93" s="228"/>
      <c r="D93" s="228"/>
      <c r="E93" s="228"/>
      <c r="F93" s="228"/>
      <c r="G93" s="228"/>
      <c r="H93" s="228"/>
      <c r="I93" s="228"/>
      <c r="J93" s="254"/>
      <c r="K93" s="254"/>
      <c r="L93" s="254"/>
      <c r="M93" s="254"/>
      <c r="N93" s="254"/>
      <c r="O93" s="254"/>
      <c r="P93" s="254"/>
      <c r="Q93" s="254"/>
      <c r="R93" s="259"/>
      <c r="T93" s="728"/>
    </row>
    <row r="94" spans="1:44" s="359" customFormat="1">
      <c r="A94" s="358" t="str">
        <f>$A$27</f>
        <v>Netnorm</v>
      </c>
      <c r="B94" s="279" t="s">
        <v>556</v>
      </c>
      <c r="C94" s="225" t="s">
        <v>557</v>
      </c>
      <c r="D94" s="225" t="s">
        <v>558</v>
      </c>
      <c r="E94" s="225" t="s">
        <v>8</v>
      </c>
      <c r="F94" s="225" t="s">
        <v>559</v>
      </c>
      <c r="G94" s="225" t="s">
        <v>560</v>
      </c>
      <c r="H94" s="225" t="s">
        <v>561</v>
      </c>
      <c r="I94" s="225" t="s">
        <v>851</v>
      </c>
      <c r="J94" s="142"/>
      <c r="K94" s="142"/>
      <c r="L94" s="142"/>
      <c r="M94" s="142"/>
      <c r="N94" s="142"/>
      <c r="O94" s="142"/>
      <c r="P94" s="142"/>
      <c r="Q94" s="142"/>
      <c r="R94" s="258"/>
      <c r="S94" s="142"/>
      <c r="T94" s="728"/>
      <c r="U94" s="142"/>
      <c r="V94" s="142"/>
      <c r="W94" s="142"/>
      <c r="X94" s="142"/>
      <c r="Y94" s="254"/>
      <c r="Z94" s="254"/>
      <c r="AA94" s="254"/>
      <c r="AB94" s="254"/>
      <c r="AC94" s="254"/>
      <c r="AD94" s="254"/>
      <c r="AE94" s="254"/>
      <c r="AF94" s="254"/>
      <c r="AG94" s="254"/>
      <c r="AH94" s="254"/>
      <c r="AI94" s="254"/>
      <c r="AJ94" s="254"/>
      <c r="AK94" s="254"/>
      <c r="AL94" s="254"/>
      <c r="AM94" s="254"/>
      <c r="AN94" s="254"/>
      <c r="AO94" s="254"/>
    </row>
    <row r="95" spans="1:44" s="148" customFormat="1">
      <c r="A95" s="1189">
        <v>2010</v>
      </c>
      <c r="B95" s="1208"/>
      <c r="C95" s="325">
        <f>IF(YEAR($C$27)=$A95,$E$27,0)</f>
        <v>0</v>
      </c>
      <c r="D95" s="169">
        <f>IF($A95=YEAR($C$27),(13-MONTH($C$27))/12*$E$27/$D$27,IF($A95&lt;YEAR($C$27),0,$E$27/$D$27))</f>
        <v>0</v>
      </c>
      <c r="E95" s="360">
        <f>IF(YEAR($C$27)&gt;A95,0,HLOOKUP(A95,$C$8:$G$13,YEAR($C$27)-2008,FALSE))</f>
        <v>0</v>
      </c>
      <c r="F95" s="361">
        <f>D95*E95</f>
        <v>0</v>
      </c>
      <c r="G95" s="362">
        <f>B95*(VLOOKUP(A95,$A$9:$B$13,2,FALSE)-1)</f>
        <v>0</v>
      </c>
      <c r="H95" s="361">
        <f>B95+C95-F95+G95</f>
        <v>0</v>
      </c>
      <c r="I95" s="952">
        <f>F95+H95*$B$4</f>
        <v>0</v>
      </c>
      <c r="J95" s="182"/>
      <c r="K95" s="182"/>
      <c r="L95" s="182"/>
      <c r="M95" s="182"/>
      <c r="N95" s="182"/>
      <c r="O95" s="182"/>
      <c r="P95" s="182"/>
      <c r="Q95" s="182"/>
      <c r="R95" s="245"/>
      <c r="S95" s="137"/>
      <c r="T95" s="728"/>
      <c r="U95" s="137"/>
      <c r="V95" s="137"/>
      <c r="W95" s="137"/>
      <c r="X95" s="137"/>
      <c r="AP95" s="172"/>
      <c r="AQ95" s="172"/>
      <c r="AR95" s="172"/>
    </row>
    <row r="96" spans="1:44" s="148" customFormat="1">
      <c r="A96" s="600">
        <v>2011</v>
      </c>
      <c r="B96" s="1209">
        <f>H95</f>
        <v>0</v>
      </c>
      <c r="C96" s="325">
        <f>IF(YEAR($C$27)=$A96,$E$27,0)</f>
        <v>0</v>
      </c>
      <c r="D96" s="169">
        <f>IF($A96=YEAR($C$27),(13-MONTH($C$27))/12*$E$27/$D$27,IF($A96&lt;YEAR($C$27),0,$E$27/$D$27))</f>
        <v>0</v>
      </c>
      <c r="E96" s="360">
        <f>IF(YEAR($C$27)&gt;A96,0,HLOOKUP(A96,$C$8:$G$13,YEAR($C$27)-2008,FALSE))</f>
        <v>1</v>
      </c>
      <c r="F96" s="361">
        <f t="shared" ref="F96:F98" si="44">D96*E96</f>
        <v>0</v>
      </c>
      <c r="G96" s="946">
        <f t="shared" ref="G96:G98" si="45">B96*(VLOOKUP(A96,$A$9:$B$13,2,FALSE)-1)</f>
        <v>0</v>
      </c>
      <c r="H96" s="361">
        <f t="shared" ref="H96:H98" si="46">B96+C96-F96+G96</f>
        <v>0</v>
      </c>
      <c r="I96" s="952">
        <f t="shared" ref="I96:I98" si="47">F96+H96*$B$4</f>
        <v>0</v>
      </c>
      <c r="J96" s="182"/>
      <c r="K96" s="182"/>
      <c r="L96" s="182"/>
      <c r="M96" s="182"/>
      <c r="N96" s="182"/>
      <c r="O96" s="182"/>
      <c r="P96" s="182"/>
      <c r="Q96" s="182"/>
      <c r="R96" s="245"/>
      <c r="S96" s="137"/>
      <c r="T96" s="728"/>
      <c r="U96" s="137"/>
      <c r="V96" s="137"/>
      <c r="W96" s="137"/>
      <c r="X96" s="137"/>
    </row>
    <row r="97" spans="1:44" s="148" customFormat="1">
      <c r="A97" s="1189">
        <v>2012</v>
      </c>
      <c r="B97" s="1209">
        <f>H96</f>
        <v>0</v>
      </c>
      <c r="C97" s="325">
        <f>IF(YEAR($C$27)=$A97,$E$27,0)</f>
        <v>0</v>
      </c>
      <c r="D97" s="169">
        <f>IF($A97=YEAR($C$27),(13-MONTH($C$27))/12*$E$27/$D$27,IF($A97&lt;YEAR($C$27),0,$E$27/$D$27))</f>
        <v>0</v>
      </c>
      <c r="E97" s="360">
        <f>IF(YEAR($C$27)&gt;A97,0,HLOOKUP(A97,$C$8:$G$13,YEAR($C$27)-2008,FALSE))</f>
        <v>1.026</v>
      </c>
      <c r="F97" s="361">
        <f t="shared" si="44"/>
        <v>0</v>
      </c>
      <c r="G97" s="946">
        <f t="shared" si="45"/>
        <v>0</v>
      </c>
      <c r="H97" s="361">
        <f t="shared" si="46"/>
        <v>0</v>
      </c>
      <c r="I97" s="952">
        <f t="shared" si="47"/>
        <v>0</v>
      </c>
      <c r="J97" s="182"/>
      <c r="K97" s="182"/>
      <c r="L97" s="182"/>
      <c r="M97" s="182"/>
      <c r="N97" s="182"/>
      <c r="O97" s="182"/>
      <c r="P97" s="182"/>
      <c r="Q97" s="182"/>
      <c r="R97" s="245"/>
      <c r="S97" s="137"/>
      <c r="T97" s="728"/>
      <c r="U97" s="137"/>
      <c r="V97" s="137"/>
      <c r="W97" s="137"/>
      <c r="X97" s="137"/>
      <c r="AP97" s="172"/>
      <c r="AQ97" s="172"/>
      <c r="AR97" s="172"/>
    </row>
    <row r="98" spans="1:44" s="148" customFormat="1">
      <c r="A98" s="1189">
        <v>2013</v>
      </c>
      <c r="B98" s="1209">
        <f>H97</f>
        <v>0</v>
      </c>
      <c r="C98" s="325">
        <f>IF(YEAR($C$27)=$A98,$E$27,0)</f>
        <v>0</v>
      </c>
      <c r="D98" s="169">
        <f>IF($A98=YEAR($C$27),(13-MONTH($C$27))/12*$E$27/$D$27,IF($A98&lt;YEAR($C$27),0,$E$27/$D$27))</f>
        <v>0</v>
      </c>
      <c r="E98" s="360">
        <f>IF(YEAR($C$27)&gt;A98,0,HLOOKUP(A98,$C$8:$G$13,YEAR($C$27)-2008,FALSE))</f>
        <v>1.049598</v>
      </c>
      <c r="F98" s="361">
        <f t="shared" si="44"/>
        <v>0</v>
      </c>
      <c r="G98" s="946">
        <f t="shared" si="45"/>
        <v>0</v>
      </c>
      <c r="H98" s="361">
        <f t="shared" si="46"/>
        <v>0</v>
      </c>
      <c r="I98" s="952">
        <f t="shared" si="47"/>
        <v>0</v>
      </c>
      <c r="J98" s="182"/>
      <c r="K98" s="182"/>
      <c r="L98" s="182"/>
      <c r="M98" s="182"/>
      <c r="N98" s="182"/>
      <c r="O98" s="182"/>
      <c r="P98" s="182"/>
      <c r="Q98" s="182"/>
      <c r="R98" s="245"/>
      <c r="S98" s="137"/>
      <c r="T98" s="728"/>
      <c r="U98" s="137"/>
      <c r="V98" s="137"/>
      <c r="W98" s="137"/>
      <c r="X98" s="137"/>
      <c r="AP98" s="172"/>
      <c r="AQ98" s="172"/>
      <c r="AR98" s="172"/>
    </row>
    <row r="99" spans="1:44" s="148" customFormat="1">
      <c r="A99" s="278"/>
      <c r="B99" s="1211"/>
      <c r="C99" s="949"/>
      <c r="D99" s="770"/>
      <c r="E99" s="950"/>
      <c r="F99" s="949"/>
      <c r="G99" s="949"/>
      <c r="H99" s="949"/>
      <c r="I99" s="951"/>
      <c r="J99" s="182"/>
      <c r="K99" s="182"/>
      <c r="L99" s="182"/>
      <c r="M99" s="182"/>
      <c r="N99" s="182"/>
      <c r="O99" s="182"/>
      <c r="P99" s="182"/>
      <c r="Q99" s="182"/>
      <c r="R99" s="245"/>
      <c r="S99" s="137"/>
      <c r="T99" s="728"/>
      <c r="U99" s="137"/>
      <c r="V99" s="137"/>
      <c r="W99" s="137"/>
      <c r="X99" s="137"/>
      <c r="AP99" s="172"/>
      <c r="AQ99" s="172"/>
      <c r="AR99" s="172"/>
    </row>
    <row r="100" spans="1:44" s="359" customFormat="1">
      <c r="A100" s="272" t="s">
        <v>929</v>
      </c>
      <c r="B100" s="1210"/>
      <c r="C100" s="228"/>
      <c r="D100" s="228"/>
      <c r="E100" s="228"/>
      <c r="F100" s="228"/>
      <c r="G100" s="228"/>
      <c r="H100" s="228"/>
      <c r="I100" s="228"/>
      <c r="J100" s="254"/>
      <c r="K100" s="254"/>
      <c r="L100" s="254"/>
      <c r="M100" s="254"/>
      <c r="N100" s="254"/>
      <c r="O100" s="254"/>
      <c r="P100" s="254"/>
      <c r="Q100" s="254"/>
      <c r="R100" s="259"/>
      <c r="T100" s="728"/>
    </row>
    <row r="101" spans="1:44" s="359" customFormat="1">
      <c r="A101" s="358" t="str">
        <f>$A$28</f>
        <v>Prisma</v>
      </c>
      <c r="B101" s="279" t="s">
        <v>556</v>
      </c>
      <c r="C101" s="225" t="s">
        <v>557</v>
      </c>
      <c r="D101" s="225" t="s">
        <v>558</v>
      </c>
      <c r="E101" s="225" t="s">
        <v>8</v>
      </c>
      <c r="F101" s="225" t="s">
        <v>559</v>
      </c>
      <c r="G101" s="225" t="s">
        <v>560</v>
      </c>
      <c r="H101" s="225" t="s">
        <v>561</v>
      </c>
      <c r="I101" s="225" t="s">
        <v>851</v>
      </c>
      <c r="J101" s="142"/>
      <c r="K101" s="142"/>
      <c r="L101" s="142"/>
      <c r="M101" s="142"/>
      <c r="N101" s="142"/>
      <c r="O101" s="142"/>
      <c r="P101" s="142"/>
      <c r="Q101" s="142"/>
      <c r="R101" s="258"/>
      <c r="S101" s="142"/>
      <c r="T101" s="728"/>
      <c r="U101" s="142"/>
      <c r="V101" s="142"/>
      <c r="W101" s="142"/>
      <c r="X101" s="142"/>
      <c r="Y101" s="254"/>
      <c r="Z101" s="254"/>
      <c r="AA101" s="254"/>
      <c r="AB101" s="254"/>
      <c r="AC101" s="254"/>
      <c r="AD101" s="254"/>
      <c r="AE101" s="254"/>
      <c r="AF101" s="254"/>
      <c r="AG101" s="254"/>
      <c r="AH101" s="254"/>
      <c r="AI101" s="254"/>
      <c r="AJ101" s="254"/>
      <c r="AK101" s="254"/>
      <c r="AL101" s="254"/>
      <c r="AM101" s="254"/>
      <c r="AN101" s="254"/>
      <c r="AO101" s="254"/>
    </row>
    <row r="102" spans="1:44" s="148" customFormat="1">
      <c r="A102" s="1189">
        <v>2010</v>
      </c>
      <c r="B102" s="1208"/>
      <c r="C102" s="325">
        <f>IF(YEAR($C$28)=$A102,$E$28,0)</f>
        <v>0</v>
      </c>
      <c r="D102" s="169">
        <f>IF($A102=YEAR($C$28),(13-MONTH($C$28))/12*$E$28/$D$28,IF($A102&lt;YEAR($C$28),0,$E$28/$D$28))</f>
        <v>0</v>
      </c>
      <c r="E102" s="360">
        <f>IF(YEAR($C$28)&gt;A102,0,HLOOKUP(A102,$C$8:$G$13,YEAR($C$28)-2008,FALSE))</f>
        <v>0</v>
      </c>
      <c r="F102" s="361">
        <f>D102*E102</f>
        <v>0</v>
      </c>
      <c r="G102" s="362">
        <f>B102*(VLOOKUP(A102,$A$9:$B$13,2,FALSE)-1)</f>
        <v>0</v>
      </c>
      <c r="H102" s="361">
        <f>B102+C102-F102+G102</f>
        <v>0</v>
      </c>
      <c r="I102" s="952">
        <f>F102+H102*$B$4</f>
        <v>0</v>
      </c>
      <c r="J102" s="182"/>
      <c r="K102" s="182"/>
      <c r="L102" s="182"/>
      <c r="M102" s="182"/>
      <c r="N102" s="182"/>
      <c r="O102" s="182"/>
      <c r="P102" s="182"/>
      <c r="Q102" s="182"/>
      <c r="R102" s="245"/>
      <c r="S102" s="137"/>
      <c r="T102" s="728"/>
      <c r="U102" s="137"/>
      <c r="V102" s="137"/>
      <c r="W102" s="137"/>
      <c r="X102" s="137"/>
      <c r="AP102" s="172"/>
      <c r="AQ102" s="172"/>
      <c r="AR102" s="172"/>
    </row>
    <row r="103" spans="1:44" s="148" customFormat="1">
      <c r="A103" s="600">
        <v>2011</v>
      </c>
      <c r="B103" s="1209">
        <f>H102</f>
        <v>0</v>
      </c>
      <c r="C103" s="325">
        <f t="shared" ref="C103:C105" si="48">IF(YEAR($C$28)=$A103,$E$28,0)</f>
        <v>0</v>
      </c>
      <c r="D103" s="169">
        <f t="shared" ref="D103:D105" si="49">IF($A103=YEAR($C$28),(13-MONTH($C$28))/12*$E$28/$D$28,IF($A103&lt;YEAR($C$28),0,$E$28/$D$28))</f>
        <v>0</v>
      </c>
      <c r="E103" s="360">
        <f>IF(YEAR($C$28)&gt;A103,0,HLOOKUP(A103,$C$8:$G$13,YEAR($C$28)-2008,FALSE))</f>
        <v>0</v>
      </c>
      <c r="F103" s="361">
        <f t="shared" ref="F103:F105" si="50">D103*E103</f>
        <v>0</v>
      </c>
      <c r="G103" s="946">
        <f t="shared" ref="G103:G105" si="51">B103*(VLOOKUP(A103,$A$9:$B$13,2,FALSE)-1)</f>
        <v>0</v>
      </c>
      <c r="H103" s="361">
        <f t="shared" ref="H103:H105" si="52">B103+C103-F103+G103</f>
        <v>0</v>
      </c>
      <c r="I103" s="952">
        <f t="shared" ref="I103:I105" si="53">F103+H103*$B$4</f>
        <v>0</v>
      </c>
      <c r="J103" s="182"/>
      <c r="K103" s="182"/>
      <c r="L103" s="182"/>
      <c r="M103" s="182"/>
      <c r="N103" s="182"/>
      <c r="O103" s="182"/>
      <c r="P103" s="182"/>
      <c r="Q103" s="182"/>
      <c r="R103" s="245"/>
      <c r="S103" s="137"/>
      <c r="T103" s="728"/>
      <c r="U103" s="137"/>
      <c r="V103" s="137"/>
      <c r="W103" s="137"/>
      <c r="X103" s="137"/>
    </row>
    <row r="104" spans="1:44" s="148" customFormat="1">
      <c r="A104" s="1189">
        <v>2012</v>
      </c>
      <c r="B104" s="1209">
        <f>H103</f>
        <v>0</v>
      </c>
      <c r="C104" s="325">
        <f t="shared" si="48"/>
        <v>70466.070000000007</v>
      </c>
      <c r="D104" s="169">
        <f t="shared" si="49"/>
        <v>2348.8690000000001</v>
      </c>
      <c r="E104" s="360">
        <f>IF(YEAR($C$28)&gt;A104,0,HLOOKUP(A104,$C$8:$G$13,YEAR($C$28)-2008,FALSE))</f>
        <v>1</v>
      </c>
      <c r="F104" s="361">
        <f t="shared" si="50"/>
        <v>2348.8690000000001</v>
      </c>
      <c r="G104" s="946">
        <f t="shared" si="51"/>
        <v>0</v>
      </c>
      <c r="H104" s="361">
        <f t="shared" si="52"/>
        <v>68117.201000000001</v>
      </c>
      <c r="I104" s="952">
        <f t="shared" si="53"/>
        <v>6299.6666580000001</v>
      </c>
      <c r="J104" s="182"/>
      <c r="K104" s="182"/>
      <c r="L104" s="182"/>
      <c r="M104" s="182"/>
      <c r="N104" s="182"/>
      <c r="O104" s="182"/>
      <c r="P104" s="182"/>
      <c r="Q104" s="182"/>
      <c r="R104" s="245"/>
      <c r="S104" s="137"/>
      <c r="T104" s="728"/>
      <c r="U104" s="137"/>
      <c r="V104" s="137"/>
      <c r="W104" s="137"/>
      <c r="X104" s="137"/>
      <c r="AP104" s="172"/>
      <c r="AQ104" s="172"/>
      <c r="AR104" s="172"/>
    </row>
    <row r="105" spans="1:44" s="148" customFormat="1">
      <c r="A105" s="1189">
        <v>2013</v>
      </c>
      <c r="B105" s="1209">
        <f>H104</f>
        <v>68117.201000000001</v>
      </c>
      <c r="C105" s="325">
        <f t="shared" si="48"/>
        <v>0</v>
      </c>
      <c r="D105" s="169">
        <f t="shared" si="49"/>
        <v>14093.214000000002</v>
      </c>
      <c r="E105" s="360">
        <f>IF(YEAR($C$28)&gt;A105,0,HLOOKUP(A105,$C$8:$G$13,YEAR($C$28)-2008,FALSE))</f>
        <v>1.0229999999999999</v>
      </c>
      <c r="F105" s="361">
        <f t="shared" si="50"/>
        <v>14417.357922000001</v>
      </c>
      <c r="G105" s="946">
        <f t="shared" si="51"/>
        <v>1566.6956229999939</v>
      </c>
      <c r="H105" s="361">
        <f t="shared" si="52"/>
        <v>55266.53870099999</v>
      </c>
      <c r="I105" s="952">
        <f t="shared" si="53"/>
        <v>17622.817166658002</v>
      </c>
      <c r="J105" s="182"/>
      <c r="K105" s="182"/>
      <c r="L105" s="182"/>
      <c r="M105" s="182"/>
      <c r="N105" s="182"/>
      <c r="O105" s="182"/>
      <c r="P105" s="182"/>
      <c r="Q105" s="182"/>
      <c r="R105" s="245"/>
      <c r="S105" s="137"/>
      <c r="T105" s="728"/>
      <c r="U105" s="137"/>
      <c r="V105" s="137"/>
      <c r="W105" s="137"/>
      <c r="X105" s="137"/>
      <c r="AP105" s="172"/>
      <c r="AQ105" s="172"/>
      <c r="AR105" s="172"/>
    </row>
    <row r="106" spans="1:44" s="148" customFormat="1">
      <c r="A106" s="219"/>
      <c r="B106" s="219"/>
      <c r="C106" s="182"/>
      <c r="D106" s="182"/>
      <c r="E106" s="182"/>
      <c r="F106" s="182"/>
      <c r="G106" s="182"/>
      <c r="H106" s="182"/>
      <c r="I106" s="182"/>
      <c r="J106" s="182"/>
      <c r="K106" s="123" t="s">
        <v>568</v>
      </c>
      <c r="L106" s="182"/>
      <c r="M106" s="182"/>
      <c r="N106" s="182"/>
      <c r="O106" s="123"/>
      <c r="P106" s="182"/>
      <c r="Q106" s="182"/>
      <c r="R106" s="245"/>
      <c r="S106" s="137"/>
      <c r="T106" s="728"/>
      <c r="U106" s="137"/>
      <c r="V106" s="137"/>
      <c r="W106" s="137"/>
      <c r="X106" s="137"/>
    </row>
    <row r="107" spans="1:44">
      <c r="A107" s="272" t="s">
        <v>929</v>
      </c>
      <c r="B107" s="1210"/>
      <c r="C107" s="228"/>
      <c r="D107" s="228"/>
      <c r="E107" s="228"/>
      <c r="F107" s="228"/>
      <c r="G107" s="228"/>
      <c r="H107" s="228"/>
      <c r="I107" s="228"/>
      <c r="J107" s="25"/>
      <c r="K107" s="123"/>
      <c r="L107" s="25"/>
      <c r="M107" s="25"/>
      <c r="N107" s="25"/>
      <c r="O107" s="123"/>
      <c r="P107" s="25"/>
      <c r="Q107" s="25"/>
      <c r="R107" s="26"/>
      <c r="T107" s="728"/>
    </row>
    <row r="108" spans="1:44" s="148" customFormat="1">
      <c r="A108" s="358" t="str">
        <f>$A$29</f>
        <v>Vertaling EC gasvoorwaarden</v>
      </c>
      <c r="B108" s="279" t="s">
        <v>556</v>
      </c>
      <c r="C108" s="225" t="s">
        <v>557</v>
      </c>
      <c r="D108" s="225" t="s">
        <v>558</v>
      </c>
      <c r="E108" s="225" t="s">
        <v>8</v>
      </c>
      <c r="F108" s="225" t="s">
        <v>559</v>
      </c>
      <c r="G108" s="225" t="s">
        <v>560</v>
      </c>
      <c r="H108" s="225" t="s">
        <v>561</v>
      </c>
      <c r="I108" s="225" t="s">
        <v>851</v>
      </c>
      <c r="J108" s="182"/>
      <c r="K108" s="123" t="s">
        <v>568</v>
      </c>
      <c r="L108" s="182"/>
      <c r="M108" s="182"/>
      <c r="N108" s="182"/>
      <c r="O108" s="123"/>
      <c r="P108" s="182"/>
      <c r="Q108" s="182"/>
      <c r="R108" s="245"/>
      <c r="S108" s="137"/>
      <c r="T108" s="728"/>
      <c r="U108" s="137"/>
      <c r="V108" s="137"/>
      <c r="W108" s="137"/>
      <c r="X108" s="137"/>
    </row>
    <row r="109" spans="1:44" s="148" customFormat="1">
      <c r="A109" s="1189">
        <v>2010</v>
      </c>
      <c r="B109" s="1208"/>
      <c r="C109" s="325">
        <f>IF(YEAR($C$29)=$A109,$E$29,0)</f>
        <v>0</v>
      </c>
      <c r="D109" s="169">
        <f>IF($A109=YEAR($C$29),(13-MONTH($C$29))/12*$E$29/$D$29,IF($A109&lt;YEAR($C$29),0,$E$29/$D$29))</f>
        <v>0</v>
      </c>
      <c r="E109" s="360">
        <f>IF(YEAR($C$29)&gt;A109,0,HLOOKUP(A109,$C$8:$G$13,YEAR($C$29)-2008,FALSE))</f>
        <v>0</v>
      </c>
      <c r="F109" s="361">
        <f>D109*E109</f>
        <v>0</v>
      </c>
      <c r="G109" s="362">
        <f>B109*(VLOOKUP(A109,$A$9:$B$13,2,FALSE)-1)</f>
        <v>0</v>
      </c>
      <c r="H109" s="361">
        <f>B109+C109-F109+G109</f>
        <v>0</v>
      </c>
      <c r="I109" s="952">
        <f>F109+H109*$B$4</f>
        <v>0</v>
      </c>
      <c r="J109" s="182"/>
      <c r="K109" s="123"/>
      <c r="L109" s="182"/>
      <c r="M109" s="182"/>
      <c r="N109" s="182"/>
      <c r="O109" s="123"/>
      <c r="P109" s="182"/>
      <c r="Q109" s="182"/>
      <c r="R109" s="245"/>
      <c r="S109" s="137"/>
      <c r="T109" s="728"/>
      <c r="U109" s="137"/>
      <c r="V109" s="137"/>
      <c r="W109" s="137"/>
      <c r="X109" s="137"/>
    </row>
    <row r="110" spans="1:44" s="148" customFormat="1">
      <c r="A110" s="600">
        <v>2011</v>
      </c>
      <c r="B110" s="1209">
        <f>H109</f>
        <v>0</v>
      </c>
      <c r="C110" s="325">
        <f t="shared" ref="C110:C112" si="54">IF(YEAR($C$29)=$A110,$E$29,0)</f>
        <v>0</v>
      </c>
      <c r="D110" s="169">
        <f t="shared" ref="D110:D112" si="55">IF($A110=YEAR($C$29),(13-MONTH($C$29))/12*$E$29/$D$29,IF($A110&lt;YEAR($C$29),0,$E$29/$D$29))</f>
        <v>0</v>
      </c>
      <c r="E110" s="360">
        <f>IF(YEAR($C$29)&gt;A110,0,HLOOKUP(A110,$C$8:$G$13,YEAR($C$29)-2008,FALSE))</f>
        <v>0</v>
      </c>
      <c r="F110" s="361">
        <f t="shared" ref="F110:F112" si="56">D110*E110</f>
        <v>0</v>
      </c>
      <c r="G110" s="946">
        <f t="shared" ref="G110:G112" si="57">B110*(VLOOKUP(A110,$A$9:$B$13,2,FALSE)-1)</f>
        <v>0</v>
      </c>
      <c r="H110" s="361">
        <f t="shared" ref="H110:H112" si="58">B110+C110-F110+G110</f>
        <v>0</v>
      </c>
      <c r="I110" s="952">
        <f t="shared" ref="I110:I112" si="59">F110+H110*$B$4</f>
        <v>0</v>
      </c>
      <c r="J110" s="182"/>
      <c r="K110" s="123"/>
      <c r="L110" s="182"/>
      <c r="M110" s="182"/>
      <c r="N110" s="182"/>
      <c r="O110" s="123"/>
      <c r="P110" s="182"/>
      <c r="Q110" s="182"/>
      <c r="R110" s="245"/>
      <c r="S110" s="137"/>
      <c r="T110" s="728"/>
      <c r="U110" s="137"/>
      <c r="V110" s="137"/>
      <c r="W110" s="137"/>
      <c r="X110" s="137"/>
    </row>
    <row r="111" spans="1:44" s="148" customFormat="1">
      <c r="A111" s="1189">
        <v>2012</v>
      </c>
      <c r="B111" s="1209">
        <f>H110</f>
        <v>0</v>
      </c>
      <c r="C111" s="325">
        <f t="shared" si="54"/>
        <v>0</v>
      </c>
      <c r="D111" s="169">
        <f t="shared" si="55"/>
        <v>0</v>
      </c>
      <c r="E111" s="360">
        <f>IF(YEAR($C$29)&gt;A111,0,HLOOKUP(A111,$C$8:$G$13,YEAR($C$29)-2008,FALSE))</f>
        <v>0</v>
      </c>
      <c r="F111" s="361">
        <f t="shared" si="56"/>
        <v>0</v>
      </c>
      <c r="G111" s="946">
        <f t="shared" si="57"/>
        <v>0</v>
      </c>
      <c r="H111" s="361">
        <f t="shared" si="58"/>
        <v>0</v>
      </c>
      <c r="I111" s="952">
        <f t="shared" si="59"/>
        <v>0</v>
      </c>
      <c r="J111" s="182"/>
      <c r="K111" s="123"/>
      <c r="L111" s="182"/>
      <c r="M111" s="182"/>
      <c r="N111" s="182"/>
      <c r="O111" s="123"/>
      <c r="P111" s="182"/>
      <c r="Q111" s="182"/>
      <c r="R111" s="245"/>
      <c r="S111" s="137"/>
      <c r="T111" s="728"/>
      <c r="U111" s="137"/>
      <c r="V111" s="137"/>
      <c r="W111" s="137"/>
      <c r="X111" s="137"/>
    </row>
    <row r="112" spans="1:44" s="148" customFormat="1">
      <c r="A112" s="1189">
        <v>2013</v>
      </c>
      <c r="B112" s="1209">
        <f>H111</f>
        <v>0</v>
      </c>
      <c r="C112" s="325">
        <f t="shared" si="54"/>
        <v>0</v>
      </c>
      <c r="D112" s="169">
        <f t="shared" si="55"/>
        <v>0</v>
      </c>
      <c r="E112" s="360">
        <f>IF(YEAR($C$29)&gt;A112,0,HLOOKUP(A112,$C$8:$G$13,YEAR($C$29)-2008,FALSE))</f>
        <v>1</v>
      </c>
      <c r="F112" s="361">
        <f t="shared" si="56"/>
        <v>0</v>
      </c>
      <c r="G112" s="946">
        <f t="shared" si="57"/>
        <v>0</v>
      </c>
      <c r="H112" s="361">
        <f t="shared" si="58"/>
        <v>0</v>
      </c>
      <c r="I112" s="952">
        <f t="shared" si="59"/>
        <v>0</v>
      </c>
      <c r="J112" s="182"/>
      <c r="K112" s="123"/>
      <c r="L112" s="182"/>
      <c r="M112" s="182"/>
      <c r="N112" s="182"/>
      <c r="O112" s="123"/>
      <c r="P112" s="182"/>
      <c r="Q112" s="182"/>
      <c r="R112" s="245"/>
      <c r="S112" s="137"/>
      <c r="T112" s="728"/>
      <c r="U112" s="137"/>
      <c r="V112" s="137"/>
      <c r="W112" s="137"/>
      <c r="X112" s="137"/>
    </row>
    <row r="113" spans="1:24" s="148" customFormat="1">
      <c r="A113" s="219"/>
      <c r="B113" s="219"/>
      <c r="C113" s="182"/>
      <c r="D113" s="182"/>
      <c r="E113" s="182"/>
      <c r="F113" s="182"/>
      <c r="G113" s="182"/>
      <c r="H113" s="182"/>
      <c r="I113" s="182"/>
      <c r="J113" s="182"/>
      <c r="K113" s="123"/>
      <c r="L113" s="182"/>
      <c r="M113" s="182"/>
      <c r="N113" s="182"/>
      <c r="O113" s="123"/>
      <c r="P113" s="182"/>
      <c r="Q113" s="182"/>
      <c r="R113" s="245"/>
      <c r="S113" s="137"/>
      <c r="T113" s="728"/>
      <c r="U113" s="137"/>
      <c r="V113" s="137"/>
      <c r="W113" s="137"/>
      <c r="X113" s="137"/>
    </row>
    <row r="114" spans="1:24" s="371" customFormat="1">
      <c r="A114" s="461"/>
      <c r="B114" s="1211"/>
      <c r="C114" s="949"/>
      <c r="D114" s="770"/>
      <c r="E114" s="950"/>
      <c r="F114" s="949"/>
      <c r="G114" s="949"/>
      <c r="H114" s="949"/>
      <c r="I114" s="958"/>
      <c r="J114" s="355"/>
      <c r="K114" s="138"/>
      <c r="L114" s="355"/>
      <c r="M114" s="355"/>
      <c r="N114" s="355"/>
      <c r="O114" s="138"/>
      <c r="P114" s="355"/>
      <c r="Q114" s="355"/>
      <c r="R114" s="431"/>
      <c r="T114" s="728"/>
    </row>
    <row r="115" spans="1:24" s="148" customFormat="1">
      <c r="A115" s="272" t="s">
        <v>762</v>
      </c>
      <c r="B115" s="219"/>
      <c r="C115" s="182"/>
      <c r="D115" s="182"/>
      <c r="E115" s="182"/>
      <c r="F115" s="182"/>
      <c r="G115" s="182"/>
      <c r="H115" s="182"/>
      <c r="I115" s="182"/>
      <c r="J115" s="182"/>
      <c r="K115" s="123"/>
      <c r="L115" s="182"/>
      <c r="M115" s="182"/>
      <c r="N115" s="182"/>
      <c r="O115" s="123"/>
      <c r="P115" s="182"/>
      <c r="Q115" s="182"/>
      <c r="R115" s="245"/>
      <c r="S115" s="137"/>
      <c r="T115" s="728"/>
      <c r="U115" s="137"/>
      <c r="V115" s="137"/>
      <c r="W115" s="137"/>
      <c r="X115" s="137"/>
    </row>
    <row r="116" spans="1:24" s="137" customFormat="1">
      <c r="A116" s="272" t="s">
        <v>505</v>
      </c>
      <c r="B116" s="272" t="s">
        <v>540</v>
      </c>
      <c r="C116" s="272" t="s">
        <v>542</v>
      </c>
      <c r="D116" s="272" t="s">
        <v>726</v>
      </c>
      <c r="E116" s="272" t="s">
        <v>727</v>
      </c>
      <c r="F116" s="272" t="s">
        <v>678</v>
      </c>
      <c r="G116" s="272" t="s">
        <v>728</v>
      </c>
      <c r="H116" s="272" t="s">
        <v>729</v>
      </c>
      <c r="I116" s="272" t="s">
        <v>650</v>
      </c>
      <c r="J116" s="272" t="s">
        <v>758</v>
      </c>
      <c r="K116" s="272" t="s">
        <v>759</v>
      </c>
      <c r="L116" s="272" t="s">
        <v>760</v>
      </c>
      <c r="M116" s="182"/>
      <c r="N116" s="182"/>
      <c r="O116" s="182"/>
      <c r="P116" s="182"/>
      <c r="Q116" s="182"/>
      <c r="R116" s="245"/>
      <c r="T116" s="728"/>
    </row>
    <row r="117" spans="1:24" s="137" customFormat="1">
      <c r="A117" s="1190" t="s">
        <v>730</v>
      </c>
      <c r="B117" s="1198" t="s">
        <v>731</v>
      </c>
      <c r="C117" s="447">
        <v>40179</v>
      </c>
      <c r="D117" s="469">
        <v>27525</v>
      </c>
      <c r="E117" s="454"/>
      <c r="F117" s="454"/>
      <c r="G117" s="470"/>
      <c r="H117" s="470"/>
      <c r="I117" s="470"/>
      <c r="J117" s="448">
        <f>(D117-G117)*$E$9</f>
        <v>28664.259749999994</v>
      </c>
      <c r="K117" s="448">
        <f>(E117-H117)*$E$10</f>
        <v>0</v>
      </c>
      <c r="L117" s="448">
        <f t="shared" ref="L117" si="60">F117-I117</f>
        <v>0</v>
      </c>
      <c r="M117" s="182"/>
      <c r="N117" s="182"/>
      <c r="O117" s="182"/>
      <c r="P117" s="182"/>
      <c r="Q117" s="182"/>
      <c r="R117" s="245"/>
      <c r="T117" s="728"/>
    </row>
    <row r="118" spans="1:24" s="137" customFormat="1">
      <c r="A118" s="809" t="s">
        <v>732</v>
      </c>
      <c r="B118" s="271" t="s">
        <v>733</v>
      </c>
      <c r="C118" s="450">
        <v>40179</v>
      </c>
      <c r="D118" s="469">
        <v>80000</v>
      </c>
      <c r="E118" s="454"/>
      <c r="F118" s="454"/>
      <c r="G118" s="471"/>
      <c r="H118" s="471"/>
      <c r="I118" s="471"/>
      <c r="J118" s="448">
        <f t="shared" ref="J118:J129" si="61">(D118-G118)*$E$9</f>
        <v>83311.199999999983</v>
      </c>
      <c r="K118" s="448">
        <f t="shared" ref="K118:K129" si="62">(E118-H118)*$E$10</f>
        <v>0</v>
      </c>
      <c r="L118" s="448">
        <f t="shared" ref="L118:L129" si="63">F118-I118</f>
        <v>0</v>
      </c>
      <c r="M118" s="182"/>
      <c r="N118" s="182"/>
      <c r="O118" s="182"/>
      <c r="P118" s="182"/>
      <c r="Q118" s="182"/>
      <c r="R118" s="245"/>
      <c r="T118" s="728"/>
    </row>
    <row r="119" spans="1:24" s="148" customFormat="1">
      <c r="A119" s="1191" t="s">
        <v>734</v>
      </c>
      <c r="B119" s="451" t="s">
        <v>735</v>
      </c>
      <c r="C119" s="450">
        <v>40179</v>
      </c>
      <c r="D119" s="469">
        <v>106000</v>
      </c>
      <c r="E119" s="469">
        <v>63400</v>
      </c>
      <c r="F119" s="469">
        <v>65048.4</v>
      </c>
      <c r="G119" s="471"/>
      <c r="H119" s="471"/>
      <c r="I119" s="471"/>
      <c r="J119" s="448">
        <f t="shared" si="61"/>
        <v>110387.33999999998</v>
      </c>
      <c r="K119" s="448">
        <f t="shared" si="62"/>
        <v>65048.4</v>
      </c>
      <c r="L119" s="448">
        <f t="shared" si="63"/>
        <v>65048.4</v>
      </c>
      <c r="M119" s="172"/>
      <c r="N119" s="172"/>
      <c r="O119" s="172"/>
      <c r="P119" s="172"/>
      <c r="Q119" s="172"/>
      <c r="R119" s="347"/>
      <c r="T119" s="728"/>
    </row>
    <row r="120" spans="1:24" s="137" customFormat="1">
      <c r="A120" s="1191" t="s">
        <v>736</v>
      </c>
      <c r="B120" s="451" t="s">
        <v>737</v>
      </c>
      <c r="C120" s="450">
        <v>40179</v>
      </c>
      <c r="D120" s="469">
        <v>500000</v>
      </c>
      <c r="E120" s="469">
        <v>1022031</v>
      </c>
      <c r="F120" s="469">
        <v>1022054.9086</v>
      </c>
      <c r="G120" s="471"/>
      <c r="H120" s="471"/>
      <c r="I120" s="471"/>
      <c r="J120" s="448">
        <f t="shared" si="61"/>
        <v>520694.99999999988</v>
      </c>
      <c r="K120" s="448">
        <f t="shared" si="62"/>
        <v>1048603.8060000001</v>
      </c>
      <c r="L120" s="448">
        <f t="shared" si="63"/>
        <v>1022054.9086</v>
      </c>
      <c r="M120" s="182"/>
      <c r="N120" s="182"/>
      <c r="O120" s="182"/>
      <c r="P120" s="182"/>
      <c r="Q120" s="182"/>
      <c r="R120" s="245"/>
      <c r="T120" s="728"/>
    </row>
    <row r="121" spans="1:24" s="137" customFormat="1">
      <c r="A121" s="1191" t="s">
        <v>738</v>
      </c>
      <c r="B121" s="451" t="s">
        <v>739</v>
      </c>
      <c r="C121" s="450">
        <v>40444</v>
      </c>
      <c r="D121" s="469">
        <v>38250</v>
      </c>
      <c r="E121" s="469">
        <v>20401.5</v>
      </c>
      <c r="F121" s="469">
        <v>20931.939000000002</v>
      </c>
      <c r="G121" s="471"/>
      <c r="H121" s="471"/>
      <c r="I121" s="471"/>
      <c r="J121" s="448">
        <f t="shared" si="61"/>
        <v>39833.167499999996</v>
      </c>
      <c r="K121" s="448">
        <f t="shared" si="62"/>
        <v>20931.939000000002</v>
      </c>
      <c r="L121" s="448">
        <f t="shared" si="63"/>
        <v>20931.939000000002</v>
      </c>
      <c r="M121" s="182"/>
      <c r="N121" s="182"/>
      <c r="O121" s="182"/>
      <c r="P121" s="182"/>
      <c r="Q121" s="182"/>
      <c r="R121" s="245"/>
      <c r="T121" s="728"/>
    </row>
    <row r="122" spans="1:24" s="137" customFormat="1">
      <c r="A122" s="1191" t="s">
        <v>740</v>
      </c>
      <c r="B122" s="451" t="s">
        <v>741</v>
      </c>
      <c r="C122" s="450">
        <v>40179</v>
      </c>
      <c r="D122" s="469">
        <v>16000</v>
      </c>
      <c r="E122" s="469">
        <v>18937.599999999999</v>
      </c>
      <c r="F122" s="469">
        <v>19429.977599999998</v>
      </c>
      <c r="G122" s="471"/>
      <c r="H122" s="471"/>
      <c r="I122" s="471"/>
      <c r="J122" s="448">
        <f t="shared" si="61"/>
        <v>16662.239999999998</v>
      </c>
      <c r="K122" s="448">
        <f t="shared" si="62"/>
        <v>19429.977599999998</v>
      </c>
      <c r="L122" s="448">
        <f t="shared" si="63"/>
        <v>19429.977599999998</v>
      </c>
      <c r="M122" s="182"/>
      <c r="N122" s="182"/>
      <c r="O122" s="182"/>
      <c r="P122" s="182"/>
      <c r="Q122" s="182"/>
      <c r="R122" s="245"/>
      <c r="T122" s="728"/>
    </row>
    <row r="123" spans="1:24" s="137" customFormat="1">
      <c r="A123" s="1191" t="s">
        <v>742</v>
      </c>
      <c r="B123" s="451" t="s">
        <v>743</v>
      </c>
      <c r="C123" s="450">
        <v>40357</v>
      </c>
      <c r="D123" s="469">
        <v>27150</v>
      </c>
      <c r="E123" s="469">
        <v>21771.75</v>
      </c>
      <c r="F123" s="469">
        <v>22337.815500000001</v>
      </c>
      <c r="G123" s="471"/>
      <c r="H123" s="471"/>
      <c r="I123" s="471"/>
      <c r="J123" s="448">
        <f t="shared" si="61"/>
        <v>28273.738499999996</v>
      </c>
      <c r="K123" s="448">
        <f t="shared" si="62"/>
        <v>22337.815500000001</v>
      </c>
      <c r="L123" s="448">
        <f t="shared" si="63"/>
        <v>22337.815500000001</v>
      </c>
      <c r="M123" s="182"/>
      <c r="N123" s="182"/>
      <c r="O123" s="182"/>
      <c r="P123" s="182"/>
      <c r="Q123" s="182"/>
      <c r="R123" s="245"/>
      <c r="T123" s="728"/>
    </row>
    <row r="124" spans="1:24" s="137" customFormat="1">
      <c r="A124" s="1191" t="s">
        <v>744</v>
      </c>
      <c r="B124" s="451" t="s">
        <v>745</v>
      </c>
      <c r="C124" s="450">
        <v>40179</v>
      </c>
      <c r="D124" s="469">
        <v>4250</v>
      </c>
      <c r="E124" s="469">
        <v>2283.75</v>
      </c>
      <c r="F124" s="469">
        <v>2343.1275000000001</v>
      </c>
      <c r="G124" s="471"/>
      <c r="H124" s="471"/>
      <c r="I124" s="471"/>
      <c r="J124" s="448">
        <f t="shared" si="61"/>
        <v>4425.9074999999993</v>
      </c>
      <c r="K124" s="448">
        <f t="shared" si="62"/>
        <v>2343.1275000000001</v>
      </c>
      <c r="L124" s="448">
        <f t="shared" si="63"/>
        <v>2343.1275000000001</v>
      </c>
      <c r="M124" s="182"/>
      <c r="N124" s="182"/>
      <c r="O124" s="182"/>
      <c r="P124" s="182"/>
      <c r="Q124" s="182"/>
      <c r="R124" s="245"/>
      <c r="T124" s="728"/>
    </row>
    <row r="125" spans="1:24" s="137" customFormat="1">
      <c r="A125" s="1191" t="s">
        <v>746</v>
      </c>
      <c r="B125" s="451" t="s">
        <v>747</v>
      </c>
      <c r="C125" s="450">
        <v>40728</v>
      </c>
      <c r="D125" s="453"/>
      <c r="E125" s="472">
        <v>33210</v>
      </c>
      <c r="F125" s="472">
        <v>34073.46</v>
      </c>
      <c r="G125" s="471"/>
      <c r="H125" s="471"/>
      <c r="I125" s="471"/>
      <c r="J125" s="448">
        <f t="shared" si="61"/>
        <v>0</v>
      </c>
      <c r="K125" s="448">
        <f t="shared" si="62"/>
        <v>34073.46</v>
      </c>
      <c r="L125" s="448">
        <f t="shared" si="63"/>
        <v>34073.46</v>
      </c>
      <c r="M125" s="182"/>
      <c r="N125" s="182"/>
      <c r="O125" s="182"/>
      <c r="P125" s="182"/>
      <c r="Q125" s="182"/>
      <c r="R125" s="245"/>
      <c r="T125" s="728"/>
    </row>
    <row r="126" spans="1:24" s="137" customFormat="1">
      <c r="A126" s="1191" t="s">
        <v>748</v>
      </c>
      <c r="B126" s="451" t="s">
        <v>749</v>
      </c>
      <c r="C126" s="450">
        <v>40816</v>
      </c>
      <c r="D126" s="453"/>
      <c r="E126" s="472">
        <v>147000</v>
      </c>
      <c r="F126" s="472">
        <v>79270.812000000005</v>
      </c>
      <c r="G126" s="471"/>
      <c r="H126" s="471"/>
      <c r="I126" s="471"/>
      <c r="J126" s="448">
        <f t="shared" si="61"/>
        <v>0</v>
      </c>
      <c r="K126" s="448">
        <f t="shared" si="62"/>
        <v>150822</v>
      </c>
      <c r="L126" s="448">
        <f t="shared" si="63"/>
        <v>79270.812000000005</v>
      </c>
      <c r="M126" s="182"/>
      <c r="N126" s="182"/>
      <c r="O126" s="182"/>
      <c r="P126" s="182"/>
      <c r="Q126" s="182"/>
      <c r="R126" s="245"/>
      <c r="T126" s="728"/>
    </row>
    <row r="127" spans="1:24" s="137" customFormat="1">
      <c r="A127" s="1191" t="s">
        <v>750</v>
      </c>
      <c r="B127" s="451" t="s">
        <v>751</v>
      </c>
      <c r="C127" s="450">
        <v>40544</v>
      </c>
      <c r="D127" s="453"/>
      <c r="E127" s="472">
        <v>47009.599999999999</v>
      </c>
      <c r="F127" s="452"/>
      <c r="G127" s="471"/>
      <c r="H127" s="471"/>
      <c r="I127" s="471"/>
      <c r="J127" s="448">
        <f t="shared" si="61"/>
        <v>0</v>
      </c>
      <c r="K127" s="448">
        <f t="shared" si="62"/>
        <v>48231.849600000001</v>
      </c>
      <c r="L127" s="448">
        <f t="shared" si="63"/>
        <v>0</v>
      </c>
      <c r="M127" s="182"/>
      <c r="N127" s="182"/>
      <c r="O127" s="182"/>
      <c r="P127" s="182"/>
      <c r="Q127" s="182"/>
      <c r="R127" s="245"/>
      <c r="T127" s="728"/>
    </row>
    <row r="128" spans="1:24" s="137" customFormat="1">
      <c r="A128" s="1191" t="s">
        <v>752</v>
      </c>
      <c r="B128" s="451" t="s">
        <v>753</v>
      </c>
      <c r="C128" s="450">
        <v>40544</v>
      </c>
      <c r="D128" s="453"/>
      <c r="E128" s="1330">
        <v>165425</v>
      </c>
      <c r="F128" s="472">
        <v>615259</v>
      </c>
      <c r="G128" s="471"/>
      <c r="H128" s="471"/>
      <c r="I128" s="471"/>
      <c r="J128" s="448">
        <f t="shared" si="61"/>
        <v>0</v>
      </c>
      <c r="K128" s="448">
        <f t="shared" si="62"/>
        <v>169726.05000000002</v>
      </c>
      <c r="L128" s="448">
        <f t="shared" si="63"/>
        <v>615259</v>
      </c>
      <c r="M128" s="182"/>
      <c r="N128" s="182"/>
      <c r="O128" s="182"/>
      <c r="P128" s="182"/>
      <c r="Q128" s="182"/>
      <c r="R128" s="245"/>
      <c r="T128" s="1323" t="s">
        <v>1257</v>
      </c>
    </row>
    <row r="129" spans="1:24" s="148" customFormat="1" ht="13.5" thickBot="1">
      <c r="A129" s="1191" t="s">
        <v>754</v>
      </c>
      <c r="B129" s="1212" t="s">
        <v>755</v>
      </c>
      <c r="C129" s="473">
        <v>41214</v>
      </c>
      <c r="D129" s="474"/>
      <c r="E129" s="474"/>
      <c r="F129" s="475">
        <v>200755</v>
      </c>
      <c r="G129" s="476"/>
      <c r="H129" s="476"/>
      <c r="I129" s="1331">
        <v>9065</v>
      </c>
      <c r="J129" s="477">
        <f t="shared" si="61"/>
        <v>0</v>
      </c>
      <c r="K129" s="477">
        <f t="shared" si="62"/>
        <v>0</v>
      </c>
      <c r="L129" s="477">
        <f t="shared" si="63"/>
        <v>191690</v>
      </c>
      <c r="M129" s="172"/>
      <c r="N129" s="172"/>
      <c r="O129" s="172"/>
      <c r="P129" s="172"/>
      <c r="Q129" s="172"/>
      <c r="R129" s="347"/>
      <c r="T129" s="1323" t="s">
        <v>1256</v>
      </c>
    </row>
    <row r="130" spans="1:24" s="137" customFormat="1" ht="13.5" thickTop="1">
      <c r="A130" s="272" t="s">
        <v>429</v>
      </c>
      <c r="B130" s="1213"/>
      <c r="C130" s="478"/>
      <c r="D130" s="479">
        <f t="shared" ref="D130:I130" si="64">SUM(D117:D129)</f>
        <v>799175</v>
      </c>
      <c r="E130" s="479">
        <f t="shared" si="64"/>
        <v>1541470.2000000002</v>
      </c>
      <c r="F130" s="479">
        <f t="shared" si="64"/>
        <v>2081504.4401999998</v>
      </c>
      <c r="G130" s="479">
        <f t="shared" si="64"/>
        <v>0</v>
      </c>
      <c r="H130" s="479">
        <f t="shared" si="64"/>
        <v>0</v>
      </c>
      <c r="I130" s="479">
        <f t="shared" si="64"/>
        <v>9065</v>
      </c>
      <c r="J130" s="1329">
        <f t="shared" ref="J130:L130" si="65">SUM(J117:J129)</f>
        <v>832252.85324999969</v>
      </c>
      <c r="K130" s="1329">
        <f t="shared" si="65"/>
        <v>1581548.4252000002</v>
      </c>
      <c r="L130" s="1329">
        <f t="shared" si="65"/>
        <v>2072439.4401999998</v>
      </c>
      <c r="M130" s="182"/>
      <c r="N130" s="182"/>
      <c r="O130" s="182"/>
      <c r="P130" s="182"/>
      <c r="Q130" s="182"/>
      <c r="R130" s="245"/>
      <c r="T130" s="728"/>
    </row>
    <row r="131" spans="1:24" s="137" customFormat="1">
      <c r="A131" s="219"/>
      <c r="B131" s="219"/>
      <c r="C131" s="182"/>
      <c r="D131" s="182"/>
      <c r="E131" s="182"/>
      <c r="F131" s="182"/>
      <c r="G131" s="182"/>
      <c r="H131" s="182"/>
      <c r="I131" s="182"/>
      <c r="J131" s="990"/>
      <c r="K131" s="990"/>
      <c r="L131" s="990"/>
      <c r="M131" s="182"/>
      <c r="N131" s="182"/>
      <c r="O131" s="182"/>
      <c r="P131" s="182"/>
      <c r="Q131" s="182"/>
      <c r="R131" s="245"/>
      <c r="T131" s="728"/>
    </row>
    <row r="132" spans="1:24" s="137" customFormat="1">
      <c r="A132" s="272" t="s">
        <v>756</v>
      </c>
      <c r="B132" s="272"/>
      <c r="C132" s="272"/>
      <c r="D132" s="272"/>
      <c r="E132" s="272"/>
      <c r="F132" s="272"/>
      <c r="G132" s="272"/>
      <c r="H132" s="272"/>
      <c r="I132" s="272"/>
      <c r="J132" s="272"/>
      <c r="K132" s="272"/>
      <c r="L132" s="272"/>
      <c r="M132" s="272"/>
      <c r="N132" s="272"/>
      <c r="O132" s="272"/>
      <c r="P132" s="272"/>
      <c r="Q132" s="272"/>
      <c r="R132" s="891"/>
      <c r="T132" s="728"/>
    </row>
    <row r="133" spans="1:24" s="137" customFormat="1">
      <c r="A133" s="809">
        <v>2010</v>
      </c>
      <c r="B133" s="1214">
        <f>J130</f>
        <v>832252.85324999969</v>
      </c>
      <c r="C133" s="182"/>
      <c r="D133" s="182"/>
      <c r="E133" s="182"/>
      <c r="F133" s="182"/>
      <c r="G133" s="182"/>
      <c r="H133" s="182"/>
      <c r="I133" s="182"/>
      <c r="J133" s="182"/>
      <c r="K133" s="182"/>
      <c r="L133" s="182"/>
      <c r="M133" s="182"/>
      <c r="N133" s="182"/>
      <c r="O133" s="182"/>
      <c r="P133" s="182"/>
      <c r="Q133" s="182"/>
      <c r="R133" s="245"/>
      <c r="T133" s="728"/>
    </row>
    <row r="134" spans="1:24" s="137" customFormat="1">
      <c r="A134" s="809">
        <v>2011</v>
      </c>
      <c r="B134" s="1214">
        <f>K130</f>
        <v>1581548.4252000002</v>
      </c>
      <c r="C134" s="182"/>
      <c r="D134" s="182"/>
      <c r="E134" s="182"/>
      <c r="F134" s="182"/>
      <c r="G134" s="182"/>
      <c r="H134" s="182"/>
      <c r="I134" s="182"/>
      <c r="J134" s="182"/>
      <c r="K134" s="182"/>
      <c r="L134" s="182"/>
      <c r="M134" s="182"/>
      <c r="N134" s="182"/>
      <c r="O134" s="182"/>
      <c r="P134" s="182"/>
      <c r="Q134" s="182"/>
      <c r="R134" s="245"/>
      <c r="T134" s="728"/>
    </row>
    <row r="135" spans="1:24" s="137" customFormat="1" ht="13.5" thickBot="1">
      <c r="A135" s="809">
        <v>2012</v>
      </c>
      <c r="B135" s="1215">
        <f>L130</f>
        <v>2072439.4401999998</v>
      </c>
      <c r="C135" s="182"/>
      <c r="D135" s="182"/>
      <c r="E135" s="182"/>
      <c r="F135" s="182"/>
      <c r="G135" s="182"/>
      <c r="H135" s="182"/>
      <c r="I135" s="182"/>
      <c r="J135" s="182"/>
      <c r="K135" s="182"/>
      <c r="L135" s="182"/>
      <c r="M135" s="182"/>
      <c r="N135" s="182"/>
      <c r="O135" s="182"/>
      <c r="P135" s="182"/>
      <c r="Q135" s="182"/>
      <c r="R135" s="245"/>
      <c r="T135" s="728"/>
    </row>
    <row r="136" spans="1:24" s="137" customFormat="1" ht="13.5" thickTop="1">
      <c r="A136" s="1192" t="s">
        <v>757</v>
      </c>
      <c r="B136" s="1216">
        <f>AVERAGE(B133:B135)</f>
        <v>1495413.5728833333</v>
      </c>
      <c r="C136" s="456"/>
      <c r="D136" s="456"/>
      <c r="E136" s="456"/>
      <c r="F136" s="456"/>
      <c r="G136" s="456"/>
      <c r="H136" s="456"/>
      <c r="I136" s="456"/>
      <c r="J136" s="456"/>
      <c r="K136" s="456"/>
      <c r="L136" s="456"/>
      <c r="M136" s="456"/>
      <c r="N136" s="456"/>
      <c r="O136" s="456"/>
      <c r="P136" s="456"/>
      <c r="Q136" s="456"/>
      <c r="R136" s="457"/>
      <c r="T136" s="728"/>
    </row>
    <row r="137" spans="1:24" s="433" customFormat="1" ht="15">
      <c r="A137" s="432"/>
      <c r="B137" s="432"/>
      <c r="C137" s="432"/>
      <c r="D137" s="432"/>
      <c r="E137" s="432"/>
      <c r="F137" s="432"/>
      <c r="G137" s="432"/>
      <c r="H137" s="432"/>
      <c r="I137" s="432"/>
      <c r="J137" s="432"/>
      <c r="K137" s="434"/>
      <c r="L137" s="432"/>
      <c r="M137" s="432"/>
      <c r="N137" s="432"/>
      <c r="O137" s="434"/>
      <c r="P137" s="432"/>
      <c r="Q137" s="432"/>
      <c r="R137" s="432"/>
      <c r="S137" s="432"/>
      <c r="T137" s="432"/>
      <c r="U137" s="432"/>
      <c r="V137" s="432"/>
      <c r="W137" s="432"/>
      <c r="X137" s="432"/>
    </row>
  </sheetData>
  <pageMargins left="0.75" right="0.75" top="1" bottom="1" header="0.5" footer="0.5"/>
  <pageSetup paperSize="9" scale="19" orientation="landscape" r:id="rId1"/>
  <headerFooter alignWithMargins="0">
    <oddFooter>&amp;LEnergiekamer NMa&amp;R&amp;F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9"/>
  <sheetViews>
    <sheetView showGridLines="0" zoomScale="80" zoomScaleNormal="80" zoomScaleSheetLayoutView="40" workbookViewId="0">
      <selection activeCell="D20" sqref="D20"/>
    </sheetView>
  </sheetViews>
  <sheetFormatPr defaultRowHeight="12.75"/>
  <cols>
    <col min="1" max="1" width="63.140625" customWidth="1"/>
    <col min="2" max="2" width="12.7109375" bestFit="1" customWidth="1"/>
    <col min="3" max="3" width="2.7109375" customWidth="1"/>
    <col min="4" max="4" width="54" bestFit="1" customWidth="1"/>
    <col min="5" max="5" width="18.5703125" customWidth="1"/>
    <col min="6" max="6" width="2" customWidth="1"/>
    <col min="7" max="7" width="54.5703125" style="25" bestFit="1" customWidth="1"/>
    <col min="8" max="8" width="20.5703125" customWidth="1"/>
    <col min="9" max="9" width="2.7109375" customWidth="1"/>
    <col min="10" max="10" width="57.42578125" bestFit="1" customWidth="1"/>
    <col min="11" max="11" width="18.5703125" customWidth="1"/>
    <col min="12" max="12" width="2" customWidth="1"/>
    <col min="13" max="13" width="52.7109375" style="25" bestFit="1" customWidth="1"/>
    <col min="14" max="14" width="20.5703125" customWidth="1"/>
    <col min="15" max="15" width="18.5703125" bestFit="1" customWidth="1"/>
  </cols>
  <sheetData>
    <row r="1" spans="1:40" s="13" customFormat="1" ht="23.25" customHeight="1">
      <c r="A1" s="363" t="s">
        <v>716</v>
      </c>
      <c r="B1" s="10"/>
      <c r="C1" s="10"/>
      <c r="D1" s="10"/>
      <c r="E1" s="10"/>
      <c r="F1" s="10"/>
      <c r="G1" s="246"/>
      <c r="H1" s="246"/>
      <c r="I1" s="10"/>
      <c r="J1" s="10"/>
      <c r="K1" s="10"/>
      <c r="L1" s="1705" t="s">
        <v>165</v>
      </c>
      <c r="M1" s="1705"/>
      <c r="N1" s="1705"/>
      <c r="O1" s="1705"/>
    </row>
    <row r="2" spans="1:40" s="171" customFormat="1">
      <c r="A2" s="282" t="s">
        <v>568</v>
      </c>
      <c r="B2" s="67"/>
      <c r="C2" s="25"/>
      <c r="D2" s="173"/>
      <c r="E2" s="25"/>
      <c r="F2" s="25"/>
      <c r="G2" s="25"/>
      <c r="H2" s="25"/>
      <c r="I2" s="25"/>
      <c r="J2" s="123"/>
      <c r="K2" s="25"/>
      <c r="L2" s="25"/>
      <c r="M2" s="25"/>
      <c r="N2" s="25"/>
      <c r="O2" s="26"/>
    </row>
    <row r="3" spans="1:40" s="48" customFormat="1">
      <c r="A3" s="39" t="s">
        <v>552</v>
      </c>
      <c r="B3" s="223">
        <v>2014</v>
      </c>
      <c r="C3" s="293"/>
      <c r="D3" s="184"/>
      <c r="E3" s="61"/>
      <c r="F3" s="177"/>
      <c r="K3" s="117"/>
      <c r="O3" s="319"/>
      <c r="R3" s="23"/>
      <c r="S3" s="23"/>
      <c r="T3" s="23"/>
      <c r="U3" s="23"/>
      <c r="V3" s="23"/>
      <c r="W3" s="23"/>
      <c r="X3" s="23"/>
      <c r="Y3" s="23"/>
      <c r="Z3" s="23"/>
      <c r="AA3" s="23"/>
      <c r="AB3" s="23"/>
      <c r="AC3" s="23"/>
      <c r="AD3" s="23"/>
      <c r="AE3" s="23"/>
      <c r="AF3" s="23"/>
      <c r="AG3" s="23"/>
      <c r="AH3" s="23"/>
      <c r="AI3" s="23"/>
      <c r="AJ3" s="23"/>
      <c r="AK3" s="23"/>
      <c r="AL3" s="74"/>
      <c r="AM3" s="23"/>
      <c r="AN3" s="23"/>
    </row>
    <row r="4" spans="1:40" s="25" customFormat="1">
      <c r="A4" s="149" t="s">
        <v>601</v>
      </c>
      <c r="B4" s="110"/>
      <c r="C4" s="294"/>
      <c r="D4" s="61"/>
      <c r="E4" s="61"/>
      <c r="F4" s="58"/>
      <c r="K4" s="123"/>
      <c r="O4" s="280"/>
      <c r="R4" s="171"/>
      <c r="S4" s="171"/>
      <c r="T4" s="171"/>
      <c r="U4" s="171"/>
      <c r="V4" s="171"/>
      <c r="W4" s="171"/>
      <c r="X4" s="171"/>
      <c r="Y4" s="171"/>
      <c r="Z4" s="171"/>
      <c r="AA4" s="171"/>
      <c r="AB4" s="171"/>
      <c r="AC4" s="171"/>
      <c r="AD4" s="171"/>
      <c r="AE4" s="171"/>
      <c r="AF4" s="171"/>
      <c r="AG4" s="171"/>
      <c r="AH4" s="171"/>
      <c r="AI4" s="171"/>
      <c r="AJ4" s="171"/>
      <c r="AK4" s="171"/>
      <c r="AL4" s="64"/>
      <c r="AM4" s="171"/>
      <c r="AN4" s="171"/>
    </row>
    <row r="5" spans="1:40">
      <c r="A5" s="45"/>
      <c r="B5" s="25"/>
      <c r="C5" s="25"/>
      <c r="D5" s="25"/>
      <c r="E5" s="25"/>
      <c r="F5" s="25"/>
      <c r="H5" s="25"/>
      <c r="I5" s="25"/>
      <c r="J5" s="25"/>
      <c r="K5" s="25"/>
      <c r="L5" s="25"/>
      <c r="N5" s="25"/>
      <c r="O5" s="26"/>
    </row>
    <row r="6" spans="1:40" s="287" customFormat="1">
      <c r="A6" s="98" t="s">
        <v>611</v>
      </c>
      <c r="B6" s="285"/>
      <c r="C6" s="285"/>
      <c r="D6" s="285"/>
      <c r="E6" s="285"/>
      <c r="F6" s="285"/>
      <c r="G6" s="286"/>
      <c r="H6" s="286"/>
      <c r="I6" s="285"/>
      <c r="J6" s="285"/>
      <c r="K6" s="285"/>
      <c r="L6" s="285"/>
      <c r="M6" s="286"/>
      <c r="N6" s="286"/>
      <c r="O6" s="605"/>
    </row>
    <row r="7" spans="1:40" s="23" customFormat="1">
      <c r="A7" s="71" t="s">
        <v>569</v>
      </c>
      <c r="B7" s="73"/>
      <c r="C7" s="73"/>
      <c r="D7" s="71" t="s">
        <v>570</v>
      </c>
      <c r="E7" s="73"/>
      <c r="F7" s="72"/>
      <c r="G7" s="71" t="s">
        <v>24</v>
      </c>
      <c r="H7" s="73"/>
      <c r="I7" s="73"/>
      <c r="J7" s="71" t="s">
        <v>593</v>
      </c>
      <c r="K7" s="73"/>
      <c r="L7" s="72"/>
      <c r="M7" s="71" t="s">
        <v>606</v>
      </c>
      <c r="N7" s="73"/>
      <c r="O7" s="73"/>
    </row>
    <row r="8" spans="1:40" s="148" customFormat="1">
      <c r="A8" s="219" t="s">
        <v>599</v>
      </c>
      <c r="B8" s="364">
        <f>Parameters!B77</f>
        <v>968265494.04278111</v>
      </c>
      <c r="C8" s="365"/>
      <c r="D8" s="366" t="s">
        <v>599</v>
      </c>
      <c r="E8" s="364">
        <f>Parameters!B78</f>
        <v>34284078.65172939</v>
      </c>
      <c r="F8" s="365"/>
      <c r="G8" s="149" t="s">
        <v>599</v>
      </c>
      <c r="H8" s="364">
        <f>Parameters!B81</f>
        <v>92156636.995276242</v>
      </c>
      <c r="I8" s="365"/>
      <c r="J8" s="149" t="s">
        <v>599</v>
      </c>
      <c r="K8" s="364">
        <f>Parameters!B79</f>
        <v>36013851.286524311</v>
      </c>
      <c r="L8" s="365"/>
      <c r="M8" s="406" t="s">
        <v>599</v>
      </c>
      <c r="N8" s="364">
        <f>Parameters!B80</f>
        <v>0</v>
      </c>
      <c r="O8" s="606"/>
    </row>
    <row r="9" spans="1:40" s="118" customFormat="1">
      <c r="A9" s="219" t="s">
        <v>673</v>
      </c>
      <c r="B9" s="35"/>
      <c r="C9" s="124"/>
      <c r="D9" s="407" t="s">
        <v>673</v>
      </c>
      <c r="E9" s="35"/>
      <c r="F9" s="175"/>
      <c r="G9" s="182" t="s">
        <v>673</v>
      </c>
      <c r="H9" s="35"/>
      <c r="I9" s="175"/>
      <c r="J9" s="182" t="s">
        <v>673</v>
      </c>
      <c r="K9" s="35"/>
      <c r="L9" s="124"/>
      <c r="M9" s="407" t="s">
        <v>673</v>
      </c>
      <c r="N9" s="35"/>
      <c r="O9" s="607"/>
    </row>
    <row r="10" spans="1:40" s="118" customFormat="1">
      <c r="A10" s="219" t="s">
        <v>671</v>
      </c>
      <c r="B10" s="43">
        <f>B8+B9</f>
        <v>968265494.04278111</v>
      </c>
      <c r="C10" s="124"/>
      <c r="D10" s="219" t="s">
        <v>671</v>
      </c>
      <c r="E10" s="43">
        <f>E8+E9</f>
        <v>34284078.65172939</v>
      </c>
      <c r="F10" s="175"/>
      <c r="G10" s="182" t="s">
        <v>671</v>
      </c>
      <c r="H10" s="43">
        <f>H8+H9</f>
        <v>92156636.995276242</v>
      </c>
      <c r="I10" s="175"/>
      <c r="J10" s="182" t="s">
        <v>671</v>
      </c>
      <c r="K10" s="43">
        <f>K8+K9</f>
        <v>36013851.286524311</v>
      </c>
      <c r="L10" s="124"/>
      <c r="M10" s="407" t="s">
        <v>671</v>
      </c>
      <c r="N10" s="43">
        <f>N8+N9</f>
        <v>0</v>
      </c>
      <c r="O10" s="607"/>
    </row>
    <row r="11" spans="1:40" s="23" customFormat="1">
      <c r="A11" s="219"/>
      <c r="B11" s="37"/>
      <c r="C11" s="42"/>
      <c r="D11" s="149"/>
      <c r="E11" s="120"/>
      <c r="F11" s="42"/>
      <c r="G11" s="149"/>
      <c r="H11" s="120"/>
      <c r="I11" s="42"/>
      <c r="J11" s="149"/>
      <c r="K11" s="120"/>
      <c r="L11" s="42"/>
      <c r="M11" s="149"/>
      <c r="N11" s="120"/>
      <c r="O11" s="608"/>
      <c r="P11" s="118"/>
    </row>
    <row r="12" spans="1:40" s="134" customFormat="1">
      <c r="A12" s="130" t="s">
        <v>679</v>
      </c>
      <c r="B12" s="131"/>
      <c r="C12" s="132"/>
      <c r="D12" s="130" t="s">
        <v>679</v>
      </c>
      <c r="E12" s="131"/>
      <c r="F12" s="132"/>
      <c r="G12" s="130" t="s">
        <v>679</v>
      </c>
      <c r="H12" s="131"/>
      <c r="I12" s="132"/>
      <c r="J12" s="130" t="s">
        <v>679</v>
      </c>
      <c r="K12" s="131"/>
      <c r="L12" s="132"/>
      <c r="M12" s="130" t="s">
        <v>679</v>
      </c>
      <c r="N12" s="131"/>
      <c r="O12" s="609"/>
      <c r="P12" s="133"/>
    </row>
    <row r="13" spans="1:40">
      <c r="A13" s="220" t="s">
        <v>1005</v>
      </c>
      <c r="B13" s="135"/>
      <c r="C13" s="80"/>
      <c r="D13" s="220" t="s">
        <v>603</v>
      </c>
      <c r="E13" s="135"/>
      <c r="F13" s="80"/>
      <c r="G13" s="220" t="s">
        <v>604</v>
      </c>
      <c r="H13" s="135"/>
      <c r="I13" s="80"/>
      <c r="J13" s="220" t="s">
        <v>607</v>
      </c>
      <c r="K13" s="135"/>
      <c r="L13" s="80"/>
      <c r="M13" s="220" t="s">
        <v>608</v>
      </c>
      <c r="N13" s="135">
        <v>0</v>
      </c>
      <c r="O13" s="608"/>
      <c r="P13" s="114"/>
    </row>
    <row r="14" spans="1:40">
      <c r="A14" s="149" t="s">
        <v>674</v>
      </c>
      <c r="B14" s="222">
        <f>SUM(B13:B13)</f>
        <v>0</v>
      </c>
      <c r="C14" s="80"/>
      <c r="D14" s="149" t="s">
        <v>602</v>
      </c>
      <c r="E14" s="43">
        <f>E13</f>
        <v>0</v>
      </c>
      <c r="F14" s="80"/>
      <c r="G14" s="149" t="s">
        <v>605</v>
      </c>
      <c r="H14" s="43">
        <f>H13</f>
        <v>0</v>
      </c>
      <c r="I14" s="80"/>
      <c r="J14" s="149" t="s">
        <v>602</v>
      </c>
      <c r="K14" s="43">
        <f>K13</f>
        <v>0</v>
      </c>
      <c r="L14" s="80"/>
      <c r="M14" s="149" t="s">
        <v>605</v>
      </c>
      <c r="N14" s="43">
        <f>N13</f>
        <v>0</v>
      </c>
      <c r="O14" s="608"/>
      <c r="P14" s="114"/>
    </row>
    <row r="15" spans="1:40">
      <c r="A15" s="219"/>
      <c r="B15" s="25"/>
      <c r="C15" s="80"/>
      <c r="D15" s="219"/>
      <c r="E15" s="25"/>
      <c r="F15" s="80"/>
      <c r="G15" s="219"/>
      <c r="H15" s="25"/>
      <c r="I15" s="80"/>
      <c r="J15" s="219"/>
      <c r="K15" s="25"/>
      <c r="L15" s="80"/>
      <c r="M15" s="219"/>
      <c r="N15" s="25"/>
      <c r="O15" s="610"/>
    </row>
    <row r="16" spans="1:40">
      <c r="A16" s="149" t="s">
        <v>600</v>
      </c>
      <c r="B16" s="43">
        <f>B10-B14</f>
        <v>968265494.04278111</v>
      </c>
      <c r="C16" s="80"/>
      <c r="D16" s="149" t="s">
        <v>600</v>
      </c>
      <c r="E16" s="43">
        <f>E10-E14</f>
        <v>34284078.65172939</v>
      </c>
      <c r="F16" s="80"/>
      <c r="G16" s="149" t="s">
        <v>600</v>
      </c>
      <c r="H16" s="43">
        <f>H10-H14</f>
        <v>92156636.995276242</v>
      </c>
      <c r="I16" s="80"/>
      <c r="J16" s="149" t="s">
        <v>600</v>
      </c>
      <c r="K16" s="43">
        <f>K10-K14</f>
        <v>36013851.286524311</v>
      </c>
      <c r="L16" s="80"/>
      <c r="M16" s="149" t="s">
        <v>600</v>
      </c>
      <c r="N16" s="43">
        <f>N10-N14</f>
        <v>0</v>
      </c>
      <c r="O16" s="608"/>
    </row>
    <row r="17" spans="1:15" s="34" customFormat="1">
      <c r="A17" s="149" t="s">
        <v>610</v>
      </c>
      <c r="B17" s="43">
        <f>B16*(1+$B$4)</f>
        <v>968265494.04278111</v>
      </c>
      <c r="C17" s="80"/>
      <c r="D17" s="149" t="s">
        <v>609</v>
      </c>
      <c r="E17" s="43">
        <f>E16*(1+$B$4)</f>
        <v>34284078.65172939</v>
      </c>
      <c r="F17" s="80"/>
      <c r="G17" s="149" t="s">
        <v>609</v>
      </c>
      <c r="H17" s="43">
        <f>H16*(1+$B$4)</f>
        <v>92156636.995276242</v>
      </c>
      <c r="I17" s="80"/>
      <c r="J17" s="149" t="s">
        <v>610</v>
      </c>
      <c r="K17" s="43">
        <f>K16*(1+$B$4)</f>
        <v>36013851.286524311</v>
      </c>
      <c r="L17" s="80"/>
      <c r="M17" s="149" t="s">
        <v>610</v>
      </c>
      <c r="N17" s="43">
        <f>N16*(1+$B$4)</f>
        <v>0</v>
      </c>
      <c r="O17" s="608"/>
    </row>
    <row r="18" spans="1:15">
      <c r="A18" s="219"/>
      <c r="B18" s="25"/>
      <c r="C18" s="25"/>
      <c r="D18" s="219"/>
      <c r="E18" s="25"/>
      <c r="F18" s="25"/>
      <c r="G18" s="219"/>
      <c r="H18" s="25"/>
      <c r="I18" s="25"/>
      <c r="J18" s="219"/>
      <c r="K18" s="25"/>
      <c r="L18" s="25"/>
      <c r="M18" s="219"/>
      <c r="N18" s="25"/>
      <c r="O18" s="610"/>
    </row>
    <row r="19" spans="1:15">
      <c r="A19" s="220" t="s">
        <v>717</v>
      </c>
      <c r="B19" s="35"/>
      <c r="C19" s="25"/>
      <c r="D19" s="592" t="s">
        <v>804</v>
      </c>
      <c r="E19" s="35"/>
      <c r="F19" s="25"/>
      <c r="G19" s="592" t="s">
        <v>805</v>
      </c>
      <c r="H19" s="35"/>
      <c r="I19" s="25"/>
      <c r="J19" s="592" t="s">
        <v>806</v>
      </c>
      <c r="K19" s="35"/>
      <c r="L19" s="25"/>
      <c r="M19" s="220" t="s">
        <v>680</v>
      </c>
      <c r="N19" s="35"/>
      <c r="O19" s="611"/>
    </row>
    <row r="20" spans="1:15">
      <c r="A20" s="220"/>
      <c r="B20" s="38"/>
      <c r="C20" s="25"/>
      <c r="D20" s="220"/>
      <c r="E20" s="38"/>
      <c r="F20" s="25"/>
      <c r="G20" s="220"/>
      <c r="H20" s="38"/>
      <c r="I20" s="25"/>
      <c r="J20" s="220"/>
      <c r="K20" s="38"/>
      <c r="L20" s="25"/>
      <c r="M20" s="220"/>
      <c r="N20" s="38"/>
      <c r="O20" s="610"/>
    </row>
    <row r="21" spans="1:15">
      <c r="A21" s="591" t="s">
        <v>803</v>
      </c>
      <c r="B21" s="33" t="e">
        <f>B17/B19</f>
        <v>#DIV/0!</v>
      </c>
      <c r="C21" s="25"/>
      <c r="D21" s="221" t="s">
        <v>667</v>
      </c>
      <c r="E21" s="33" t="e">
        <f>E17/(E19)</f>
        <v>#DIV/0!</v>
      </c>
      <c r="F21" s="25"/>
      <c r="G21" s="221" t="s">
        <v>668</v>
      </c>
      <c r="H21" s="33" t="e">
        <f>H17/(H19)</f>
        <v>#DIV/0!</v>
      </c>
      <c r="I21" s="25"/>
      <c r="J21" s="221" t="s">
        <v>669</v>
      </c>
      <c r="K21" s="33" t="e">
        <f>K17/(K19)</f>
        <v>#DIV/0!</v>
      </c>
      <c r="L21" s="25"/>
      <c r="M21" s="221" t="s">
        <v>670</v>
      </c>
      <c r="N21" s="33" t="e">
        <f>N17/(N19)</f>
        <v>#DIV/0!</v>
      </c>
      <c r="O21" s="612"/>
    </row>
    <row r="22" spans="1:15">
      <c r="A22" s="127"/>
      <c r="B22" s="206"/>
      <c r="C22" s="46"/>
      <c r="D22" s="127"/>
      <c r="E22" s="206"/>
      <c r="F22" s="46"/>
      <c r="G22" s="127"/>
      <c r="H22" s="206"/>
      <c r="I22" s="46"/>
      <c r="J22" s="127"/>
      <c r="K22" s="206"/>
      <c r="L22" s="46"/>
      <c r="M22" s="238"/>
      <c r="N22" s="206"/>
      <c r="O22" s="47"/>
    </row>
    <row r="23" spans="1:15">
      <c r="A23" s="136"/>
      <c r="B23" s="25"/>
      <c r="C23" s="25"/>
      <c r="D23" s="25"/>
      <c r="E23" s="25"/>
      <c r="F23" s="25"/>
      <c r="H23" s="25"/>
      <c r="I23" s="25"/>
      <c r="J23" s="25"/>
      <c r="K23" s="25"/>
      <c r="L23" s="25"/>
      <c r="N23" s="25"/>
      <c r="O23" s="26"/>
    </row>
    <row r="24" spans="1:15">
      <c r="A24" s="282" t="s">
        <v>568</v>
      </c>
      <c r="B24" s="67"/>
      <c r="C24" s="25"/>
      <c r="D24" s="173"/>
      <c r="E24" s="25"/>
      <c r="F24" s="25"/>
      <c r="H24" s="25"/>
      <c r="I24" s="25"/>
      <c r="J24" s="123"/>
      <c r="K24" s="25"/>
      <c r="L24" s="25"/>
      <c r="N24" s="25"/>
      <c r="O24" s="26"/>
    </row>
    <row r="25" spans="1:15">
      <c r="A25" s="283"/>
      <c r="B25" s="68"/>
      <c r="C25" s="25"/>
      <c r="D25" s="25"/>
      <c r="E25" s="25"/>
      <c r="F25" s="25"/>
      <c r="H25" s="25"/>
      <c r="I25" s="25"/>
      <c r="J25" s="25"/>
      <c r="K25" s="25"/>
      <c r="L25" s="25"/>
      <c r="N25" s="25"/>
      <c r="O25" s="26"/>
    </row>
    <row r="26" spans="1:15" s="13" customFormat="1" ht="15">
      <c r="A26" s="98" t="s">
        <v>612</v>
      </c>
      <c r="B26" s="11"/>
      <c r="C26" s="11"/>
      <c r="D26" s="11"/>
      <c r="E26" s="11"/>
      <c r="F26" s="11"/>
      <c r="G26" s="247"/>
      <c r="H26" s="247"/>
      <c r="I26" s="11"/>
      <c r="J26" s="11"/>
      <c r="K26" s="11"/>
      <c r="L26" s="11"/>
      <c r="M26" s="247"/>
      <c r="N26" s="247"/>
      <c r="O26" s="613"/>
    </row>
    <row r="27" spans="1:15" s="34" customFormat="1">
      <c r="A27" s="284" t="s">
        <v>613</v>
      </c>
      <c r="B27" s="119"/>
      <c r="C27" s="37"/>
      <c r="D27" s="37"/>
      <c r="E27" s="37"/>
      <c r="F27" s="37"/>
      <c r="G27" s="37"/>
      <c r="H27" s="37"/>
      <c r="I27" s="37"/>
      <c r="J27" s="37"/>
      <c r="K27" s="37"/>
      <c r="L27" s="37"/>
      <c r="M27" s="37"/>
      <c r="N27" s="37"/>
      <c r="O27" s="281"/>
    </row>
    <row r="28" spans="1:15" s="34" customFormat="1">
      <c r="A28" s="284" t="s">
        <v>614</v>
      </c>
      <c r="B28" s="119"/>
      <c r="C28" s="37"/>
      <c r="D28" s="37"/>
      <c r="E28" s="37"/>
      <c r="F28" s="37"/>
      <c r="G28" s="37"/>
      <c r="H28" s="37"/>
      <c r="I28" s="37"/>
      <c r="J28" s="37"/>
      <c r="K28" s="37"/>
      <c r="L28" s="37"/>
      <c r="M28" s="37"/>
      <c r="N28" s="37"/>
      <c r="O28" s="281"/>
    </row>
    <row r="29" spans="1:15" s="34" customFormat="1">
      <c r="A29" s="284" t="s">
        <v>615</v>
      </c>
      <c r="B29" s="200">
        <f>SUM(B27+B28)</f>
        <v>0</v>
      </c>
      <c r="C29" s="37"/>
      <c r="D29" s="37"/>
      <c r="E29" s="37"/>
      <c r="F29" s="37"/>
      <c r="G29" s="37"/>
      <c r="H29" s="37"/>
      <c r="I29" s="37"/>
      <c r="J29" s="37"/>
      <c r="K29" s="37"/>
      <c r="L29" s="37"/>
      <c r="M29" s="37"/>
      <c r="N29" s="37"/>
      <c r="O29" s="281"/>
    </row>
    <row r="30" spans="1:15" s="34" customFormat="1">
      <c r="A30" s="284"/>
      <c r="B30" s="68"/>
      <c r="C30" s="37" t="s">
        <v>568</v>
      </c>
      <c r="D30" s="37"/>
      <c r="E30" s="37"/>
      <c r="F30" s="37"/>
      <c r="G30" s="37"/>
      <c r="H30" s="37"/>
      <c r="I30" s="37" t="s">
        <v>568</v>
      </c>
      <c r="J30" s="37"/>
      <c r="K30" s="37"/>
      <c r="L30" s="37"/>
      <c r="M30" s="37"/>
      <c r="N30" s="37"/>
      <c r="O30" s="281"/>
    </row>
    <row r="31" spans="1:15" s="34" customFormat="1">
      <c r="A31" s="284" t="s">
        <v>616</v>
      </c>
      <c r="B31" s="43">
        <f>B29/2</f>
        <v>0</v>
      </c>
      <c r="C31" s="37"/>
      <c r="D31" s="37"/>
      <c r="E31" s="37"/>
      <c r="F31" s="37"/>
      <c r="G31" s="182" t="s">
        <v>568</v>
      </c>
      <c r="H31" s="37"/>
      <c r="I31" s="37"/>
      <c r="J31" s="37"/>
      <c r="K31" s="37"/>
      <c r="L31" s="37"/>
      <c r="M31" s="37"/>
      <c r="N31" s="37"/>
      <c r="O31" s="281"/>
    </row>
    <row r="32" spans="1:15" s="34" customFormat="1">
      <c r="A32" s="44" t="s">
        <v>610</v>
      </c>
      <c r="B32" s="43">
        <f>B31*(1+$B$4)</f>
        <v>0</v>
      </c>
      <c r="C32" s="37"/>
      <c r="D32" s="37"/>
      <c r="E32" s="37"/>
      <c r="F32" s="37"/>
      <c r="G32" s="37"/>
      <c r="H32" s="37"/>
      <c r="I32" s="37"/>
      <c r="J32" s="182" t="s">
        <v>568</v>
      </c>
      <c r="K32" s="37"/>
      <c r="L32" s="37"/>
      <c r="M32" s="37"/>
      <c r="N32" s="37"/>
      <c r="O32" s="281"/>
    </row>
    <row r="33" spans="1:15" s="34" customFormat="1">
      <c r="A33" s="284"/>
      <c r="B33" s="68"/>
      <c r="C33" s="37"/>
      <c r="D33" s="37"/>
      <c r="E33" s="37"/>
      <c r="F33" s="37"/>
      <c r="G33" s="37"/>
      <c r="H33" s="37"/>
      <c r="I33" s="37"/>
      <c r="J33" s="37"/>
      <c r="K33" s="37"/>
      <c r="L33" s="37"/>
      <c r="M33" s="37"/>
      <c r="N33" s="37"/>
      <c r="O33" s="281"/>
    </row>
    <row r="34" spans="1:15" s="34" customFormat="1">
      <c r="A34" s="40" t="s">
        <v>672</v>
      </c>
      <c r="B34" s="35"/>
      <c r="C34" s="37"/>
      <c r="D34" s="37"/>
      <c r="E34" s="37"/>
      <c r="F34" s="37"/>
      <c r="G34" s="37"/>
      <c r="H34" s="37"/>
      <c r="I34" s="37"/>
      <c r="J34" s="37"/>
      <c r="K34" s="37"/>
      <c r="L34" s="37"/>
      <c r="M34" s="37"/>
      <c r="N34" s="37"/>
      <c r="O34" s="281"/>
    </row>
    <row r="35" spans="1:15">
      <c r="A35" s="40"/>
      <c r="B35" s="38"/>
      <c r="C35" s="25"/>
      <c r="D35" s="25"/>
      <c r="E35" s="25"/>
      <c r="F35" s="25"/>
      <c r="H35" s="25"/>
      <c r="I35" s="25"/>
      <c r="J35" s="25"/>
      <c r="K35" s="25"/>
      <c r="L35" s="25"/>
      <c r="N35" s="25"/>
      <c r="O35" s="26"/>
    </row>
    <row r="36" spans="1:15">
      <c r="A36" s="41" t="s">
        <v>666</v>
      </c>
      <c r="B36" s="33" t="e">
        <f>B32/B34</f>
        <v>#DIV/0!</v>
      </c>
      <c r="C36" s="25"/>
      <c r="D36" s="25"/>
      <c r="E36" s="25"/>
      <c r="F36" s="25"/>
      <c r="H36" s="25"/>
      <c r="I36" s="25"/>
      <c r="J36" s="25"/>
      <c r="K36" s="25"/>
      <c r="L36" s="25"/>
      <c r="N36" s="25"/>
      <c r="O36" s="26"/>
    </row>
    <row r="37" spans="1:15">
      <c r="A37" s="127"/>
      <c r="B37" s="206"/>
      <c r="C37" s="25"/>
      <c r="D37" s="25"/>
      <c r="E37" s="25"/>
      <c r="F37" s="25"/>
      <c r="H37" s="25"/>
      <c r="I37" s="25"/>
      <c r="J37" s="25"/>
      <c r="K37" s="25"/>
      <c r="L37" s="25"/>
      <c r="N37" s="25"/>
      <c r="O37" s="26"/>
    </row>
    <row r="38" spans="1:15">
      <c r="A38" s="45"/>
      <c r="B38" s="25"/>
      <c r="C38" s="25"/>
      <c r="D38" s="25"/>
      <c r="E38" s="25"/>
      <c r="F38" s="25"/>
      <c r="H38" s="25"/>
      <c r="I38" s="25"/>
      <c r="J38" s="25"/>
      <c r="K38" s="25"/>
      <c r="L38" s="25"/>
      <c r="N38" s="25"/>
      <c r="O38" s="26"/>
    </row>
    <row r="39" spans="1:15">
      <c r="A39" s="45"/>
      <c r="B39" s="25"/>
      <c r="C39" s="25"/>
      <c r="D39" s="25"/>
      <c r="E39" s="25"/>
      <c r="F39" s="25"/>
      <c r="H39" s="25"/>
      <c r="I39" s="25"/>
      <c r="J39" s="25"/>
      <c r="K39" s="25"/>
      <c r="L39" s="25"/>
      <c r="N39" s="25"/>
      <c r="O39" s="26"/>
    </row>
    <row r="40" spans="1:15" s="13" customFormat="1" ht="15">
      <c r="A40" s="98" t="s">
        <v>684</v>
      </c>
      <c r="B40" s="11"/>
      <c r="C40" s="11"/>
      <c r="D40" s="11"/>
      <c r="E40" s="11"/>
      <c r="F40" s="11"/>
      <c r="G40" s="247"/>
      <c r="H40" s="247"/>
      <c r="I40" s="11"/>
      <c r="J40" s="11"/>
      <c r="K40" s="11"/>
      <c r="L40" s="11"/>
      <c r="M40" s="247"/>
      <c r="N40" s="247"/>
      <c r="O40" s="613"/>
    </row>
    <row r="41" spans="1:15">
      <c r="A41" s="219" t="s">
        <v>641</v>
      </c>
      <c r="B41" s="207"/>
      <c r="C41" s="25"/>
      <c r="D41" s="123"/>
      <c r="E41" s="25"/>
      <c r="F41" s="25"/>
      <c r="H41" s="25"/>
      <c r="I41" s="25"/>
      <c r="J41" s="25"/>
      <c r="K41" s="25"/>
      <c r="L41" s="25"/>
      <c r="N41" s="25"/>
      <c r="O41" s="26"/>
    </row>
    <row r="42" spans="1:15">
      <c r="A42" s="218" t="s">
        <v>640</v>
      </c>
      <c r="B42" s="207"/>
      <c r="C42" s="25"/>
      <c r="D42" s="123"/>
      <c r="E42" s="25"/>
      <c r="F42" s="25"/>
      <c r="H42" s="25"/>
      <c r="I42" s="25"/>
      <c r="J42" s="25"/>
      <c r="K42" s="25"/>
      <c r="L42" s="25"/>
      <c r="N42" s="25"/>
      <c r="O42" s="26"/>
    </row>
    <row r="43" spans="1:15">
      <c r="A43" s="36" t="s">
        <v>617</v>
      </c>
      <c r="B43" s="43">
        <f>B41-B42</f>
        <v>0</v>
      </c>
      <c r="C43" s="25"/>
      <c r="D43" s="25"/>
      <c r="E43" s="25"/>
      <c r="F43" s="25"/>
      <c r="H43" s="25"/>
      <c r="I43" s="25"/>
      <c r="J43" s="25"/>
      <c r="K43" s="25"/>
      <c r="L43" s="25"/>
      <c r="N43" s="25"/>
      <c r="O43" s="26"/>
    </row>
    <row r="44" spans="1:15">
      <c r="A44" s="45"/>
      <c r="B44" s="25"/>
      <c r="C44" s="25"/>
      <c r="D44" s="25"/>
      <c r="E44" s="25"/>
      <c r="F44" s="25"/>
      <c r="H44" s="25"/>
      <c r="I44" s="25"/>
      <c r="J44" s="25"/>
      <c r="K44" s="25"/>
      <c r="L44" s="25"/>
      <c r="N44" s="25"/>
      <c r="O44" s="26"/>
    </row>
    <row r="45" spans="1:15" s="171" customFormat="1">
      <c r="A45" s="219" t="s">
        <v>661</v>
      </c>
      <c r="B45" s="207"/>
      <c r="C45" s="25"/>
      <c r="D45" s="25"/>
      <c r="E45" s="25"/>
      <c r="F45" s="25"/>
      <c r="G45" s="25"/>
      <c r="H45" s="25"/>
      <c r="I45" s="25"/>
      <c r="J45" s="25"/>
      <c r="K45" s="25"/>
      <c r="L45" s="25"/>
      <c r="M45" s="25"/>
      <c r="N45" s="25"/>
      <c r="O45" s="26"/>
    </row>
    <row r="46" spans="1:15" s="171" customFormat="1">
      <c r="A46" s="219" t="s">
        <v>660</v>
      </c>
      <c r="B46" s="207"/>
      <c r="C46" s="25"/>
      <c r="D46" s="25"/>
      <c r="E46" s="25"/>
      <c r="F46" s="25"/>
      <c r="G46" s="25"/>
      <c r="H46" s="25"/>
      <c r="I46" s="25"/>
      <c r="J46" s="25"/>
      <c r="K46" s="25"/>
      <c r="L46" s="25"/>
      <c r="M46" s="25"/>
      <c r="N46" s="25"/>
      <c r="O46" s="26"/>
    </row>
    <row r="47" spans="1:15" s="171" customFormat="1">
      <c r="A47" s="219" t="s">
        <v>662</v>
      </c>
      <c r="B47" s="43">
        <f>B45-B46</f>
        <v>0</v>
      </c>
      <c r="C47" s="25"/>
      <c r="D47" s="25"/>
      <c r="E47" s="25"/>
      <c r="F47" s="25"/>
      <c r="G47" s="25"/>
      <c r="H47" s="25"/>
      <c r="I47" s="25"/>
      <c r="J47" s="25"/>
      <c r="K47" s="25"/>
      <c r="L47" s="25"/>
      <c r="M47" s="25"/>
      <c r="N47" s="25"/>
      <c r="O47" s="26"/>
    </row>
    <row r="48" spans="1:15">
      <c r="A48" s="219"/>
      <c r="B48" s="25"/>
      <c r="C48" s="25"/>
      <c r="D48" s="123"/>
      <c r="E48" s="25"/>
      <c r="F48" s="25"/>
      <c r="H48" s="25"/>
      <c r="I48" s="25"/>
      <c r="J48" s="25"/>
      <c r="K48" s="25"/>
      <c r="L48" s="25"/>
      <c r="N48" s="25"/>
      <c r="O48" s="26"/>
    </row>
    <row r="49" spans="1:15">
      <c r="A49" s="127"/>
      <c r="B49" s="208"/>
      <c r="C49" s="46"/>
      <c r="D49" s="46"/>
      <c r="E49" s="46"/>
      <c r="F49" s="46"/>
      <c r="G49" s="46"/>
      <c r="H49" s="46"/>
      <c r="I49" s="46"/>
      <c r="J49" s="46"/>
      <c r="K49" s="46"/>
      <c r="L49" s="46"/>
      <c r="M49" s="46"/>
      <c r="N49" s="46"/>
      <c r="O49" s="47"/>
    </row>
  </sheetData>
  <mergeCells count="1">
    <mergeCell ref="L1:O1"/>
  </mergeCells>
  <pageMargins left="0.7" right="0.7" top="0.75" bottom="0.75" header="0.3" footer="0.3"/>
  <pageSetup paperSize="9" scale="2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8"/>
  <sheetViews>
    <sheetView showGridLines="0" zoomScale="80" zoomScaleNormal="80" zoomScaleSheetLayoutView="85" workbookViewId="0">
      <selection activeCell="A9" sqref="A9"/>
    </sheetView>
  </sheetViews>
  <sheetFormatPr defaultRowHeight="15" customHeight="1"/>
  <cols>
    <col min="1" max="1" width="100.85546875" style="171" bestFit="1" customWidth="1"/>
    <col min="2" max="2" width="12.28515625" style="171" bestFit="1" customWidth="1"/>
    <col min="3" max="3" width="10.85546875" style="171" bestFit="1" customWidth="1"/>
    <col min="4" max="4" width="12.7109375" style="171" bestFit="1" customWidth="1"/>
    <col min="5" max="5" width="11.5703125" style="171" bestFit="1" customWidth="1"/>
    <col min="6" max="6" width="10.85546875" style="171" bestFit="1" customWidth="1"/>
    <col min="7" max="7" width="11.140625" style="171" customWidth="1"/>
    <col min="8" max="8" width="11.140625" style="171" bestFit="1" customWidth="1"/>
    <col min="9" max="9" width="15.7109375" style="171" customWidth="1"/>
    <col min="10" max="10" width="13.42578125" style="171" customWidth="1"/>
    <col min="11" max="11" width="75" style="171" customWidth="1"/>
    <col min="12" max="16384" width="9.140625" style="171"/>
  </cols>
  <sheetData>
    <row r="1" spans="1:25" s="13" customFormat="1" ht="22.5" customHeight="1">
      <c r="A1" s="9" t="s">
        <v>686</v>
      </c>
      <c r="B1" s="9"/>
      <c r="C1" s="9"/>
      <c r="D1" s="1706"/>
      <c r="E1" s="1707"/>
      <c r="F1" s="111"/>
      <c r="G1" s="1708" t="s">
        <v>165</v>
      </c>
      <c r="H1" s="1706"/>
      <c r="I1" s="1706"/>
      <c r="K1" s="1320" t="s">
        <v>813</v>
      </c>
      <c r="M1" s="79"/>
      <c r="N1" s="79"/>
      <c r="O1" s="79"/>
      <c r="P1" s="79"/>
      <c r="Q1" s="79"/>
      <c r="R1" s="79"/>
      <c r="S1" s="79"/>
      <c r="T1" s="79"/>
      <c r="U1" s="79"/>
      <c r="V1" s="813"/>
      <c r="W1" s="813"/>
      <c r="X1" s="96"/>
      <c r="Y1" s="79"/>
    </row>
    <row r="2" spans="1:25" ht="15" customHeight="1">
      <c r="A2" s="137"/>
      <c r="B2" s="137"/>
      <c r="C2" s="137"/>
      <c r="D2" s="137"/>
      <c r="E2" s="137"/>
      <c r="F2" s="137"/>
      <c r="G2" s="137"/>
      <c r="H2" s="137"/>
      <c r="I2" s="1253"/>
      <c r="K2" s="728"/>
    </row>
    <row r="3" spans="1:25" ht="15" customHeight="1">
      <c r="A3" s="1254" t="s">
        <v>552</v>
      </c>
      <c r="B3" s="1255"/>
      <c r="C3" s="1255"/>
      <c r="D3" s="137"/>
      <c r="E3" s="137"/>
      <c r="F3" s="223">
        <v>2013</v>
      </c>
      <c r="G3" s="223">
        <v>2014</v>
      </c>
      <c r="H3" s="1255"/>
      <c r="I3" s="1256"/>
      <c r="K3" s="728"/>
    </row>
    <row r="4" spans="1:25" ht="15" customHeight="1">
      <c r="A4" s="264" t="s">
        <v>864</v>
      </c>
      <c r="B4" s="1257" t="s">
        <v>1170</v>
      </c>
      <c r="C4" s="1255"/>
      <c r="D4" s="137"/>
      <c r="E4" s="137"/>
      <c r="F4" s="170">
        <f>Parameters!O11</f>
        <v>7.3790587235475158E-2</v>
      </c>
      <c r="G4" s="170">
        <f>Parameters!P11</f>
        <v>3.9999999999999591E-2</v>
      </c>
      <c r="H4" s="1255"/>
      <c r="I4" s="1258"/>
      <c r="K4" s="728"/>
    </row>
    <row r="5" spans="1:25" ht="15" customHeight="1">
      <c r="A5" s="1259"/>
      <c r="B5" s="1255"/>
      <c r="C5" s="1255"/>
      <c r="D5" s="1255"/>
      <c r="E5" s="1255"/>
      <c r="F5" s="1255"/>
      <c r="G5" s="1255"/>
      <c r="H5" s="1255"/>
      <c r="I5" s="1256"/>
      <c r="K5" s="728"/>
    </row>
    <row r="6" spans="1:25" ht="15" customHeight="1">
      <c r="A6" s="1254" t="s">
        <v>1171</v>
      </c>
      <c r="B6" s="1260"/>
      <c r="C6" s="1260"/>
      <c r="D6" s="1261" t="s">
        <v>582</v>
      </c>
      <c r="E6" s="1261" t="s">
        <v>583</v>
      </c>
      <c r="F6" s="1261" t="s">
        <v>618</v>
      </c>
      <c r="G6" s="1261" t="s">
        <v>591</v>
      </c>
      <c r="H6" s="1261" t="s">
        <v>545</v>
      </c>
      <c r="I6" s="1262"/>
      <c r="K6" s="728"/>
    </row>
    <row r="7" spans="1:25" ht="15" customHeight="1">
      <c r="A7" s="1263" t="s">
        <v>1172</v>
      </c>
      <c r="B7" s="1257" t="s">
        <v>1170</v>
      </c>
      <c r="C7" s="1257"/>
      <c r="D7" s="1332">
        <f>Parameters!B65</f>
        <v>0.93199999999999994</v>
      </c>
      <c r="E7" s="1332">
        <f>Parameters!B66</f>
        <v>3.3000000000000002E-2</v>
      </c>
      <c r="F7" s="1332">
        <f>Parameters!B67</f>
        <v>3.5000000000000003E-2</v>
      </c>
      <c r="G7" s="1264"/>
      <c r="H7" s="1264"/>
      <c r="I7" s="1265"/>
      <c r="K7" s="728"/>
    </row>
    <row r="8" spans="1:25" ht="15" customHeight="1">
      <c r="A8" s="1259"/>
      <c r="B8" s="1255"/>
      <c r="C8" s="1255"/>
      <c r="D8" s="1255"/>
      <c r="E8" s="1255"/>
      <c r="F8" s="1255"/>
      <c r="G8" s="1255"/>
      <c r="H8" s="1255"/>
      <c r="I8" s="1256"/>
      <c r="K8" s="728"/>
    </row>
    <row r="9" spans="1:25" ht="20.25">
      <c r="A9" s="1266" t="s">
        <v>1173</v>
      </c>
      <c r="B9" s="1267"/>
      <c r="C9" s="1267"/>
      <c r="D9" s="1268" t="s">
        <v>582</v>
      </c>
      <c r="E9" s="1268" t="s">
        <v>583</v>
      </c>
      <c r="F9" s="1268" t="s">
        <v>618</v>
      </c>
      <c r="G9" s="1268" t="s">
        <v>591</v>
      </c>
      <c r="H9" s="1268" t="s">
        <v>545</v>
      </c>
      <c r="I9" s="1269" t="s">
        <v>1174</v>
      </c>
      <c r="K9" s="728"/>
    </row>
    <row r="10" spans="1:25" ht="15" customHeight="1">
      <c r="A10" s="1259"/>
      <c r="B10" s="1255"/>
      <c r="C10" s="1255"/>
      <c r="D10" s="1255"/>
      <c r="E10" s="1255"/>
      <c r="F10" s="1255"/>
      <c r="G10" s="1255"/>
      <c r="H10" s="1255"/>
      <c r="I10" s="1256"/>
      <c r="K10" s="728"/>
    </row>
    <row r="11" spans="1:25" ht="15" customHeight="1">
      <c r="A11" s="1270" t="s">
        <v>1401</v>
      </c>
      <c r="B11" s="1267"/>
      <c r="C11" s="1267"/>
      <c r="D11" s="1267"/>
      <c r="E11" s="1267"/>
      <c r="F11" s="1267"/>
      <c r="G11" s="1267"/>
      <c r="H11" s="1267"/>
      <c r="I11" s="1271"/>
      <c r="K11" s="728"/>
    </row>
    <row r="12" spans="1:25" ht="15" customHeight="1">
      <c r="A12" s="579"/>
      <c r="B12" s="580"/>
      <c r="C12" s="580"/>
      <c r="D12" s="580"/>
      <c r="E12" s="580"/>
      <c r="F12" s="580"/>
      <c r="G12" s="580"/>
      <c r="H12" s="580"/>
      <c r="I12" s="1272"/>
      <c r="K12" s="728"/>
    </row>
    <row r="13" spans="1:25" ht="15" customHeight="1">
      <c r="A13" s="1298" t="s">
        <v>1185</v>
      </c>
      <c r="B13" s="1274"/>
      <c r="C13" s="1274"/>
      <c r="D13" s="1274"/>
      <c r="E13" s="1274"/>
      <c r="F13" s="1274"/>
      <c r="G13" s="1274"/>
      <c r="H13" s="1274"/>
      <c r="I13" s="1299"/>
      <c r="K13" s="728"/>
    </row>
    <row r="14" spans="1:25" ht="15" customHeight="1">
      <c r="A14" s="1300" t="s">
        <v>1258</v>
      </c>
      <c r="B14" s="1257" t="s">
        <v>1179</v>
      </c>
      <c r="C14" s="1297">
        <v>0</v>
      </c>
      <c r="D14" s="183">
        <f t="shared" ref="D14:F14" si="0">$C14*D$7</f>
        <v>0</v>
      </c>
      <c r="E14" s="183">
        <f t="shared" si="0"/>
        <v>0</v>
      </c>
      <c r="F14" s="183">
        <f t="shared" si="0"/>
        <v>0</v>
      </c>
      <c r="G14" s="1264"/>
      <c r="H14" s="1297">
        <v>399312.40839278698</v>
      </c>
      <c r="I14" s="1299"/>
      <c r="K14" s="1323" t="s">
        <v>1384</v>
      </c>
    </row>
    <row r="15" spans="1:25" ht="15" customHeight="1">
      <c r="A15" s="1263" t="s">
        <v>1186</v>
      </c>
      <c r="B15" s="1257" t="s">
        <v>1179</v>
      </c>
      <c r="C15" s="1297">
        <v>2696455.6326788804</v>
      </c>
      <c r="D15" s="183">
        <f t="shared" ref="D15:F15" si="1">$C15*D$7</f>
        <v>2513096.6496567163</v>
      </c>
      <c r="E15" s="183">
        <f t="shared" si="1"/>
        <v>88983.035878403054</v>
      </c>
      <c r="F15" s="183">
        <f t="shared" si="1"/>
        <v>94375.947143760815</v>
      </c>
      <c r="G15" s="1264"/>
      <c r="H15" s="1251">
        <v>0</v>
      </c>
      <c r="I15" s="1302"/>
      <c r="K15" s="728"/>
    </row>
    <row r="16" spans="1:25" ht="15" customHeight="1">
      <c r="A16" s="1277" t="s">
        <v>1177</v>
      </c>
      <c r="B16" s="1257"/>
      <c r="C16" s="1301"/>
      <c r="D16" s="1280">
        <f>SUM(D14:D15)</f>
        <v>2513096.6496567163</v>
      </c>
      <c r="E16" s="1280">
        <f>SUM(E14:E15)</f>
        <v>88983.035878403054</v>
      </c>
      <c r="F16" s="1280">
        <f>SUM(F14:F15)</f>
        <v>94375.947143760815</v>
      </c>
      <c r="G16" s="1264"/>
      <c r="H16" s="1280">
        <f>SUM(H14:H15)</f>
        <v>399312.40839278698</v>
      </c>
      <c r="I16" s="1302"/>
      <c r="K16" s="728"/>
    </row>
    <row r="17" spans="1:11" ht="15" customHeight="1">
      <c r="A17" s="1283"/>
      <c r="B17" s="1284"/>
      <c r="C17" s="1284"/>
      <c r="D17" s="1284"/>
      <c r="E17" s="1284"/>
      <c r="F17" s="1284"/>
      <c r="G17" s="1284"/>
      <c r="H17" s="1284"/>
      <c r="I17" s="1285"/>
      <c r="K17" s="728"/>
    </row>
    <row r="18" spans="1:11" ht="15" customHeight="1">
      <c r="A18" s="1273" t="s">
        <v>1175</v>
      </c>
      <c r="B18" s="1274"/>
      <c r="C18" s="1257"/>
      <c r="D18" s="1275"/>
      <c r="E18" s="1275"/>
      <c r="F18" s="1275"/>
      <c r="G18" s="1275"/>
      <c r="H18" s="1275"/>
      <c r="I18" s="1272"/>
      <c r="K18" s="728"/>
    </row>
    <row r="19" spans="1:11" ht="15" customHeight="1">
      <c r="A19" s="1300" t="s">
        <v>1219</v>
      </c>
      <c r="B19" s="1257" t="s">
        <v>1176</v>
      </c>
      <c r="C19" s="1297">
        <v>55614.440200000005</v>
      </c>
      <c r="D19" s="183">
        <f>$C19*($D$7+$F$7)</f>
        <v>53779.163673400006</v>
      </c>
      <c r="E19" s="183">
        <f>$C19*$E$7</f>
        <v>1835.2765266000001</v>
      </c>
      <c r="F19" s="1251">
        <v>0</v>
      </c>
      <c r="G19" s="1264"/>
      <c r="H19" s="1251">
        <v>0</v>
      </c>
      <c r="I19" s="1276"/>
      <c r="K19" s="1323" t="s">
        <v>1254</v>
      </c>
    </row>
    <row r="20" spans="1:11" ht="15" customHeight="1">
      <c r="A20" s="1300" t="s">
        <v>1218</v>
      </c>
      <c r="B20" s="1257" t="s">
        <v>1176</v>
      </c>
      <c r="C20" s="1297">
        <v>167800.29075397539</v>
      </c>
      <c r="D20" s="183">
        <f t="shared" ref="D20:F20" si="2">$C20*D$7</f>
        <v>156389.87098270506</v>
      </c>
      <c r="E20" s="183">
        <f t="shared" si="2"/>
        <v>5537.4095948811882</v>
      </c>
      <c r="F20" s="183">
        <f t="shared" si="2"/>
        <v>5873.0101763891389</v>
      </c>
      <c r="G20" s="1264"/>
      <c r="H20" s="1251">
        <v>0</v>
      </c>
      <c r="I20" s="1276"/>
      <c r="K20" s="1323" t="s">
        <v>1254</v>
      </c>
    </row>
    <row r="21" spans="1:11" ht="15" customHeight="1">
      <c r="A21" s="1277" t="s">
        <v>1177</v>
      </c>
      <c r="B21" s="1278"/>
      <c r="C21" s="1279"/>
      <c r="D21" s="1280">
        <f>SUM(D19:D20)</f>
        <v>210169.03465610507</v>
      </c>
      <c r="E21" s="1280">
        <f t="shared" ref="E21:H21" si="3">SUM(E19:E20)</f>
        <v>7372.6861214811888</v>
      </c>
      <c r="F21" s="1280">
        <f t="shared" si="3"/>
        <v>5873.0101763891389</v>
      </c>
      <c r="G21" s="1281"/>
      <c r="H21" s="1280">
        <f t="shared" si="3"/>
        <v>0</v>
      </c>
      <c r="I21" s="1282"/>
      <c r="K21" s="728"/>
    </row>
    <row r="22" spans="1:11" ht="15" customHeight="1">
      <c r="A22" s="1283"/>
      <c r="B22" s="1284"/>
      <c r="C22" s="1284"/>
      <c r="D22" s="1284"/>
      <c r="E22" s="1284"/>
      <c r="F22" s="1284"/>
      <c r="G22" s="1284"/>
      <c r="H22" s="1284"/>
      <c r="I22" s="1285"/>
      <c r="K22" s="728"/>
    </row>
    <row r="23" spans="1:11" ht="20.25">
      <c r="A23" s="1286" t="s">
        <v>1178</v>
      </c>
      <c r="B23" s="1287"/>
      <c r="C23" s="1287"/>
      <c r="D23" s="1268" t="s">
        <v>582</v>
      </c>
      <c r="E23" s="1268" t="s">
        <v>583</v>
      </c>
      <c r="F23" s="1268" t="s">
        <v>618</v>
      </c>
      <c r="G23" s="1268" t="s">
        <v>591</v>
      </c>
      <c r="H23" s="1268" t="s">
        <v>545</v>
      </c>
      <c r="I23" s="1288"/>
      <c r="K23" s="728"/>
    </row>
    <row r="24" spans="1:11" ht="15" customHeight="1">
      <c r="A24" s="1289"/>
      <c r="B24" s="1290"/>
      <c r="C24" s="1290"/>
      <c r="D24" s="1290"/>
      <c r="E24" s="1290"/>
      <c r="F24" s="1290"/>
      <c r="G24" s="1290"/>
      <c r="H24" s="1290"/>
      <c r="I24" s="1291"/>
      <c r="K24" s="728"/>
    </row>
    <row r="25" spans="1:11" ht="15" customHeight="1">
      <c r="A25" s="1270" t="s">
        <v>1402</v>
      </c>
      <c r="B25" s="1267"/>
      <c r="C25" s="1267"/>
      <c r="D25" s="1267"/>
      <c r="E25" s="1267"/>
      <c r="F25" s="1267"/>
      <c r="G25" s="1267"/>
      <c r="H25" s="1267"/>
      <c r="I25" s="1271"/>
      <c r="K25" s="728"/>
    </row>
    <row r="26" spans="1:11" ht="15" customHeight="1">
      <c r="A26" s="1289"/>
      <c r="B26" s="1290"/>
      <c r="C26" s="1290"/>
      <c r="D26" s="1290"/>
      <c r="E26" s="1290"/>
      <c r="F26" s="1290"/>
      <c r="G26" s="1290"/>
      <c r="H26" s="1290"/>
      <c r="I26" s="1291"/>
      <c r="K26" s="728"/>
    </row>
    <row r="27" spans="1:11" ht="15" customHeight="1">
      <c r="A27" s="1273" t="s">
        <v>23</v>
      </c>
      <c r="B27" s="1274"/>
      <c r="C27" s="1257"/>
      <c r="D27" s="1275"/>
      <c r="E27" s="1275"/>
      <c r="F27" s="1275"/>
      <c r="G27" s="1275"/>
      <c r="H27" s="1275"/>
      <c r="I27" s="1272"/>
      <c r="K27" s="728"/>
    </row>
    <row r="28" spans="1:11" ht="15" customHeight="1">
      <c r="A28" s="1300" t="s">
        <v>1217</v>
      </c>
      <c r="B28" s="1257" t="s">
        <v>1179</v>
      </c>
      <c r="C28" s="1297">
        <v>30032.358474991855</v>
      </c>
      <c r="D28" s="183">
        <f>$C28*($D$7+$F$7)</f>
        <v>29041.290645317124</v>
      </c>
      <c r="E28" s="183">
        <f>$C28*$E$7</f>
        <v>991.06782967473123</v>
      </c>
      <c r="F28" s="1251">
        <v>0</v>
      </c>
      <c r="G28" s="1264"/>
      <c r="H28" s="1251">
        <v>0</v>
      </c>
      <c r="I28" s="1276"/>
      <c r="K28" s="1323" t="s">
        <v>1254</v>
      </c>
    </row>
    <row r="29" spans="1:11" ht="15" customHeight="1">
      <c r="A29" s="1277" t="s">
        <v>1177</v>
      </c>
      <c r="B29" s="1278"/>
      <c r="C29" s="1279"/>
      <c r="D29" s="1280">
        <f>SUM(D28:D28)</f>
        <v>29041.290645317124</v>
      </c>
      <c r="E29" s="1280">
        <f>SUM(E28:E28)</f>
        <v>991.06782967473123</v>
      </c>
      <c r="F29" s="1280">
        <f>SUM(F28:F28)</f>
        <v>0</v>
      </c>
      <c r="G29" s="1281"/>
      <c r="H29" s="1280">
        <f>SUM(H28:H28)</f>
        <v>0</v>
      </c>
      <c r="I29" s="1282"/>
      <c r="K29" s="728"/>
    </row>
    <row r="30" spans="1:11" ht="15" customHeight="1">
      <c r="A30" s="1283"/>
      <c r="B30" s="1284"/>
      <c r="C30" s="1284"/>
      <c r="D30" s="1284"/>
      <c r="E30" s="1284"/>
      <c r="F30" s="1284"/>
      <c r="G30" s="1284"/>
      <c r="H30" s="1284"/>
      <c r="I30" s="1285"/>
      <c r="K30" s="728"/>
    </row>
    <row r="31" spans="1:11" ht="15" customHeight="1">
      <c r="A31" s="1273" t="s">
        <v>1180</v>
      </c>
      <c r="B31" s="1274"/>
      <c r="C31" s="1257"/>
      <c r="D31" s="1275"/>
      <c r="E31" s="1275"/>
      <c r="F31" s="1275"/>
      <c r="G31" s="1275"/>
      <c r="H31" s="1275"/>
      <c r="I31" s="1272"/>
      <c r="K31" s="728"/>
    </row>
    <row r="32" spans="1:11" ht="15" customHeight="1">
      <c r="A32" s="1300" t="s">
        <v>1220</v>
      </c>
      <c r="B32" s="1257" t="s">
        <v>1176</v>
      </c>
      <c r="C32" s="1333">
        <v>10277.348736599999</v>
      </c>
      <c r="D32" s="183">
        <f>$C32*($D$7+$F$7)</f>
        <v>9938.1962282921995</v>
      </c>
      <c r="E32" s="183">
        <f>$C32*$E$7</f>
        <v>339.15250830779996</v>
      </c>
      <c r="F32" s="1251">
        <v>0</v>
      </c>
      <c r="G32" s="1264"/>
      <c r="H32" s="1251">
        <v>0</v>
      </c>
      <c r="I32" s="1276"/>
      <c r="K32" s="1323" t="s">
        <v>1254</v>
      </c>
    </row>
    <row r="33" spans="1:11" ht="15" customHeight="1">
      <c r="A33" s="1277" t="s">
        <v>1177</v>
      </c>
      <c r="B33" s="1278"/>
      <c r="C33" s="1279"/>
      <c r="D33" s="1280">
        <f>SUM(D32:D32)</f>
        <v>9938.1962282921995</v>
      </c>
      <c r="E33" s="1280">
        <f>SUM(E32:E32)</f>
        <v>339.15250830779996</v>
      </c>
      <c r="F33" s="1280">
        <f>SUM(F32:F32)</f>
        <v>0</v>
      </c>
      <c r="G33" s="1281"/>
      <c r="H33" s="1280">
        <f>SUM(H32:H32)</f>
        <v>0</v>
      </c>
      <c r="I33" s="1282"/>
      <c r="K33" s="728"/>
    </row>
    <row r="34" spans="1:11" ht="15" customHeight="1">
      <c r="A34" s="1283"/>
      <c r="B34" s="1284"/>
      <c r="C34" s="1284"/>
      <c r="D34" s="1284"/>
      <c r="E34" s="1284"/>
      <c r="F34" s="1284"/>
      <c r="G34" s="1284"/>
      <c r="H34" s="1284"/>
      <c r="I34" s="1285"/>
      <c r="K34" s="728"/>
    </row>
    <row r="35" spans="1:11" ht="20.25">
      <c r="A35" s="1266" t="s">
        <v>1403</v>
      </c>
      <c r="B35" s="1267"/>
      <c r="C35" s="1267"/>
      <c r="D35" s="1268" t="s">
        <v>582</v>
      </c>
      <c r="E35" s="1268" t="s">
        <v>583</v>
      </c>
      <c r="F35" s="1268" t="s">
        <v>618</v>
      </c>
      <c r="G35" s="1268" t="s">
        <v>591</v>
      </c>
      <c r="H35" s="1268" t="s">
        <v>545</v>
      </c>
      <c r="I35" s="1271"/>
      <c r="K35" s="728"/>
    </row>
    <row r="36" spans="1:11" ht="15" customHeight="1">
      <c r="B36" s="1257"/>
      <c r="C36" s="1257"/>
      <c r="D36" s="1257"/>
      <c r="E36" s="1257"/>
      <c r="F36" s="1257"/>
      <c r="G36" s="1257"/>
      <c r="H36" s="1257"/>
      <c r="I36" s="1292"/>
      <c r="K36" s="728"/>
    </row>
    <row r="37" spans="1:11" ht="15" customHeight="1">
      <c r="A37" s="1273" t="s">
        <v>1181</v>
      </c>
      <c r="B37" s="1257" t="s">
        <v>1179</v>
      </c>
      <c r="C37" s="1257"/>
      <c r="D37" s="183">
        <f>D16-D29</f>
        <v>2484055.3590113991</v>
      </c>
      <c r="E37" s="183">
        <f>E16-E29</f>
        <v>87991.968048728319</v>
      </c>
      <c r="F37" s="183">
        <f>F16-F29</f>
        <v>94375.947143760815</v>
      </c>
      <c r="G37" s="1264"/>
      <c r="H37" s="183">
        <f>H16-H29</f>
        <v>399312.40839278698</v>
      </c>
      <c r="I37" s="1292"/>
      <c r="K37" s="728"/>
    </row>
    <row r="38" spans="1:11" ht="15" customHeight="1">
      <c r="A38" s="1273" t="s">
        <v>1182</v>
      </c>
      <c r="B38" s="1257" t="s">
        <v>1176</v>
      </c>
      <c r="C38" s="1257"/>
      <c r="D38" s="183">
        <f>D21-D33</f>
        <v>200230.83842781288</v>
      </c>
      <c r="E38" s="183">
        <f>E21-E33</f>
        <v>7033.5336131733893</v>
      </c>
      <c r="F38" s="183">
        <f>F21-F33</f>
        <v>5873.0101763891389</v>
      </c>
      <c r="G38" s="1264"/>
      <c r="H38" s="183">
        <f>H21-H33</f>
        <v>0</v>
      </c>
      <c r="I38" s="1292"/>
      <c r="K38" s="728"/>
    </row>
    <row r="39" spans="1:11" ht="15" customHeight="1">
      <c r="A39" s="1273" t="s">
        <v>1183</v>
      </c>
      <c r="B39" s="1257" t="s">
        <v>1184</v>
      </c>
      <c r="C39" s="1257"/>
      <c r="D39" s="1280">
        <f>D37*(1+$F$4)+D38*(1+$G$4)</f>
        <v>2875595.3346432042</v>
      </c>
      <c r="E39" s="1280">
        <f>E37*(1+$F$4)+E38*(1+$G$4)</f>
        <v>101799.82200074947</v>
      </c>
      <c r="F39" s="1280">
        <f>F37*(1+$F$4)+F38*(1+$G$4)</f>
        <v>107447.93428784779</v>
      </c>
      <c r="G39" s="1281"/>
      <c r="H39" s="1280">
        <f>H37*(1+$F$4)+H38*(1+$G$4)</f>
        <v>428777.9054985026</v>
      </c>
      <c r="I39" s="1272"/>
      <c r="K39" s="728"/>
    </row>
    <row r="40" spans="1:11" ht="15" customHeight="1">
      <c r="A40" s="1273"/>
      <c r="B40" s="1257"/>
      <c r="C40" s="1257"/>
      <c r="D40" s="1257"/>
      <c r="E40" s="1257"/>
      <c r="F40" s="1257"/>
      <c r="G40" s="1257"/>
      <c r="H40" s="1257"/>
      <c r="I40" s="1272"/>
      <c r="K40" s="728"/>
    </row>
    <row r="41" spans="1:11" ht="15" customHeight="1">
      <c r="A41" s="1273" t="s">
        <v>994</v>
      </c>
      <c r="B41" s="1257" t="s">
        <v>1184</v>
      </c>
      <c r="C41" s="1257"/>
      <c r="D41" s="169">
        <v>914419181.44699395</v>
      </c>
      <c r="E41" s="578">
        <f>Parameters!$B$86</f>
        <v>32693297.402289145</v>
      </c>
      <c r="F41" s="578">
        <f>Parameters!$B$87</f>
        <v>34007879.769864909</v>
      </c>
      <c r="G41" s="1264"/>
      <c r="H41" s="578">
        <f>Parameters!$B$89</f>
        <v>84498420.460968792</v>
      </c>
      <c r="I41" s="1265"/>
      <c r="K41" s="728"/>
    </row>
    <row r="42" spans="1:11" ht="15" customHeight="1">
      <c r="A42" s="1289"/>
      <c r="B42" s="1257"/>
      <c r="C42" s="1257"/>
      <c r="D42" s="1257"/>
      <c r="E42" s="1257"/>
      <c r="F42" s="1257"/>
      <c r="G42" s="1257"/>
      <c r="H42" s="1257"/>
      <c r="I42" s="1265"/>
      <c r="K42" s="728"/>
    </row>
    <row r="43" spans="1:11" ht="15" customHeight="1">
      <c r="A43" s="1273" t="s">
        <v>159</v>
      </c>
      <c r="B43" s="1257" t="s">
        <v>1170</v>
      </c>
      <c r="C43" s="1257"/>
      <c r="D43" s="232">
        <f>IFERROR(D39/D41,0)</f>
        <v>3.1447233314734371E-3</v>
      </c>
      <c r="E43" s="232">
        <f>IFERROR(E39/E41,0)</f>
        <v>3.1137826432160853E-3</v>
      </c>
      <c r="F43" s="232">
        <f>IFERROR(F39/F41,0)</f>
        <v>3.1595011219446747E-3</v>
      </c>
      <c r="G43" s="1264"/>
      <c r="H43" s="232">
        <f>IFERROR(H39/H41,0)</f>
        <v>5.0743895940227922E-3</v>
      </c>
      <c r="I43" s="1265"/>
      <c r="K43" s="728"/>
    </row>
    <row r="44" spans="1:11" ht="15" customHeight="1">
      <c r="A44" s="1293"/>
      <c r="B44" s="1294"/>
      <c r="C44" s="1294"/>
      <c r="D44" s="1295"/>
      <c r="E44" s="1295"/>
      <c r="F44" s="1295"/>
      <c r="G44" s="1295"/>
      <c r="H44" s="1295"/>
      <c r="I44" s="1296"/>
      <c r="K44" s="728"/>
    </row>
    <row r="45" spans="1:11" ht="15" customHeight="1">
      <c r="A45" s="824"/>
      <c r="B45" s="817"/>
      <c r="C45" s="817"/>
      <c r="D45" s="770"/>
      <c r="E45" s="823"/>
      <c r="F45" s="823"/>
      <c r="G45" s="821"/>
      <c r="H45" s="823"/>
      <c r="I45" s="822"/>
    </row>
    <row r="46" spans="1:11" ht="15" customHeight="1">
      <c r="A46" s="820"/>
      <c r="B46" s="817"/>
      <c r="C46" s="817"/>
      <c r="D46" s="817"/>
      <c r="E46" s="817"/>
      <c r="F46" s="817"/>
      <c r="G46" s="817"/>
      <c r="H46" s="817"/>
      <c r="I46" s="822"/>
    </row>
    <row r="47" spans="1:11" ht="15" customHeight="1">
      <c r="A47" s="824"/>
      <c r="B47" s="817"/>
      <c r="C47" s="817"/>
      <c r="D47" s="825"/>
      <c r="E47" s="825"/>
      <c r="F47" s="825"/>
      <c r="G47" s="821"/>
      <c r="H47" s="825"/>
      <c r="I47" s="822"/>
    </row>
    <row r="48" spans="1:11" ht="15" customHeight="1">
      <c r="A48" s="819"/>
      <c r="B48" s="818"/>
      <c r="C48" s="818"/>
      <c r="D48" s="819"/>
      <c r="E48" s="819"/>
      <c r="F48" s="819"/>
      <c r="G48" s="819"/>
      <c r="H48" s="819"/>
      <c r="I48" s="817"/>
    </row>
  </sheetData>
  <mergeCells count="2">
    <mergeCell ref="D1:E1"/>
    <mergeCell ref="G1:I1"/>
  </mergeCells>
  <phoneticPr fontId="20" type="noConversion"/>
  <pageMargins left="0.75" right="0.75" top="1" bottom="1" header="0.5" footer="0.5"/>
  <pageSetup paperSize="9" scale="42" orientation="portrait" r:id="rId1"/>
  <headerFooter alignWithMargins="0">
    <oddFooter>&amp;LEnergiekamer NMa&amp;R&amp;F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80"/>
  </sheetPr>
  <dimension ref="A1"/>
  <sheetViews>
    <sheetView showGridLines="0" zoomScale="80" zoomScaleNormal="80" workbookViewId="0">
      <selection activeCell="N51" sqref="N51"/>
    </sheetView>
  </sheetViews>
  <sheetFormatPr defaultRowHeight="12.7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Z80"/>
  <sheetViews>
    <sheetView showGridLines="0" topLeftCell="P1" zoomScale="70" zoomScaleNormal="70" zoomScaleSheetLayoutView="40" workbookViewId="0">
      <pane ySplit="8" topLeftCell="A39" activePane="bottomLeft" state="frozen"/>
      <selection pane="bottomLeft" activeCell="S79" sqref="S79"/>
    </sheetView>
  </sheetViews>
  <sheetFormatPr defaultRowHeight="12.75"/>
  <cols>
    <col min="1" max="1" width="8.7109375" bestFit="1" customWidth="1"/>
    <col min="2" max="2" width="51.28515625" bestFit="1" customWidth="1"/>
    <col min="3" max="3" width="20" style="171" customWidth="1"/>
    <col min="4" max="5" width="20" style="137" customWidth="1"/>
    <col min="6" max="6" width="2" customWidth="1"/>
    <col min="7" max="7" width="16.5703125" customWidth="1"/>
    <col min="8" max="8" width="16.28515625" customWidth="1"/>
    <col min="9" max="9" width="12.5703125" bestFit="1" customWidth="1"/>
    <col min="10" max="10" width="21" bestFit="1" customWidth="1"/>
    <col min="11" max="11" width="15.28515625" style="23" customWidth="1"/>
    <col min="12" max="12" width="1.7109375" customWidth="1"/>
    <col min="13" max="13" width="16.85546875" bestFit="1" customWidth="1"/>
    <col min="14" max="14" width="1.7109375" customWidth="1"/>
    <col min="15" max="15" width="14" style="171" customWidth="1"/>
    <col min="16" max="17" width="15.5703125" customWidth="1"/>
    <col min="18" max="18" width="16.42578125" customWidth="1"/>
    <col min="19" max="19" width="12.5703125" bestFit="1" customWidth="1"/>
    <col min="20" max="20" width="14.85546875" customWidth="1"/>
    <col min="21" max="21" width="15" style="137" bestFit="1" customWidth="1"/>
    <col min="22" max="22" width="14.85546875" style="137" customWidth="1"/>
    <col min="23" max="23" width="16" style="137" customWidth="1"/>
    <col min="24" max="24" width="16.85546875" style="137" bestFit="1" customWidth="1"/>
    <col min="25" max="25" width="16.85546875" style="137" customWidth="1"/>
    <col min="26" max="26" width="50.5703125" bestFit="1" customWidth="1"/>
    <col min="27" max="27" width="44" bestFit="1" customWidth="1"/>
  </cols>
  <sheetData>
    <row r="1" spans="1:26" s="13" customFormat="1" ht="23.25" customHeight="1">
      <c r="A1" s="9" t="s">
        <v>687</v>
      </c>
      <c r="B1" s="9"/>
      <c r="C1" s="14"/>
      <c r="D1" s="374"/>
      <c r="E1" s="374"/>
      <c r="F1" s="14"/>
      <c r="G1" s="14"/>
      <c r="H1" s="14"/>
      <c r="I1" s="14"/>
      <c r="J1" s="14"/>
      <c r="K1" s="14"/>
      <c r="L1" s="14"/>
      <c r="M1" s="14"/>
      <c r="N1" s="14"/>
      <c r="O1" s="14"/>
      <c r="P1" s="14"/>
      <c r="Q1" s="731"/>
      <c r="R1" s="879"/>
      <c r="S1" s="879"/>
      <c r="T1" s="879"/>
      <c r="U1" s="879"/>
      <c r="V1" s="879"/>
      <c r="W1" s="879"/>
      <c r="X1" s="879"/>
      <c r="Y1" s="879"/>
      <c r="Z1" s="1165" t="s">
        <v>165</v>
      </c>
    </row>
    <row r="2" spans="1:26">
      <c r="K2"/>
      <c r="P2" s="137" t="s">
        <v>568</v>
      </c>
      <c r="R2" s="25"/>
      <c r="S2" s="25"/>
      <c r="T2" s="25"/>
      <c r="U2" s="182"/>
      <c r="V2" s="182"/>
      <c r="W2" s="182"/>
      <c r="X2" s="182"/>
      <c r="Y2" s="182"/>
    </row>
    <row r="3" spans="1:26" s="574" customFormat="1" ht="75">
      <c r="A3" s="239" t="s">
        <v>166</v>
      </c>
      <c r="B3" s="239" t="s">
        <v>167</v>
      </c>
      <c r="C3" s="335" t="s">
        <v>908</v>
      </c>
      <c r="D3" s="239" t="s">
        <v>1006</v>
      </c>
      <c r="E3" s="239" t="s">
        <v>1007</v>
      </c>
      <c r="F3" s="239"/>
      <c r="G3" s="239" t="s">
        <v>152</v>
      </c>
      <c r="H3" s="239" t="s">
        <v>153</v>
      </c>
      <c r="I3" s="239" t="s">
        <v>146</v>
      </c>
      <c r="J3" s="239" t="s">
        <v>151</v>
      </c>
      <c r="K3" s="239" t="s">
        <v>810</v>
      </c>
      <c r="L3" s="239"/>
      <c r="M3" s="239" t="s">
        <v>147</v>
      </c>
      <c r="N3" s="239"/>
      <c r="O3" s="239" t="s">
        <v>656</v>
      </c>
      <c r="P3" s="239" t="s">
        <v>156</v>
      </c>
      <c r="Q3" s="239" t="s">
        <v>149</v>
      </c>
      <c r="R3" s="239" t="s">
        <v>148</v>
      </c>
      <c r="S3" s="239" t="s">
        <v>681</v>
      </c>
      <c r="T3" s="239" t="s">
        <v>909</v>
      </c>
      <c r="U3" s="239" t="s">
        <v>657</v>
      </c>
      <c r="V3" s="239" t="s">
        <v>910</v>
      </c>
      <c r="W3" s="239" t="s">
        <v>916</v>
      </c>
      <c r="X3" s="239" t="s">
        <v>911</v>
      </c>
      <c r="Y3" s="239" t="s">
        <v>912</v>
      </c>
      <c r="Z3" s="1174" t="s">
        <v>813</v>
      </c>
    </row>
    <row r="4" spans="1:26" s="574" customFormat="1" ht="15">
      <c r="A4" s="335"/>
      <c r="B4" s="335"/>
      <c r="C4" s="217" t="s">
        <v>769</v>
      </c>
      <c r="D4" s="217"/>
      <c r="E4" s="217"/>
      <c r="F4" s="335"/>
      <c r="G4" s="335"/>
      <c r="H4" s="335"/>
      <c r="I4" s="217"/>
      <c r="J4" s="335"/>
      <c r="K4" s="217" t="s">
        <v>766</v>
      </c>
      <c r="L4" s="335"/>
      <c r="M4" s="217" t="s">
        <v>769</v>
      </c>
      <c r="N4" s="335"/>
      <c r="O4" s="335"/>
      <c r="P4" s="335"/>
      <c r="Q4" s="335"/>
      <c r="R4" s="335"/>
      <c r="S4" s="335"/>
      <c r="T4" s="217" t="s">
        <v>769</v>
      </c>
      <c r="U4" s="829"/>
      <c r="V4" s="828"/>
      <c r="W4" s="828"/>
      <c r="X4" s="217" t="s">
        <v>769</v>
      </c>
      <c r="Y4" s="217" t="s">
        <v>769</v>
      </c>
      <c r="Z4" s="1173"/>
    </row>
    <row r="5" spans="1:26" s="15" customFormat="1" ht="15">
      <c r="A5" s="19"/>
      <c r="B5" s="21"/>
      <c r="C5" s="78"/>
      <c r="D5" s="379"/>
      <c r="E5" s="50"/>
      <c r="F5" s="24"/>
      <c r="G5" s="24"/>
      <c r="H5" s="24"/>
      <c r="I5" s="24"/>
      <c r="J5" s="32"/>
      <c r="K5" s="24"/>
      <c r="L5" s="24"/>
      <c r="N5" s="24"/>
      <c r="O5" s="24"/>
      <c r="P5" s="24"/>
      <c r="Q5" s="24"/>
      <c r="R5" s="24"/>
      <c r="S5" s="24"/>
      <c r="T5" s="24"/>
      <c r="U5" s="830"/>
      <c r="V5" s="830"/>
      <c r="W5" s="830"/>
      <c r="X5" s="50"/>
      <c r="Y5" s="50"/>
    </row>
    <row r="6" spans="1:26" s="101" customFormat="1" ht="15">
      <c r="A6" s="18"/>
      <c r="B6" s="18"/>
      <c r="C6" s="16"/>
      <c r="D6" s="367"/>
      <c r="E6" s="368"/>
      <c r="F6" s="28"/>
      <c r="G6" s="28"/>
      <c r="H6" s="28"/>
      <c r="I6" s="28"/>
      <c r="J6" s="28"/>
      <c r="K6" s="28"/>
      <c r="L6" s="28"/>
      <c r="M6" s="28"/>
      <c r="N6" s="28"/>
      <c r="O6" s="53"/>
      <c r="P6" s="28"/>
      <c r="Q6" s="28"/>
      <c r="R6" s="28"/>
      <c r="S6" s="28"/>
      <c r="T6" s="28"/>
      <c r="U6" s="368"/>
      <c r="V6" s="368"/>
      <c r="W6" s="368"/>
      <c r="X6" s="368"/>
      <c r="Y6" s="367"/>
      <c r="Z6" s="1175"/>
    </row>
    <row r="7" spans="1:26" s="101" customFormat="1" ht="15">
      <c r="A7" s="19"/>
      <c r="B7" s="19"/>
      <c r="C7" s="145"/>
      <c r="D7" s="102">
        <f>Parameters!B61-Parameters!B18</f>
        <v>0.9536</v>
      </c>
      <c r="E7" s="102">
        <f>TAR_Tab_3_Tariefaanpassing!D24</f>
        <v>1.0566423698176322</v>
      </c>
      <c r="F7" s="20"/>
      <c r="G7" s="103">
        <v>0.95</v>
      </c>
      <c r="H7" s="103">
        <v>1.05</v>
      </c>
      <c r="I7" s="20"/>
      <c r="J7" s="20"/>
      <c r="K7" s="104">
        <v>346012617.11051023</v>
      </c>
      <c r="L7" s="20"/>
      <c r="M7" s="20"/>
      <c r="N7" s="20"/>
      <c r="O7" s="904">
        <f>'TAR-Tab 9_incidenteel'!D43</f>
        <v>3.1447233314734371E-3</v>
      </c>
      <c r="P7" s="102">
        <f>TAR_Tab_4_BESeF!B23</f>
        <v>2.4926348019781068E-3</v>
      </c>
      <c r="Q7" s="102">
        <f>'TAR_Tab 7_MFA '!B45</f>
        <v>6.8934571692971002E-3</v>
      </c>
      <c r="R7" s="102">
        <f>'TAR_Tab 6_NPD'!B44</f>
        <v>0</v>
      </c>
      <c r="S7" s="102">
        <f>'TAR_Tab 5_UI'!B199</f>
        <v>6.4673579561139685E-2</v>
      </c>
      <c r="T7" s="20"/>
      <c r="U7" s="835" t="s">
        <v>707</v>
      </c>
      <c r="V7" s="103">
        <v>0.75</v>
      </c>
      <c r="W7" s="904">
        <f>'TAR_Tab 11_Exittarieven'!W577</f>
        <v>5.3582985749780709E-2</v>
      </c>
      <c r="X7" s="50"/>
      <c r="Y7" s="50"/>
      <c r="Z7" s="32"/>
    </row>
    <row r="8" spans="1:26" s="101" customFormat="1" ht="15">
      <c r="A8" s="105"/>
      <c r="B8" s="105"/>
      <c r="C8" s="106"/>
      <c r="D8" s="369"/>
      <c r="E8" s="380"/>
      <c r="F8" s="106"/>
      <c r="G8" s="107"/>
      <c r="H8" s="107"/>
      <c r="I8" s="106"/>
      <c r="J8" s="106"/>
      <c r="K8" s="106"/>
      <c r="L8" s="106"/>
      <c r="M8" s="106"/>
      <c r="N8" s="106"/>
      <c r="O8" s="106"/>
      <c r="P8" s="108"/>
      <c r="Q8" s="108"/>
      <c r="R8" s="108"/>
      <c r="S8" s="109"/>
      <c r="T8" s="106"/>
      <c r="U8" s="369"/>
      <c r="V8" s="369"/>
      <c r="W8" s="905"/>
      <c r="X8" s="369"/>
      <c r="Y8" s="369"/>
      <c r="Z8" s="1175"/>
    </row>
    <row r="9" spans="1:26">
      <c r="A9" s="158">
        <v>300131</v>
      </c>
      <c r="B9" s="159" t="s">
        <v>42</v>
      </c>
      <c r="C9" s="839">
        <v>0.985875875271505</v>
      </c>
      <c r="D9" s="1346">
        <f t="shared" ref="D9:D40" si="0">C9*$D$7</f>
        <v>0.94013123465890713</v>
      </c>
      <c r="E9" s="1346">
        <f t="shared" ref="E9:E40" si="1">D9*$E$7</f>
        <v>0.99338249572956405</v>
      </c>
      <c r="G9" s="1347">
        <f t="shared" ref="G9:G40" si="2">E9*$G$7</f>
        <v>0.94371337094308583</v>
      </c>
      <c r="H9" s="1347">
        <f t="shared" ref="H9:H40" si="3">E9*$H$7</f>
        <v>1.0430516205160423</v>
      </c>
      <c r="I9" s="834">
        <v>0.99863408226450256</v>
      </c>
      <c r="J9" s="1348" t="b">
        <f>IF(I9&gt;0,AND(I9&gt;=G9,I9&lt;=H9),"")</f>
        <v>1</v>
      </c>
      <c r="K9" s="1585"/>
      <c r="M9" s="1349">
        <f t="shared" ref="M9:M38" si="4">IF(I9&gt;0,I9,E9)</f>
        <v>0.99863408226450256</v>
      </c>
      <c r="N9" s="1350"/>
      <c r="O9" s="1347">
        <f t="shared" ref="O9:O40" si="5">$O$7*M9</f>
        <v>3.1404278981017448E-3</v>
      </c>
      <c r="P9" s="1347">
        <f t="shared" ref="P9:P40" si="6">$P$7*M9</f>
        <v>2.4892300678939668E-3</v>
      </c>
      <c r="Q9" s="1347">
        <f t="shared" ref="Q9:Q40" si="7">$Q$7*M9</f>
        <v>6.884041273890665E-3</v>
      </c>
      <c r="R9" s="1347">
        <f t="shared" ref="R9:R40" si="8">$R$7*M9</f>
        <v>0</v>
      </c>
      <c r="S9" s="1347">
        <f t="shared" ref="S9:S40" si="9">$S$7*M9</f>
        <v>6.4585240771799016E-2</v>
      </c>
      <c r="T9" s="1347">
        <f>M9+O9+P9+Q9+R9+S9</f>
        <v>1.0757330222761881</v>
      </c>
      <c r="U9" s="593">
        <f>IF('TAR_Tab 2_Volumina'!V12="storage",1,0)</f>
        <v>0</v>
      </c>
      <c r="V9" s="1352">
        <f>IF(U9=1,T9*$V$7,T9)</f>
        <v>1.0757330222761881</v>
      </c>
      <c r="W9" s="1352">
        <f>IF(U9=0,V9*(1+$W$7),V9)</f>
        <v>1.1333740094793816</v>
      </c>
      <c r="X9" s="1353">
        <f>ROUND(W9,3)</f>
        <v>1.133</v>
      </c>
      <c r="Y9" s="1354">
        <f>X9+'TAR_Tab 13_Overige tarieven'!$T$15+'TAR_Tab 13_Overige tarieven'!$T$16</f>
        <v>1.286</v>
      </c>
      <c r="Z9" s="960"/>
    </row>
    <row r="10" spans="1:26">
      <c r="A10" s="160">
        <v>300132</v>
      </c>
      <c r="B10" s="156" t="s">
        <v>1042</v>
      </c>
      <c r="C10" s="839">
        <v>1.3673352885033145</v>
      </c>
      <c r="D10" s="1346">
        <f t="shared" si="0"/>
        <v>1.3038909311167608</v>
      </c>
      <c r="E10" s="1346">
        <f t="shared" si="1"/>
        <v>1.3777464034389331</v>
      </c>
      <c r="G10" s="1347">
        <f t="shared" si="2"/>
        <v>1.3088590832669864</v>
      </c>
      <c r="H10" s="1347">
        <f t="shared" si="3"/>
        <v>1.4466337236108797</v>
      </c>
      <c r="I10" s="834">
        <v>1.3850299568455653</v>
      </c>
      <c r="J10" s="1348" t="b">
        <f t="shared" ref="J10:J69" si="10">IF(I10&gt;0,AND(I10&gt;=G10,I10&lt;=H10),"")</f>
        <v>1</v>
      </c>
      <c r="K10" s="1585"/>
      <c r="M10" s="1349">
        <f t="shared" si="4"/>
        <v>1.3850299568455653</v>
      </c>
      <c r="N10" s="1350"/>
      <c r="O10" s="1347">
        <f t="shared" si="5"/>
        <v>4.3555360200818972E-3</v>
      </c>
      <c r="P10" s="1347">
        <f t="shared" si="6"/>
        <v>3.4523738722154916E-3</v>
      </c>
      <c r="Q10" s="1347">
        <f t="shared" si="7"/>
        <v>9.5476446857083157E-3</v>
      </c>
      <c r="R10" s="1347">
        <f t="shared" si="8"/>
        <v>0</v>
      </c>
      <c r="S10" s="1347">
        <f t="shared" si="9"/>
        <v>8.9574845108613535E-2</v>
      </c>
      <c r="T10" s="1347">
        <f t="shared" ref="T10:T38" si="11">M10+O10+P10+Q10+R10+S10</f>
        <v>1.4919603565321846</v>
      </c>
      <c r="U10" s="593">
        <f>IF('TAR_Tab 2_Volumina'!V13="storage",1,0)</f>
        <v>0</v>
      </c>
      <c r="V10" s="1352">
        <f t="shared" ref="V10:V73" si="12">IF(U10=1,T10*$V$7,T10)</f>
        <v>1.4919603565321846</v>
      </c>
      <c r="W10" s="1352">
        <f t="shared" ref="W10:W73" si="13">IF(U10=0,V10*(1+$W$7),V10)</f>
        <v>1.5719040470554864</v>
      </c>
      <c r="X10" s="1353">
        <f t="shared" ref="X10:X73" si="14">ROUND(W10,3)</f>
        <v>1.5720000000000001</v>
      </c>
      <c r="Y10" s="1355">
        <f>X10+'TAR_Tab 13_Overige tarieven'!$T$15+'TAR_Tab 13_Overige tarieven'!$T$16</f>
        <v>1.7250000000000001</v>
      </c>
      <c r="Z10" s="960"/>
    </row>
    <row r="11" spans="1:26">
      <c r="A11" s="160">
        <v>300133</v>
      </c>
      <c r="B11" s="156" t="s">
        <v>1043</v>
      </c>
      <c r="C11" s="839">
        <v>1.3673352885033145</v>
      </c>
      <c r="D11" s="1346">
        <f t="shared" si="0"/>
        <v>1.3038909311167608</v>
      </c>
      <c r="E11" s="1346">
        <f t="shared" si="1"/>
        <v>1.3777464034389331</v>
      </c>
      <c r="G11" s="1347">
        <f t="shared" si="2"/>
        <v>1.3088590832669864</v>
      </c>
      <c r="H11" s="1347">
        <f t="shared" si="3"/>
        <v>1.4466337236108797</v>
      </c>
      <c r="I11" s="834">
        <v>1.3850299568455653</v>
      </c>
      <c r="J11" s="1348" t="b">
        <f t="shared" si="10"/>
        <v>1</v>
      </c>
      <c r="K11" s="1585"/>
      <c r="M11" s="1349">
        <f t="shared" si="4"/>
        <v>1.3850299568455653</v>
      </c>
      <c r="N11" s="1350"/>
      <c r="O11" s="1347">
        <f t="shared" si="5"/>
        <v>4.3555360200818972E-3</v>
      </c>
      <c r="P11" s="1347">
        <f t="shared" si="6"/>
        <v>3.4523738722154916E-3</v>
      </c>
      <c r="Q11" s="1347">
        <f t="shared" si="7"/>
        <v>9.5476446857083157E-3</v>
      </c>
      <c r="R11" s="1347">
        <f t="shared" si="8"/>
        <v>0</v>
      </c>
      <c r="S11" s="1347">
        <f t="shared" si="9"/>
        <v>8.9574845108613535E-2</v>
      </c>
      <c r="T11" s="1347">
        <f t="shared" si="11"/>
        <v>1.4919603565321846</v>
      </c>
      <c r="U11" s="593">
        <f>IF('TAR_Tab 2_Volumina'!V14="storage",1,0)</f>
        <v>0</v>
      </c>
      <c r="V11" s="1352">
        <f t="shared" si="12"/>
        <v>1.4919603565321846</v>
      </c>
      <c r="W11" s="1352">
        <f t="shared" si="13"/>
        <v>1.5719040470554864</v>
      </c>
      <c r="X11" s="1353">
        <f t="shared" si="14"/>
        <v>1.5720000000000001</v>
      </c>
      <c r="Y11" s="1355">
        <f>X11+'TAR_Tab 13_Overige tarieven'!$T$15+'TAR_Tab 13_Overige tarieven'!$T$16</f>
        <v>1.7250000000000001</v>
      </c>
      <c r="Z11" s="960"/>
    </row>
    <row r="12" spans="1:26">
      <c r="A12" s="160">
        <v>300136</v>
      </c>
      <c r="B12" s="156" t="s">
        <v>796</v>
      </c>
      <c r="C12" s="839">
        <v>1.1314499609544975</v>
      </c>
      <c r="D12" s="1346">
        <f t="shared" si="0"/>
        <v>1.0789506827662088</v>
      </c>
      <c r="E12" s="1346">
        <f t="shared" si="1"/>
        <v>1.1400650063544391</v>
      </c>
      <c r="G12" s="1347">
        <f t="shared" si="2"/>
        <v>1.0830617560367171</v>
      </c>
      <c r="H12" s="1347">
        <f t="shared" si="3"/>
        <v>1.1970682566721611</v>
      </c>
      <c r="I12" s="834">
        <v>1.1460920403137282</v>
      </c>
      <c r="J12" s="1348" t="b">
        <f t="shared" si="10"/>
        <v>1</v>
      </c>
      <c r="K12" s="1585"/>
      <c r="M12" s="1349">
        <f t="shared" si="4"/>
        <v>1.1460920403137282</v>
      </c>
      <c r="N12" s="1350"/>
      <c r="O12" s="1347">
        <f t="shared" si="5"/>
        <v>3.6041423791905764E-3</v>
      </c>
      <c r="P12" s="1347">
        <f t="shared" si="6"/>
        <v>2.8567889059560943E-3</v>
      </c>
      <c r="Q12" s="1347">
        <f t="shared" si="7"/>
        <v>7.9005363919750111E-3</v>
      </c>
      <c r="R12" s="1347">
        <f t="shared" si="8"/>
        <v>0</v>
      </c>
      <c r="S12" s="1347">
        <f t="shared" si="9"/>
        <v>7.4121874753618811E-2</v>
      </c>
      <c r="T12" s="1347">
        <f t="shared" si="11"/>
        <v>1.2345753827444688</v>
      </c>
      <c r="U12" s="593">
        <f>IF('TAR_Tab 2_Volumina'!V15="storage",1,0)</f>
        <v>0</v>
      </c>
      <c r="V12" s="1352">
        <f t="shared" si="12"/>
        <v>1.2345753827444688</v>
      </c>
      <c r="W12" s="1352">
        <f t="shared" si="13"/>
        <v>1.3007276178850957</v>
      </c>
      <c r="X12" s="1353">
        <f t="shared" si="14"/>
        <v>1.3009999999999999</v>
      </c>
      <c r="Y12" s="1355">
        <f>X12+'TAR_Tab 13_Overige tarieven'!$T$15+'TAR_Tab 13_Overige tarieven'!$T$16</f>
        <v>1.454</v>
      </c>
      <c r="Z12" s="960"/>
    </row>
    <row r="13" spans="1:26">
      <c r="A13" s="160">
        <v>300139</v>
      </c>
      <c r="B13" s="156" t="s">
        <v>1045</v>
      </c>
      <c r="C13" s="839">
        <v>0.98587587527150489</v>
      </c>
      <c r="D13" s="1346">
        <f t="shared" si="0"/>
        <v>0.94013123465890702</v>
      </c>
      <c r="E13" s="1346">
        <f t="shared" si="1"/>
        <v>0.99338249572956394</v>
      </c>
      <c r="G13" s="1347">
        <f t="shared" si="2"/>
        <v>0.94371337094308572</v>
      </c>
      <c r="H13" s="1347">
        <f t="shared" si="3"/>
        <v>1.0430516205160423</v>
      </c>
      <c r="I13" s="834">
        <v>0.99863408226450245</v>
      </c>
      <c r="J13" s="1348" t="b">
        <f t="shared" si="10"/>
        <v>1</v>
      </c>
      <c r="K13" s="1585"/>
      <c r="M13" s="1349">
        <f t="shared" si="4"/>
        <v>0.99863408226450245</v>
      </c>
      <c r="N13" s="1350"/>
      <c r="O13" s="1347">
        <f t="shared" si="5"/>
        <v>3.1404278981017448E-3</v>
      </c>
      <c r="P13" s="1347">
        <f t="shared" si="6"/>
        <v>2.4892300678939663E-3</v>
      </c>
      <c r="Q13" s="1347">
        <f t="shared" si="7"/>
        <v>6.884041273890665E-3</v>
      </c>
      <c r="R13" s="1347">
        <f t="shared" si="8"/>
        <v>0</v>
      </c>
      <c r="S13" s="1347">
        <f t="shared" si="9"/>
        <v>6.4585240771799016E-2</v>
      </c>
      <c r="T13" s="1347">
        <f t="shared" si="11"/>
        <v>1.0757330222761878</v>
      </c>
      <c r="U13" s="593">
        <f>IF('TAR_Tab 2_Volumina'!V16="storage",1,0)</f>
        <v>0</v>
      </c>
      <c r="V13" s="1352">
        <f t="shared" si="12"/>
        <v>1.0757330222761878</v>
      </c>
      <c r="W13" s="1352">
        <f t="shared" si="13"/>
        <v>1.1333740094793814</v>
      </c>
      <c r="X13" s="1353">
        <f t="shared" si="14"/>
        <v>1.133</v>
      </c>
      <c r="Y13" s="1355">
        <f>X13+'TAR_Tab 13_Overige tarieven'!$T$15+'TAR_Tab 13_Overige tarieven'!$T$16</f>
        <v>1.286</v>
      </c>
      <c r="Z13" s="944"/>
    </row>
    <row r="14" spans="1:26">
      <c r="A14" s="160">
        <v>300142</v>
      </c>
      <c r="B14" s="156" t="s">
        <v>43</v>
      </c>
      <c r="C14" s="839">
        <v>1.766011837006652</v>
      </c>
      <c r="D14" s="1346">
        <f t="shared" si="0"/>
        <v>1.6840688877695433</v>
      </c>
      <c r="E14" s="1346">
        <f t="shared" si="1"/>
        <v>1.7794585405089542</v>
      </c>
      <c r="G14" s="1347">
        <f t="shared" si="2"/>
        <v>1.6904856134835065</v>
      </c>
      <c r="H14" s="1347">
        <f t="shared" si="3"/>
        <v>1.868431467534402</v>
      </c>
      <c r="I14" s="834">
        <v>1.7888657734237592</v>
      </c>
      <c r="J14" s="1348" t="b">
        <f t="shared" si="10"/>
        <v>1</v>
      </c>
      <c r="K14" s="1585"/>
      <c r="M14" s="1349">
        <f t="shared" si="4"/>
        <v>1.7888657734237592</v>
      </c>
      <c r="N14" s="1350"/>
      <c r="O14" s="1347">
        <f t="shared" si="5"/>
        <v>5.6254879345599704E-3</v>
      </c>
      <c r="P14" s="1347">
        <f t="shared" si="6"/>
        <v>4.4589890829035451E-3</v>
      </c>
      <c r="Q14" s="1347">
        <f t="shared" si="7"/>
        <v>1.2331469590718215E-2</v>
      </c>
      <c r="R14" s="1347">
        <f t="shared" si="8"/>
        <v>0</v>
      </c>
      <c r="S14" s="1347">
        <f t="shared" si="9"/>
        <v>0.11569235292172117</v>
      </c>
      <c r="T14" s="1347">
        <f t="shared" si="11"/>
        <v>1.9269740729536622</v>
      </c>
      <c r="U14" s="593">
        <f>IF('TAR_Tab 2_Volumina'!V17="storage",1,0)</f>
        <v>0</v>
      </c>
      <c r="V14" s="1352">
        <f t="shared" si="12"/>
        <v>1.9269740729536622</v>
      </c>
      <c r="W14" s="1352">
        <f t="shared" si="13"/>
        <v>2.0302270972449352</v>
      </c>
      <c r="X14" s="1353">
        <f t="shared" si="14"/>
        <v>2.0299999999999998</v>
      </c>
      <c r="Y14" s="1355">
        <f>X14+'TAR_Tab 13_Overige tarieven'!$T$15+'TAR_Tab 13_Overige tarieven'!$T$16</f>
        <v>2.1829999999999998</v>
      </c>
      <c r="Z14" s="960"/>
    </row>
    <row r="15" spans="1:26">
      <c r="A15" s="160">
        <v>300143</v>
      </c>
      <c r="B15" s="156" t="s">
        <v>44</v>
      </c>
      <c r="C15" s="839">
        <v>0.98587587527150489</v>
      </c>
      <c r="D15" s="1346">
        <f t="shared" si="0"/>
        <v>0.94013123465890702</v>
      </c>
      <c r="E15" s="1346">
        <f t="shared" si="1"/>
        <v>0.99338249572956394</v>
      </c>
      <c r="G15" s="1347">
        <f t="shared" si="2"/>
        <v>0.94371337094308572</v>
      </c>
      <c r="H15" s="1347">
        <f t="shared" si="3"/>
        <v>1.0430516205160423</v>
      </c>
      <c r="I15" s="834">
        <v>0.99863408226450245</v>
      </c>
      <c r="J15" s="1348" t="b">
        <f t="shared" si="10"/>
        <v>1</v>
      </c>
      <c r="K15" s="1585"/>
      <c r="M15" s="1349">
        <f t="shared" si="4"/>
        <v>0.99863408226450245</v>
      </c>
      <c r="N15" s="1350"/>
      <c r="O15" s="1347">
        <f t="shared" si="5"/>
        <v>3.1404278981017448E-3</v>
      </c>
      <c r="P15" s="1347">
        <f t="shared" si="6"/>
        <v>2.4892300678939663E-3</v>
      </c>
      <c r="Q15" s="1347">
        <f t="shared" si="7"/>
        <v>6.884041273890665E-3</v>
      </c>
      <c r="R15" s="1347">
        <f t="shared" si="8"/>
        <v>0</v>
      </c>
      <c r="S15" s="1347">
        <f t="shared" si="9"/>
        <v>6.4585240771799016E-2</v>
      </c>
      <c r="T15" s="1347">
        <f t="shared" si="11"/>
        <v>1.0757330222761878</v>
      </c>
      <c r="U15" s="593">
        <f>IF('TAR_Tab 2_Volumina'!V18="storage",1,0)</f>
        <v>0</v>
      </c>
      <c r="V15" s="1352">
        <f t="shared" si="12"/>
        <v>1.0757330222761878</v>
      </c>
      <c r="W15" s="1352">
        <f t="shared" si="13"/>
        <v>1.1333740094793814</v>
      </c>
      <c r="X15" s="1353">
        <f t="shared" si="14"/>
        <v>1.133</v>
      </c>
      <c r="Y15" s="1355">
        <f>X15+'TAR_Tab 13_Overige tarieven'!$T$15+'TAR_Tab 13_Overige tarieven'!$T$16</f>
        <v>1.286</v>
      </c>
      <c r="Z15" s="960"/>
    </row>
    <row r="16" spans="1:26">
      <c r="A16" s="160">
        <v>300144</v>
      </c>
      <c r="B16" s="156" t="s">
        <v>292</v>
      </c>
      <c r="C16" s="839">
        <v>1.0538352132269535</v>
      </c>
      <c r="D16" s="1346">
        <f t="shared" si="0"/>
        <v>1.0049372593332229</v>
      </c>
      <c r="E16" s="1346">
        <f t="shared" si="1"/>
        <v>1.0618592872198931</v>
      </c>
      <c r="G16" s="1347">
        <f t="shared" si="2"/>
        <v>1.0087663228588983</v>
      </c>
      <c r="H16" s="1347">
        <f t="shared" si="3"/>
        <v>1.1149522515808878</v>
      </c>
      <c r="I16" s="834">
        <v>1.0674728811363714</v>
      </c>
      <c r="J16" s="1348" t="b">
        <f t="shared" si="10"/>
        <v>1</v>
      </c>
      <c r="K16" s="1585"/>
      <c r="M16" s="1349">
        <f t="shared" si="4"/>
        <v>1.0674728811363714</v>
      </c>
      <c r="N16" s="1350"/>
      <c r="O16" s="1347">
        <f t="shared" si="5"/>
        <v>3.3569068750247183E-3</v>
      </c>
      <c r="P16" s="1347">
        <f t="shared" si="6"/>
        <v>2.6608200536883584E-3</v>
      </c>
      <c r="Q16" s="1347">
        <f t="shared" si="7"/>
        <v>7.3585785854997504E-3</v>
      </c>
      <c r="R16" s="1347">
        <f t="shared" si="8"/>
        <v>0</v>
      </c>
      <c r="S16" s="1347">
        <f t="shared" si="9"/>
        <v>6.9037292307532125E-2</v>
      </c>
      <c r="T16" s="1347">
        <f t="shared" si="11"/>
        <v>1.1498864789581165</v>
      </c>
      <c r="U16" s="593">
        <f>IF('TAR_Tab 2_Volumina'!V19="storage",1,0)</f>
        <v>0</v>
      </c>
      <c r="V16" s="1352">
        <f t="shared" si="12"/>
        <v>1.1498864789581165</v>
      </c>
      <c r="W16" s="1352">
        <f t="shared" si="13"/>
        <v>1.2115008297739946</v>
      </c>
      <c r="X16" s="1353">
        <f t="shared" si="14"/>
        <v>1.212</v>
      </c>
      <c r="Y16" s="1355">
        <f>X16+'TAR_Tab 13_Overige tarieven'!$T$15+'TAR_Tab 13_Overige tarieven'!$T$16</f>
        <v>1.365</v>
      </c>
      <c r="Z16" s="960"/>
    </row>
    <row r="17" spans="1:26">
      <c r="A17" s="160">
        <v>300145</v>
      </c>
      <c r="B17" s="156" t="s">
        <v>1047</v>
      </c>
      <c r="C17" s="839">
        <v>0.90188686100761051</v>
      </c>
      <c r="D17" s="1346">
        <f t="shared" si="0"/>
        <v>0.86003931065685735</v>
      </c>
      <c r="E17" s="1346">
        <f t="shared" si="1"/>
        <v>0.90875397534878444</v>
      </c>
      <c r="G17" s="1347">
        <f t="shared" si="2"/>
        <v>0.86331627658134513</v>
      </c>
      <c r="H17" s="1347">
        <f t="shared" si="3"/>
        <v>0.95419167411622374</v>
      </c>
      <c r="I17" s="834">
        <v>0.86331627658134513</v>
      </c>
      <c r="J17" s="1348" t="b">
        <f t="shared" si="10"/>
        <v>1</v>
      </c>
      <c r="K17" s="1585"/>
      <c r="M17" s="1349">
        <f t="shared" si="4"/>
        <v>0.86331627658134513</v>
      </c>
      <c r="N17" s="1350"/>
      <c r="O17" s="1347">
        <f t="shared" si="5"/>
        <v>2.7148908374061307E-3</v>
      </c>
      <c r="P17" s="1347">
        <f t="shared" si="6"/>
        <v>2.1519321961208176E-3</v>
      </c>
      <c r="Q17" s="1347">
        <f t="shared" si="7"/>
        <v>5.9512337761705517E-3</v>
      </c>
      <c r="R17" s="1347">
        <f t="shared" si="8"/>
        <v>0</v>
      </c>
      <c r="S17" s="1347">
        <f t="shared" si="9"/>
        <v>5.58337538999105E-2</v>
      </c>
      <c r="T17" s="1347">
        <f t="shared" si="11"/>
        <v>0.92996808729095326</v>
      </c>
      <c r="U17" s="593">
        <f>IF('TAR_Tab 2_Volumina'!V20="storage",1,0)</f>
        <v>0</v>
      </c>
      <c r="V17" s="1352">
        <f t="shared" si="12"/>
        <v>0.92996808729095326</v>
      </c>
      <c r="W17" s="1352">
        <f t="shared" si="13"/>
        <v>0.97979855406001526</v>
      </c>
      <c r="X17" s="1353">
        <f t="shared" si="14"/>
        <v>0.98</v>
      </c>
      <c r="Y17" s="1355">
        <f>X17+'TAR_Tab 13_Overige tarieven'!$T$15+'TAR_Tab 13_Overige tarieven'!$T$16</f>
        <v>1.133</v>
      </c>
      <c r="Z17" s="960"/>
    </row>
    <row r="18" spans="1:26">
      <c r="A18" s="160">
        <v>300146</v>
      </c>
      <c r="B18" s="156" t="s">
        <v>293</v>
      </c>
      <c r="C18" s="839">
        <v>0.90188686100761051</v>
      </c>
      <c r="D18" s="1346">
        <f t="shared" si="0"/>
        <v>0.86003931065685735</v>
      </c>
      <c r="E18" s="1346">
        <f t="shared" si="1"/>
        <v>0.90875397534878444</v>
      </c>
      <c r="G18" s="1347">
        <f t="shared" si="2"/>
        <v>0.86331627658134513</v>
      </c>
      <c r="H18" s="1347">
        <f t="shared" si="3"/>
        <v>0.95419167411622374</v>
      </c>
      <c r="I18" s="834">
        <v>0.86331627658134513</v>
      </c>
      <c r="J18" s="1348" t="b">
        <f t="shared" si="10"/>
        <v>1</v>
      </c>
      <c r="K18" s="1585"/>
      <c r="M18" s="1349">
        <f t="shared" si="4"/>
        <v>0.86331627658134513</v>
      </c>
      <c r="N18" s="1350"/>
      <c r="O18" s="1347">
        <f t="shared" si="5"/>
        <v>2.7148908374061307E-3</v>
      </c>
      <c r="P18" s="1347">
        <f t="shared" si="6"/>
        <v>2.1519321961208176E-3</v>
      </c>
      <c r="Q18" s="1347">
        <f t="shared" si="7"/>
        <v>5.9512337761705517E-3</v>
      </c>
      <c r="R18" s="1347">
        <f t="shared" si="8"/>
        <v>0</v>
      </c>
      <c r="S18" s="1347">
        <f t="shared" si="9"/>
        <v>5.58337538999105E-2</v>
      </c>
      <c r="T18" s="1347">
        <f t="shared" si="11"/>
        <v>0.92996808729095326</v>
      </c>
      <c r="U18" s="593">
        <f>IF('TAR_Tab 2_Volumina'!V21="storage",1,0)</f>
        <v>0</v>
      </c>
      <c r="V18" s="1352">
        <f t="shared" si="12"/>
        <v>0.92996808729095326</v>
      </c>
      <c r="W18" s="1352">
        <f t="shared" si="13"/>
        <v>0.97979855406001526</v>
      </c>
      <c r="X18" s="1353">
        <f t="shared" si="14"/>
        <v>0.98</v>
      </c>
      <c r="Y18" s="1355">
        <f>X18+'TAR_Tab 13_Overige tarieven'!$T$15+'TAR_Tab 13_Overige tarieven'!$T$16</f>
        <v>1.133</v>
      </c>
      <c r="Z18" s="960"/>
    </row>
    <row r="19" spans="1:26">
      <c r="A19" s="160">
        <v>300147</v>
      </c>
      <c r="B19" s="156" t="s">
        <v>1048</v>
      </c>
      <c r="C19" s="839">
        <v>0.90188686100761051</v>
      </c>
      <c r="D19" s="1346">
        <f t="shared" si="0"/>
        <v>0.86003931065685735</v>
      </c>
      <c r="E19" s="1346">
        <f t="shared" si="1"/>
        <v>0.90875397534878444</v>
      </c>
      <c r="G19" s="1347">
        <f t="shared" si="2"/>
        <v>0.86331627658134513</v>
      </c>
      <c r="H19" s="1347">
        <f t="shared" si="3"/>
        <v>0.95419167411622374</v>
      </c>
      <c r="I19" s="834">
        <v>0.86331627658134513</v>
      </c>
      <c r="J19" s="1348" t="b">
        <f t="shared" si="10"/>
        <v>1</v>
      </c>
      <c r="K19" s="1585"/>
      <c r="M19" s="1349">
        <f t="shared" si="4"/>
        <v>0.86331627658134513</v>
      </c>
      <c r="N19" s="1350"/>
      <c r="O19" s="1347">
        <f t="shared" si="5"/>
        <v>2.7148908374061307E-3</v>
      </c>
      <c r="P19" s="1347">
        <f t="shared" si="6"/>
        <v>2.1519321961208176E-3</v>
      </c>
      <c r="Q19" s="1347">
        <f t="shared" si="7"/>
        <v>5.9512337761705517E-3</v>
      </c>
      <c r="R19" s="1347">
        <f t="shared" si="8"/>
        <v>0</v>
      </c>
      <c r="S19" s="1347">
        <f t="shared" si="9"/>
        <v>5.58337538999105E-2</v>
      </c>
      <c r="T19" s="1347">
        <f t="shared" si="11"/>
        <v>0.92996808729095326</v>
      </c>
      <c r="U19" s="593">
        <f>IF('TAR_Tab 2_Volumina'!V22="storage",1,0)</f>
        <v>0</v>
      </c>
      <c r="V19" s="1352">
        <f t="shared" si="12"/>
        <v>0.92996808729095326</v>
      </c>
      <c r="W19" s="1352">
        <f t="shared" si="13"/>
        <v>0.97979855406001526</v>
      </c>
      <c r="X19" s="1353">
        <f t="shared" si="14"/>
        <v>0.98</v>
      </c>
      <c r="Y19" s="1355">
        <f>X19+'TAR_Tab 13_Overige tarieven'!$T$15+'TAR_Tab 13_Overige tarieven'!$T$16</f>
        <v>1.133</v>
      </c>
      <c r="Z19" s="960"/>
    </row>
    <row r="20" spans="1:26">
      <c r="A20" s="160">
        <v>301068</v>
      </c>
      <c r="B20" s="156" t="s">
        <v>1142</v>
      </c>
      <c r="C20" s="839">
        <v>1.6608145056509585</v>
      </c>
      <c r="D20" s="1346">
        <f t="shared" si="0"/>
        <v>1.5837527125887541</v>
      </c>
      <c r="E20" s="1346">
        <f t="shared" si="1"/>
        <v>1.6734602194348844</v>
      </c>
      <c r="G20" s="1347">
        <f t="shared" si="2"/>
        <v>1.5897872084631401</v>
      </c>
      <c r="H20" s="1347">
        <f t="shared" si="3"/>
        <v>1.7571332304066287</v>
      </c>
      <c r="I20" s="834">
        <v>1.5897872084631401</v>
      </c>
      <c r="J20" s="1348" t="b">
        <f t="shared" si="10"/>
        <v>1</v>
      </c>
      <c r="K20" s="1585"/>
      <c r="M20" s="1349">
        <f t="shared" si="4"/>
        <v>1.5897872084631401</v>
      </c>
      <c r="N20" s="1350"/>
      <c r="O20" s="1347">
        <f t="shared" si="5"/>
        <v>4.999440926532062E-3</v>
      </c>
      <c r="P20" s="1347">
        <f t="shared" si="6"/>
        <v>3.9627589235548466E-3</v>
      </c>
      <c r="Q20" s="1347">
        <f t="shared" si="7"/>
        <v>1.0959130029837057E-2</v>
      </c>
      <c r="R20" s="1347">
        <f t="shared" si="8"/>
        <v>0</v>
      </c>
      <c r="S20" s="1347">
        <f t="shared" si="9"/>
        <v>0.10281722951182305</v>
      </c>
      <c r="T20" s="1347">
        <f t="shared" si="11"/>
        <v>1.7125257678548873</v>
      </c>
      <c r="U20" s="593">
        <f>IF('TAR_Tab 2_Volumina'!V23="storage",1,0)</f>
        <v>0</v>
      </c>
      <c r="V20" s="1352">
        <f t="shared" si="12"/>
        <v>1.7125257678548873</v>
      </c>
      <c r="W20" s="1352">
        <f t="shared" si="13"/>
        <v>1.804288011669988</v>
      </c>
      <c r="X20" s="1353">
        <f t="shared" si="14"/>
        <v>1.804</v>
      </c>
      <c r="Y20" s="1355">
        <f>X20+'TAR_Tab 13_Overige tarieven'!$T$15+'TAR_Tab 13_Overige tarieven'!$T$16</f>
        <v>1.9570000000000001</v>
      </c>
      <c r="Z20" s="960"/>
    </row>
    <row r="21" spans="1:26">
      <c r="A21" s="160">
        <v>301069</v>
      </c>
      <c r="B21" s="156" t="s">
        <v>115</v>
      </c>
      <c r="C21" s="839">
        <v>1.0920041564622047</v>
      </c>
      <c r="D21" s="1346">
        <f t="shared" si="0"/>
        <v>1.0413351636023584</v>
      </c>
      <c r="E21" s="1346">
        <f t="shared" si="1"/>
        <v>1.1003188550432277</v>
      </c>
      <c r="G21" s="1347">
        <f t="shared" si="2"/>
        <v>1.0453029122910662</v>
      </c>
      <c r="H21" s="1347">
        <f t="shared" si="3"/>
        <v>1.1553347977953892</v>
      </c>
      <c r="I21" s="834">
        <v>1.1061357681739954</v>
      </c>
      <c r="J21" s="1348" t="b">
        <f t="shared" si="10"/>
        <v>1</v>
      </c>
      <c r="K21" s="1585"/>
      <c r="M21" s="1349">
        <f t="shared" si="4"/>
        <v>1.1061357681739954</v>
      </c>
      <c r="N21" s="1350"/>
      <c r="O21" s="1347">
        <f t="shared" si="5"/>
        <v>3.4784909579540562E-3</v>
      </c>
      <c r="P21" s="1347">
        <f t="shared" si="6"/>
        <v>2.7571925114632883E-3</v>
      </c>
      <c r="Q21" s="1347">
        <f t="shared" si="7"/>
        <v>7.6250995413349835E-3</v>
      </c>
      <c r="R21" s="1347">
        <f t="shared" si="8"/>
        <v>0</v>
      </c>
      <c r="S21" s="1347">
        <f t="shared" si="9"/>
        <v>7.1537759608423249E-2</v>
      </c>
      <c r="T21" s="1347">
        <f t="shared" si="11"/>
        <v>1.1915343107931711</v>
      </c>
      <c r="U21" s="593">
        <f>IF('TAR_Tab 2_Volumina'!V24="storage",1,0)</f>
        <v>0</v>
      </c>
      <c r="V21" s="1352">
        <f t="shared" si="12"/>
        <v>1.1915343107931711</v>
      </c>
      <c r="W21" s="1352">
        <f t="shared" si="13"/>
        <v>1.2553802767887763</v>
      </c>
      <c r="X21" s="1353">
        <f t="shared" si="14"/>
        <v>1.2549999999999999</v>
      </c>
      <c r="Y21" s="1355">
        <f>X21+'TAR_Tab 13_Overige tarieven'!$T$15+'TAR_Tab 13_Overige tarieven'!$T$16</f>
        <v>1.4079999999999999</v>
      </c>
      <c r="Z21" s="960"/>
    </row>
    <row r="22" spans="1:26">
      <c r="A22" s="160">
        <v>301070</v>
      </c>
      <c r="B22" s="156" t="s">
        <v>116</v>
      </c>
      <c r="C22" s="839">
        <v>0.98680682510651085</v>
      </c>
      <c r="D22" s="1346">
        <f t="shared" si="0"/>
        <v>0.94101898842156873</v>
      </c>
      <c r="E22" s="1346">
        <f t="shared" si="1"/>
        <v>0.99432053396915732</v>
      </c>
      <c r="G22" s="1347">
        <f t="shared" si="2"/>
        <v>0.94460450727069944</v>
      </c>
      <c r="H22" s="1347">
        <f t="shared" si="3"/>
        <v>1.0440365606676152</v>
      </c>
      <c r="I22" s="834">
        <v>0.9995770795093224</v>
      </c>
      <c r="J22" s="1348" t="b">
        <f t="shared" si="10"/>
        <v>1</v>
      </c>
      <c r="K22" s="1585"/>
      <c r="M22" s="1349">
        <f t="shared" si="4"/>
        <v>0.9995770795093224</v>
      </c>
      <c r="N22" s="1350"/>
      <c r="O22" s="1347">
        <f t="shared" si="5"/>
        <v>3.1433933635390452E-3</v>
      </c>
      <c r="P22" s="1347">
        <f t="shared" si="6"/>
        <v>2.4915806156445741E-3</v>
      </c>
      <c r="Q22" s="1347">
        <f t="shared" si="7"/>
        <v>6.8905417850085963E-3</v>
      </c>
      <c r="R22" s="1347">
        <f t="shared" si="8"/>
        <v>0</v>
      </c>
      <c r="S22" s="1347">
        <f t="shared" si="9"/>
        <v>6.464622777913781E-2</v>
      </c>
      <c r="T22" s="1347">
        <f t="shared" si="11"/>
        <v>1.0767488230526523</v>
      </c>
      <c r="U22" s="593">
        <f>IF('TAR_Tab 2_Volumina'!V25="storage",1,0)</f>
        <v>0</v>
      </c>
      <c r="V22" s="1352">
        <f t="shared" si="12"/>
        <v>1.0767488230526523</v>
      </c>
      <c r="W22" s="1352">
        <f t="shared" si="13"/>
        <v>1.1344442398943757</v>
      </c>
      <c r="X22" s="1353">
        <f t="shared" si="14"/>
        <v>1.1339999999999999</v>
      </c>
      <c r="Y22" s="1355">
        <f>X22+'TAR_Tab 13_Overige tarieven'!$T$15+'TAR_Tab 13_Overige tarieven'!$T$16</f>
        <v>1.2869999999999999</v>
      </c>
      <c r="Z22" s="960"/>
    </row>
    <row r="23" spans="1:26">
      <c r="A23" s="160">
        <v>301071</v>
      </c>
      <c r="B23" s="156" t="s">
        <v>45</v>
      </c>
      <c r="C23" s="839">
        <v>1.6148879832004199</v>
      </c>
      <c r="D23" s="1346">
        <f t="shared" si="0"/>
        <v>1.5399571807799204</v>
      </c>
      <c r="E23" s="1346">
        <f t="shared" si="1"/>
        <v>1.6271840049169748</v>
      </c>
      <c r="G23" s="1347">
        <f t="shared" si="2"/>
        <v>1.545824804671126</v>
      </c>
      <c r="H23" s="1347">
        <f t="shared" si="3"/>
        <v>1.7085432051628235</v>
      </c>
      <c r="I23" s="834">
        <v>1.545824804671126</v>
      </c>
      <c r="J23" s="1348" t="b">
        <f t="shared" si="10"/>
        <v>1</v>
      </c>
      <c r="K23" s="1585"/>
      <c r="M23" s="1349">
        <f t="shared" si="4"/>
        <v>1.545824804671126</v>
      </c>
      <c r="N23" s="1350"/>
      <c r="O23" s="1347">
        <f t="shared" si="5"/>
        <v>4.8611913296196588E-3</v>
      </c>
      <c r="P23" s="1347">
        <f t="shared" si="6"/>
        <v>3.853176705884258E-3</v>
      </c>
      <c r="Q23" s="1347">
        <f t="shared" si="7"/>
        <v>1.0656077082237463E-2</v>
      </c>
      <c r="R23" s="1347">
        <f t="shared" si="8"/>
        <v>0</v>
      </c>
      <c r="S23" s="1347">
        <f t="shared" si="9"/>
        <v>9.9974023492481287E-2</v>
      </c>
      <c r="T23" s="1347">
        <f t="shared" si="11"/>
        <v>1.6651692732813488</v>
      </c>
      <c r="U23" s="593">
        <f>IF('TAR_Tab 2_Volumina'!V26="storage",1,0)</f>
        <v>0</v>
      </c>
      <c r="V23" s="1352">
        <f t="shared" si="12"/>
        <v>1.6651692732813488</v>
      </c>
      <c r="W23" s="1352">
        <f t="shared" si="13"/>
        <v>1.7543940147225561</v>
      </c>
      <c r="X23" s="1353">
        <f t="shared" si="14"/>
        <v>1.754</v>
      </c>
      <c r="Y23" s="1355">
        <f>X23+'TAR_Tab 13_Overige tarieven'!$T$15+'TAR_Tab 13_Overige tarieven'!$T$16</f>
        <v>1.907</v>
      </c>
      <c r="Z23" s="960"/>
    </row>
    <row r="24" spans="1:26">
      <c r="A24" s="160">
        <v>301072</v>
      </c>
      <c r="B24" s="156" t="s">
        <v>46</v>
      </c>
      <c r="C24" s="839">
        <v>1.3796676554791032</v>
      </c>
      <c r="D24" s="1346">
        <f t="shared" si="0"/>
        <v>1.3156510762648728</v>
      </c>
      <c r="E24" s="1346">
        <f t="shared" si="1"/>
        <v>1.3901726710776334</v>
      </c>
      <c r="G24" s="1347">
        <f t="shared" si="2"/>
        <v>1.3206640375237517</v>
      </c>
      <c r="H24" s="1347">
        <f t="shared" si="3"/>
        <v>1.4596813046315151</v>
      </c>
      <c r="I24" s="834">
        <v>1.3975219168234114</v>
      </c>
      <c r="J24" s="1348" t="b">
        <f t="shared" si="10"/>
        <v>1</v>
      </c>
      <c r="K24" s="1585"/>
      <c r="M24" s="1349">
        <f t="shared" si="4"/>
        <v>1.3975219168234114</v>
      </c>
      <c r="N24" s="1350"/>
      <c r="O24" s="1347">
        <f t="shared" si="5"/>
        <v>4.3948197780800616E-3</v>
      </c>
      <c r="P24" s="1347">
        <f t="shared" si="6"/>
        <v>3.4835117664011885E-3</v>
      </c>
      <c r="Q24" s="1347">
        <f t="shared" si="7"/>
        <v>9.6337574767761704E-3</v>
      </c>
      <c r="R24" s="1347">
        <f t="shared" si="8"/>
        <v>0</v>
      </c>
      <c r="S24" s="1347">
        <f t="shared" si="9"/>
        <v>9.0382744876115334E-2</v>
      </c>
      <c r="T24" s="1347">
        <f t="shared" si="11"/>
        <v>1.5054167507207843</v>
      </c>
      <c r="U24" s="593">
        <f>IF('TAR_Tab 2_Volumina'!V27="storage",1,0)</f>
        <v>0</v>
      </c>
      <c r="V24" s="1352">
        <f t="shared" si="12"/>
        <v>1.5054167507207843</v>
      </c>
      <c r="W24" s="1352">
        <f t="shared" si="13"/>
        <v>1.5860814750221373</v>
      </c>
      <c r="X24" s="1353">
        <f t="shared" si="14"/>
        <v>1.5860000000000001</v>
      </c>
      <c r="Y24" s="1355">
        <f>X24+'TAR_Tab 13_Overige tarieven'!$T$15+'TAR_Tab 13_Overige tarieven'!$T$16</f>
        <v>1.7390000000000001</v>
      </c>
      <c r="Z24" s="960"/>
    </row>
    <row r="25" spans="1:26">
      <c r="A25" s="160">
        <v>301073</v>
      </c>
      <c r="B25" s="156" t="s">
        <v>47</v>
      </c>
      <c r="C25" s="839">
        <v>1.6148879832004199</v>
      </c>
      <c r="D25" s="1346">
        <f t="shared" si="0"/>
        <v>1.5399571807799204</v>
      </c>
      <c r="E25" s="1346">
        <f t="shared" si="1"/>
        <v>1.6271840049169748</v>
      </c>
      <c r="G25" s="1347">
        <f t="shared" si="2"/>
        <v>1.545824804671126</v>
      </c>
      <c r="H25" s="1347">
        <f t="shared" si="3"/>
        <v>1.7085432051628235</v>
      </c>
      <c r="I25" s="834">
        <v>1.545824804671126</v>
      </c>
      <c r="J25" s="1348" t="b">
        <f t="shared" si="10"/>
        <v>1</v>
      </c>
      <c r="K25" s="1585"/>
      <c r="M25" s="1349">
        <f t="shared" si="4"/>
        <v>1.545824804671126</v>
      </c>
      <c r="N25" s="1350"/>
      <c r="O25" s="1347">
        <f t="shared" si="5"/>
        <v>4.8611913296196588E-3</v>
      </c>
      <c r="P25" s="1347">
        <f t="shared" si="6"/>
        <v>3.853176705884258E-3</v>
      </c>
      <c r="Q25" s="1347">
        <f t="shared" si="7"/>
        <v>1.0656077082237463E-2</v>
      </c>
      <c r="R25" s="1347">
        <f t="shared" si="8"/>
        <v>0</v>
      </c>
      <c r="S25" s="1347">
        <f t="shared" si="9"/>
        <v>9.9974023492481287E-2</v>
      </c>
      <c r="T25" s="1347">
        <f t="shared" si="11"/>
        <v>1.6651692732813488</v>
      </c>
      <c r="U25" s="593">
        <f>IF('TAR_Tab 2_Volumina'!V28="storage",1,0)</f>
        <v>0</v>
      </c>
      <c r="V25" s="1352">
        <f t="shared" si="12"/>
        <v>1.6651692732813488</v>
      </c>
      <c r="W25" s="1352">
        <f t="shared" si="13"/>
        <v>1.7543940147225561</v>
      </c>
      <c r="X25" s="1353">
        <f t="shared" si="14"/>
        <v>1.754</v>
      </c>
      <c r="Y25" s="1355">
        <f>X25+'TAR_Tab 13_Overige tarieven'!$T$15+'TAR_Tab 13_Overige tarieven'!$T$16</f>
        <v>1.907</v>
      </c>
      <c r="Z25" s="960"/>
    </row>
    <row r="26" spans="1:26">
      <c r="A26" s="160">
        <v>301074</v>
      </c>
      <c r="B26" s="156" t="s">
        <v>476</v>
      </c>
      <c r="C26" s="839">
        <v>1.0884708546638229</v>
      </c>
      <c r="D26" s="1346">
        <f t="shared" si="0"/>
        <v>1.0379658070074216</v>
      </c>
      <c r="E26" s="1346">
        <f t="shared" si="1"/>
        <v>1.0967586501059929</v>
      </c>
      <c r="G26" s="1347">
        <f t="shared" si="2"/>
        <v>1.0419207176006933</v>
      </c>
      <c r="H26" s="1347">
        <f t="shared" si="3"/>
        <v>1.1515965826112926</v>
      </c>
      <c r="I26" s="834">
        <v>1.1025567419625883</v>
      </c>
      <c r="J26" s="1348" t="b">
        <f t="shared" si="10"/>
        <v>1</v>
      </c>
      <c r="K26" s="1585"/>
      <c r="M26" s="1349">
        <f t="shared" si="4"/>
        <v>1.1025567419625883</v>
      </c>
      <c r="N26" s="1350"/>
      <c r="O26" s="1347">
        <f t="shared" si="5"/>
        <v>3.4672359107230898E-3</v>
      </c>
      <c r="P26" s="1347">
        <f t="shared" si="6"/>
        <v>2.748271306171543E-3</v>
      </c>
      <c r="Q26" s="1347">
        <f t="shared" si="7"/>
        <v>7.6004276774388575E-3</v>
      </c>
      <c r="R26" s="1347">
        <f t="shared" si="8"/>
        <v>0</v>
      </c>
      <c r="S26" s="1347">
        <f t="shared" si="9"/>
        <v>7.1306291171988417E-2</v>
      </c>
      <c r="T26" s="1347">
        <f t="shared" si="11"/>
        <v>1.1876789680289102</v>
      </c>
      <c r="U26" s="593">
        <f>IF('TAR_Tab 2_Volumina'!V29="storage",1,0)</f>
        <v>0</v>
      </c>
      <c r="V26" s="1352">
        <f t="shared" si="12"/>
        <v>1.1876789680289102</v>
      </c>
      <c r="W26" s="1352">
        <f t="shared" si="13"/>
        <v>1.2513183532481176</v>
      </c>
      <c r="X26" s="1353">
        <f t="shared" si="14"/>
        <v>1.2509999999999999</v>
      </c>
      <c r="Y26" s="1355">
        <f>X26+'TAR_Tab 13_Overige tarieven'!$T$15+'TAR_Tab 13_Overige tarieven'!$T$16</f>
        <v>1.4039999999999999</v>
      </c>
      <c r="Z26" s="960"/>
    </row>
    <row r="27" spans="1:26">
      <c r="A27" s="160">
        <v>301075</v>
      </c>
      <c r="B27" s="156" t="s">
        <v>477</v>
      </c>
      <c r="C27" s="839">
        <v>1.0920041564622047</v>
      </c>
      <c r="D27" s="1346">
        <f t="shared" si="0"/>
        <v>1.0413351636023584</v>
      </c>
      <c r="E27" s="1346">
        <f t="shared" si="1"/>
        <v>1.1003188550432277</v>
      </c>
      <c r="G27" s="1347">
        <f t="shared" si="2"/>
        <v>1.0453029122910662</v>
      </c>
      <c r="H27" s="1347">
        <f t="shared" si="3"/>
        <v>1.1553347977953892</v>
      </c>
      <c r="I27" s="834">
        <v>1.1061357681739954</v>
      </c>
      <c r="J27" s="1348" t="b">
        <f t="shared" si="10"/>
        <v>1</v>
      </c>
      <c r="K27" s="1585"/>
      <c r="M27" s="1349">
        <f t="shared" si="4"/>
        <v>1.1061357681739954</v>
      </c>
      <c r="N27" s="1350"/>
      <c r="O27" s="1347">
        <f t="shared" si="5"/>
        <v>3.4784909579540562E-3</v>
      </c>
      <c r="P27" s="1347">
        <f t="shared" si="6"/>
        <v>2.7571925114632883E-3</v>
      </c>
      <c r="Q27" s="1347">
        <f t="shared" si="7"/>
        <v>7.6250995413349835E-3</v>
      </c>
      <c r="R27" s="1347">
        <f t="shared" si="8"/>
        <v>0</v>
      </c>
      <c r="S27" s="1347">
        <f t="shared" si="9"/>
        <v>7.1537759608423249E-2</v>
      </c>
      <c r="T27" s="1347">
        <f t="shared" si="11"/>
        <v>1.1915343107931711</v>
      </c>
      <c r="U27" s="593">
        <f>IF('TAR_Tab 2_Volumina'!V30="storage",1,0)</f>
        <v>0</v>
      </c>
      <c r="V27" s="1352">
        <f t="shared" si="12"/>
        <v>1.1915343107931711</v>
      </c>
      <c r="W27" s="1352">
        <f t="shared" si="13"/>
        <v>1.2553802767887763</v>
      </c>
      <c r="X27" s="1353">
        <f t="shared" si="14"/>
        <v>1.2549999999999999</v>
      </c>
      <c r="Y27" s="1355">
        <f>X27+'TAR_Tab 13_Overige tarieven'!$T$15+'TAR_Tab 13_Overige tarieven'!$T$16</f>
        <v>1.4079999999999999</v>
      </c>
      <c r="Z27" s="960"/>
    </row>
    <row r="28" spans="1:26">
      <c r="A28" s="160">
        <v>301076</v>
      </c>
      <c r="B28" s="156" t="s">
        <v>478</v>
      </c>
      <c r="C28" s="839">
        <v>0.98680682510651085</v>
      </c>
      <c r="D28" s="1346">
        <f t="shared" si="0"/>
        <v>0.94101898842156873</v>
      </c>
      <c r="E28" s="1346">
        <f t="shared" si="1"/>
        <v>0.99432053396915732</v>
      </c>
      <c r="G28" s="1347">
        <f t="shared" si="2"/>
        <v>0.94460450727069944</v>
      </c>
      <c r="H28" s="1347">
        <f t="shared" si="3"/>
        <v>1.0440365606676152</v>
      </c>
      <c r="I28" s="834">
        <v>0.9995770795093224</v>
      </c>
      <c r="J28" s="1348" t="b">
        <f t="shared" si="10"/>
        <v>1</v>
      </c>
      <c r="K28" s="1585"/>
      <c r="M28" s="1349">
        <f t="shared" si="4"/>
        <v>0.9995770795093224</v>
      </c>
      <c r="N28" s="1350"/>
      <c r="O28" s="1347">
        <f t="shared" si="5"/>
        <v>3.1433933635390452E-3</v>
      </c>
      <c r="P28" s="1347">
        <f t="shared" si="6"/>
        <v>2.4915806156445741E-3</v>
      </c>
      <c r="Q28" s="1347">
        <f t="shared" si="7"/>
        <v>6.8905417850085963E-3</v>
      </c>
      <c r="R28" s="1347">
        <f t="shared" si="8"/>
        <v>0</v>
      </c>
      <c r="S28" s="1347">
        <f t="shared" si="9"/>
        <v>6.464622777913781E-2</v>
      </c>
      <c r="T28" s="1347">
        <f t="shared" si="11"/>
        <v>1.0767488230526523</v>
      </c>
      <c r="U28" s="593">
        <f>IF('TAR_Tab 2_Volumina'!V31="storage",1,0)</f>
        <v>0</v>
      </c>
      <c r="V28" s="1352">
        <f t="shared" si="12"/>
        <v>1.0767488230526523</v>
      </c>
      <c r="W28" s="1352">
        <f t="shared" si="13"/>
        <v>1.1344442398943757</v>
      </c>
      <c r="X28" s="1353">
        <f t="shared" si="14"/>
        <v>1.1339999999999999</v>
      </c>
      <c r="Y28" s="1355">
        <f>X28+'TAR_Tab 13_Overige tarieven'!$T$15+'TAR_Tab 13_Overige tarieven'!$T$16</f>
        <v>1.2869999999999999</v>
      </c>
      <c r="Z28" s="960"/>
    </row>
    <row r="29" spans="1:26">
      <c r="A29" s="160">
        <v>301078</v>
      </c>
      <c r="B29" s="156" t="s">
        <v>479</v>
      </c>
      <c r="C29" s="839">
        <v>1.0138043703216895</v>
      </c>
      <c r="D29" s="1346">
        <f t="shared" si="0"/>
        <v>0.9667638475387631</v>
      </c>
      <c r="E29" s="1346">
        <f t="shared" si="1"/>
        <v>1.0215236429173706</v>
      </c>
      <c r="G29" s="1347">
        <f t="shared" si="2"/>
        <v>0.97044746077150201</v>
      </c>
      <c r="H29" s="1347">
        <f t="shared" si="3"/>
        <v>1.0725998250632391</v>
      </c>
      <c r="I29" s="834">
        <v>1.0269239996091064</v>
      </c>
      <c r="J29" s="1348" t="b">
        <f t="shared" si="10"/>
        <v>1</v>
      </c>
      <c r="K29" s="1585"/>
      <c r="M29" s="1349">
        <f t="shared" si="4"/>
        <v>1.0269239996091064</v>
      </c>
      <c r="N29" s="1350"/>
      <c r="O29" s="1347">
        <f t="shared" si="5"/>
        <v>3.2293918612207755E-3</v>
      </c>
      <c r="P29" s="1347">
        <f t="shared" si="6"/>
        <v>2.5597465004122103E-3</v>
      </c>
      <c r="Q29" s="1347">
        <f t="shared" si="7"/>
        <v>7.0790566074286467E-3</v>
      </c>
      <c r="R29" s="1347">
        <f t="shared" si="8"/>
        <v>0</v>
      </c>
      <c r="S29" s="1347">
        <f t="shared" si="9"/>
        <v>6.6414850991963328E-2</v>
      </c>
      <c r="T29" s="1347">
        <f t="shared" si="11"/>
        <v>1.1062070455701312</v>
      </c>
      <c r="U29" s="593">
        <f>IF('TAR_Tab 2_Volumina'!V32="storage",1,0)</f>
        <v>0</v>
      </c>
      <c r="V29" s="1352">
        <f t="shared" si="12"/>
        <v>1.1062070455701312</v>
      </c>
      <c r="W29" s="1352">
        <f t="shared" si="13"/>
        <v>1.1654809219292226</v>
      </c>
      <c r="X29" s="1353">
        <f t="shared" si="14"/>
        <v>1.165</v>
      </c>
      <c r="Y29" s="1355">
        <f>X29+'TAR_Tab 13_Overige tarieven'!$T$15+'TAR_Tab 13_Overige tarieven'!$T$16</f>
        <v>1.3180000000000001</v>
      </c>
      <c r="Z29" s="960"/>
    </row>
    <row r="30" spans="1:26">
      <c r="A30" s="160">
        <v>301080</v>
      </c>
      <c r="B30" s="156" t="s">
        <v>480</v>
      </c>
      <c r="C30" s="839">
        <v>1.7669427868416581</v>
      </c>
      <c r="D30" s="1346">
        <f t="shared" si="0"/>
        <v>1.684956641532205</v>
      </c>
      <c r="E30" s="1346">
        <f t="shared" si="1"/>
        <v>1.7803965787485476</v>
      </c>
      <c r="G30" s="1347">
        <f t="shared" si="2"/>
        <v>1.6913767498111201</v>
      </c>
      <c r="H30" s="1347">
        <f t="shared" si="3"/>
        <v>1.8694164076859752</v>
      </c>
      <c r="I30" s="834">
        <v>1.789808770668579</v>
      </c>
      <c r="J30" s="1348" t="b">
        <f t="shared" si="10"/>
        <v>1</v>
      </c>
      <c r="K30" s="1585"/>
      <c r="M30" s="1349">
        <f t="shared" si="4"/>
        <v>1.789808770668579</v>
      </c>
      <c r="N30" s="1350"/>
      <c r="O30" s="1347">
        <f t="shared" si="5"/>
        <v>5.6284533999972708E-3</v>
      </c>
      <c r="P30" s="1347">
        <f t="shared" si="6"/>
        <v>4.4613396306541521E-3</v>
      </c>
      <c r="Q30" s="1347">
        <f t="shared" si="7"/>
        <v>1.2337970101836146E-2</v>
      </c>
      <c r="R30" s="1347">
        <f t="shared" si="8"/>
        <v>0</v>
      </c>
      <c r="S30" s="1347">
        <f t="shared" si="9"/>
        <v>0.11575333992905996</v>
      </c>
      <c r="T30" s="1347">
        <f t="shared" si="11"/>
        <v>1.9279898737301266</v>
      </c>
      <c r="U30" s="593">
        <f>IF('TAR_Tab 2_Volumina'!V33="storage",1,0)</f>
        <v>0</v>
      </c>
      <c r="V30" s="1352">
        <f t="shared" si="12"/>
        <v>1.9279898737301266</v>
      </c>
      <c r="W30" s="1352">
        <f t="shared" si="13"/>
        <v>2.0312973276599293</v>
      </c>
      <c r="X30" s="1353">
        <f t="shared" si="14"/>
        <v>2.0310000000000001</v>
      </c>
      <c r="Y30" s="1355">
        <f>X30+'TAR_Tab 13_Overige tarieven'!$T$15+'TAR_Tab 13_Overige tarieven'!$T$16</f>
        <v>2.1840000000000002</v>
      </c>
      <c r="Z30" s="960"/>
    </row>
    <row r="31" spans="1:26">
      <c r="A31" s="160">
        <v>301082</v>
      </c>
      <c r="B31" s="156" t="s">
        <v>48</v>
      </c>
      <c r="C31" s="839">
        <v>1.0138043703216895</v>
      </c>
      <c r="D31" s="1346">
        <f t="shared" si="0"/>
        <v>0.9667638475387631</v>
      </c>
      <c r="E31" s="1346">
        <f t="shared" si="1"/>
        <v>1.0215236429173706</v>
      </c>
      <c r="G31" s="1347">
        <f t="shared" si="2"/>
        <v>0.97044746077150201</v>
      </c>
      <c r="H31" s="1347">
        <f t="shared" si="3"/>
        <v>1.0725998250632391</v>
      </c>
      <c r="I31" s="834">
        <v>1.0269239996091064</v>
      </c>
      <c r="J31" s="1348" t="b">
        <f t="shared" si="10"/>
        <v>1</v>
      </c>
      <c r="K31" s="1585"/>
      <c r="M31" s="1349">
        <f t="shared" si="4"/>
        <v>1.0269239996091064</v>
      </c>
      <c r="N31" s="1350"/>
      <c r="O31" s="1347">
        <f t="shared" si="5"/>
        <v>3.2293918612207755E-3</v>
      </c>
      <c r="P31" s="1347">
        <f t="shared" si="6"/>
        <v>2.5597465004122103E-3</v>
      </c>
      <c r="Q31" s="1347">
        <f t="shared" si="7"/>
        <v>7.0790566074286467E-3</v>
      </c>
      <c r="R31" s="1347">
        <f t="shared" si="8"/>
        <v>0</v>
      </c>
      <c r="S31" s="1347">
        <f t="shared" si="9"/>
        <v>6.6414850991963328E-2</v>
      </c>
      <c r="T31" s="1347">
        <f t="shared" si="11"/>
        <v>1.1062070455701312</v>
      </c>
      <c r="U31" s="593">
        <f>IF('TAR_Tab 2_Volumina'!V34="storage",1,0)</f>
        <v>0</v>
      </c>
      <c r="V31" s="1352">
        <f t="shared" si="12"/>
        <v>1.1062070455701312</v>
      </c>
      <c r="W31" s="1352">
        <f t="shared" si="13"/>
        <v>1.1654809219292226</v>
      </c>
      <c r="X31" s="1353">
        <f t="shared" si="14"/>
        <v>1.165</v>
      </c>
      <c r="Y31" s="1355">
        <f>X31+'TAR_Tab 13_Overige tarieven'!$T$15+'TAR_Tab 13_Overige tarieven'!$T$16</f>
        <v>1.3180000000000001</v>
      </c>
      <c r="Z31" s="960"/>
    </row>
    <row r="32" spans="1:26">
      <c r="A32" s="160">
        <v>301083</v>
      </c>
      <c r="B32" s="156" t="s">
        <v>481</v>
      </c>
      <c r="C32" s="839">
        <v>1.0138043703216895</v>
      </c>
      <c r="D32" s="1346">
        <f t="shared" si="0"/>
        <v>0.9667638475387631</v>
      </c>
      <c r="E32" s="1346">
        <f t="shared" si="1"/>
        <v>1.0215236429173706</v>
      </c>
      <c r="G32" s="1347">
        <f t="shared" si="2"/>
        <v>0.97044746077150201</v>
      </c>
      <c r="H32" s="1347">
        <f t="shared" si="3"/>
        <v>1.0725998250632391</v>
      </c>
      <c r="I32" s="834">
        <v>1.0269239996091064</v>
      </c>
      <c r="J32" s="1348" t="b">
        <f t="shared" si="10"/>
        <v>1</v>
      </c>
      <c r="K32" s="1585"/>
      <c r="M32" s="1349">
        <f t="shared" si="4"/>
        <v>1.0269239996091064</v>
      </c>
      <c r="N32" s="1350"/>
      <c r="O32" s="1347">
        <f t="shared" si="5"/>
        <v>3.2293918612207755E-3</v>
      </c>
      <c r="P32" s="1347">
        <f t="shared" si="6"/>
        <v>2.5597465004122103E-3</v>
      </c>
      <c r="Q32" s="1347">
        <f t="shared" si="7"/>
        <v>7.0790566074286467E-3</v>
      </c>
      <c r="R32" s="1347">
        <f t="shared" si="8"/>
        <v>0</v>
      </c>
      <c r="S32" s="1347">
        <f t="shared" si="9"/>
        <v>6.6414850991963328E-2</v>
      </c>
      <c r="T32" s="1347">
        <f t="shared" si="11"/>
        <v>1.1062070455701312</v>
      </c>
      <c r="U32" s="593">
        <f>IF('TAR_Tab 2_Volumina'!V35="storage",1,0)</f>
        <v>0</v>
      </c>
      <c r="V32" s="1352">
        <f t="shared" si="12"/>
        <v>1.1062070455701312</v>
      </c>
      <c r="W32" s="1352">
        <f t="shared" si="13"/>
        <v>1.1654809219292226</v>
      </c>
      <c r="X32" s="1353">
        <f t="shared" si="14"/>
        <v>1.165</v>
      </c>
      <c r="Y32" s="1355">
        <f>X32+'TAR_Tab 13_Overige tarieven'!$T$15+'TAR_Tab 13_Overige tarieven'!$T$16</f>
        <v>1.3180000000000001</v>
      </c>
      <c r="Z32" s="960"/>
    </row>
    <row r="33" spans="1:26">
      <c r="A33" s="160">
        <v>301084</v>
      </c>
      <c r="B33" s="156" t="s">
        <v>49</v>
      </c>
      <c r="C33" s="839">
        <v>1.0594849457701121</v>
      </c>
      <c r="D33" s="1346">
        <f t="shared" si="0"/>
        <v>1.0103248442863788</v>
      </c>
      <c r="E33" s="1346">
        <f t="shared" si="1"/>
        <v>1.0675520377523895</v>
      </c>
      <c r="G33" s="1347">
        <f t="shared" si="2"/>
        <v>1.01417443586477</v>
      </c>
      <c r="H33" s="1347">
        <f t="shared" si="3"/>
        <v>1.120929639640009</v>
      </c>
      <c r="I33" s="834">
        <v>1.0731957267955403</v>
      </c>
      <c r="J33" s="1348" t="b">
        <f t="shared" si="10"/>
        <v>1</v>
      </c>
      <c r="K33" s="1585"/>
      <c r="M33" s="1349">
        <f t="shared" si="4"/>
        <v>1.0731957267955403</v>
      </c>
      <c r="N33" s="1350"/>
      <c r="O33" s="1347">
        <f t="shared" si="5"/>
        <v>3.3749036412915284E-3</v>
      </c>
      <c r="P33" s="1347">
        <f t="shared" si="6"/>
        <v>2.6750850179447522E-3</v>
      </c>
      <c r="Q33" s="1347">
        <f t="shared" si="7"/>
        <v>7.3980287769377295E-3</v>
      </c>
      <c r="R33" s="1347">
        <f t="shared" si="8"/>
        <v>0</v>
      </c>
      <c r="S33" s="1347">
        <f t="shared" si="9"/>
        <v>6.9407409221586502E-2</v>
      </c>
      <c r="T33" s="1347">
        <f t="shared" si="11"/>
        <v>1.1560511534533009</v>
      </c>
      <c r="U33" s="593">
        <f>IF('TAR_Tab 2_Volumina'!V36="storage",1,0)</f>
        <v>0</v>
      </c>
      <c r="V33" s="1352">
        <f t="shared" si="12"/>
        <v>1.1560511534533009</v>
      </c>
      <c r="W33" s="1352">
        <f t="shared" si="13"/>
        <v>1.2179958259348067</v>
      </c>
      <c r="X33" s="1353">
        <f t="shared" si="14"/>
        <v>1.218</v>
      </c>
      <c r="Y33" s="1355">
        <f>X33+'TAR_Tab 13_Overige tarieven'!$T$15+'TAR_Tab 13_Overige tarieven'!$T$16</f>
        <v>1.371</v>
      </c>
      <c r="Z33" s="960"/>
    </row>
    <row r="34" spans="1:26">
      <c r="A34" s="160">
        <v>301085</v>
      </c>
      <c r="B34" s="156" t="s">
        <v>482</v>
      </c>
      <c r="C34" s="839">
        <v>1.0920041564622047</v>
      </c>
      <c r="D34" s="1346">
        <f t="shared" si="0"/>
        <v>1.0413351636023584</v>
      </c>
      <c r="E34" s="1346">
        <f t="shared" si="1"/>
        <v>1.1003188550432277</v>
      </c>
      <c r="G34" s="1347">
        <f t="shared" si="2"/>
        <v>1.0453029122910662</v>
      </c>
      <c r="H34" s="1347">
        <f t="shared" si="3"/>
        <v>1.1553347977953892</v>
      </c>
      <c r="I34" s="834">
        <v>1.1061357681739954</v>
      </c>
      <c r="J34" s="1348" t="b">
        <f t="shared" si="10"/>
        <v>1</v>
      </c>
      <c r="K34" s="1585"/>
      <c r="M34" s="1349">
        <f t="shared" si="4"/>
        <v>1.1061357681739954</v>
      </c>
      <c r="N34" s="1350"/>
      <c r="O34" s="1347">
        <f t="shared" si="5"/>
        <v>3.4784909579540562E-3</v>
      </c>
      <c r="P34" s="1347">
        <f t="shared" si="6"/>
        <v>2.7571925114632883E-3</v>
      </c>
      <c r="Q34" s="1347">
        <f t="shared" si="7"/>
        <v>7.6250995413349835E-3</v>
      </c>
      <c r="R34" s="1347">
        <f t="shared" si="8"/>
        <v>0</v>
      </c>
      <c r="S34" s="1347">
        <f t="shared" si="9"/>
        <v>7.1537759608423249E-2</v>
      </c>
      <c r="T34" s="1347">
        <f t="shared" si="11"/>
        <v>1.1915343107931711</v>
      </c>
      <c r="U34" s="593">
        <f>IF('TAR_Tab 2_Volumina'!V37="storage",1,0)</f>
        <v>0</v>
      </c>
      <c r="V34" s="1352">
        <f t="shared" si="12"/>
        <v>1.1915343107931711</v>
      </c>
      <c r="W34" s="1352">
        <f t="shared" si="13"/>
        <v>1.2553802767887763</v>
      </c>
      <c r="X34" s="1353">
        <f t="shared" si="14"/>
        <v>1.2549999999999999</v>
      </c>
      <c r="Y34" s="1355">
        <f>X34+'TAR_Tab 13_Overige tarieven'!$T$15+'TAR_Tab 13_Overige tarieven'!$T$16</f>
        <v>1.4079999999999999</v>
      </c>
      <c r="Z34" s="960"/>
    </row>
    <row r="35" spans="1:26">
      <c r="A35" s="160">
        <v>301086</v>
      </c>
      <c r="B35" s="156" t="s">
        <v>50</v>
      </c>
      <c r="C35" s="839">
        <v>1.1724300390456053</v>
      </c>
      <c r="D35" s="1346">
        <f t="shared" si="0"/>
        <v>1.1180292852338891</v>
      </c>
      <c r="E35" s="1346">
        <f t="shared" si="1"/>
        <v>1.18135711347505</v>
      </c>
      <c r="G35" s="1347">
        <f t="shared" si="2"/>
        <v>1.1222892578012975</v>
      </c>
      <c r="H35" s="1347">
        <f t="shared" si="3"/>
        <v>1.2404249691488025</v>
      </c>
      <c r="I35" s="834">
        <v>1.1876024410671404</v>
      </c>
      <c r="J35" s="1348" t="b">
        <f t="shared" si="10"/>
        <v>1</v>
      </c>
      <c r="K35" s="1585"/>
      <c r="M35" s="1349">
        <f t="shared" si="4"/>
        <v>1.1876024410671404</v>
      </c>
      <c r="N35" s="1350"/>
      <c r="O35" s="1347">
        <f t="shared" si="5"/>
        <v>3.7346811049386443E-3</v>
      </c>
      <c r="P35" s="1347">
        <f t="shared" si="6"/>
        <v>2.9602591755181077E-3</v>
      </c>
      <c r="Q35" s="1347">
        <f t="shared" si="7"/>
        <v>8.1866865616490158E-3</v>
      </c>
      <c r="R35" s="1347">
        <f t="shared" si="8"/>
        <v>0</v>
      </c>
      <c r="S35" s="1347">
        <f t="shared" si="9"/>
        <v>7.6806500959359411E-2</v>
      </c>
      <c r="T35" s="1347">
        <f t="shared" si="11"/>
        <v>1.2792905688686056</v>
      </c>
      <c r="U35" s="593">
        <f>IF('TAR_Tab 2_Volumina'!V38="storage",1,0)</f>
        <v>0</v>
      </c>
      <c r="V35" s="1352">
        <f t="shared" si="12"/>
        <v>1.2792905688686056</v>
      </c>
      <c r="W35" s="1352">
        <f t="shared" si="13"/>
        <v>1.347838777190121</v>
      </c>
      <c r="X35" s="1353">
        <f t="shared" si="14"/>
        <v>1.3480000000000001</v>
      </c>
      <c r="Y35" s="1355">
        <f>X35+'TAR_Tab 13_Overige tarieven'!$T$15+'TAR_Tab 13_Overige tarieven'!$T$16</f>
        <v>1.5010000000000001</v>
      </c>
      <c r="Z35" s="960"/>
    </row>
    <row r="36" spans="1:26">
      <c r="A36" s="160">
        <v>301088</v>
      </c>
      <c r="B36" s="156" t="s">
        <v>51</v>
      </c>
      <c r="C36" s="839">
        <v>1.0920041564622047</v>
      </c>
      <c r="D36" s="1346">
        <f t="shared" si="0"/>
        <v>1.0413351636023584</v>
      </c>
      <c r="E36" s="1346">
        <f t="shared" si="1"/>
        <v>1.1003188550432277</v>
      </c>
      <c r="G36" s="1347">
        <f t="shared" si="2"/>
        <v>1.0453029122910662</v>
      </c>
      <c r="H36" s="1347">
        <f t="shared" si="3"/>
        <v>1.1553347977953892</v>
      </c>
      <c r="I36" s="834">
        <v>1.1061357681739954</v>
      </c>
      <c r="J36" s="1348" t="b">
        <f t="shared" si="10"/>
        <v>1</v>
      </c>
      <c r="K36" s="1585"/>
      <c r="M36" s="1349">
        <f t="shared" si="4"/>
        <v>1.1061357681739954</v>
      </c>
      <c r="N36" s="1350"/>
      <c r="O36" s="1347">
        <f t="shared" si="5"/>
        <v>3.4784909579540562E-3</v>
      </c>
      <c r="P36" s="1347">
        <f t="shared" si="6"/>
        <v>2.7571925114632883E-3</v>
      </c>
      <c r="Q36" s="1347">
        <f t="shared" si="7"/>
        <v>7.6250995413349835E-3</v>
      </c>
      <c r="R36" s="1347">
        <f t="shared" si="8"/>
        <v>0</v>
      </c>
      <c r="S36" s="1347">
        <f t="shared" si="9"/>
        <v>7.1537759608423249E-2</v>
      </c>
      <c r="T36" s="1347">
        <f t="shared" si="11"/>
        <v>1.1915343107931711</v>
      </c>
      <c r="U36" s="593">
        <f>IF('TAR_Tab 2_Volumina'!V39="storage",1,0)</f>
        <v>0</v>
      </c>
      <c r="V36" s="1352">
        <f t="shared" si="12"/>
        <v>1.1915343107931711</v>
      </c>
      <c r="W36" s="1352">
        <f t="shared" si="13"/>
        <v>1.2553802767887763</v>
      </c>
      <c r="X36" s="1353">
        <f t="shared" si="14"/>
        <v>1.2549999999999999</v>
      </c>
      <c r="Y36" s="1355">
        <f>X36+'TAR_Tab 13_Overige tarieven'!$T$15+'TAR_Tab 13_Overige tarieven'!$T$16</f>
        <v>1.4079999999999999</v>
      </c>
      <c r="Z36" s="960"/>
    </row>
    <row r="37" spans="1:26">
      <c r="A37" s="160">
        <v>301089</v>
      </c>
      <c r="B37" s="156" t="s">
        <v>483</v>
      </c>
      <c r="C37" s="839">
        <v>0.98680682510651085</v>
      </c>
      <c r="D37" s="1346">
        <f t="shared" si="0"/>
        <v>0.94101898842156873</v>
      </c>
      <c r="E37" s="1346">
        <f t="shared" si="1"/>
        <v>0.99432053396915732</v>
      </c>
      <c r="G37" s="1347">
        <f t="shared" si="2"/>
        <v>0.94460450727069944</v>
      </c>
      <c r="H37" s="1347">
        <f t="shared" si="3"/>
        <v>1.0440365606676152</v>
      </c>
      <c r="I37" s="834">
        <v>0.9995770795093224</v>
      </c>
      <c r="J37" s="1348" t="b">
        <f t="shared" si="10"/>
        <v>1</v>
      </c>
      <c r="K37" s="1585"/>
      <c r="M37" s="1349">
        <f t="shared" si="4"/>
        <v>0.9995770795093224</v>
      </c>
      <c r="N37" s="1350"/>
      <c r="O37" s="1347">
        <f t="shared" si="5"/>
        <v>3.1433933635390452E-3</v>
      </c>
      <c r="P37" s="1347">
        <f t="shared" si="6"/>
        <v>2.4915806156445741E-3</v>
      </c>
      <c r="Q37" s="1347">
        <f t="shared" si="7"/>
        <v>6.8905417850085963E-3</v>
      </c>
      <c r="R37" s="1347">
        <f t="shared" si="8"/>
        <v>0</v>
      </c>
      <c r="S37" s="1347">
        <f t="shared" si="9"/>
        <v>6.464622777913781E-2</v>
      </c>
      <c r="T37" s="1347">
        <f t="shared" si="11"/>
        <v>1.0767488230526523</v>
      </c>
      <c r="U37" s="593">
        <f>IF('TAR_Tab 2_Volumina'!V40="storage",1,0)</f>
        <v>0</v>
      </c>
      <c r="V37" s="1352">
        <f t="shared" si="12"/>
        <v>1.0767488230526523</v>
      </c>
      <c r="W37" s="1352">
        <f t="shared" si="13"/>
        <v>1.1344442398943757</v>
      </c>
      <c r="X37" s="1353">
        <f t="shared" si="14"/>
        <v>1.1339999999999999</v>
      </c>
      <c r="Y37" s="1355">
        <f>X37+'TAR_Tab 13_Overige tarieven'!$T$15+'TAR_Tab 13_Overige tarieven'!$T$16</f>
        <v>1.2869999999999999</v>
      </c>
      <c r="Z37" s="960"/>
    </row>
    <row r="38" spans="1:26">
      <c r="A38" s="160">
        <v>301090</v>
      </c>
      <c r="B38" s="156" t="s">
        <v>797</v>
      </c>
      <c r="C38" s="839">
        <v>1.0138043703216895</v>
      </c>
      <c r="D38" s="1346">
        <f t="shared" si="0"/>
        <v>0.9667638475387631</v>
      </c>
      <c r="E38" s="1346">
        <f t="shared" si="1"/>
        <v>1.0215236429173706</v>
      </c>
      <c r="G38" s="1347">
        <f t="shared" si="2"/>
        <v>0.97044746077150201</v>
      </c>
      <c r="H38" s="1347">
        <f t="shared" si="3"/>
        <v>1.0725998250632391</v>
      </c>
      <c r="I38" s="834">
        <v>1.0269239996091064</v>
      </c>
      <c r="J38" s="1348" t="b">
        <f t="shared" si="10"/>
        <v>1</v>
      </c>
      <c r="K38" s="1585"/>
      <c r="M38" s="1349">
        <f t="shared" si="4"/>
        <v>1.0269239996091064</v>
      </c>
      <c r="N38" s="1350"/>
      <c r="O38" s="1347">
        <f t="shared" si="5"/>
        <v>3.2293918612207755E-3</v>
      </c>
      <c r="P38" s="1347">
        <f t="shared" si="6"/>
        <v>2.5597465004122103E-3</v>
      </c>
      <c r="Q38" s="1347">
        <f t="shared" si="7"/>
        <v>7.0790566074286467E-3</v>
      </c>
      <c r="R38" s="1347">
        <f t="shared" si="8"/>
        <v>0</v>
      </c>
      <c r="S38" s="1347">
        <f t="shared" si="9"/>
        <v>6.6414850991963328E-2</v>
      </c>
      <c r="T38" s="1347">
        <f t="shared" si="11"/>
        <v>1.1062070455701312</v>
      </c>
      <c r="U38" s="593">
        <f>IF('TAR_Tab 2_Volumina'!V41="storage",1,0)</f>
        <v>0</v>
      </c>
      <c r="V38" s="1352">
        <f t="shared" si="12"/>
        <v>1.1062070455701312</v>
      </c>
      <c r="W38" s="1352">
        <f t="shared" si="13"/>
        <v>1.1654809219292226</v>
      </c>
      <c r="X38" s="1353">
        <f t="shared" si="14"/>
        <v>1.165</v>
      </c>
      <c r="Y38" s="1355">
        <f>X38+'TAR_Tab 13_Overige tarieven'!$T$15+'TAR_Tab 13_Overige tarieven'!$T$16</f>
        <v>1.3180000000000001</v>
      </c>
      <c r="Z38" s="960"/>
    </row>
    <row r="39" spans="1:26">
      <c r="A39" s="160">
        <v>301092</v>
      </c>
      <c r="B39" s="156" t="s">
        <v>52</v>
      </c>
      <c r="C39" s="839">
        <v>1.7669427868416581</v>
      </c>
      <c r="D39" s="1346">
        <f t="shared" si="0"/>
        <v>1.684956641532205</v>
      </c>
      <c r="E39" s="1346">
        <f t="shared" si="1"/>
        <v>1.7803965787485476</v>
      </c>
      <c r="G39" s="1347">
        <f t="shared" si="2"/>
        <v>1.6913767498111201</v>
      </c>
      <c r="H39" s="1347">
        <f t="shared" si="3"/>
        <v>1.8694164076859752</v>
      </c>
      <c r="I39" s="834">
        <v>1.6913767498111201</v>
      </c>
      <c r="J39" s="1348" t="b">
        <f t="shared" si="10"/>
        <v>1</v>
      </c>
      <c r="K39" s="1585"/>
      <c r="M39" s="1349">
        <f t="shared" ref="M39:M69" si="15">IF(I39&gt;0,I39,E39)</f>
        <v>1.6913767498111201</v>
      </c>
      <c r="N39" s="1350"/>
      <c r="O39" s="1347">
        <f t="shared" si="5"/>
        <v>5.3189119274427397E-3</v>
      </c>
      <c r="P39" s="1347">
        <f t="shared" si="6"/>
        <v>4.2159845498358156E-3</v>
      </c>
      <c r="Q39" s="1347">
        <f t="shared" si="7"/>
        <v>1.1659433181967894E-2</v>
      </c>
      <c r="R39" s="1347">
        <f t="shared" si="8"/>
        <v>0</v>
      </c>
      <c r="S39" s="1347">
        <f t="shared" si="9"/>
        <v>0.10938738879677133</v>
      </c>
      <c r="T39" s="1347">
        <f t="shared" ref="T39:T69" si="16">M39+O39+P39+Q39+R39+S39</f>
        <v>1.8219584682671379</v>
      </c>
      <c r="U39" s="593">
        <f>IF('TAR_Tab 2_Volumina'!V42="storage",1,0)</f>
        <v>0</v>
      </c>
      <c r="V39" s="1352">
        <f t="shared" si="12"/>
        <v>1.8219584682671379</v>
      </c>
      <c r="W39" s="1352">
        <f t="shared" si="13"/>
        <v>1.9195844429089883</v>
      </c>
      <c r="X39" s="1353">
        <f t="shared" si="14"/>
        <v>1.92</v>
      </c>
      <c r="Y39" s="1355">
        <f>X39+'TAR_Tab 13_Overige tarieven'!$T$15+'TAR_Tab 13_Overige tarieven'!$T$16</f>
        <v>2.073</v>
      </c>
      <c r="Z39" s="960"/>
    </row>
    <row r="40" spans="1:26">
      <c r="A40" s="160">
        <v>301093</v>
      </c>
      <c r="B40" s="156" t="s">
        <v>484</v>
      </c>
      <c r="C40" s="839">
        <v>1.0138043703216895</v>
      </c>
      <c r="D40" s="1346">
        <f t="shared" si="0"/>
        <v>0.9667638475387631</v>
      </c>
      <c r="E40" s="1346">
        <f t="shared" si="1"/>
        <v>1.0215236429173706</v>
      </c>
      <c r="G40" s="1347">
        <f t="shared" si="2"/>
        <v>0.97044746077150201</v>
      </c>
      <c r="H40" s="1347">
        <f t="shared" si="3"/>
        <v>1.0725998250632391</v>
      </c>
      <c r="I40" s="834">
        <v>1.0269239996091064</v>
      </c>
      <c r="J40" s="1348" t="b">
        <f t="shared" si="10"/>
        <v>1</v>
      </c>
      <c r="K40" s="1585"/>
      <c r="M40" s="1349">
        <f t="shared" si="15"/>
        <v>1.0269239996091064</v>
      </c>
      <c r="N40" s="1350"/>
      <c r="O40" s="1347">
        <f t="shared" si="5"/>
        <v>3.2293918612207755E-3</v>
      </c>
      <c r="P40" s="1347">
        <f t="shared" si="6"/>
        <v>2.5597465004122103E-3</v>
      </c>
      <c r="Q40" s="1347">
        <f t="shared" si="7"/>
        <v>7.0790566074286467E-3</v>
      </c>
      <c r="R40" s="1347">
        <f t="shared" si="8"/>
        <v>0</v>
      </c>
      <c r="S40" s="1347">
        <f t="shared" si="9"/>
        <v>6.6414850991963328E-2</v>
      </c>
      <c r="T40" s="1347">
        <f t="shared" si="16"/>
        <v>1.1062070455701312</v>
      </c>
      <c r="U40" s="593">
        <f>IF('TAR_Tab 2_Volumina'!V43="storage",1,0)</f>
        <v>0</v>
      </c>
      <c r="V40" s="1352">
        <f t="shared" si="12"/>
        <v>1.1062070455701312</v>
      </c>
      <c r="W40" s="1352">
        <f t="shared" si="13"/>
        <v>1.1654809219292226</v>
      </c>
      <c r="X40" s="1353">
        <f t="shared" si="14"/>
        <v>1.165</v>
      </c>
      <c r="Y40" s="1355">
        <f>X40+'TAR_Tab 13_Overige tarieven'!$T$15+'TAR_Tab 13_Overige tarieven'!$T$16</f>
        <v>1.3180000000000001</v>
      </c>
      <c r="Z40" s="960"/>
    </row>
    <row r="41" spans="1:26">
      <c r="A41" s="160">
        <v>301094</v>
      </c>
      <c r="B41" s="156" t="s">
        <v>485</v>
      </c>
      <c r="C41" s="839">
        <v>1.0259067181767689</v>
      </c>
      <c r="D41" s="1346">
        <f t="shared" ref="D41:D72" si="17">C41*$D$7</f>
        <v>0.9783046464533669</v>
      </c>
      <c r="E41" s="1346">
        <f t="shared" ref="E41:E72" si="18">D41*$E$7</f>
        <v>1.0337181400320863</v>
      </c>
      <c r="G41" s="1347">
        <f t="shared" ref="G41:G66" si="19">E41*$G$7</f>
        <v>0.98203223303048193</v>
      </c>
      <c r="H41" s="1347">
        <f t="shared" ref="H41:H66" si="20">E41*$H$7</f>
        <v>1.0854040470336908</v>
      </c>
      <c r="I41" s="834">
        <v>1.0391829637917673</v>
      </c>
      <c r="J41" s="1348" t="b">
        <f t="shared" si="10"/>
        <v>1</v>
      </c>
      <c r="K41" s="1585"/>
      <c r="M41" s="1349">
        <f t="shared" si="15"/>
        <v>1.0391829637917673</v>
      </c>
      <c r="N41" s="1350"/>
      <c r="O41" s="1347">
        <f t="shared" ref="O41:O66" si="21">$O$7*M41</f>
        <v>3.2679429119056866E-3</v>
      </c>
      <c r="P41" s="1347">
        <f t="shared" ref="P41:P66" si="22">$P$7*M41</f>
        <v>2.590303621170114E-3</v>
      </c>
      <c r="Q41" s="1347">
        <f t="shared" ref="Q41:Q66" si="23">$Q$7*M41</f>
        <v>7.1635632519617678E-3</v>
      </c>
      <c r="R41" s="1347">
        <f t="shared" ref="R41:R66" si="24">$R$7*M41</f>
        <v>0</v>
      </c>
      <c r="S41" s="1347">
        <f t="shared" ref="S41:S66" si="25">$S$7*M41</f>
        <v>6.7207682087367812E-2</v>
      </c>
      <c r="T41" s="1347">
        <f t="shared" si="16"/>
        <v>1.1194124556641727</v>
      </c>
      <c r="U41" s="593">
        <f>IF('TAR_Tab 2_Volumina'!V44="storage",1,0)</f>
        <v>0</v>
      </c>
      <c r="V41" s="1352">
        <f t="shared" si="12"/>
        <v>1.1194124556641727</v>
      </c>
      <c r="W41" s="1352">
        <f t="shared" si="13"/>
        <v>1.179393917324153</v>
      </c>
      <c r="X41" s="1353">
        <f t="shared" si="14"/>
        <v>1.179</v>
      </c>
      <c r="Y41" s="1355">
        <f>X41+'TAR_Tab 13_Overige tarieven'!$T$15+'TAR_Tab 13_Overige tarieven'!$T$16</f>
        <v>1.3320000000000001</v>
      </c>
      <c r="Z41" s="960"/>
    </row>
    <row r="42" spans="1:26">
      <c r="A42" s="160">
        <v>301096</v>
      </c>
      <c r="B42" s="156" t="s">
        <v>486</v>
      </c>
      <c r="C42" s="839">
        <v>0.98680682510651085</v>
      </c>
      <c r="D42" s="1346">
        <f t="shared" si="17"/>
        <v>0.94101898842156873</v>
      </c>
      <c r="E42" s="1346">
        <f t="shared" si="18"/>
        <v>0.99432053396915732</v>
      </c>
      <c r="G42" s="1347">
        <f t="shared" si="19"/>
        <v>0.94460450727069944</v>
      </c>
      <c r="H42" s="1347">
        <f t="shared" si="20"/>
        <v>1.0440365606676152</v>
      </c>
      <c r="I42" s="834">
        <v>0.9995770795093224</v>
      </c>
      <c r="J42" s="1348" t="b">
        <f t="shared" si="10"/>
        <v>1</v>
      </c>
      <c r="K42" s="1585"/>
      <c r="M42" s="1349">
        <f t="shared" si="15"/>
        <v>0.9995770795093224</v>
      </c>
      <c r="N42" s="1350"/>
      <c r="O42" s="1347">
        <f t="shared" si="21"/>
        <v>3.1433933635390452E-3</v>
      </c>
      <c r="P42" s="1347">
        <f t="shared" si="22"/>
        <v>2.4915806156445741E-3</v>
      </c>
      <c r="Q42" s="1347">
        <f t="shared" si="23"/>
        <v>6.8905417850085963E-3</v>
      </c>
      <c r="R42" s="1347">
        <f t="shared" si="24"/>
        <v>0</v>
      </c>
      <c r="S42" s="1347">
        <f t="shared" si="25"/>
        <v>6.464622777913781E-2</v>
      </c>
      <c r="T42" s="1347">
        <f t="shared" si="16"/>
        <v>1.0767488230526523</v>
      </c>
      <c r="U42" s="593">
        <f>IF('TAR_Tab 2_Volumina'!V45="storage",1,0)</f>
        <v>0</v>
      </c>
      <c r="V42" s="1352">
        <f t="shared" si="12"/>
        <v>1.0767488230526523</v>
      </c>
      <c r="W42" s="1352">
        <f t="shared" si="13"/>
        <v>1.1344442398943757</v>
      </c>
      <c r="X42" s="1353">
        <f t="shared" si="14"/>
        <v>1.1339999999999999</v>
      </c>
      <c r="Y42" s="1355">
        <f>X42+'TAR_Tab 13_Overige tarieven'!$T$15+'TAR_Tab 13_Overige tarieven'!$T$16</f>
        <v>1.2869999999999999</v>
      </c>
      <c r="Z42" s="960"/>
    </row>
    <row r="43" spans="1:26">
      <c r="A43" s="160">
        <v>301097</v>
      </c>
      <c r="B43" s="156" t="s">
        <v>487</v>
      </c>
      <c r="C43" s="839">
        <v>1.0138043703216895</v>
      </c>
      <c r="D43" s="1346">
        <f t="shared" si="17"/>
        <v>0.9667638475387631</v>
      </c>
      <c r="E43" s="1346">
        <f t="shared" si="18"/>
        <v>1.0215236429173706</v>
      </c>
      <c r="G43" s="1347">
        <f t="shared" si="19"/>
        <v>0.97044746077150201</v>
      </c>
      <c r="H43" s="1347">
        <f t="shared" si="20"/>
        <v>1.0725998250632391</v>
      </c>
      <c r="I43" s="834">
        <v>1.0269239996091064</v>
      </c>
      <c r="J43" s="1348" t="b">
        <f t="shared" si="10"/>
        <v>1</v>
      </c>
      <c r="K43" s="1585"/>
      <c r="M43" s="1349">
        <f t="shared" si="15"/>
        <v>1.0269239996091064</v>
      </c>
      <c r="N43" s="1350"/>
      <c r="O43" s="1347">
        <f t="shared" si="21"/>
        <v>3.2293918612207755E-3</v>
      </c>
      <c r="P43" s="1347">
        <f t="shared" si="22"/>
        <v>2.5597465004122103E-3</v>
      </c>
      <c r="Q43" s="1347">
        <f t="shared" si="23"/>
        <v>7.0790566074286467E-3</v>
      </c>
      <c r="R43" s="1347">
        <f t="shared" si="24"/>
        <v>0</v>
      </c>
      <c r="S43" s="1347">
        <f t="shared" si="25"/>
        <v>6.6414850991963328E-2</v>
      </c>
      <c r="T43" s="1347">
        <f t="shared" si="16"/>
        <v>1.1062070455701312</v>
      </c>
      <c r="U43" s="593">
        <f>IF('TAR_Tab 2_Volumina'!V46="storage",1,0)</f>
        <v>0</v>
      </c>
      <c r="V43" s="1352">
        <f t="shared" si="12"/>
        <v>1.1062070455701312</v>
      </c>
      <c r="W43" s="1352">
        <f t="shared" si="13"/>
        <v>1.1654809219292226</v>
      </c>
      <c r="X43" s="1353">
        <f t="shared" si="14"/>
        <v>1.165</v>
      </c>
      <c r="Y43" s="1355">
        <f>X43+'TAR_Tab 13_Overige tarieven'!$T$15+'TAR_Tab 13_Overige tarieven'!$T$16</f>
        <v>1.3180000000000001</v>
      </c>
      <c r="Z43" s="960"/>
    </row>
    <row r="44" spans="1:26">
      <c r="A44" s="160">
        <v>301098</v>
      </c>
      <c r="B44" s="156" t="s">
        <v>488</v>
      </c>
      <c r="C44" s="839">
        <v>0.98680682510651085</v>
      </c>
      <c r="D44" s="1346">
        <f t="shared" si="17"/>
        <v>0.94101898842156873</v>
      </c>
      <c r="E44" s="1346">
        <f t="shared" si="18"/>
        <v>0.99432053396915732</v>
      </c>
      <c r="G44" s="1347">
        <f t="shared" si="19"/>
        <v>0.94460450727069944</v>
      </c>
      <c r="H44" s="1347">
        <f t="shared" si="20"/>
        <v>1.0440365606676152</v>
      </c>
      <c r="I44" s="834">
        <v>0.9995770795093224</v>
      </c>
      <c r="J44" s="1348" t="b">
        <f t="shared" si="10"/>
        <v>1</v>
      </c>
      <c r="K44" s="1585"/>
      <c r="M44" s="1349">
        <f t="shared" si="15"/>
        <v>0.9995770795093224</v>
      </c>
      <c r="N44" s="1350"/>
      <c r="O44" s="1347">
        <f t="shared" si="21"/>
        <v>3.1433933635390452E-3</v>
      </c>
      <c r="P44" s="1347">
        <f t="shared" si="22"/>
        <v>2.4915806156445741E-3</v>
      </c>
      <c r="Q44" s="1347">
        <f t="shared" si="23"/>
        <v>6.8905417850085963E-3</v>
      </c>
      <c r="R44" s="1347">
        <f t="shared" si="24"/>
        <v>0</v>
      </c>
      <c r="S44" s="1347">
        <f t="shared" si="25"/>
        <v>6.464622777913781E-2</v>
      </c>
      <c r="T44" s="1347">
        <f t="shared" si="16"/>
        <v>1.0767488230526523</v>
      </c>
      <c r="U44" s="593">
        <f>IF('TAR_Tab 2_Volumina'!V47="storage",1,0)</f>
        <v>0</v>
      </c>
      <c r="V44" s="1352">
        <f t="shared" si="12"/>
        <v>1.0767488230526523</v>
      </c>
      <c r="W44" s="1352">
        <f t="shared" si="13"/>
        <v>1.1344442398943757</v>
      </c>
      <c r="X44" s="1353">
        <f t="shared" si="14"/>
        <v>1.1339999999999999</v>
      </c>
      <c r="Y44" s="1355">
        <f>X44+'TAR_Tab 13_Overige tarieven'!$T$15+'TAR_Tab 13_Overige tarieven'!$T$16</f>
        <v>1.2869999999999999</v>
      </c>
      <c r="Z44" s="960"/>
    </row>
    <row r="45" spans="1:26">
      <c r="A45" s="160">
        <v>301101</v>
      </c>
      <c r="B45" s="156" t="s">
        <v>489</v>
      </c>
      <c r="C45" s="839">
        <v>1.7669427868416581</v>
      </c>
      <c r="D45" s="1346">
        <f t="shared" si="17"/>
        <v>1.684956641532205</v>
      </c>
      <c r="E45" s="1346">
        <f t="shared" si="18"/>
        <v>1.7803965787485476</v>
      </c>
      <c r="G45" s="1347">
        <f t="shared" si="19"/>
        <v>1.6913767498111201</v>
      </c>
      <c r="H45" s="1347">
        <f t="shared" si="20"/>
        <v>1.8694164076859752</v>
      </c>
      <c r="I45" s="834">
        <v>1.789808770668579</v>
      </c>
      <c r="J45" s="1348" t="b">
        <f t="shared" si="10"/>
        <v>1</v>
      </c>
      <c r="K45" s="1585"/>
      <c r="M45" s="1349">
        <f t="shared" si="15"/>
        <v>1.789808770668579</v>
      </c>
      <c r="N45" s="1350"/>
      <c r="O45" s="1347">
        <f t="shared" si="21"/>
        <v>5.6284533999972708E-3</v>
      </c>
      <c r="P45" s="1347">
        <f t="shared" si="22"/>
        <v>4.4613396306541521E-3</v>
      </c>
      <c r="Q45" s="1347">
        <f t="shared" si="23"/>
        <v>1.2337970101836146E-2</v>
      </c>
      <c r="R45" s="1347">
        <f t="shared" si="24"/>
        <v>0</v>
      </c>
      <c r="S45" s="1347">
        <f t="shared" si="25"/>
        <v>0.11575333992905996</v>
      </c>
      <c r="T45" s="1347">
        <f t="shared" si="16"/>
        <v>1.9279898737301266</v>
      </c>
      <c r="U45" s="593">
        <f>IF('TAR_Tab 2_Volumina'!V48="storage",1,0)</f>
        <v>0</v>
      </c>
      <c r="V45" s="1352">
        <f t="shared" si="12"/>
        <v>1.9279898737301266</v>
      </c>
      <c r="W45" s="1352">
        <f t="shared" si="13"/>
        <v>2.0312973276599293</v>
      </c>
      <c r="X45" s="1353">
        <f t="shared" si="14"/>
        <v>2.0310000000000001</v>
      </c>
      <c r="Y45" s="1355">
        <f>X45+'TAR_Tab 13_Overige tarieven'!$T$15+'TAR_Tab 13_Overige tarieven'!$T$16</f>
        <v>2.1840000000000002</v>
      </c>
      <c r="Z45" s="960"/>
    </row>
    <row r="46" spans="1:26">
      <c r="A46" s="160">
        <v>301106</v>
      </c>
      <c r="B46" s="156" t="s">
        <v>490</v>
      </c>
      <c r="C46" s="839">
        <v>1.0594849457701121</v>
      </c>
      <c r="D46" s="1346">
        <f t="shared" si="17"/>
        <v>1.0103248442863788</v>
      </c>
      <c r="E46" s="1346">
        <f t="shared" si="18"/>
        <v>1.0675520377523895</v>
      </c>
      <c r="G46" s="1347">
        <f t="shared" si="19"/>
        <v>1.01417443586477</v>
      </c>
      <c r="H46" s="1347">
        <f t="shared" si="20"/>
        <v>1.120929639640009</v>
      </c>
      <c r="I46" s="834">
        <v>1.0731957267955403</v>
      </c>
      <c r="J46" s="1348" t="b">
        <f t="shared" si="10"/>
        <v>1</v>
      </c>
      <c r="K46" s="1585"/>
      <c r="M46" s="1349">
        <f t="shared" si="15"/>
        <v>1.0731957267955403</v>
      </c>
      <c r="N46" s="1350"/>
      <c r="O46" s="1347">
        <f t="shared" si="21"/>
        <v>3.3749036412915284E-3</v>
      </c>
      <c r="P46" s="1347">
        <f t="shared" si="22"/>
        <v>2.6750850179447522E-3</v>
      </c>
      <c r="Q46" s="1347">
        <f t="shared" si="23"/>
        <v>7.3980287769377295E-3</v>
      </c>
      <c r="R46" s="1347">
        <f t="shared" si="24"/>
        <v>0</v>
      </c>
      <c r="S46" s="1347">
        <f t="shared" si="25"/>
        <v>6.9407409221586502E-2</v>
      </c>
      <c r="T46" s="1347">
        <f t="shared" si="16"/>
        <v>1.1560511534533009</v>
      </c>
      <c r="U46" s="593">
        <f>IF('TAR_Tab 2_Volumina'!V49="storage",1,0)</f>
        <v>0</v>
      </c>
      <c r="V46" s="1352">
        <f t="shared" si="12"/>
        <v>1.1560511534533009</v>
      </c>
      <c r="W46" s="1352">
        <f t="shared" si="13"/>
        <v>1.2179958259348067</v>
      </c>
      <c r="X46" s="1353">
        <f t="shared" si="14"/>
        <v>1.218</v>
      </c>
      <c r="Y46" s="1355">
        <f>X46+'TAR_Tab 13_Overige tarieven'!$T$15+'TAR_Tab 13_Overige tarieven'!$T$16</f>
        <v>1.371</v>
      </c>
      <c r="Z46" s="960"/>
    </row>
    <row r="47" spans="1:26">
      <c r="A47" s="160">
        <v>301107</v>
      </c>
      <c r="B47" s="156" t="s">
        <v>53</v>
      </c>
      <c r="C47" s="839">
        <v>0.98680682510651085</v>
      </c>
      <c r="D47" s="1346">
        <f t="shared" si="17"/>
        <v>0.94101898842156873</v>
      </c>
      <c r="E47" s="1346">
        <f t="shared" si="18"/>
        <v>0.99432053396915732</v>
      </c>
      <c r="G47" s="1347">
        <f t="shared" si="19"/>
        <v>0.94460450727069944</v>
      </c>
      <c r="H47" s="1347">
        <f t="shared" si="20"/>
        <v>1.0440365606676152</v>
      </c>
      <c r="I47" s="834">
        <v>0.9995770795093224</v>
      </c>
      <c r="J47" s="1348" t="b">
        <f t="shared" si="10"/>
        <v>1</v>
      </c>
      <c r="K47" s="1585"/>
      <c r="M47" s="1349">
        <f t="shared" si="15"/>
        <v>0.9995770795093224</v>
      </c>
      <c r="N47" s="1350"/>
      <c r="O47" s="1347">
        <f t="shared" si="21"/>
        <v>3.1433933635390452E-3</v>
      </c>
      <c r="P47" s="1347">
        <f t="shared" si="22"/>
        <v>2.4915806156445741E-3</v>
      </c>
      <c r="Q47" s="1347">
        <f t="shared" si="23"/>
        <v>6.8905417850085963E-3</v>
      </c>
      <c r="R47" s="1347">
        <f t="shared" si="24"/>
        <v>0</v>
      </c>
      <c r="S47" s="1347">
        <f t="shared" si="25"/>
        <v>6.464622777913781E-2</v>
      </c>
      <c r="T47" s="1347">
        <f t="shared" si="16"/>
        <v>1.0767488230526523</v>
      </c>
      <c r="U47" s="593">
        <f>IF('TAR_Tab 2_Volumina'!V50="storage",1,0)</f>
        <v>0</v>
      </c>
      <c r="V47" s="1352">
        <f t="shared" si="12"/>
        <v>1.0767488230526523</v>
      </c>
      <c r="W47" s="1352">
        <f t="shared" si="13"/>
        <v>1.1344442398943757</v>
      </c>
      <c r="X47" s="1353">
        <f t="shared" si="14"/>
        <v>1.1339999999999999</v>
      </c>
      <c r="Y47" s="1355">
        <f>X47+'TAR_Tab 13_Overige tarieven'!$T$15+'TAR_Tab 13_Overige tarieven'!$T$16</f>
        <v>1.2869999999999999</v>
      </c>
      <c r="Z47" s="960"/>
    </row>
    <row r="48" spans="1:26">
      <c r="A48" s="160">
        <v>301108</v>
      </c>
      <c r="B48" s="156" t="s">
        <v>1143</v>
      </c>
      <c r="C48" s="839">
        <v>0.99239252411654799</v>
      </c>
      <c r="D48" s="1346">
        <f t="shared" si="17"/>
        <v>0.94634551099754016</v>
      </c>
      <c r="E48" s="1346">
        <f t="shared" si="18"/>
        <v>0.9999487634067189</v>
      </c>
      <c r="G48" s="1347">
        <f t="shared" si="19"/>
        <v>0.94995132523638293</v>
      </c>
      <c r="H48" s="1347">
        <f t="shared" si="20"/>
        <v>1.0499462015770549</v>
      </c>
      <c r="I48" s="834">
        <v>1.0052350629782434</v>
      </c>
      <c r="J48" s="1348" t="b">
        <f t="shared" si="10"/>
        <v>1</v>
      </c>
      <c r="K48" s="1585"/>
      <c r="M48" s="1349">
        <f t="shared" si="15"/>
        <v>1.0052350629782434</v>
      </c>
      <c r="N48" s="1350"/>
      <c r="O48" s="1347">
        <f t="shared" si="21"/>
        <v>3.161186156162852E-3</v>
      </c>
      <c r="P48" s="1347">
        <f t="shared" si="22"/>
        <v>2.5056839021482236E-3</v>
      </c>
      <c r="Q48" s="1347">
        <f t="shared" si="23"/>
        <v>6.9295448517161943E-3</v>
      </c>
      <c r="R48" s="1347">
        <f t="shared" si="24"/>
        <v>0</v>
      </c>
      <c r="S48" s="1347">
        <f t="shared" si="25"/>
        <v>6.501214982317069E-2</v>
      </c>
      <c r="T48" s="1347">
        <f t="shared" si="16"/>
        <v>1.0828436277114413</v>
      </c>
      <c r="U48" s="593">
        <f>IF('TAR_Tab 2_Volumina'!V51="storage",1,0)</f>
        <v>0</v>
      </c>
      <c r="V48" s="1352">
        <f t="shared" si="12"/>
        <v>1.0828436277114413</v>
      </c>
      <c r="W48" s="1352">
        <f t="shared" si="13"/>
        <v>1.1408656223843443</v>
      </c>
      <c r="X48" s="1353">
        <f t="shared" si="14"/>
        <v>1.141</v>
      </c>
      <c r="Y48" s="1355">
        <f>X48+'TAR_Tab 13_Overige tarieven'!$T$15+'TAR_Tab 13_Overige tarieven'!$T$16</f>
        <v>1.294</v>
      </c>
      <c r="Z48" s="960"/>
    </row>
    <row r="49" spans="1:26">
      <c r="A49" s="160">
        <v>301109</v>
      </c>
      <c r="B49" s="156" t="s">
        <v>491</v>
      </c>
      <c r="C49" s="839">
        <v>0.98680682510651085</v>
      </c>
      <c r="D49" s="1346">
        <f t="shared" si="17"/>
        <v>0.94101898842156873</v>
      </c>
      <c r="E49" s="1346">
        <f t="shared" si="18"/>
        <v>0.99432053396915732</v>
      </c>
      <c r="G49" s="1347">
        <f t="shared" si="19"/>
        <v>0.94460450727069944</v>
      </c>
      <c r="H49" s="1347">
        <f t="shared" si="20"/>
        <v>1.0440365606676152</v>
      </c>
      <c r="I49" s="834">
        <v>0.9995770795093224</v>
      </c>
      <c r="J49" s="1348" t="b">
        <f t="shared" si="10"/>
        <v>1</v>
      </c>
      <c r="K49" s="1585"/>
      <c r="M49" s="1349">
        <f t="shared" si="15"/>
        <v>0.9995770795093224</v>
      </c>
      <c r="N49" s="1350"/>
      <c r="O49" s="1347">
        <f t="shared" si="21"/>
        <v>3.1433933635390452E-3</v>
      </c>
      <c r="P49" s="1347">
        <f t="shared" si="22"/>
        <v>2.4915806156445741E-3</v>
      </c>
      <c r="Q49" s="1347">
        <f t="shared" si="23"/>
        <v>6.8905417850085963E-3</v>
      </c>
      <c r="R49" s="1347">
        <f t="shared" si="24"/>
        <v>0</v>
      </c>
      <c r="S49" s="1347">
        <f t="shared" si="25"/>
        <v>6.464622777913781E-2</v>
      </c>
      <c r="T49" s="1347">
        <f t="shared" si="16"/>
        <v>1.0767488230526523</v>
      </c>
      <c r="U49" s="593">
        <f>IF('TAR_Tab 2_Volumina'!V52="storage",1,0)</f>
        <v>0</v>
      </c>
      <c r="V49" s="1352">
        <f t="shared" si="12"/>
        <v>1.0767488230526523</v>
      </c>
      <c r="W49" s="1352">
        <f t="shared" si="13"/>
        <v>1.1344442398943757</v>
      </c>
      <c r="X49" s="1353">
        <f t="shared" si="14"/>
        <v>1.1339999999999999</v>
      </c>
      <c r="Y49" s="1355">
        <f>X49+'TAR_Tab 13_Overige tarieven'!$T$15+'TAR_Tab 13_Overige tarieven'!$T$16</f>
        <v>1.2869999999999999</v>
      </c>
      <c r="Z49" s="960"/>
    </row>
    <row r="50" spans="1:26">
      <c r="A50" s="160">
        <v>301111</v>
      </c>
      <c r="B50" s="156" t="s">
        <v>54</v>
      </c>
      <c r="C50" s="839">
        <v>1.7151661952278423</v>
      </c>
      <c r="D50" s="1346">
        <f t="shared" si="17"/>
        <v>1.6355824837692705</v>
      </c>
      <c r="E50" s="1346">
        <f t="shared" si="18"/>
        <v>1.7282257516821709</v>
      </c>
      <c r="G50" s="1347">
        <f t="shared" si="19"/>
        <v>1.6418144640980623</v>
      </c>
      <c r="H50" s="1347">
        <f t="shared" si="20"/>
        <v>1.8146370392662794</v>
      </c>
      <c r="I50" s="834">
        <v>1.7373621388501395</v>
      </c>
      <c r="J50" s="1348" t="b">
        <f t="shared" si="10"/>
        <v>1</v>
      </c>
      <c r="K50" s="1585"/>
      <c r="M50" s="1349">
        <f t="shared" si="15"/>
        <v>1.7373621388501395</v>
      </c>
      <c r="N50" s="1350"/>
      <c r="O50" s="1347">
        <f t="shared" si="21"/>
        <v>5.4635232532606265E-3</v>
      </c>
      <c r="P50" s="1347">
        <f t="shared" si="22"/>
        <v>4.3306093309369775E-3</v>
      </c>
      <c r="Q50" s="1347">
        <f t="shared" si="23"/>
        <v>1.1976431491721838E-2</v>
      </c>
      <c r="R50" s="1347">
        <f t="shared" si="24"/>
        <v>0</v>
      </c>
      <c r="S50" s="1347">
        <f t="shared" si="25"/>
        <v>0.11236142851343631</v>
      </c>
      <c r="T50" s="1347">
        <f t="shared" si="16"/>
        <v>1.8714941314394953</v>
      </c>
      <c r="U50" s="593">
        <f>IF('TAR_Tab 2_Volumina'!V53="storage",1,0)</f>
        <v>0</v>
      </c>
      <c r="V50" s="1352">
        <f t="shared" si="12"/>
        <v>1.8714941314394953</v>
      </c>
      <c r="W50" s="1352">
        <f t="shared" si="13"/>
        <v>1.9717743748152159</v>
      </c>
      <c r="X50" s="1353">
        <f t="shared" si="14"/>
        <v>1.972</v>
      </c>
      <c r="Y50" s="1355">
        <f>X50+'TAR_Tab 13_Overige tarieven'!$T$15+'TAR_Tab 13_Overige tarieven'!$T$16</f>
        <v>2.125</v>
      </c>
      <c r="Z50" s="960"/>
    </row>
    <row r="51" spans="1:26">
      <c r="A51" s="160">
        <v>301112</v>
      </c>
      <c r="B51" s="156" t="s">
        <v>492</v>
      </c>
      <c r="C51" s="839">
        <v>0.90188686100761051</v>
      </c>
      <c r="D51" s="1346">
        <f t="shared" si="17"/>
        <v>0.86003931065685735</v>
      </c>
      <c r="E51" s="1346">
        <f t="shared" si="18"/>
        <v>0.90875397534878444</v>
      </c>
      <c r="G51" s="1347">
        <f t="shared" si="19"/>
        <v>0.86331627658134513</v>
      </c>
      <c r="H51" s="1347">
        <f t="shared" si="20"/>
        <v>0.95419167411622374</v>
      </c>
      <c r="I51" s="834">
        <v>0.86331627658134513</v>
      </c>
      <c r="J51" s="1348" t="b">
        <f t="shared" si="10"/>
        <v>1</v>
      </c>
      <c r="K51" s="1585"/>
      <c r="M51" s="1349">
        <f t="shared" si="15"/>
        <v>0.86331627658134513</v>
      </c>
      <c r="N51" s="1350"/>
      <c r="O51" s="1347">
        <f t="shared" si="21"/>
        <v>2.7148908374061307E-3</v>
      </c>
      <c r="P51" s="1347">
        <f t="shared" si="22"/>
        <v>2.1519321961208176E-3</v>
      </c>
      <c r="Q51" s="1347">
        <f t="shared" si="23"/>
        <v>5.9512337761705517E-3</v>
      </c>
      <c r="R51" s="1347">
        <f t="shared" si="24"/>
        <v>0</v>
      </c>
      <c r="S51" s="1347">
        <f t="shared" si="25"/>
        <v>5.58337538999105E-2</v>
      </c>
      <c r="T51" s="1347">
        <f t="shared" si="16"/>
        <v>0.92996808729095326</v>
      </c>
      <c r="U51" s="593">
        <f>IF('TAR_Tab 2_Volumina'!V54="storage",1,0)</f>
        <v>0</v>
      </c>
      <c r="V51" s="1352">
        <f t="shared" si="12"/>
        <v>0.92996808729095326</v>
      </c>
      <c r="W51" s="1352">
        <f t="shared" si="13"/>
        <v>0.97979855406001526</v>
      </c>
      <c r="X51" s="1353">
        <f t="shared" si="14"/>
        <v>0.98</v>
      </c>
      <c r="Y51" s="1355">
        <f>X51+'TAR_Tab 13_Overige tarieven'!$T$15+'TAR_Tab 13_Overige tarieven'!$T$16</f>
        <v>1.133</v>
      </c>
      <c r="Z51" s="960"/>
    </row>
    <row r="52" spans="1:26">
      <c r="A52" s="160">
        <v>301113</v>
      </c>
      <c r="B52" s="156" t="s">
        <v>493</v>
      </c>
      <c r="C52" s="839">
        <v>0.90188686100761051</v>
      </c>
      <c r="D52" s="1346">
        <f t="shared" si="17"/>
        <v>0.86003931065685735</v>
      </c>
      <c r="E52" s="1346">
        <f t="shared" si="18"/>
        <v>0.90875397534878444</v>
      </c>
      <c r="G52" s="1347">
        <f t="shared" si="19"/>
        <v>0.86331627658134513</v>
      </c>
      <c r="H52" s="1347">
        <f t="shared" si="20"/>
        <v>0.95419167411622374</v>
      </c>
      <c r="I52" s="834">
        <v>0.86331627658134513</v>
      </c>
      <c r="J52" s="1348" t="b">
        <f t="shared" si="10"/>
        <v>1</v>
      </c>
      <c r="K52" s="1585"/>
      <c r="M52" s="1349">
        <f t="shared" si="15"/>
        <v>0.86331627658134513</v>
      </c>
      <c r="N52" s="1350"/>
      <c r="O52" s="1347">
        <f t="shared" si="21"/>
        <v>2.7148908374061307E-3</v>
      </c>
      <c r="P52" s="1347">
        <f t="shared" si="22"/>
        <v>2.1519321961208176E-3</v>
      </c>
      <c r="Q52" s="1347">
        <f t="shared" si="23"/>
        <v>5.9512337761705517E-3</v>
      </c>
      <c r="R52" s="1347">
        <f t="shared" si="24"/>
        <v>0</v>
      </c>
      <c r="S52" s="1347">
        <f t="shared" si="25"/>
        <v>5.58337538999105E-2</v>
      </c>
      <c r="T52" s="1347">
        <f t="shared" si="16"/>
        <v>0.92996808729095326</v>
      </c>
      <c r="U52" s="593">
        <f>IF('TAR_Tab 2_Volumina'!V55="storage",1,0)</f>
        <v>0</v>
      </c>
      <c r="V52" s="1352">
        <f t="shared" si="12"/>
        <v>0.92996808729095326</v>
      </c>
      <c r="W52" s="1352">
        <f t="shared" si="13"/>
        <v>0.97979855406001526</v>
      </c>
      <c r="X52" s="1353">
        <f t="shared" si="14"/>
        <v>0.98</v>
      </c>
      <c r="Y52" s="1355">
        <f>X52+'TAR_Tab 13_Overige tarieven'!$T$15+'TAR_Tab 13_Overige tarieven'!$T$16</f>
        <v>1.133</v>
      </c>
      <c r="Z52" s="960"/>
    </row>
    <row r="53" spans="1:26">
      <c r="A53" s="160">
        <v>301114</v>
      </c>
      <c r="B53" s="156" t="s">
        <v>351</v>
      </c>
      <c r="C53" s="839">
        <v>1.1058519709004622</v>
      </c>
      <c r="D53" s="1346">
        <f t="shared" si="17"/>
        <v>1.0545404394506808</v>
      </c>
      <c r="E53" s="1346">
        <f t="shared" si="18"/>
        <v>1.1142721090096945</v>
      </c>
      <c r="G53" s="1347">
        <f t="shared" si="19"/>
        <v>1.0585585035592098</v>
      </c>
      <c r="H53" s="1347">
        <f t="shared" si="20"/>
        <v>1.1699857144601793</v>
      </c>
      <c r="I53" s="834">
        <v>1.1201627870003865</v>
      </c>
      <c r="J53" s="1348" t="b">
        <f t="shared" si="10"/>
        <v>1</v>
      </c>
      <c r="K53" s="1585"/>
      <c r="M53" s="1349">
        <f t="shared" si="15"/>
        <v>1.1201627870003865</v>
      </c>
      <c r="N53" s="1350"/>
      <c r="O53" s="1347">
        <f t="shared" si="21"/>
        <v>3.5226020513284256E-3</v>
      </c>
      <c r="P53" s="1347">
        <f t="shared" si="22"/>
        <v>2.7921567467579528E-3</v>
      </c>
      <c r="Q53" s="1347">
        <f t="shared" si="23"/>
        <v>7.7217941948276346E-3</v>
      </c>
      <c r="R53" s="1347">
        <f t="shared" si="24"/>
        <v>0</v>
      </c>
      <c r="S53" s="1347">
        <f t="shared" si="25"/>
        <v>7.2444937126497466E-2</v>
      </c>
      <c r="T53" s="1347">
        <f t="shared" si="16"/>
        <v>1.2066442771197978</v>
      </c>
      <c r="U53" s="593">
        <f>IF('TAR_Tab 2_Volumina'!V56="storage",1,0)</f>
        <v>1</v>
      </c>
      <c r="V53" s="1352">
        <f t="shared" si="12"/>
        <v>0.90498320783984831</v>
      </c>
      <c r="W53" s="1352">
        <f t="shared" si="13"/>
        <v>0.90498320783984831</v>
      </c>
      <c r="X53" s="1353">
        <f t="shared" si="14"/>
        <v>0.90500000000000003</v>
      </c>
      <c r="Y53" s="1355">
        <f>X53+'TAR_Tab 13_Overige tarieven'!$T$15+'TAR_Tab 13_Overige tarieven'!$T$16</f>
        <v>1.0580000000000001</v>
      </c>
      <c r="Z53" s="960"/>
    </row>
    <row r="54" spans="1:26">
      <c r="A54" s="160">
        <v>301116</v>
      </c>
      <c r="B54" s="156" t="s">
        <v>352</v>
      </c>
      <c r="C54" s="839">
        <v>1.3867930513167774</v>
      </c>
      <c r="D54" s="1346">
        <f t="shared" si="17"/>
        <v>1.3224458537356789</v>
      </c>
      <c r="E54" s="1346">
        <f t="shared" si="18"/>
        <v>1.3973523208467695</v>
      </c>
      <c r="G54" s="1347">
        <f t="shared" si="19"/>
        <v>1.3274847048044309</v>
      </c>
      <c r="H54" s="1347">
        <f t="shared" si="20"/>
        <v>1.4672199368891081</v>
      </c>
      <c r="I54" s="834">
        <v>1.4047395223167678</v>
      </c>
      <c r="J54" s="1348" t="b">
        <f t="shared" si="10"/>
        <v>1</v>
      </c>
      <c r="K54" s="1585"/>
      <c r="M54" s="1349">
        <f t="shared" si="15"/>
        <v>1.4047395223167678</v>
      </c>
      <c r="N54" s="1350"/>
      <c r="O54" s="1347">
        <f t="shared" si="21"/>
        <v>4.4175171504723908E-3</v>
      </c>
      <c r="P54" s="1347">
        <f t="shared" si="22"/>
        <v>3.5015026210408768E-3</v>
      </c>
      <c r="Q54" s="1347">
        <f t="shared" si="23"/>
        <v>9.6835117311095068E-3</v>
      </c>
      <c r="R54" s="1347">
        <f t="shared" si="24"/>
        <v>0</v>
      </c>
      <c r="S54" s="1347">
        <f t="shared" si="25"/>
        <v>9.0849533259230841E-2</v>
      </c>
      <c r="T54" s="1347">
        <f t="shared" si="16"/>
        <v>1.5131915870786217</v>
      </c>
      <c r="U54" s="593">
        <f>IF('TAR_Tab 2_Volumina'!V57="storage",1,0)</f>
        <v>1</v>
      </c>
      <c r="V54" s="1352">
        <f t="shared" si="12"/>
        <v>1.1348936903089664</v>
      </c>
      <c r="W54" s="1352">
        <f>IF(U54=0,V54*(1+$W$7),V54)</f>
        <v>1.1348936903089664</v>
      </c>
      <c r="X54" s="1353">
        <f t="shared" si="14"/>
        <v>1.135</v>
      </c>
      <c r="Y54" s="1355">
        <f>X54+'TAR_Tab 13_Overige tarieven'!$T$15+'TAR_Tab 13_Overige tarieven'!$T$16</f>
        <v>1.288</v>
      </c>
      <c r="Z54" s="960"/>
    </row>
    <row r="55" spans="1:26">
      <c r="A55" s="160">
        <v>301118</v>
      </c>
      <c r="B55" s="156" t="s">
        <v>256</v>
      </c>
      <c r="C55" s="839">
        <v>1.3000595634030156</v>
      </c>
      <c r="D55" s="1346">
        <f t="shared" si="17"/>
        <v>1.2397367996611157</v>
      </c>
      <c r="E55" s="1346">
        <f t="shared" si="18"/>
        <v>1.3099584299440483</v>
      </c>
      <c r="G55" s="1347">
        <f t="shared" si="19"/>
        <v>1.2444605084468459</v>
      </c>
      <c r="H55" s="1347">
        <f t="shared" si="20"/>
        <v>1.3754563514412508</v>
      </c>
      <c r="I55" s="834">
        <v>1.3168836174539924</v>
      </c>
      <c r="J55" s="1348" t="b">
        <f t="shared" si="10"/>
        <v>1</v>
      </c>
      <c r="K55" s="1585"/>
      <c r="M55" s="1349">
        <f t="shared" si="15"/>
        <v>1.3168836174539924</v>
      </c>
      <c r="N55" s="1350"/>
      <c r="O55" s="1347">
        <f t="shared" si="21"/>
        <v>4.1412346366427105E-3</v>
      </c>
      <c r="P55" s="1347">
        <f t="shared" si="22"/>
        <v>3.2825099350206454E-3</v>
      </c>
      <c r="Q55" s="1347">
        <f t="shared" si="23"/>
        <v>9.0778808138681239E-3</v>
      </c>
      <c r="R55" s="1347">
        <f t="shared" si="24"/>
        <v>0</v>
      </c>
      <c r="S55" s="1347">
        <f t="shared" si="25"/>
        <v>8.5167577406172215E-2</v>
      </c>
      <c r="T55" s="1347">
        <f t="shared" si="16"/>
        <v>1.4185528202456961</v>
      </c>
      <c r="U55" s="593">
        <f>IF('TAR_Tab 2_Volumina'!V58="storage",1,0)</f>
        <v>1</v>
      </c>
      <c r="V55" s="1352">
        <f t="shared" si="12"/>
        <v>1.063914615184272</v>
      </c>
      <c r="W55" s="1352">
        <f t="shared" si="13"/>
        <v>1.063914615184272</v>
      </c>
      <c r="X55" s="1353">
        <f t="shared" si="14"/>
        <v>1.0640000000000001</v>
      </c>
      <c r="Y55" s="1355">
        <f>X55+'TAR_Tab 13_Overige tarieven'!$T$15+'TAR_Tab 13_Overige tarieven'!$T$16</f>
        <v>1.2170000000000001</v>
      </c>
      <c r="Z55" s="960"/>
    </row>
    <row r="56" spans="1:26">
      <c r="A56" s="160">
        <v>301128</v>
      </c>
      <c r="B56" s="156" t="s">
        <v>497</v>
      </c>
      <c r="C56" s="839">
        <v>0.43555295017562973</v>
      </c>
      <c r="D56" s="1346">
        <f t="shared" si="17"/>
        <v>0.41534329328748049</v>
      </c>
      <c r="E56" s="1346">
        <f t="shared" si="18"/>
        <v>0.43886932170714321</v>
      </c>
      <c r="G56" s="1347">
        <f t="shared" si="19"/>
        <v>0.41692585562178602</v>
      </c>
      <c r="H56" s="1347">
        <f t="shared" si="20"/>
        <v>0.4608127877925004</v>
      </c>
      <c r="I56" s="834">
        <v>0.44118943528915494</v>
      </c>
      <c r="J56" s="1348" t="b">
        <f t="shared" si="10"/>
        <v>1</v>
      </c>
      <c r="K56" s="1585"/>
      <c r="M56" s="1349">
        <f t="shared" si="15"/>
        <v>0.44118943528915494</v>
      </c>
      <c r="N56" s="1350"/>
      <c r="O56" s="1347">
        <f t="shared" si="21"/>
        <v>1.3874187107533957E-3</v>
      </c>
      <c r="P56" s="1347">
        <f t="shared" si="22"/>
        <v>1.0997241406668155E-3</v>
      </c>
      <c r="Q56" s="1347">
        <f t="shared" si="23"/>
        <v>3.0413204757121642E-3</v>
      </c>
      <c r="R56" s="1347">
        <f t="shared" si="24"/>
        <v>0</v>
      </c>
      <c r="S56" s="1347">
        <f t="shared" si="25"/>
        <v>2.8533300044707451E-2</v>
      </c>
      <c r="T56" s="1347">
        <f t="shared" si="16"/>
        <v>0.47525119866099474</v>
      </c>
      <c r="U56" s="593">
        <f>IF('TAR_Tab 2_Volumina'!V59="storage",1,0)</f>
        <v>0</v>
      </c>
      <c r="V56" s="1352">
        <f t="shared" si="12"/>
        <v>0.47525119866099474</v>
      </c>
      <c r="W56" s="1352">
        <f t="shared" si="13"/>
        <v>0.50071657686641302</v>
      </c>
      <c r="X56" s="1353">
        <f t="shared" si="14"/>
        <v>0.501</v>
      </c>
      <c r="Y56" s="1355">
        <f>X56+'TAR_Tab 13_Overige tarieven'!$T$15+'TAR_Tab 13_Overige tarieven'!$T$16</f>
        <v>0.65400000000000003</v>
      </c>
      <c r="Z56" s="960"/>
    </row>
    <row r="57" spans="1:26">
      <c r="A57" s="160">
        <v>301184</v>
      </c>
      <c r="B57" s="156" t="s">
        <v>494</v>
      </c>
      <c r="C57" s="839">
        <v>1.4632886420824944</v>
      </c>
      <c r="D57" s="1346">
        <f t="shared" si="17"/>
        <v>1.3953920490898666</v>
      </c>
      <c r="E57" s="1346">
        <f t="shared" si="18"/>
        <v>1.4744303615749983</v>
      </c>
      <c r="G57" s="1347">
        <f t="shared" si="19"/>
        <v>1.4007088434962482</v>
      </c>
      <c r="H57" s="1347">
        <f t="shared" si="20"/>
        <v>1.5481518796537483</v>
      </c>
      <c r="I57" s="834">
        <v>1.4822250415364819</v>
      </c>
      <c r="J57" s="1348" t="b">
        <f t="shared" si="10"/>
        <v>1</v>
      </c>
      <c r="K57" s="1585"/>
      <c r="M57" s="1349">
        <f t="shared" si="15"/>
        <v>1.4822250415364819</v>
      </c>
      <c r="N57" s="1350"/>
      <c r="O57" s="1347">
        <f t="shared" si="21"/>
        <v>4.6611876706139591E-3</v>
      </c>
      <c r="P57" s="1347">
        <f t="shared" si="22"/>
        <v>3.6946457228972797E-3</v>
      </c>
      <c r="Q57" s="1347">
        <f t="shared" si="23"/>
        <v>1.0217654839091353E-2</v>
      </c>
      <c r="R57" s="1347">
        <f t="shared" si="24"/>
        <v>0</v>
      </c>
      <c r="S57" s="1347">
        <f t="shared" si="25"/>
        <v>9.5860799151323242E-2</v>
      </c>
      <c r="T57" s="1347">
        <f t="shared" si="16"/>
        <v>1.5966593289204076</v>
      </c>
      <c r="U57" s="593">
        <f>IF('TAR_Tab 2_Volumina'!V60="storage",1,0)</f>
        <v>0</v>
      </c>
      <c r="V57" s="1352">
        <f t="shared" si="12"/>
        <v>1.5966593289204076</v>
      </c>
      <c r="W57" s="1352">
        <f t="shared" si="13"/>
        <v>1.6822131029892042</v>
      </c>
      <c r="X57" s="1353">
        <f t="shared" si="14"/>
        <v>1.6819999999999999</v>
      </c>
      <c r="Y57" s="1355">
        <f>X57+'TAR_Tab 13_Overige tarieven'!$T$15+'TAR_Tab 13_Overige tarieven'!$T$16</f>
        <v>1.835</v>
      </c>
      <c r="Z57" s="960"/>
    </row>
    <row r="58" spans="1:26">
      <c r="A58" s="160">
        <v>301185</v>
      </c>
      <c r="B58" s="156" t="s">
        <v>1123</v>
      </c>
      <c r="C58" s="839">
        <v>0.94845897299608706</v>
      </c>
      <c r="D58" s="1346">
        <f t="shared" si="17"/>
        <v>0.90445047664906864</v>
      </c>
      <c r="E58" s="1346">
        <f t="shared" si="18"/>
        <v>0.95568069502915887</v>
      </c>
      <c r="G58" s="1347">
        <f t="shared" si="19"/>
        <v>0.90789666027770088</v>
      </c>
      <c r="H58" s="1347">
        <f t="shared" si="20"/>
        <v>1.003464729780617</v>
      </c>
      <c r="I58" s="834">
        <v>0.96073296833907851</v>
      </c>
      <c r="J58" s="1348" t="b">
        <f t="shared" si="10"/>
        <v>1</v>
      </c>
      <c r="K58" s="1585"/>
      <c r="M58" s="1349">
        <f t="shared" si="15"/>
        <v>0.96073296833907851</v>
      </c>
      <c r="N58" s="1350"/>
      <c r="O58" s="1347">
        <f t="shared" si="21"/>
        <v>3.0212393808516313E-3</v>
      </c>
      <c r="P58" s="1347">
        <f t="shared" si="22"/>
        <v>2.3947564322897175E-3</v>
      </c>
      <c r="Q58" s="1347">
        <f t="shared" si="23"/>
        <v>6.6227715683771044E-3</v>
      </c>
      <c r="R58" s="1347">
        <f t="shared" si="24"/>
        <v>0</v>
      </c>
      <c r="S58" s="1347">
        <f t="shared" si="25"/>
        <v>6.2134040064887291E-2</v>
      </c>
      <c r="T58" s="1347">
        <f t="shared" si="16"/>
        <v>1.0349057757854843</v>
      </c>
      <c r="U58" s="593">
        <f>IF('TAR_Tab 2_Volumina'!V61="storage",1,0)</f>
        <v>1</v>
      </c>
      <c r="V58" s="1352">
        <f t="shared" si="12"/>
        <v>0.77617933183911325</v>
      </c>
      <c r="W58" s="1352">
        <f t="shared" si="13"/>
        <v>0.77617933183911325</v>
      </c>
      <c r="X58" s="1353">
        <f t="shared" si="14"/>
        <v>0.77600000000000002</v>
      </c>
      <c r="Y58" s="1355">
        <f>X58+'TAR_Tab 13_Overige tarieven'!$T$15+'TAR_Tab 13_Overige tarieven'!$T$16</f>
        <v>0.92900000000000005</v>
      </c>
      <c r="Z58" s="960"/>
    </row>
    <row r="59" spans="1:26">
      <c r="A59" s="160">
        <v>301198</v>
      </c>
      <c r="B59" s="156" t="s">
        <v>1126</v>
      </c>
      <c r="C59" s="839">
        <v>1.289689255065501</v>
      </c>
      <c r="D59" s="1346">
        <f t="shared" si="17"/>
        <v>1.2298476736304618</v>
      </c>
      <c r="E59" s="1346">
        <f t="shared" si="18"/>
        <v>1.299509160379593</v>
      </c>
      <c r="G59" s="1347">
        <f t="shared" si="19"/>
        <v>1.2345337023606133</v>
      </c>
      <c r="H59" s="1347">
        <f t="shared" si="20"/>
        <v>1.3644846183985726</v>
      </c>
      <c r="I59" s="834">
        <v>1.3063791070899653</v>
      </c>
      <c r="J59" s="1348" t="b">
        <f t="shared" si="10"/>
        <v>1</v>
      </c>
      <c r="K59" s="1585"/>
      <c r="M59" s="1349">
        <f t="shared" si="15"/>
        <v>1.3063791070899653</v>
      </c>
      <c r="N59" s="1350"/>
      <c r="O59" s="1347">
        <f t="shared" si="21"/>
        <v>4.1082008578152496E-3</v>
      </c>
      <c r="P59" s="1347">
        <f t="shared" si="22"/>
        <v>3.2563260269095318E-3</v>
      </c>
      <c r="Q59" s="1347">
        <f t="shared" si="23"/>
        <v>9.0054684215892661E-3</v>
      </c>
      <c r="R59" s="1347">
        <f t="shared" si="24"/>
        <v>0</v>
      </c>
      <c r="S59" s="1347">
        <f t="shared" si="25"/>
        <v>8.4488213119393488E-2</v>
      </c>
      <c r="T59" s="1347">
        <f t="shared" si="16"/>
        <v>1.407237315515673</v>
      </c>
      <c r="U59" s="593">
        <f>IF('TAR_Tab 2_Volumina'!V62="storage",1,0)</f>
        <v>1</v>
      </c>
      <c r="V59" s="1352">
        <f t="shared" si="12"/>
        <v>1.0554279866367549</v>
      </c>
      <c r="W59" s="1352">
        <f t="shared" si="13"/>
        <v>1.0554279866367549</v>
      </c>
      <c r="X59" s="1353">
        <f t="shared" si="14"/>
        <v>1.0549999999999999</v>
      </c>
      <c r="Y59" s="1355">
        <f>X59+'TAR_Tab 13_Overige tarieven'!$T$15+'TAR_Tab 13_Overige tarieven'!$T$16</f>
        <v>1.208</v>
      </c>
      <c r="Z59" s="960"/>
    </row>
    <row r="60" spans="1:26">
      <c r="A60" s="160">
        <v>301214</v>
      </c>
      <c r="B60" s="156" t="s">
        <v>495</v>
      </c>
      <c r="C60" s="839">
        <v>1.6140371465390917</v>
      </c>
      <c r="D60" s="1346">
        <f t="shared" si="17"/>
        <v>1.5391458229396779</v>
      </c>
      <c r="E60" s="1346">
        <f t="shared" si="18"/>
        <v>1.626326689845891</v>
      </c>
      <c r="G60" s="1347">
        <f t="shared" si="19"/>
        <v>1.5450103553535963</v>
      </c>
      <c r="H60" s="1347">
        <f t="shared" si="20"/>
        <v>1.7076430243381857</v>
      </c>
      <c r="I60" s="834">
        <v>1.5450103553535963</v>
      </c>
      <c r="J60" s="1348" t="b">
        <f t="shared" si="10"/>
        <v>1</v>
      </c>
      <c r="K60" s="1585"/>
      <c r="M60" s="1349">
        <f t="shared" si="15"/>
        <v>1.5450103553535963</v>
      </c>
      <c r="N60" s="1350"/>
      <c r="O60" s="1347">
        <f t="shared" si="21"/>
        <v>4.8586301118485201E-3</v>
      </c>
      <c r="P60" s="1347">
        <f t="shared" si="22"/>
        <v>3.8511465811709362E-3</v>
      </c>
      <c r="Q60" s="1347">
        <f t="shared" si="23"/>
        <v>1.0650462710750508E-2</v>
      </c>
      <c r="R60" s="1347">
        <f t="shared" si="24"/>
        <v>0</v>
      </c>
      <c r="S60" s="1347">
        <f t="shared" si="25"/>
        <v>9.9921350139745513E-2</v>
      </c>
      <c r="T60" s="1347">
        <f t="shared" si="16"/>
        <v>1.6642919448971119</v>
      </c>
      <c r="U60" s="593">
        <f>IF('TAR_Tab 2_Volumina'!V63="storage",1,0)</f>
        <v>0</v>
      </c>
      <c r="V60" s="1352">
        <f t="shared" si="12"/>
        <v>1.6642919448971119</v>
      </c>
      <c r="W60" s="1352">
        <f t="shared" si="13"/>
        <v>1.7534696764640085</v>
      </c>
      <c r="X60" s="1353">
        <f t="shared" si="14"/>
        <v>1.7529999999999999</v>
      </c>
      <c r="Y60" s="1355">
        <f>X60+'TAR_Tab 13_Overige tarieven'!$T$15+'TAR_Tab 13_Overige tarieven'!$T$16</f>
        <v>1.9059999999999999</v>
      </c>
      <c r="Z60" s="960"/>
    </row>
    <row r="61" spans="1:26">
      <c r="A61" s="160">
        <v>301276</v>
      </c>
      <c r="B61" s="156" t="s">
        <v>56</v>
      </c>
      <c r="C61" s="839">
        <v>1.7884068105696309</v>
      </c>
      <c r="D61" s="1346">
        <f t="shared" si="17"/>
        <v>1.7054247345592</v>
      </c>
      <c r="E61" s="1346">
        <f t="shared" si="18"/>
        <v>1.8020240330702393</v>
      </c>
      <c r="G61" s="1347">
        <f t="shared" si="19"/>
        <v>1.7119228314167272</v>
      </c>
      <c r="H61" s="1347">
        <f t="shared" si="20"/>
        <v>1.8921252347237514</v>
      </c>
      <c r="I61" s="834">
        <v>1.8115505600509236</v>
      </c>
      <c r="J61" s="1348" t="b">
        <f t="shared" si="10"/>
        <v>1</v>
      </c>
      <c r="K61" s="1585"/>
      <c r="M61" s="1349">
        <f t="shared" si="15"/>
        <v>1.8115505600509236</v>
      </c>
      <c r="N61" s="1350"/>
      <c r="O61" s="1347">
        <f t="shared" si="21"/>
        <v>5.6968253123359115E-3</v>
      </c>
      <c r="P61" s="1347">
        <f t="shared" si="22"/>
        <v>4.5155339715258628E-3</v>
      </c>
      <c r="Q61" s="1347">
        <f t="shared" si="23"/>
        <v>1.2487846195727216E-2</v>
      </c>
      <c r="R61" s="1347">
        <f t="shared" si="24"/>
        <v>0</v>
      </c>
      <c r="S61" s="1347">
        <f t="shared" si="25"/>
        <v>0.11715945927448057</v>
      </c>
      <c r="T61" s="1347">
        <f t="shared" si="16"/>
        <v>1.9514102248049934</v>
      </c>
      <c r="U61" s="593">
        <f>IF('TAR_Tab 2_Volumina'!V64="storage",1,0)</f>
        <v>1</v>
      </c>
      <c r="V61" s="1352">
        <f t="shared" si="12"/>
        <v>1.463557668603745</v>
      </c>
      <c r="W61" s="1352">
        <f t="shared" si="13"/>
        <v>1.463557668603745</v>
      </c>
      <c r="X61" s="1353">
        <f t="shared" si="14"/>
        <v>1.464</v>
      </c>
      <c r="Y61" s="1355">
        <f>X61+'TAR_Tab 13_Overige tarieven'!$T$15+'TAR_Tab 13_Overige tarieven'!$T$16</f>
        <v>1.617</v>
      </c>
      <c r="Z61" s="960"/>
    </row>
    <row r="62" spans="1:26">
      <c r="A62" s="160">
        <v>301308</v>
      </c>
      <c r="B62" s="584" t="s">
        <v>1259</v>
      </c>
      <c r="C62" s="839">
        <v>1.0266605254139844</v>
      </c>
      <c r="D62" s="1346">
        <f t="shared" si="17"/>
        <v>0.97902347703477555</v>
      </c>
      <c r="E62" s="1346">
        <f t="shared" si="18"/>
        <v>1.0344776868811234</v>
      </c>
      <c r="G62" s="1347">
        <f t="shared" si="19"/>
        <v>0.98275380253706723</v>
      </c>
      <c r="H62" s="1347">
        <f t="shared" si="20"/>
        <v>1.0862015712251796</v>
      </c>
      <c r="I62" s="834">
        <v>1.0399465260387224</v>
      </c>
      <c r="J62" s="1348" t="b">
        <f t="shared" si="10"/>
        <v>1</v>
      </c>
      <c r="K62" s="1585"/>
      <c r="M62" s="1349">
        <f t="shared" si="15"/>
        <v>1.0399465260387224</v>
      </c>
      <c r="N62" s="1350"/>
      <c r="O62" s="1347">
        <f t="shared" si="21"/>
        <v>3.2703441039187188E-3</v>
      </c>
      <c r="P62" s="1347">
        <f t="shared" si="22"/>
        <v>2.5922069030003508E-3</v>
      </c>
      <c r="Q62" s="1347">
        <f t="shared" si="23"/>
        <v>7.1688268356072445E-3</v>
      </c>
      <c r="R62" s="1347">
        <f t="shared" si="24"/>
        <v>0</v>
      </c>
      <c r="S62" s="1347">
        <f t="shared" si="25"/>
        <v>6.7257064391096133E-2</v>
      </c>
      <c r="T62" s="1347">
        <f t="shared" si="16"/>
        <v>1.1202349682723449</v>
      </c>
      <c r="U62" s="593">
        <f>IF('TAR_Tab 2_Volumina'!V65="storage",1,0)</f>
        <v>0</v>
      </c>
      <c r="V62" s="1352">
        <f t="shared" si="12"/>
        <v>1.1202349682723449</v>
      </c>
      <c r="W62" s="1352">
        <f t="shared" si="13"/>
        <v>1.1802605026136881</v>
      </c>
      <c r="X62" s="1353">
        <f t="shared" si="14"/>
        <v>1.18</v>
      </c>
      <c r="Y62" s="1355">
        <f>X62+'TAR_Tab 13_Overige tarieven'!$T$15+'TAR_Tab 13_Overige tarieven'!$T$16</f>
        <v>1.333</v>
      </c>
      <c r="Z62" s="960"/>
    </row>
    <row r="63" spans="1:26">
      <c r="A63" s="160">
        <v>301309</v>
      </c>
      <c r="B63" s="156" t="s">
        <v>57</v>
      </c>
      <c r="C63" s="839">
        <v>1.289689255065501</v>
      </c>
      <c r="D63" s="1346">
        <f t="shared" si="17"/>
        <v>1.2298476736304618</v>
      </c>
      <c r="E63" s="1346">
        <f t="shared" si="18"/>
        <v>1.299509160379593</v>
      </c>
      <c r="G63" s="1347">
        <f t="shared" si="19"/>
        <v>1.2345337023606133</v>
      </c>
      <c r="H63" s="1347">
        <f t="shared" si="20"/>
        <v>1.3644846183985726</v>
      </c>
      <c r="I63" s="834">
        <v>1.3063791070899653</v>
      </c>
      <c r="J63" s="1348" t="b">
        <f t="shared" si="10"/>
        <v>1</v>
      </c>
      <c r="K63" s="1585"/>
      <c r="M63" s="1349">
        <f t="shared" si="15"/>
        <v>1.3063791070899653</v>
      </c>
      <c r="N63" s="1350"/>
      <c r="O63" s="1347">
        <f t="shared" si="21"/>
        <v>4.1082008578152496E-3</v>
      </c>
      <c r="P63" s="1347">
        <f t="shared" si="22"/>
        <v>3.2563260269095318E-3</v>
      </c>
      <c r="Q63" s="1347">
        <f t="shared" si="23"/>
        <v>9.0054684215892661E-3</v>
      </c>
      <c r="R63" s="1347">
        <f t="shared" si="24"/>
        <v>0</v>
      </c>
      <c r="S63" s="1347">
        <f t="shared" si="25"/>
        <v>8.4488213119393488E-2</v>
      </c>
      <c r="T63" s="1347">
        <f t="shared" si="16"/>
        <v>1.407237315515673</v>
      </c>
      <c r="U63" s="593">
        <f>IF('TAR_Tab 2_Volumina'!V66="storage",1,0)</f>
        <v>1</v>
      </c>
      <c r="V63" s="1352">
        <f t="shared" si="12"/>
        <v>1.0554279866367549</v>
      </c>
      <c r="W63" s="1352">
        <f t="shared" si="13"/>
        <v>1.0554279866367549</v>
      </c>
      <c r="X63" s="1353">
        <f t="shared" si="14"/>
        <v>1.0549999999999999</v>
      </c>
      <c r="Y63" s="1355">
        <f>X63+'TAR_Tab 13_Overige tarieven'!$T$15+'TAR_Tab 13_Overige tarieven'!$T$16</f>
        <v>1.208</v>
      </c>
      <c r="Z63" s="960"/>
    </row>
    <row r="64" spans="1:26">
      <c r="A64" s="160">
        <v>301311</v>
      </c>
      <c r="B64" s="156" t="s">
        <v>496</v>
      </c>
      <c r="C64" s="839">
        <v>1.28377982247347</v>
      </c>
      <c r="D64" s="1346">
        <f t="shared" si="17"/>
        <v>1.224212438710701</v>
      </c>
      <c r="E64" s="1346">
        <f t="shared" si="18"/>
        <v>1.2935547323994978</v>
      </c>
      <c r="G64" s="1347">
        <f t="shared" si="19"/>
        <v>1.2288769957795229</v>
      </c>
      <c r="H64" s="1347">
        <f t="shared" si="20"/>
        <v>1.3582324690194727</v>
      </c>
      <c r="I64" s="834">
        <v>1.2288769957795229</v>
      </c>
      <c r="J64" s="1348" t="b">
        <f t="shared" si="10"/>
        <v>1</v>
      </c>
      <c r="K64" s="1585"/>
      <c r="M64" s="1349">
        <f t="shared" si="15"/>
        <v>1.2288769957795229</v>
      </c>
      <c r="N64" s="1350"/>
      <c r="O64" s="1347">
        <f t="shared" si="21"/>
        <v>3.8644781601388503E-3</v>
      </c>
      <c r="P64" s="1347">
        <f t="shared" si="22"/>
        <v>3.0631415670303421E-3</v>
      </c>
      <c r="Q64" s="1347">
        <f t="shared" si="23"/>
        <v>8.4712109367406346E-3</v>
      </c>
      <c r="R64" s="1347">
        <f t="shared" si="24"/>
        <v>0</v>
      </c>
      <c r="S64" s="1347">
        <f t="shared" si="25"/>
        <v>7.9475874157401288E-2</v>
      </c>
      <c r="T64" s="1347">
        <f t="shared" si="16"/>
        <v>1.3237517006008341</v>
      </c>
      <c r="U64" s="593">
        <f>IF('TAR_Tab 2_Volumina'!V67="storage",1,0)</f>
        <v>0</v>
      </c>
      <c r="V64" s="1352">
        <f t="shared" si="12"/>
        <v>1.3237517006008341</v>
      </c>
      <c r="W64" s="1352">
        <f t="shared" si="13"/>
        <v>1.3946822691103766</v>
      </c>
      <c r="X64" s="1353">
        <f t="shared" si="14"/>
        <v>1.395</v>
      </c>
      <c r="Y64" s="1355">
        <f>X64+'TAR_Tab 13_Overige tarieven'!$T$15+'TAR_Tab 13_Overige tarieven'!$T$16</f>
        <v>1.548</v>
      </c>
      <c r="Z64" s="960"/>
    </row>
    <row r="65" spans="1:26">
      <c r="A65" s="160">
        <v>301320</v>
      </c>
      <c r="B65" s="156" t="s">
        <v>1130</v>
      </c>
      <c r="C65" s="839">
        <v>1.0219467488969323</v>
      </c>
      <c r="D65" s="1346">
        <f t="shared" si="17"/>
        <v>0.97452841974811466</v>
      </c>
      <c r="E65" s="1346">
        <f t="shared" si="18"/>
        <v>1.0297280188972799</v>
      </c>
      <c r="G65" s="1347">
        <f t="shared" si="19"/>
        <v>0.97824161795241593</v>
      </c>
      <c r="H65" s="1347">
        <f t="shared" si="20"/>
        <v>1.0812144198421441</v>
      </c>
      <c r="I65" s="834">
        <v>1.0351717486005283</v>
      </c>
      <c r="J65" s="1348" t="b">
        <f t="shared" si="10"/>
        <v>1</v>
      </c>
      <c r="K65" s="1585"/>
      <c r="M65" s="1349">
        <f t="shared" si="15"/>
        <v>1.0351717486005283</v>
      </c>
      <c r="N65" s="1350"/>
      <c r="O65" s="1347">
        <f t="shared" si="21"/>
        <v>3.2553287499062365E-3</v>
      </c>
      <c r="P65" s="1347">
        <f t="shared" si="22"/>
        <v>2.5803051265862083E-3</v>
      </c>
      <c r="Q65" s="1347">
        <f t="shared" si="23"/>
        <v>7.1359121118441272E-3</v>
      </c>
      <c r="R65" s="1347">
        <f t="shared" si="24"/>
        <v>0</v>
      </c>
      <c r="S65" s="1347">
        <f t="shared" si="25"/>
        <v>6.6948262442560358E-2</v>
      </c>
      <c r="T65" s="1347">
        <f t="shared" si="16"/>
        <v>1.1150915570314253</v>
      </c>
      <c r="U65" s="593">
        <f>IF('TAR_Tab 2_Volumina'!V68="storage",1,0)</f>
        <v>1</v>
      </c>
      <c r="V65" s="1352">
        <f t="shared" si="12"/>
        <v>0.836318667773569</v>
      </c>
      <c r="W65" s="1352">
        <f t="shared" si="13"/>
        <v>0.836318667773569</v>
      </c>
      <c r="X65" s="1353">
        <f t="shared" si="14"/>
        <v>0.83599999999999997</v>
      </c>
      <c r="Y65" s="1355">
        <f>X65+'TAR_Tab 13_Overige tarieven'!$T$15+'TAR_Tab 13_Overige tarieven'!$T$16</f>
        <v>0.98899999999999999</v>
      </c>
      <c r="Z65" s="960"/>
    </row>
    <row r="66" spans="1:26">
      <c r="A66" s="162">
        <v>301345</v>
      </c>
      <c r="B66" s="163" t="s">
        <v>211</v>
      </c>
      <c r="C66" s="839">
        <v>1.036638909203641</v>
      </c>
      <c r="D66" s="1346">
        <f t="shared" si="17"/>
        <v>0.98853886381659206</v>
      </c>
      <c r="E66" s="1346">
        <f t="shared" si="18"/>
        <v>1.0445320477199933</v>
      </c>
      <c r="G66" s="1347">
        <f t="shared" si="19"/>
        <v>0.99230544533399356</v>
      </c>
      <c r="H66" s="1347">
        <f t="shared" si="20"/>
        <v>1.0967586501059929</v>
      </c>
      <c r="I66" s="834">
        <v>1.0500540399643699</v>
      </c>
      <c r="J66" s="1348" t="b">
        <f t="shared" si="10"/>
        <v>1</v>
      </c>
      <c r="K66" s="1585"/>
      <c r="M66" s="1349">
        <f t="shared" si="15"/>
        <v>1.0500540399643699</v>
      </c>
      <c r="N66" s="1350"/>
      <c r="O66" s="1347">
        <f t="shared" si="21"/>
        <v>3.3021294387838946E-3</v>
      </c>
      <c r="P66" s="1347">
        <f t="shared" si="22"/>
        <v>2.617401243972898E-3</v>
      </c>
      <c r="Q66" s="1347">
        <f t="shared" si="23"/>
        <v>7.2385025499417692E-3</v>
      </c>
      <c r="R66" s="1347">
        <f t="shared" si="24"/>
        <v>0</v>
      </c>
      <c r="S66" s="1347">
        <f t="shared" si="25"/>
        <v>6.7910753497131826E-2</v>
      </c>
      <c r="T66" s="1347">
        <f t="shared" si="16"/>
        <v>1.1311228266942002</v>
      </c>
      <c r="U66" s="593">
        <f>IF('TAR_Tab 2_Volumina'!V69="storage",1,0)</f>
        <v>0</v>
      </c>
      <c r="V66" s="1352">
        <f t="shared" si="12"/>
        <v>1.1311228266942002</v>
      </c>
      <c r="W66" s="1352">
        <f t="shared" si="13"/>
        <v>1.1917317649982071</v>
      </c>
      <c r="X66" s="1353">
        <f t="shared" si="14"/>
        <v>1.1919999999999999</v>
      </c>
      <c r="Y66" s="1355">
        <f>X66+'TAR_Tab 13_Overige tarieven'!$T$15+'TAR_Tab 13_Overige tarieven'!$T$16</f>
        <v>1.345</v>
      </c>
      <c r="Z66" s="960"/>
    </row>
    <row r="67" spans="1:26" s="171" customFormat="1">
      <c r="A67" s="162">
        <v>301348</v>
      </c>
      <c r="B67" s="163" t="s">
        <v>28</v>
      </c>
      <c r="C67" s="839">
        <v>1.6448279896195037</v>
      </c>
      <c r="D67" s="1346">
        <f t="shared" si="17"/>
        <v>1.5685079709011587</v>
      </c>
      <c r="E67" s="1346">
        <f t="shared" si="18"/>
        <v>1.657351979450846</v>
      </c>
      <c r="G67" s="1347">
        <f t="shared" ref="G67" si="26">E67*$G$7</f>
        <v>1.5744843804783035</v>
      </c>
      <c r="H67" s="1347">
        <f t="shared" ref="H67" si="27">E67*$H$7</f>
        <v>1.7402195784233885</v>
      </c>
      <c r="I67" s="834">
        <v>1.5744843804783035</v>
      </c>
      <c r="J67" s="1348" t="b">
        <f t="shared" si="10"/>
        <v>1</v>
      </c>
      <c r="K67" s="1585"/>
      <c r="M67" s="1349">
        <f t="shared" si="15"/>
        <v>1.5744843804783035</v>
      </c>
      <c r="N67" s="1350"/>
      <c r="O67" s="1347">
        <f t="shared" ref="O67" si="28">$O$7*M67</f>
        <v>4.9513177663306216E-3</v>
      </c>
      <c r="P67" s="1347">
        <f t="shared" ref="P67" si="29">$P$7*M67</f>
        <v>3.9246145619511582E-3</v>
      </c>
      <c r="Q67" s="1347">
        <f t="shared" ref="Q67" si="30">$Q$7*M67</f>
        <v>1.0853640640554465E-2</v>
      </c>
      <c r="R67" s="1347">
        <f t="shared" ref="R67" si="31">$R$7*M67</f>
        <v>0</v>
      </c>
      <c r="S67" s="1347">
        <f t="shared" ref="S67" si="32">$S$7*M67</f>
        <v>0.1018275408486353</v>
      </c>
      <c r="T67" s="1347">
        <f t="shared" si="16"/>
        <v>1.6960414942957751</v>
      </c>
      <c r="U67" s="593">
        <f>IF('TAR_Tab 2_Volumina'!V70="storage",1,0)</f>
        <v>1</v>
      </c>
      <c r="V67" s="1352">
        <f t="shared" si="12"/>
        <v>1.2720311207218313</v>
      </c>
      <c r="W67" s="1352">
        <f t="shared" si="13"/>
        <v>1.2720311207218313</v>
      </c>
      <c r="X67" s="1353">
        <f t="shared" si="14"/>
        <v>1.272</v>
      </c>
      <c r="Y67" s="1355">
        <f>X67+'TAR_Tab 13_Overige tarieven'!$T$15+'TAR_Tab 13_Overige tarieven'!$T$16</f>
        <v>1.425</v>
      </c>
      <c r="Z67" s="960"/>
    </row>
    <row r="68" spans="1:26">
      <c r="A68" s="162">
        <v>301360</v>
      </c>
      <c r="B68" s="163" t="s">
        <v>212</v>
      </c>
      <c r="C68" s="839">
        <v>0.99932062161508084</v>
      </c>
      <c r="D68" s="1346">
        <f t="shared" si="17"/>
        <v>0.95295214477214107</v>
      </c>
      <c r="E68" s="1346">
        <f t="shared" si="18"/>
        <v>1.0069296125748304</v>
      </c>
      <c r="G68" s="1347">
        <f t="shared" ref="G68:G78" si="33">E68*$G$7</f>
        <v>0.95658313194608879</v>
      </c>
      <c r="H68" s="1347">
        <f t="shared" ref="H68:H78" si="34">E68*$H$7</f>
        <v>1.0572760932035719</v>
      </c>
      <c r="I68" s="834">
        <v>1.0122528168971949</v>
      </c>
      <c r="J68" s="1348" t="b">
        <f t="shared" si="10"/>
        <v>1</v>
      </c>
      <c r="K68" s="1585"/>
      <c r="M68" s="1349">
        <f t="shared" si="15"/>
        <v>1.0122528168971949</v>
      </c>
      <c r="N68" s="1350"/>
      <c r="O68" s="1347">
        <f t="shared" ref="O68:O78" si="35">$O$7*M68</f>
        <v>3.1832550506463182E-3</v>
      </c>
      <c r="P68" s="1347">
        <f t="shared" ref="P68:P78" si="36">$P$7*M68</f>
        <v>2.5231765997983202E-3</v>
      </c>
      <c r="Q68" s="1347">
        <f t="shared" ref="Q68:Q78" si="37">$Q$7*M68</f>
        <v>6.9779214377811531E-3</v>
      </c>
      <c r="R68" s="1347">
        <f t="shared" ref="R68:R78" si="38">$R$7*M68</f>
        <v>0</v>
      </c>
      <c r="S68" s="1347">
        <f t="shared" ref="S68:S78" si="39">$S$7*M68</f>
        <v>6.5466013089588493E-2</v>
      </c>
      <c r="T68" s="1347">
        <f t="shared" si="16"/>
        <v>1.0904031830750094</v>
      </c>
      <c r="U68" s="593">
        <f>IF('TAR_Tab 2_Volumina'!V71="storage",1,0)</f>
        <v>1</v>
      </c>
      <c r="V68" s="1352">
        <f t="shared" si="12"/>
        <v>0.81780238730625698</v>
      </c>
      <c r="W68" s="1352">
        <f t="shared" si="13"/>
        <v>0.81780238730625698</v>
      </c>
      <c r="X68" s="1353">
        <f t="shared" si="14"/>
        <v>0.81799999999999995</v>
      </c>
      <c r="Y68" s="1355">
        <f>X68+'TAR_Tab 13_Overige tarieven'!$T$15+'TAR_Tab 13_Overige tarieven'!$T$16</f>
        <v>0.97099999999999997</v>
      </c>
      <c r="Z68" s="960"/>
    </row>
    <row r="69" spans="1:26">
      <c r="A69" s="160">
        <v>301361</v>
      </c>
      <c r="B69" s="156" t="s">
        <v>58</v>
      </c>
      <c r="C69" s="839">
        <v>0.94845897299608706</v>
      </c>
      <c r="D69" s="1346">
        <f t="shared" si="17"/>
        <v>0.90445047664906864</v>
      </c>
      <c r="E69" s="1346">
        <f t="shared" si="18"/>
        <v>0.95568069502915887</v>
      </c>
      <c r="G69" s="1347">
        <f t="shared" si="33"/>
        <v>0.90789666027770088</v>
      </c>
      <c r="H69" s="1347">
        <f t="shared" si="34"/>
        <v>1.003464729780617</v>
      </c>
      <c r="I69" s="834">
        <v>0.96073296833907851</v>
      </c>
      <c r="J69" s="1348" t="b">
        <f t="shared" si="10"/>
        <v>1</v>
      </c>
      <c r="K69" s="1585"/>
      <c r="M69" s="1349">
        <f t="shared" si="15"/>
        <v>0.96073296833907851</v>
      </c>
      <c r="N69" s="1350"/>
      <c r="O69" s="1347">
        <f t="shared" si="35"/>
        <v>3.0212393808516313E-3</v>
      </c>
      <c r="P69" s="1347">
        <f t="shared" si="36"/>
        <v>2.3947564322897175E-3</v>
      </c>
      <c r="Q69" s="1347">
        <f t="shared" si="37"/>
        <v>6.6227715683771044E-3</v>
      </c>
      <c r="R69" s="1347">
        <f t="shared" si="38"/>
        <v>0</v>
      </c>
      <c r="S69" s="1347">
        <f t="shared" si="39"/>
        <v>6.2134040064887291E-2</v>
      </c>
      <c r="T69" s="1347">
        <f t="shared" si="16"/>
        <v>1.0349057757854843</v>
      </c>
      <c r="U69" s="593">
        <f>IF('TAR_Tab 2_Volumina'!V72="storage",1,0)</f>
        <v>1</v>
      </c>
      <c r="V69" s="1352">
        <f t="shared" si="12"/>
        <v>0.77617933183911325</v>
      </c>
      <c r="W69" s="1352">
        <f t="shared" si="13"/>
        <v>0.77617933183911325</v>
      </c>
      <c r="X69" s="1353">
        <f t="shared" si="14"/>
        <v>0.77600000000000002</v>
      </c>
      <c r="Y69" s="1355">
        <f>X69+'TAR_Tab 13_Overige tarieven'!$T$15+'TAR_Tab 13_Overige tarieven'!$T$16</f>
        <v>0.92900000000000005</v>
      </c>
      <c r="Z69" s="960"/>
    </row>
    <row r="70" spans="1:26">
      <c r="A70" s="1247">
        <v>301368</v>
      </c>
      <c r="B70" s="1248" t="s">
        <v>1132</v>
      </c>
      <c r="C70" s="1249">
        <v>0.98587587527150489</v>
      </c>
      <c r="D70" s="1346">
        <f t="shared" si="17"/>
        <v>0.94013123465890702</v>
      </c>
      <c r="E70" s="1346">
        <f t="shared" si="18"/>
        <v>0.99338249572956394</v>
      </c>
      <c r="G70" s="1347">
        <f t="shared" si="33"/>
        <v>0.94371337094308572</v>
      </c>
      <c r="H70" s="1347">
        <f t="shared" si="34"/>
        <v>1.0430516205160423</v>
      </c>
      <c r="I70" s="834">
        <v>0.99863408226450245</v>
      </c>
      <c r="J70" s="1348" t="b">
        <f t="shared" ref="J70:J80" si="40">IF(I70&gt;0,AND(I70&gt;=G70,I70&lt;=H70),"")</f>
        <v>1</v>
      </c>
      <c r="K70" s="1585"/>
      <c r="M70" s="1349">
        <f t="shared" ref="M70:M78" si="41">IF(I70&gt;0,I70,E70)</f>
        <v>0.99863408226450245</v>
      </c>
      <c r="N70" s="1350"/>
      <c r="O70" s="1347">
        <f t="shared" si="35"/>
        <v>3.1404278981017448E-3</v>
      </c>
      <c r="P70" s="1347">
        <f t="shared" si="36"/>
        <v>2.4892300678939663E-3</v>
      </c>
      <c r="Q70" s="1347">
        <f t="shared" si="37"/>
        <v>6.884041273890665E-3</v>
      </c>
      <c r="R70" s="1347">
        <f t="shared" si="38"/>
        <v>0</v>
      </c>
      <c r="S70" s="1347">
        <f t="shared" si="39"/>
        <v>6.4585240771799016E-2</v>
      </c>
      <c r="T70" s="1347">
        <f t="shared" ref="T70:T78" si="42">M70+O70+P70+Q70+R70+S70</f>
        <v>1.0757330222761878</v>
      </c>
      <c r="U70" s="593">
        <f>IF('TAR_Tab 2_Volumina'!V73="storage",1,0)</f>
        <v>0</v>
      </c>
      <c r="V70" s="1352">
        <f t="shared" si="12"/>
        <v>1.0757330222761878</v>
      </c>
      <c r="W70" s="1352">
        <f t="shared" si="13"/>
        <v>1.1333740094793814</v>
      </c>
      <c r="X70" s="1353">
        <f t="shared" si="14"/>
        <v>1.133</v>
      </c>
      <c r="Y70" s="1355">
        <f>X70+'TAR_Tab 13_Overige tarieven'!$T$15+'TAR_Tab 13_Overige tarieven'!$T$16</f>
        <v>1.286</v>
      </c>
      <c r="Z70" s="1323" t="s">
        <v>1244</v>
      </c>
    </row>
    <row r="71" spans="1:26" s="171" customFormat="1">
      <c r="A71" s="160">
        <v>301375</v>
      </c>
      <c r="B71" s="164" t="s">
        <v>1145</v>
      </c>
      <c r="C71" s="839">
        <v>0.99239252411654799</v>
      </c>
      <c r="D71" s="1346">
        <f t="shared" si="17"/>
        <v>0.94634551099754016</v>
      </c>
      <c r="E71" s="1346">
        <f t="shared" si="18"/>
        <v>0.9999487634067189</v>
      </c>
      <c r="G71" s="1347">
        <f t="shared" si="33"/>
        <v>0.94995132523638293</v>
      </c>
      <c r="H71" s="1347">
        <f t="shared" si="34"/>
        <v>1.0499462015770549</v>
      </c>
      <c r="I71" s="834">
        <v>1.0052350629782434</v>
      </c>
      <c r="J71" s="1348" t="b">
        <f t="shared" si="40"/>
        <v>1</v>
      </c>
      <c r="K71" s="1585"/>
      <c r="M71" s="1349">
        <f t="shared" si="41"/>
        <v>1.0052350629782434</v>
      </c>
      <c r="N71" s="1350"/>
      <c r="O71" s="1347">
        <f t="shared" si="35"/>
        <v>3.161186156162852E-3</v>
      </c>
      <c r="P71" s="1351">
        <f t="shared" si="36"/>
        <v>2.5056839021482236E-3</v>
      </c>
      <c r="Q71" s="1351">
        <f t="shared" si="37"/>
        <v>6.9295448517161943E-3</v>
      </c>
      <c r="R71" s="1351">
        <f t="shared" si="38"/>
        <v>0</v>
      </c>
      <c r="S71" s="1351">
        <f t="shared" si="39"/>
        <v>6.501214982317069E-2</v>
      </c>
      <c r="T71" s="1351">
        <f t="shared" si="42"/>
        <v>1.0828436277114413</v>
      </c>
      <c r="U71" s="593">
        <f>IF('TAR_Tab 2_Volumina'!V74="storage",1,0)</f>
        <v>0</v>
      </c>
      <c r="V71" s="1352">
        <f t="shared" si="12"/>
        <v>1.0828436277114413</v>
      </c>
      <c r="W71" s="1352">
        <f t="shared" si="13"/>
        <v>1.1408656223843443</v>
      </c>
      <c r="X71" s="1353">
        <f t="shared" si="14"/>
        <v>1.141</v>
      </c>
      <c r="Y71" s="1355">
        <f>X71+'TAR_Tab 13_Overige tarieven'!$T$15+'TAR_Tab 13_Overige tarieven'!$T$16</f>
        <v>1.294</v>
      </c>
      <c r="Z71" s="960"/>
    </row>
    <row r="72" spans="1:26" s="171" customFormat="1">
      <c r="A72" s="160">
        <v>301391</v>
      </c>
      <c r="B72" s="164" t="s">
        <v>798</v>
      </c>
      <c r="C72" s="839">
        <v>0.94935459053432691</v>
      </c>
      <c r="D72" s="1346">
        <f t="shared" si="17"/>
        <v>0.90530453753353413</v>
      </c>
      <c r="E72" s="1346">
        <f t="shared" si="18"/>
        <v>0.95658313194608902</v>
      </c>
      <c r="G72" s="1347">
        <f t="shared" si="33"/>
        <v>0.90875397534878455</v>
      </c>
      <c r="H72" s="1347">
        <f t="shared" si="34"/>
        <v>1.0044122885433935</v>
      </c>
      <c r="I72" s="834">
        <v>0.96164017605233532</v>
      </c>
      <c r="J72" s="1348" t="b">
        <f t="shared" si="40"/>
        <v>1</v>
      </c>
      <c r="K72" s="1585"/>
      <c r="M72" s="1349">
        <f t="shared" si="41"/>
        <v>0.96164017605233532</v>
      </c>
      <c r="N72" s="1350"/>
      <c r="O72" s="1347">
        <f t="shared" si="35"/>
        <v>3.0240922981140026E-3</v>
      </c>
      <c r="P72" s="1351">
        <f t="shared" si="36"/>
        <v>2.3970177698084045E-3</v>
      </c>
      <c r="Q72" s="1351">
        <f t="shared" si="37"/>
        <v>6.6290253658920963E-3</v>
      </c>
      <c r="R72" s="1351">
        <f t="shared" si="38"/>
        <v>0</v>
      </c>
      <c r="S72" s="1351">
        <f t="shared" si="39"/>
        <v>6.2192712435109085E-2</v>
      </c>
      <c r="T72" s="1351">
        <f t="shared" si="42"/>
        <v>1.0358830239212589</v>
      </c>
      <c r="U72" s="593">
        <f>IF('TAR_Tab 2_Volumina'!V75="storage",1,0)</f>
        <v>1</v>
      </c>
      <c r="V72" s="1352">
        <f t="shared" si="12"/>
        <v>0.77691226794094415</v>
      </c>
      <c r="W72" s="1352">
        <f t="shared" si="13"/>
        <v>0.77691226794094415</v>
      </c>
      <c r="X72" s="1353">
        <f t="shared" si="14"/>
        <v>0.77700000000000002</v>
      </c>
      <c r="Y72" s="1355">
        <f>X72+'TAR_Tab 13_Overige tarieven'!$T$15+'TAR_Tab 13_Overige tarieven'!$T$16</f>
        <v>0.93</v>
      </c>
      <c r="Z72" s="960"/>
    </row>
    <row r="73" spans="1:26" s="171" customFormat="1">
      <c r="A73" s="165">
        <v>301392</v>
      </c>
      <c r="B73" s="164" t="s">
        <v>1146</v>
      </c>
      <c r="C73" s="839">
        <v>1.1283112000274444</v>
      </c>
      <c r="D73" s="1346">
        <f t="shared" ref="D73:D80" si="43">C73*$D$7</f>
        <v>1.0759575603461711</v>
      </c>
      <c r="E73" s="1346">
        <f t="shared" ref="E73:E80" si="44">D73*$E$7</f>
        <v>1.1369023463873762</v>
      </c>
      <c r="G73" s="1347">
        <f t="shared" si="33"/>
        <v>1.0800572290680073</v>
      </c>
      <c r="H73" s="1347">
        <f t="shared" si="34"/>
        <v>1.1937474637067451</v>
      </c>
      <c r="I73" s="834">
        <v>1.1429126607219802</v>
      </c>
      <c r="J73" s="1348" t="b">
        <f t="shared" si="40"/>
        <v>1</v>
      </c>
      <c r="K73" s="1585"/>
      <c r="M73" s="1349">
        <f t="shared" si="41"/>
        <v>1.1429126607219802</v>
      </c>
      <c r="N73" s="1350"/>
      <c r="O73" s="1347">
        <f t="shared" si="35"/>
        <v>3.5941441100087955E-3</v>
      </c>
      <c r="P73" s="1351">
        <f t="shared" si="36"/>
        <v>2.8488638737370043E-3</v>
      </c>
      <c r="Q73" s="1351">
        <f t="shared" si="37"/>
        <v>7.8786194749343591E-3</v>
      </c>
      <c r="R73" s="1351">
        <f t="shared" si="38"/>
        <v>0</v>
      </c>
      <c r="S73" s="1351">
        <f t="shared" si="39"/>
        <v>7.3916252894636839E-2</v>
      </c>
      <c r="T73" s="1351">
        <f t="shared" si="42"/>
        <v>1.231150541075297</v>
      </c>
      <c r="U73" s="593">
        <f>IF('TAR_Tab 2_Volumina'!V76="storage",1,0)</f>
        <v>0</v>
      </c>
      <c r="V73" s="1352">
        <f t="shared" si="12"/>
        <v>1.231150541075297</v>
      </c>
      <c r="W73" s="1352">
        <f t="shared" si="13"/>
        <v>1.2971192629735695</v>
      </c>
      <c r="X73" s="1353">
        <f t="shared" si="14"/>
        <v>1.2969999999999999</v>
      </c>
      <c r="Y73" s="1355">
        <f>X73+'TAR_Tab 13_Overige tarieven'!$T$15+'TAR_Tab 13_Overige tarieven'!$T$16</f>
        <v>1.45</v>
      </c>
      <c r="Z73" s="960"/>
    </row>
    <row r="74" spans="1:26" s="171" customFormat="1">
      <c r="A74" s="160">
        <v>301397</v>
      </c>
      <c r="B74" s="164" t="s">
        <v>213</v>
      </c>
      <c r="C74" s="839">
        <v>1.289689255065501</v>
      </c>
      <c r="D74" s="1346">
        <f t="shared" si="43"/>
        <v>1.2298476736304618</v>
      </c>
      <c r="E74" s="1346">
        <f t="shared" si="44"/>
        <v>1.299509160379593</v>
      </c>
      <c r="G74" s="1347">
        <f t="shared" si="33"/>
        <v>1.2345337023606133</v>
      </c>
      <c r="H74" s="1347">
        <f t="shared" si="34"/>
        <v>1.3644846183985726</v>
      </c>
      <c r="I74" s="834">
        <v>1.3063791070899653</v>
      </c>
      <c r="J74" s="1348" t="b">
        <f t="shared" si="40"/>
        <v>1</v>
      </c>
      <c r="K74" s="1585"/>
      <c r="M74" s="1349">
        <f t="shared" si="41"/>
        <v>1.3063791070899653</v>
      </c>
      <c r="N74" s="1350"/>
      <c r="O74" s="1347">
        <f t="shared" si="35"/>
        <v>4.1082008578152496E-3</v>
      </c>
      <c r="P74" s="1351">
        <f t="shared" si="36"/>
        <v>3.2563260269095318E-3</v>
      </c>
      <c r="Q74" s="1351">
        <f t="shared" si="37"/>
        <v>9.0054684215892661E-3</v>
      </c>
      <c r="R74" s="1351">
        <f t="shared" si="38"/>
        <v>0</v>
      </c>
      <c r="S74" s="1351">
        <f t="shared" si="39"/>
        <v>8.4488213119393488E-2</v>
      </c>
      <c r="T74" s="1351">
        <f t="shared" si="42"/>
        <v>1.407237315515673</v>
      </c>
      <c r="U74" s="593">
        <f>IF('TAR_Tab 2_Volumina'!V77="storage",1,0)</f>
        <v>1</v>
      </c>
      <c r="V74" s="1352">
        <f t="shared" ref="V74:V80" si="45">IF(U74=1,T74*$V$7,T74)</f>
        <v>1.0554279866367549</v>
      </c>
      <c r="W74" s="1352">
        <f t="shared" ref="W74:W78" si="46">IF(U74=0,V74*(1+$W$7),V74)</f>
        <v>1.0554279866367549</v>
      </c>
      <c r="X74" s="1353">
        <f t="shared" ref="X74:X80" si="47">ROUND(W74,3)</f>
        <v>1.0549999999999999</v>
      </c>
      <c r="Y74" s="1355">
        <f>X74+'TAR_Tab 13_Overige tarieven'!$T$15+'TAR_Tab 13_Overige tarieven'!$T$16</f>
        <v>1.208</v>
      </c>
      <c r="Z74" s="960"/>
    </row>
    <row r="75" spans="1:26" s="171" customFormat="1">
      <c r="A75" s="162">
        <v>301400</v>
      </c>
      <c r="B75" s="166" t="s">
        <v>214</v>
      </c>
      <c r="C75" s="839">
        <v>0.99932062161508084</v>
      </c>
      <c r="D75" s="1346">
        <f t="shared" si="43"/>
        <v>0.95295214477214107</v>
      </c>
      <c r="E75" s="1346">
        <f t="shared" si="44"/>
        <v>1.0069296125748304</v>
      </c>
      <c r="G75" s="1347">
        <f t="shared" si="33"/>
        <v>0.95658313194608879</v>
      </c>
      <c r="H75" s="1347">
        <f t="shared" si="34"/>
        <v>1.0572760932035719</v>
      </c>
      <c r="I75" s="834">
        <v>1.0122528168971949</v>
      </c>
      <c r="J75" s="1348" t="b">
        <f t="shared" si="40"/>
        <v>1</v>
      </c>
      <c r="K75" s="1585"/>
      <c r="M75" s="1349">
        <f t="shared" si="41"/>
        <v>1.0122528168971949</v>
      </c>
      <c r="N75" s="1350"/>
      <c r="O75" s="1347">
        <f t="shared" si="35"/>
        <v>3.1832550506463182E-3</v>
      </c>
      <c r="P75" s="1351">
        <f t="shared" si="36"/>
        <v>2.5231765997983202E-3</v>
      </c>
      <c r="Q75" s="1351">
        <f t="shared" si="37"/>
        <v>6.9779214377811531E-3</v>
      </c>
      <c r="R75" s="1351">
        <f t="shared" si="38"/>
        <v>0</v>
      </c>
      <c r="S75" s="1351">
        <f t="shared" si="39"/>
        <v>6.5466013089588493E-2</v>
      </c>
      <c r="T75" s="1351">
        <f t="shared" si="42"/>
        <v>1.0904031830750094</v>
      </c>
      <c r="U75" s="593">
        <f>IF('TAR_Tab 2_Volumina'!V78="storage",1,0)</f>
        <v>1</v>
      </c>
      <c r="V75" s="1352">
        <f t="shared" si="45"/>
        <v>0.81780238730625698</v>
      </c>
      <c r="W75" s="1352">
        <f t="shared" si="46"/>
        <v>0.81780238730625698</v>
      </c>
      <c r="X75" s="1353">
        <f t="shared" si="47"/>
        <v>0.81799999999999995</v>
      </c>
      <c r="Y75" s="1355">
        <f>X75+'TAR_Tab 13_Overige tarieven'!$T$15+'TAR_Tab 13_Overige tarieven'!$T$16</f>
        <v>0.97099999999999997</v>
      </c>
      <c r="Z75" s="960"/>
    </row>
    <row r="76" spans="1:26" s="171" customFormat="1">
      <c r="A76" s="162">
        <v>301401</v>
      </c>
      <c r="B76" s="166" t="s">
        <v>627</v>
      </c>
      <c r="C76" s="839">
        <v>0.99932062161508084</v>
      </c>
      <c r="D76" s="1346">
        <f t="shared" si="43"/>
        <v>0.95295214477214107</v>
      </c>
      <c r="E76" s="1346">
        <f t="shared" si="44"/>
        <v>1.0069296125748304</v>
      </c>
      <c r="G76" s="1347">
        <f t="shared" si="33"/>
        <v>0.95658313194608879</v>
      </c>
      <c r="H76" s="1347">
        <f t="shared" si="34"/>
        <v>1.0572760932035719</v>
      </c>
      <c r="I76" s="834">
        <v>1.0122528168971949</v>
      </c>
      <c r="J76" s="1348" t="b">
        <f t="shared" si="40"/>
        <v>1</v>
      </c>
      <c r="K76" s="1585"/>
      <c r="M76" s="1349">
        <f t="shared" si="41"/>
        <v>1.0122528168971949</v>
      </c>
      <c r="N76" s="1350"/>
      <c r="O76" s="1347">
        <f t="shared" si="35"/>
        <v>3.1832550506463182E-3</v>
      </c>
      <c r="P76" s="1351">
        <f t="shared" si="36"/>
        <v>2.5231765997983202E-3</v>
      </c>
      <c r="Q76" s="1351">
        <f t="shared" si="37"/>
        <v>6.9779214377811531E-3</v>
      </c>
      <c r="R76" s="1351">
        <f t="shared" si="38"/>
        <v>0</v>
      </c>
      <c r="S76" s="1351">
        <f t="shared" si="39"/>
        <v>6.5466013089588493E-2</v>
      </c>
      <c r="T76" s="1351">
        <f t="shared" si="42"/>
        <v>1.0904031830750094</v>
      </c>
      <c r="U76" s="593">
        <f>IF('TAR_Tab 2_Volumina'!V79="storage",1,0)</f>
        <v>1</v>
      </c>
      <c r="V76" s="1352">
        <f t="shared" si="45"/>
        <v>0.81780238730625698</v>
      </c>
      <c r="W76" s="1352">
        <f t="shared" si="46"/>
        <v>0.81780238730625698</v>
      </c>
      <c r="X76" s="1353">
        <f t="shared" si="47"/>
        <v>0.81799999999999995</v>
      </c>
      <c r="Y76" s="1355">
        <f>X76+'TAR_Tab 13_Overige tarieven'!$T$15+'TAR_Tab 13_Overige tarieven'!$T$16</f>
        <v>0.97099999999999997</v>
      </c>
      <c r="Z76" s="960"/>
    </row>
    <row r="77" spans="1:26" s="171" customFormat="1">
      <c r="A77" s="162">
        <v>301452</v>
      </c>
      <c r="B77" s="166" t="s">
        <v>628</v>
      </c>
      <c r="C77" s="839">
        <v>1.6608145056509585</v>
      </c>
      <c r="D77" s="1346">
        <f t="shared" si="43"/>
        <v>1.5837527125887541</v>
      </c>
      <c r="E77" s="1346">
        <f t="shared" si="44"/>
        <v>1.6734602194348844</v>
      </c>
      <c r="G77" s="1347">
        <f t="shared" si="33"/>
        <v>1.5897872084631401</v>
      </c>
      <c r="H77" s="1347">
        <f t="shared" si="34"/>
        <v>1.7571332304066287</v>
      </c>
      <c r="I77" s="834">
        <v>1.5897872084631401</v>
      </c>
      <c r="J77" s="1348" t="b">
        <f t="shared" si="40"/>
        <v>1</v>
      </c>
      <c r="K77" s="1585"/>
      <c r="M77" s="1349">
        <f t="shared" si="41"/>
        <v>1.5897872084631401</v>
      </c>
      <c r="N77" s="1350"/>
      <c r="O77" s="1347">
        <f t="shared" si="35"/>
        <v>4.999440926532062E-3</v>
      </c>
      <c r="P77" s="1351">
        <f t="shared" si="36"/>
        <v>3.9627589235548466E-3</v>
      </c>
      <c r="Q77" s="1351">
        <f t="shared" si="37"/>
        <v>1.0959130029837057E-2</v>
      </c>
      <c r="R77" s="1351">
        <f t="shared" si="38"/>
        <v>0</v>
      </c>
      <c r="S77" s="1351">
        <f t="shared" si="39"/>
        <v>0.10281722951182305</v>
      </c>
      <c r="T77" s="1351">
        <f t="shared" si="42"/>
        <v>1.7125257678548873</v>
      </c>
      <c r="U77" s="593">
        <f>IF('TAR_Tab 2_Volumina'!V80="storage",1,0)</f>
        <v>0</v>
      </c>
      <c r="V77" s="1352">
        <f t="shared" si="45"/>
        <v>1.7125257678548873</v>
      </c>
      <c r="W77" s="1352">
        <f t="shared" si="46"/>
        <v>1.804288011669988</v>
      </c>
      <c r="X77" s="1353">
        <f t="shared" si="47"/>
        <v>1.804</v>
      </c>
      <c r="Y77" s="1355">
        <f>X77+'TAR_Tab 13_Overige tarieven'!$T$15+'TAR_Tab 13_Overige tarieven'!$T$16</f>
        <v>1.9570000000000001</v>
      </c>
      <c r="Z77" s="960"/>
    </row>
    <row r="78" spans="1:26" s="171" customFormat="1">
      <c r="A78" s="162">
        <v>301453</v>
      </c>
      <c r="B78" s="166" t="s">
        <v>639</v>
      </c>
      <c r="C78" s="839">
        <v>0.94935459053432691</v>
      </c>
      <c r="D78" s="1346">
        <f t="shared" si="43"/>
        <v>0.90530453753353413</v>
      </c>
      <c r="E78" s="1346">
        <f t="shared" si="44"/>
        <v>0.95658313194608902</v>
      </c>
      <c r="G78" s="1347">
        <f t="shared" si="33"/>
        <v>0.90875397534878455</v>
      </c>
      <c r="H78" s="1347">
        <f t="shared" si="34"/>
        <v>1.0044122885433935</v>
      </c>
      <c r="I78" s="834">
        <v>0.96164017605233532</v>
      </c>
      <c r="J78" s="1348" t="b">
        <f t="shared" si="40"/>
        <v>1</v>
      </c>
      <c r="K78" s="1585"/>
      <c r="M78" s="1349">
        <f t="shared" si="41"/>
        <v>0.96164017605233532</v>
      </c>
      <c r="N78" s="1350"/>
      <c r="O78" s="1347">
        <f t="shared" si="35"/>
        <v>3.0240922981140026E-3</v>
      </c>
      <c r="P78" s="1351">
        <f t="shared" si="36"/>
        <v>2.3970177698084045E-3</v>
      </c>
      <c r="Q78" s="1351">
        <f t="shared" si="37"/>
        <v>6.6290253658920963E-3</v>
      </c>
      <c r="R78" s="1351">
        <f t="shared" si="38"/>
        <v>0</v>
      </c>
      <c r="S78" s="1351">
        <f t="shared" si="39"/>
        <v>6.2192712435109085E-2</v>
      </c>
      <c r="T78" s="1351">
        <f t="shared" si="42"/>
        <v>1.0358830239212589</v>
      </c>
      <c r="U78" s="593">
        <f>IF('TAR_Tab 2_Volumina'!V81="storage",1,0)</f>
        <v>1</v>
      </c>
      <c r="V78" s="1352">
        <f t="shared" si="45"/>
        <v>0.77691226794094415</v>
      </c>
      <c r="W78" s="1352">
        <f t="shared" si="46"/>
        <v>0.77691226794094415</v>
      </c>
      <c r="X78" s="1353">
        <f t="shared" si="47"/>
        <v>0.77700000000000002</v>
      </c>
      <c r="Y78" s="1355">
        <f>X78+'TAR_Tab 13_Overige tarieven'!$T$15+'TAR_Tab 13_Overige tarieven'!$T$16</f>
        <v>0.93</v>
      </c>
      <c r="Z78" s="960"/>
    </row>
    <row r="79" spans="1:26">
      <c r="A79" s="162">
        <v>301454</v>
      </c>
      <c r="B79" s="166" t="s">
        <v>787</v>
      </c>
      <c r="C79" s="839">
        <v>1.0316808623779323</v>
      </c>
      <c r="D79" s="1346">
        <f t="shared" si="43"/>
        <v>0.98381087036359627</v>
      </c>
      <c r="E79" s="1346">
        <f t="shared" si="44"/>
        <v>1.0395362495133376</v>
      </c>
      <c r="G79" s="1347">
        <f t="shared" ref="G79:G80" si="48">E79*$G$7</f>
        <v>0.98755943703767068</v>
      </c>
      <c r="H79" s="1347">
        <f t="shared" ref="H79:H80" si="49">E79*$H$7</f>
        <v>1.0915130619890046</v>
      </c>
      <c r="I79" s="834">
        <v>1.0450318311186038</v>
      </c>
      <c r="J79" s="1348" t="b">
        <f t="shared" si="40"/>
        <v>1</v>
      </c>
      <c r="K79" s="1585"/>
      <c r="L79" s="171"/>
      <c r="M79" s="1349">
        <f t="shared" ref="M79:M80" si="50">IF(I79&gt;0,I79,E79)</f>
        <v>1.0450318311186038</v>
      </c>
      <c r="N79" s="1350"/>
      <c r="O79" s="1347">
        <f t="shared" ref="O79:O80" si="51">$O$7*M79</f>
        <v>3.2863359814510819E-3</v>
      </c>
      <c r="P79" s="1351">
        <f t="shared" ref="P79:P80" si="52">$P$7*M79</f>
        <v>2.6048827114211392E-3</v>
      </c>
      <c r="Q79" s="1351">
        <f t="shared" ref="Q79:Q80" si="53">$Q$7*M79</f>
        <v>7.2038821683682152E-3</v>
      </c>
      <c r="R79" s="1351">
        <f t="shared" ref="R79:R80" si="54">$R$7*M79</f>
        <v>0</v>
      </c>
      <c r="S79" s="1351">
        <f t="shared" ref="S79:S80" si="55">$S$7*M79</f>
        <v>6.7585949273772511E-2</v>
      </c>
      <c r="T79" s="1351">
        <f t="shared" ref="T79:T80" si="56">M79+O79+P79+Q79+R79+S79</f>
        <v>1.1257128812536166</v>
      </c>
      <c r="U79" s="593">
        <f>IF('TAR_Tab 2_Volumina'!V82="storage",1,0)</f>
        <v>0</v>
      </c>
      <c r="V79" s="1352">
        <f t="shared" si="45"/>
        <v>1.1257128812536166</v>
      </c>
      <c r="W79" s="1352">
        <f t="shared" ref="W79:W80" si="57">IF(U79=0,V79*(1+$W$7),V79)</f>
        <v>1.1860319385281737</v>
      </c>
      <c r="X79" s="1353">
        <f t="shared" si="47"/>
        <v>1.1859999999999999</v>
      </c>
      <c r="Y79" s="1355">
        <f>X79+'TAR_Tab 13_Overige tarieven'!$T$15+'TAR_Tab 13_Overige tarieven'!$T$16</f>
        <v>1.339</v>
      </c>
      <c r="Z79" s="960"/>
    </row>
    <row r="80" spans="1:26">
      <c r="A80" s="1247">
        <v>301468</v>
      </c>
      <c r="B80" s="858" t="s">
        <v>1189</v>
      </c>
      <c r="C80" s="1249">
        <v>1.0594849457701121</v>
      </c>
      <c r="D80" s="1346">
        <f t="shared" si="43"/>
        <v>1.0103248442863788</v>
      </c>
      <c r="E80" s="1346">
        <f t="shared" si="44"/>
        <v>1.0675520377523895</v>
      </c>
      <c r="G80" s="1347">
        <f t="shared" si="48"/>
        <v>1.01417443586477</v>
      </c>
      <c r="H80" s="1347">
        <f t="shared" si="49"/>
        <v>1.120929639640009</v>
      </c>
      <c r="I80" s="834">
        <v>1.0731957267955403</v>
      </c>
      <c r="J80" s="1348" t="b">
        <f t="shared" si="40"/>
        <v>1</v>
      </c>
      <c r="K80" s="1585"/>
      <c r="L80" s="171"/>
      <c r="M80" s="1349">
        <f t="shared" si="50"/>
        <v>1.0731957267955403</v>
      </c>
      <c r="N80" s="1350"/>
      <c r="O80" s="1347">
        <f t="shared" si="51"/>
        <v>3.3749036412915284E-3</v>
      </c>
      <c r="P80" s="1351">
        <f t="shared" si="52"/>
        <v>2.6750850179447522E-3</v>
      </c>
      <c r="Q80" s="1351">
        <f t="shared" si="53"/>
        <v>7.3980287769377295E-3</v>
      </c>
      <c r="R80" s="1351">
        <f t="shared" si="54"/>
        <v>0</v>
      </c>
      <c r="S80" s="1351">
        <f t="shared" si="55"/>
        <v>6.9407409221586502E-2</v>
      </c>
      <c r="T80" s="1351">
        <f t="shared" si="56"/>
        <v>1.1560511534533009</v>
      </c>
      <c r="U80" s="593">
        <f>IF('TAR_Tab 2_Volumina'!V83="storage",1,0)</f>
        <v>0</v>
      </c>
      <c r="V80" s="1352">
        <f t="shared" si="45"/>
        <v>1.1560511534533009</v>
      </c>
      <c r="W80" s="1352">
        <f t="shared" si="57"/>
        <v>1.2179958259348067</v>
      </c>
      <c r="X80" s="1353">
        <f t="shared" si="47"/>
        <v>1.218</v>
      </c>
      <c r="Y80" s="1355">
        <f>X80+'TAR_Tab 13_Overige tarieven'!$T$15+'TAR_Tab 13_Overige tarieven'!$T$16</f>
        <v>1.371</v>
      </c>
      <c r="Z80" s="1323" t="s">
        <v>1244</v>
      </c>
    </row>
  </sheetData>
  <phoneticPr fontId="20" type="noConversion"/>
  <conditionalFormatting sqref="C9:C78">
    <cfRule type="containsErrors" dxfId="16" priority="28">
      <formula>ISERROR(C9)</formula>
    </cfRule>
    <cfRule type="cellIs" dxfId="15" priority="29" operator="equal">
      <formula>#N/A</formula>
    </cfRule>
    <cfRule type="cellIs" dxfId="14" priority="30" operator="equal">
      <formula>#N/A</formula>
    </cfRule>
  </conditionalFormatting>
  <conditionalFormatting sqref="C79:C80">
    <cfRule type="containsErrors" dxfId="13" priority="1">
      <formula>ISERROR(C79)</formula>
    </cfRule>
    <cfRule type="cellIs" dxfId="12" priority="2" operator="equal">
      <formula>#N/A</formula>
    </cfRule>
    <cfRule type="cellIs" dxfId="11" priority="3" operator="equal">
      <formula>#N/A</formula>
    </cfRule>
  </conditionalFormatting>
  <pageMargins left="0.75" right="0.75" top="1" bottom="1" header="0.5" footer="0.5"/>
  <pageSetup paperSize="9" scale="29" orientation="landscape" r:id="rId1"/>
  <headerFooter alignWithMargins="0">
    <oddFooter>&amp;LEnergiekamer NMa&amp;R&amp;F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AB579"/>
  <sheetViews>
    <sheetView showGridLines="0" zoomScale="80" zoomScaleNormal="80" zoomScaleSheetLayoutView="80" workbookViewId="0">
      <pane ySplit="8" topLeftCell="A9" activePane="bottomLeft" state="frozen"/>
      <selection activeCell="C94" sqref="C94"/>
      <selection pane="bottomLeft" activeCell="D10" sqref="D10"/>
    </sheetView>
  </sheetViews>
  <sheetFormatPr defaultRowHeight="12.75"/>
  <cols>
    <col min="1" max="1" width="8.7109375" bestFit="1" customWidth="1"/>
    <col min="2" max="2" width="51.28515625" bestFit="1" customWidth="1"/>
    <col min="3" max="3" width="23.140625" style="171" customWidth="1"/>
    <col min="4" max="4" width="26.28515625" style="137" bestFit="1" customWidth="1"/>
    <col min="5" max="5" width="24.5703125" style="137" bestFit="1" customWidth="1"/>
    <col min="6" max="6" width="3.140625" customWidth="1"/>
    <col min="7" max="7" width="16.5703125" customWidth="1"/>
    <col min="8" max="8" width="16.28515625" customWidth="1"/>
    <col min="9" max="9" width="12.5703125" bestFit="1" customWidth="1"/>
    <col min="10" max="10" width="15.85546875" customWidth="1"/>
    <col min="11" max="11" width="16.42578125" style="23" bestFit="1" customWidth="1"/>
    <col min="12" max="12" width="1.7109375" customWidth="1"/>
    <col min="13" max="13" width="16.85546875" bestFit="1" customWidth="1"/>
    <col min="14" max="14" width="1.7109375" customWidth="1"/>
    <col min="15" max="15" width="14" style="171" customWidth="1"/>
    <col min="16" max="16" width="16" bestFit="1" customWidth="1"/>
    <col min="17" max="17" width="14.5703125" bestFit="1" customWidth="1"/>
    <col min="18" max="18" width="15" bestFit="1" customWidth="1"/>
    <col min="19" max="19" width="12.140625" bestFit="1" customWidth="1"/>
    <col min="20" max="20" width="14.85546875" customWidth="1"/>
    <col min="21" max="21" width="17.28515625" style="137" customWidth="1"/>
    <col min="22" max="23" width="20.5703125" style="137" customWidth="1"/>
    <col min="24" max="24" width="16.85546875" style="137" bestFit="1" customWidth="1"/>
    <col min="25" max="25" width="16.85546875" style="137" customWidth="1"/>
    <col min="26" max="26" width="52.7109375" bestFit="1" customWidth="1"/>
  </cols>
  <sheetData>
    <row r="1" spans="1:28" s="13" customFormat="1" ht="23.25" customHeight="1">
      <c r="A1" s="9" t="s">
        <v>688</v>
      </c>
      <c r="B1" s="9"/>
      <c r="C1" s="14"/>
      <c r="D1" s="374"/>
      <c r="E1" s="374"/>
      <c r="F1" s="14"/>
      <c r="G1" s="14"/>
      <c r="H1" s="14"/>
      <c r="I1" s="14"/>
      <c r="J1" s="14"/>
      <c r="K1" s="14"/>
      <c r="L1" s="14"/>
      <c r="M1" s="14"/>
      <c r="N1" s="14"/>
      <c r="O1" s="14"/>
      <c r="P1" s="14"/>
      <c r="Q1" s="731"/>
      <c r="R1" s="879"/>
      <c r="S1" s="879"/>
      <c r="T1" s="879"/>
      <c r="U1" s="879"/>
      <c r="V1" s="879"/>
      <c r="W1" s="879"/>
      <c r="X1" s="879"/>
      <c r="Y1" s="879"/>
      <c r="Z1" s="1165" t="s">
        <v>165</v>
      </c>
    </row>
    <row r="2" spans="1:28">
      <c r="K2"/>
      <c r="O2" s="129"/>
      <c r="R2" s="25"/>
      <c r="S2" s="25"/>
      <c r="T2" s="25"/>
      <c r="U2" s="182"/>
      <c r="V2" s="182"/>
      <c r="W2" s="182"/>
      <c r="X2" s="182"/>
      <c r="Y2" s="182"/>
    </row>
    <row r="3" spans="1:28" s="15" customFormat="1" ht="60">
      <c r="A3" s="239" t="s">
        <v>166</v>
      </c>
      <c r="B3" s="239" t="s">
        <v>167</v>
      </c>
      <c r="C3" s="239" t="s">
        <v>908</v>
      </c>
      <c r="D3" s="239" t="s">
        <v>1006</v>
      </c>
      <c r="E3" s="239" t="s">
        <v>1007</v>
      </c>
      <c r="F3" s="239"/>
      <c r="G3" s="239" t="s">
        <v>152</v>
      </c>
      <c r="H3" s="239" t="s">
        <v>153</v>
      </c>
      <c r="I3" s="239" t="s">
        <v>146</v>
      </c>
      <c r="J3" s="239" t="s">
        <v>151</v>
      </c>
      <c r="K3" s="239" t="s">
        <v>810</v>
      </c>
      <c r="L3" s="239"/>
      <c r="M3" s="239" t="s">
        <v>147</v>
      </c>
      <c r="N3" s="239"/>
      <c r="O3" s="239" t="s">
        <v>656</v>
      </c>
      <c r="P3" s="239" t="s">
        <v>156</v>
      </c>
      <c r="Q3" s="239" t="s">
        <v>149</v>
      </c>
      <c r="R3" s="239" t="s">
        <v>148</v>
      </c>
      <c r="S3" s="239" t="s">
        <v>681</v>
      </c>
      <c r="T3" s="239" t="s">
        <v>919</v>
      </c>
      <c r="U3" s="239" t="s">
        <v>695</v>
      </c>
      <c r="V3" s="239" t="s">
        <v>920</v>
      </c>
      <c r="W3" s="239" t="s">
        <v>915</v>
      </c>
      <c r="X3" s="240" t="s">
        <v>921</v>
      </c>
      <c r="Y3" s="239" t="s">
        <v>922</v>
      </c>
      <c r="Z3" s="1176"/>
    </row>
    <row r="4" spans="1:28" s="574" customFormat="1" ht="15">
      <c r="A4" s="335"/>
      <c r="B4" s="335"/>
      <c r="C4" s="217" t="s">
        <v>769</v>
      </c>
      <c r="D4" s="217"/>
      <c r="E4" s="217"/>
      <c r="F4" s="217"/>
      <c r="G4" s="335"/>
      <c r="H4" s="335"/>
      <c r="I4" s="335"/>
      <c r="J4" s="217"/>
      <c r="K4" s="217" t="s">
        <v>766</v>
      </c>
      <c r="L4" s="217"/>
      <c r="M4" s="217" t="s">
        <v>769</v>
      </c>
      <c r="N4" s="217"/>
      <c r="O4" s="335"/>
      <c r="P4" s="335"/>
      <c r="Q4" s="335"/>
      <c r="R4" s="335"/>
      <c r="S4" s="335"/>
      <c r="T4" s="217" t="s">
        <v>769</v>
      </c>
      <c r="U4" s="217"/>
      <c r="V4" s="335"/>
      <c r="W4" s="335"/>
      <c r="X4" s="217" t="s">
        <v>769</v>
      </c>
      <c r="Y4" s="217" t="s">
        <v>769</v>
      </c>
      <c r="Z4" s="1177"/>
    </row>
    <row r="5" spans="1:28" s="15" customFormat="1" ht="15">
      <c r="A5" s="19"/>
      <c r="B5" s="21"/>
      <c r="C5" s="186"/>
      <c r="D5" s="50"/>
      <c r="E5" s="50"/>
      <c r="F5" s="24"/>
      <c r="G5" s="24"/>
      <c r="H5" s="24"/>
      <c r="I5" s="24"/>
      <c r="J5" s="24"/>
      <c r="K5" s="24"/>
      <c r="L5" s="24"/>
      <c r="M5" s="24"/>
      <c r="N5" s="24"/>
      <c r="O5" s="24"/>
      <c r="P5" s="24"/>
      <c r="Q5" s="24"/>
      <c r="R5" s="24"/>
      <c r="S5" s="24"/>
      <c r="T5" s="24"/>
      <c r="U5" s="830"/>
      <c r="V5" s="830"/>
      <c r="W5" s="830"/>
      <c r="X5" s="50"/>
      <c r="Y5" s="50"/>
      <c r="Z5" s="21"/>
    </row>
    <row r="6" spans="1:28" s="15" customFormat="1" ht="15">
      <c r="A6" s="18"/>
      <c r="B6" s="52"/>
      <c r="C6" s="16"/>
      <c r="D6" s="367"/>
      <c r="E6" s="367"/>
      <c r="F6" s="53"/>
      <c r="G6" s="53"/>
      <c r="H6" s="53"/>
      <c r="I6" s="53"/>
      <c r="J6" s="53"/>
      <c r="K6" s="53"/>
      <c r="L6" s="53"/>
      <c r="M6" s="53"/>
      <c r="N6" s="53"/>
      <c r="O6" s="53"/>
      <c r="P6" s="53"/>
      <c r="Q6" s="53"/>
      <c r="R6" s="53"/>
      <c r="S6" s="53"/>
      <c r="T6" s="53"/>
      <c r="U6" s="372"/>
      <c r="V6" s="831"/>
      <c r="W6" s="831"/>
      <c r="X6" s="372"/>
      <c r="Y6" s="372"/>
      <c r="Z6" s="1178"/>
    </row>
    <row r="7" spans="1:28" s="15" customFormat="1" ht="15">
      <c r="A7" s="19"/>
      <c r="B7" s="21"/>
      <c r="C7" s="20"/>
      <c r="D7" s="92">
        <f>Parameters!B61-Parameters!B18</f>
        <v>0.9536</v>
      </c>
      <c r="E7" s="92">
        <f>TAR_Tab_3_Tariefaanpassing!D24</f>
        <v>1.0566423698176322</v>
      </c>
      <c r="F7" s="50"/>
      <c r="G7" s="86">
        <v>0.95</v>
      </c>
      <c r="H7" s="86">
        <v>1.05</v>
      </c>
      <c r="I7" s="24"/>
      <c r="J7" s="24"/>
      <c r="K7" s="1360">
        <v>348285703.22772366</v>
      </c>
      <c r="L7" s="24"/>
      <c r="M7" s="24"/>
      <c r="N7" s="24"/>
      <c r="O7" s="904">
        <f>'TAR-Tab 9_incidenteel'!D43</f>
        <v>3.1447233314734371E-3</v>
      </c>
      <c r="P7" s="92">
        <f>TAR_Tab_4_BESeF!B23</f>
        <v>2.4926348019781068E-3</v>
      </c>
      <c r="Q7" s="92">
        <f>'TAR_Tab 7_MFA '!B45</f>
        <v>6.8934571692971002E-3</v>
      </c>
      <c r="R7" s="92">
        <f>'TAR_Tab 6_NPD'!B44</f>
        <v>0</v>
      </c>
      <c r="S7" s="92">
        <f>'TAR_Tab 5_UI'!B199</f>
        <v>6.4673579561139685E-2</v>
      </c>
      <c r="T7" s="24"/>
      <c r="U7" s="832" t="s">
        <v>707</v>
      </c>
      <c r="V7" s="832">
        <v>0.75</v>
      </c>
      <c r="W7" s="904">
        <f>W577</f>
        <v>5.3582985749780709E-2</v>
      </c>
      <c r="X7" s="50"/>
      <c r="Y7" s="50"/>
      <c r="Z7" s="21"/>
    </row>
    <row r="8" spans="1:28" s="15" customFormat="1" ht="15">
      <c r="A8" s="18"/>
      <c r="B8" s="18"/>
      <c r="C8" s="16"/>
      <c r="D8" s="367"/>
      <c r="E8" s="367"/>
      <c r="F8" s="16"/>
      <c r="G8" s="16"/>
      <c r="H8" s="16"/>
      <c r="I8" s="16"/>
      <c r="J8" s="16"/>
      <c r="K8" s="16"/>
      <c r="L8" s="16"/>
      <c r="M8" s="16"/>
      <c r="N8" s="16"/>
      <c r="O8" s="16"/>
      <c r="P8" s="54"/>
      <c r="Q8" s="54"/>
      <c r="R8" s="54"/>
      <c r="S8" s="54"/>
      <c r="T8" s="28"/>
      <c r="U8" s="368"/>
      <c r="V8" s="368"/>
      <c r="W8" s="368"/>
      <c r="X8" s="373"/>
      <c r="Y8" s="372"/>
      <c r="Z8" s="1179"/>
    </row>
    <row r="9" spans="1:28">
      <c r="A9" s="155">
        <v>300001</v>
      </c>
      <c r="B9" s="156" t="s">
        <v>1018</v>
      </c>
      <c r="C9" s="839">
        <v>1.7847476072637916</v>
      </c>
      <c r="D9" s="1356">
        <f t="shared" ref="D9:D72" si="0">C9*$D$7</f>
        <v>1.7019353182867516</v>
      </c>
      <c r="E9" s="1356">
        <f t="shared" ref="E9:E72" si="1">D9*$E$7</f>
        <v>1.7983369679908392</v>
      </c>
      <c r="F9" s="1357"/>
      <c r="G9" s="1358">
        <f t="shared" ref="G9:G72" si="2">E9*$G$7</f>
        <v>1.7084201195912971</v>
      </c>
      <c r="H9" s="1358">
        <f t="shared" ref="H9:H72" si="3">E9*$H$7</f>
        <v>1.8882538163903813</v>
      </c>
      <c r="I9" s="833">
        <v>1.8078440030422742</v>
      </c>
      <c r="J9" s="1359" t="b">
        <f>IF(I9&gt;0,AND(I9&gt;=G9,I9&lt;=H9),"")</f>
        <v>1</v>
      </c>
      <c r="K9" s="1583"/>
      <c r="L9" s="17"/>
      <c r="M9" s="1361">
        <f t="shared" ref="M9:M63" si="4">IF(I9&gt;0,I9,E9)</f>
        <v>1.8078440030422742</v>
      </c>
      <c r="N9" s="1350"/>
      <c r="O9" s="1358">
        <f t="shared" ref="O9:O72" si="5">$O$7*M9</f>
        <v>5.6851692160313754E-3</v>
      </c>
      <c r="P9" s="1358">
        <f t="shared" ref="P9:P72" si="6">$P$7*M9</f>
        <v>4.5062948785305869E-3</v>
      </c>
      <c r="Q9" s="1358">
        <f t="shared" ref="Q9:Q72" si="7">$Q$7*M9</f>
        <v>1.2462295203742533E-2</v>
      </c>
      <c r="R9" s="1358">
        <f t="shared" ref="R9:R72" si="8">$R$7*M9</f>
        <v>0</v>
      </c>
      <c r="S9" s="1358">
        <f t="shared" ref="S9:S72" si="9">$S$7*M9</f>
        <v>0.11691974296488378</v>
      </c>
      <c r="T9" s="1358">
        <f t="shared" ref="T9:T62" si="10">M9+O9+P9+Q9+R9+S9</f>
        <v>1.9474175053054625</v>
      </c>
      <c r="U9" s="595">
        <f>IF('TAR_Tab 2_Volumina'!C12="storage",1,0)</f>
        <v>0</v>
      </c>
      <c r="V9" s="1362">
        <f>IF(U9=1,T9*$V$7,T9)</f>
        <v>1.9474175053054625</v>
      </c>
      <c r="W9" s="1362">
        <f>IF(U9=0,V9*(1+$W$7),V9)</f>
        <v>2.0517659497411187</v>
      </c>
      <c r="X9" s="1355">
        <f>ROUND(W9,3)</f>
        <v>2.052</v>
      </c>
      <c r="Y9" s="1355">
        <f>X9+'TAR_Tab 13_Overige tarieven'!$T$15+'TAR_Tab 13_Overige tarieven'!$T$16</f>
        <v>2.2050000000000001</v>
      </c>
      <c r="Z9" s="960"/>
    </row>
    <row r="10" spans="1:28">
      <c r="A10" s="155">
        <v>300002</v>
      </c>
      <c r="B10" s="156" t="s">
        <v>1020</v>
      </c>
      <c r="C10" s="839">
        <v>1.8745772711249666</v>
      </c>
      <c r="D10" s="1356">
        <f t="shared" si="0"/>
        <v>1.7875968857447682</v>
      </c>
      <c r="E10" s="1356">
        <f t="shared" si="1"/>
        <v>1.8888506096319708</v>
      </c>
      <c r="F10" s="1357"/>
      <c r="G10" s="1358">
        <f t="shared" si="2"/>
        <v>1.7944080791503723</v>
      </c>
      <c r="H10" s="1358">
        <f t="shared" si="3"/>
        <v>1.9832931401135694</v>
      </c>
      <c r="I10" s="833">
        <v>1.8988361514254857</v>
      </c>
      <c r="J10" s="1359" t="b">
        <f t="shared" ref="J10:J63" si="11">IF(I10&gt;0,AND(I10&gt;=G10,I10&lt;=H10),"")</f>
        <v>1</v>
      </c>
      <c r="K10" s="1583"/>
      <c r="L10" s="17"/>
      <c r="M10" s="1361">
        <f t="shared" si="4"/>
        <v>1.8988361514254857</v>
      </c>
      <c r="N10" s="1350"/>
      <c r="O10" s="1358">
        <f t="shared" si="5"/>
        <v>5.9713143480329533E-3</v>
      </c>
      <c r="P10" s="1358">
        <f t="shared" si="6"/>
        <v>4.7331050742973361E-3</v>
      </c>
      <c r="Q10" s="1358">
        <f t="shared" si="7"/>
        <v>1.3089545681364528E-2</v>
      </c>
      <c r="R10" s="1358">
        <f t="shared" si="8"/>
        <v>0</v>
      </c>
      <c r="S10" s="1358">
        <f t="shared" si="9"/>
        <v>0.12280453091278443</v>
      </c>
      <c r="T10" s="1358">
        <f t="shared" si="10"/>
        <v>2.0454346474419647</v>
      </c>
      <c r="U10" s="595">
        <f>IF('TAR_Tab 2_Volumina'!C13="storage",1,0)</f>
        <v>0</v>
      </c>
      <c r="V10" s="1362">
        <f>IF(U10=1,T10*$V$7,T10)</f>
        <v>2.0454346474419647</v>
      </c>
      <c r="W10" s="1362">
        <f t="shared" ref="W10:W73" si="12">IF(U10=0,V10*(1+$W$7),V10)</f>
        <v>2.1550351430079551</v>
      </c>
      <c r="X10" s="1355">
        <f t="shared" ref="X10:X73" si="13">ROUND(W10,3)</f>
        <v>2.1549999999999998</v>
      </c>
      <c r="Y10" s="1355">
        <f>X10+'TAR_Tab 13_Overige tarieven'!$T$15+'TAR_Tab 13_Overige tarieven'!$T$16</f>
        <v>2.3079999999999998</v>
      </c>
      <c r="Z10" s="960"/>
      <c r="AB10" s="137" t="s">
        <v>568</v>
      </c>
    </row>
    <row r="11" spans="1:28">
      <c r="A11" s="155">
        <v>300003</v>
      </c>
      <c r="B11" s="156" t="s">
        <v>1021</v>
      </c>
      <c r="C11" s="839">
        <v>2.0530846229174382</v>
      </c>
      <c r="D11" s="1356">
        <f t="shared" si="0"/>
        <v>1.957821496414069</v>
      </c>
      <c r="E11" s="1356">
        <f t="shared" si="1"/>
        <v>2.0687171456508646</v>
      </c>
      <c r="F11" s="1357"/>
      <c r="G11" s="1358">
        <f t="shared" si="2"/>
        <v>1.9652812883683213</v>
      </c>
      <c r="H11" s="1358">
        <f t="shared" si="3"/>
        <v>2.172153002933408</v>
      </c>
      <c r="I11" s="833">
        <v>2.0796535645563718</v>
      </c>
      <c r="J11" s="1359" t="b">
        <f t="shared" si="11"/>
        <v>1</v>
      </c>
      <c r="K11" s="1583"/>
      <c r="L11" s="17"/>
      <c r="M11" s="1361">
        <f t="shared" si="4"/>
        <v>2.0796535645563718</v>
      </c>
      <c r="N11" s="1350"/>
      <c r="O11" s="1358">
        <f t="shared" si="5"/>
        <v>6.5399350858423222E-3</v>
      </c>
      <c r="P11" s="1358">
        <f t="shared" si="6"/>
        <v>5.1838168510710356E-3</v>
      </c>
      <c r="Q11" s="1358">
        <f t="shared" si="7"/>
        <v>1.433600277424539E-2</v>
      </c>
      <c r="R11" s="1358">
        <f t="shared" si="8"/>
        <v>0</v>
      </c>
      <c r="S11" s="1358">
        <f t="shared" si="9"/>
        <v>0.13449864026694427</v>
      </c>
      <c r="T11" s="1358">
        <f t="shared" si="10"/>
        <v>2.2402119595344745</v>
      </c>
      <c r="U11" s="595">
        <f>IF('TAR_Tab 2_Volumina'!C14="storage",1,0)</f>
        <v>0</v>
      </c>
      <c r="V11" s="1362">
        <f t="shared" ref="V11:V74" si="14">IF(U11=1,T11*$V$7,T11)</f>
        <v>2.2402119595344745</v>
      </c>
      <c r="W11" s="1362">
        <f t="shared" si="12"/>
        <v>2.3602492050386985</v>
      </c>
      <c r="X11" s="1355">
        <f t="shared" si="13"/>
        <v>2.36</v>
      </c>
      <c r="Y11" s="1355">
        <f>X11+'TAR_Tab 13_Overige tarieven'!$T$15+'TAR_Tab 13_Overige tarieven'!$T$16</f>
        <v>2.5129999999999999</v>
      </c>
      <c r="Z11" s="960"/>
    </row>
    <row r="12" spans="1:28">
      <c r="A12" s="155">
        <v>300005</v>
      </c>
      <c r="B12" s="156" t="s">
        <v>1023</v>
      </c>
      <c r="C12" s="839">
        <v>2.9456232633159036</v>
      </c>
      <c r="D12" s="1356">
        <f t="shared" si="0"/>
        <v>2.8089463438980458</v>
      </c>
      <c r="E12" s="1356">
        <f t="shared" si="1"/>
        <v>2.9680517215070048</v>
      </c>
      <c r="F12" s="1357"/>
      <c r="G12" s="1358">
        <f t="shared" si="2"/>
        <v>2.8196491354316544</v>
      </c>
      <c r="H12" s="1358">
        <f t="shared" si="3"/>
        <v>3.1164543075823552</v>
      </c>
      <c r="I12" s="833">
        <v>2.98374253599455</v>
      </c>
      <c r="J12" s="1359" t="b">
        <f t="shared" si="11"/>
        <v>1</v>
      </c>
      <c r="K12" s="1583"/>
      <c r="L12" s="17"/>
      <c r="M12" s="1361">
        <f t="shared" si="4"/>
        <v>2.98374253599455</v>
      </c>
      <c r="N12" s="1350"/>
      <c r="O12" s="1358">
        <f t="shared" si="5"/>
        <v>9.3830447680517837E-3</v>
      </c>
      <c r="P12" s="1358">
        <f t="shared" si="6"/>
        <v>7.4373804853624294E-3</v>
      </c>
      <c r="Q12" s="1358">
        <f t="shared" si="7"/>
        <v>2.0568301376088342E-2</v>
      </c>
      <c r="R12" s="1358">
        <f t="shared" si="8"/>
        <v>0</v>
      </c>
      <c r="S12" s="1358">
        <f t="shared" si="9"/>
        <v>0.19296931029160022</v>
      </c>
      <c r="T12" s="1358">
        <f t="shared" si="10"/>
        <v>3.2141005729156524</v>
      </c>
      <c r="U12" s="595">
        <f>IF('TAR_Tab 2_Volumina'!C15="storage",1,0)</f>
        <v>0</v>
      </c>
      <c r="V12" s="1362">
        <f t="shared" si="14"/>
        <v>3.2141005729156524</v>
      </c>
      <c r="W12" s="1362">
        <f t="shared" si="12"/>
        <v>3.3863216781125538</v>
      </c>
      <c r="X12" s="1355">
        <f t="shared" si="13"/>
        <v>3.3860000000000001</v>
      </c>
      <c r="Y12" s="1355">
        <f>X12+'TAR_Tab 13_Overige tarieven'!$T$15+'TAR_Tab 13_Overige tarieven'!$T$16</f>
        <v>3.5390000000000001</v>
      </c>
      <c r="Z12" s="960"/>
    </row>
    <row r="13" spans="1:28">
      <c r="A13" s="155">
        <v>300009</v>
      </c>
      <c r="B13" s="156" t="s">
        <v>1024</v>
      </c>
      <c r="C13" s="839">
        <v>2.0927350262163924</v>
      </c>
      <c r="D13" s="1356">
        <f t="shared" si="0"/>
        <v>1.9956321209999519</v>
      </c>
      <c r="E13" s="1356">
        <f t="shared" si="1"/>
        <v>2.1086694536175767</v>
      </c>
      <c r="F13" s="1357"/>
      <c r="G13" s="1358">
        <f t="shared" si="2"/>
        <v>2.0032359809366977</v>
      </c>
      <c r="H13" s="1358">
        <f t="shared" si="3"/>
        <v>2.2141029262984557</v>
      </c>
      <c r="I13" s="833">
        <v>2.1198170832132859</v>
      </c>
      <c r="J13" s="1359" t="b">
        <f t="shared" si="11"/>
        <v>1</v>
      </c>
      <c r="K13" s="1583"/>
      <c r="L13" s="17"/>
      <c r="M13" s="1361">
        <f t="shared" si="4"/>
        <v>2.1198170832132859</v>
      </c>
      <c r="N13" s="1350"/>
      <c r="O13" s="1358">
        <f t="shared" si="5"/>
        <v>6.6662382400367887E-3</v>
      </c>
      <c r="P13" s="1358">
        <f t="shared" si="6"/>
        <v>5.2839298354451572E-3</v>
      </c>
      <c r="Q13" s="1358">
        <f t="shared" si="7"/>
        <v>1.4612868269875094E-2</v>
      </c>
      <c r="R13" s="1358">
        <f t="shared" si="8"/>
        <v>0</v>
      </c>
      <c r="S13" s="1358">
        <f t="shared" si="9"/>
        <v>0.1370961587862575</v>
      </c>
      <c r="T13" s="1358">
        <f t="shared" si="10"/>
        <v>2.2834762783449003</v>
      </c>
      <c r="U13" s="595">
        <f>IF('TAR_Tab 2_Volumina'!C16="storage",1,0)</f>
        <v>0</v>
      </c>
      <c r="V13" s="1362">
        <f t="shared" si="14"/>
        <v>2.2834762783449003</v>
      </c>
      <c r="W13" s="1362">
        <f t="shared" si="12"/>
        <v>2.4058317552274175</v>
      </c>
      <c r="X13" s="1355">
        <f t="shared" si="13"/>
        <v>2.4060000000000001</v>
      </c>
      <c r="Y13" s="1355">
        <f>X13+'TAR_Tab 13_Overige tarieven'!$T$15+'TAR_Tab 13_Overige tarieven'!$T$16</f>
        <v>2.5590000000000002</v>
      </c>
      <c r="Z13" s="960"/>
    </row>
    <row r="14" spans="1:28">
      <c r="A14" s="155">
        <v>300011</v>
      </c>
      <c r="B14" s="156" t="s">
        <v>1025</v>
      </c>
      <c r="C14" s="839">
        <v>2.3276741470840818</v>
      </c>
      <c r="D14" s="1356">
        <f t="shared" si="0"/>
        <v>2.2196700666593805</v>
      </c>
      <c r="E14" s="1356">
        <f t="shared" si="1"/>
        <v>2.3453974394482295</v>
      </c>
      <c r="F14" s="1357"/>
      <c r="G14" s="1358">
        <f t="shared" si="2"/>
        <v>2.2281275674758181</v>
      </c>
      <c r="H14" s="1358">
        <f t="shared" si="3"/>
        <v>2.462667311420641</v>
      </c>
      <c r="I14" s="833">
        <v>2.3577965482155325</v>
      </c>
      <c r="J14" s="1359" t="b">
        <f t="shared" si="11"/>
        <v>1</v>
      </c>
      <c r="K14" s="1583"/>
      <c r="L14" s="17"/>
      <c r="M14" s="1361">
        <f t="shared" si="4"/>
        <v>2.3577965482155325</v>
      </c>
      <c r="N14" s="1350"/>
      <c r="O14" s="1358">
        <f t="shared" si="5"/>
        <v>7.4146178160409198E-3</v>
      </c>
      <c r="P14" s="1358">
        <f t="shared" si="6"/>
        <v>5.8771257320658875E-3</v>
      </c>
      <c r="Q14" s="1358">
        <f t="shared" si="7"/>
        <v>1.6253369519040318E-2</v>
      </c>
      <c r="R14" s="1358">
        <f t="shared" si="8"/>
        <v>0</v>
      </c>
      <c r="S14" s="1358">
        <f t="shared" si="9"/>
        <v>0.15248714264999777</v>
      </c>
      <c r="T14" s="1358">
        <f t="shared" si="10"/>
        <v>2.5398288039326773</v>
      </c>
      <c r="U14" s="595">
        <f>IF('TAR_Tab 2_Volumina'!C17="storage",1,0)</f>
        <v>0</v>
      </c>
      <c r="V14" s="1362">
        <f t="shared" si="14"/>
        <v>2.5398288039326773</v>
      </c>
      <c r="W14" s="1362">
        <f t="shared" si="12"/>
        <v>2.6759204145406845</v>
      </c>
      <c r="X14" s="1355">
        <f t="shared" si="13"/>
        <v>2.6760000000000002</v>
      </c>
      <c r="Y14" s="1355">
        <f>X14+'TAR_Tab 13_Overige tarieven'!$T$15+'TAR_Tab 13_Overige tarieven'!$T$16</f>
        <v>2.8290000000000002</v>
      </c>
      <c r="Z14" s="960"/>
    </row>
    <row r="15" spans="1:28">
      <c r="A15" s="155">
        <v>300012</v>
      </c>
      <c r="B15" s="156" t="s">
        <v>1026</v>
      </c>
      <c r="C15" s="839">
        <v>2.5073334748064324</v>
      </c>
      <c r="D15" s="1356">
        <f t="shared" si="0"/>
        <v>2.3909932015754141</v>
      </c>
      <c r="E15" s="1356">
        <f t="shared" si="1"/>
        <v>2.5264247227304928</v>
      </c>
      <c r="F15" s="1357"/>
      <c r="G15" s="1358">
        <f t="shared" si="2"/>
        <v>2.4001034865939679</v>
      </c>
      <c r="H15" s="1358">
        <f t="shared" si="3"/>
        <v>2.6527459588670177</v>
      </c>
      <c r="I15" s="833">
        <v>2.5397808449819554</v>
      </c>
      <c r="J15" s="1359" t="b">
        <f t="shared" si="11"/>
        <v>1</v>
      </c>
      <c r="K15" s="1583"/>
      <c r="L15" s="17"/>
      <c r="M15" s="1361">
        <f t="shared" si="4"/>
        <v>2.5397808449819554</v>
      </c>
      <c r="N15" s="1350"/>
      <c r="O15" s="1358">
        <f t="shared" si="5"/>
        <v>7.9869080800440764E-3</v>
      </c>
      <c r="P15" s="1358">
        <f t="shared" si="6"/>
        <v>6.330746123599385E-3</v>
      </c>
      <c r="Q15" s="1358">
        <f t="shared" si="7"/>
        <v>1.7507870474284308E-2</v>
      </c>
      <c r="R15" s="1358">
        <f t="shared" si="8"/>
        <v>0</v>
      </c>
      <c r="S15" s="1358">
        <f t="shared" si="9"/>
        <v>0.16425671854579907</v>
      </c>
      <c r="T15" s="1358">
        <f t="shared" si="10"/>
        <v>2.7358630882056825</v>
      </c>
      <c r="U15" s="595">
        <f>IF('TAR_Tab 2_Volumina'!C18="storage",1,0)</f>
        <v>0</v>
      </c>
      <c r="V15" s="1362">
        <f t="shared" si="14"/>
        <v>2.7358630882056825</v>
      </c>
      <c r="W15" s="1362">
        <f t="shared" si="12"/>
        <v>2.8824588010743586</v>
      </c>
      <c r="X15" s="1355">
        <f t="shared" si="13"/>
        <v>2.8820000000000001</v>
      </c>
      <c r="Y15" s="1355">
        <f>X15+'TAR_Tab 13_Overige tarieven'!$T$15+'TAR_Tab 13_Overige tarieven'!$T$16</f>
        <v>3.0350000000000001</v>
      </c>
      <c r="Z15" s="960"/>
    </row>
    <row r="16" spans="1:28">
      <c r="A16" s="155">
        <v>300016</v>
      </c>
      <c r="B16" s="156" t="s">
        <v>59</v>
      </c>
      <c r="C16" s="839">
        <v>1.8621407458713626</v>
      </c>
      <c r="D16" s="1356">
        <f t="shared" si="0"/>
        <v>1.7757374152629313</v>
      </c>
      <c r="E16" s="1356">
        <f t="shared" si="1"/>
        <v>1.8763193906372604</v>
      </c>
      <c r="F16" s="1357"/>
      <c r="G16" s="1358">
        <f t="shared" si="2"/>
        <v>1.7825034211053974</v>
      </c>
      <c r="H16" s="1358">
        <f t="shared" si="3"/>
        <v>1.9701353601691234</v>
      </c>
      <c r="I16" s="833">
        <v>1.8862386852588935</v>
      </c>
      <c r="J16" s="1359" t="b">
        <f t="shared" si="11"/>
        <v>1</v>
      </c>
      <c r="K16" s="1583"/>
      <c r="L16" s="17"/>
      <c r="M16" s="1361">
        <f t="shared" si="4"/>
        <v>1.8862386852588935</v>
      </c>
      <c r="N16" s="1350"/>
      <c r="O16" s="1358">
        <f t="shared" si="5"/>
        <v>5.9316988022614231E-3</v>
      </c>
      <c r="P16" s="1358">
        <f t="shared" si="6"/>
        <v>4.7017041917137466E-3</v>
      </c>
      <c r="Q16" s="1358">
        <f t="shared" si="7"/>
        <v>1.3002705587903457E-2</v>
      </c>
      <c r="R16" s="1358">
        <f t="shared" si="8"/>
        <v>0</v>
      </c>
      <c r="S16" s="1358">
        <f t="shared" si="9"/>
        <v>0.12198980768239057</v>
      </c>
      <c r="T16" s="1358">
        <f t="shared" si="10"/>
        <v>2.0318646015231625</v>
      </c>
      <c r="U16" s="595">
        <f>IF('TAR_Tab 2_Volumina'!C19="storage",1,0)</f>
        <v>0</v>
      </c>
      <c r="V16" s="1362">
        <f t="shared" si="14"/>
        <v>2.0318646015231625</v>
      </c>
      <c r="W16" s="1362">
        <f t="shared" si="12"/>
        <v>2.1407379735120622</v>
      </c>
      <c r="X16" s="1355">
        <f t="shared" si="13"/>
        <v>2.141</v>
      </c>
      <c r="Y16" s="1355">
        <f>X16+'TAR_Tab 13_Overige tarieven'!$T$15+'TAR_Tab 13_Overige tarieven'!$T$16</f>
        <v>2.294</v>
      </c>
      <c r="Z16" s="960"/>
    </row>
    <row r="17" spans="1:26">
      <c r="A17" s="155">
        <v>300024</v>
      </c>
      <c r="B17" s="156" t="s">
        <v>1027</v>
      </c>
      <c r="C17" s="839">
        <v>1.8745772711249666</v>
      </c>
      <c r="D17" s="1356">
        <f t="shared" si="0"/>
        <v>1.7875968857447682</v>
      </c>
      <c r="E17" s="1356">
        <f t="shared" si="1"/>
        <v>1.8888506096319708</v>
      </c>
      <c r="F17" s="1357"/>
      <c r="G17" s="1358">
        <f t="shared" si="2"/>
        <v>1.7944080791503723</v>
      </c>
      <c r="H17" s="1358">
        <f t="shared" si="3"/>
        <v>1.9832931401135694</v>
      </c>
      <c r="I17" s="833">
        <v>1.8988361514254857</v>
      </c>
      <c r="J17" s="1359" t="b">
        <f t="shared" si="11"/>
        <v>1</v>
      </c>
      <c r="K17" s="1583"/>
      <c r="L17" s="17"/>
      <c r="M17" s="1361">
        <f t="shared" si="4"/>
        <v>1.8988361514254857</v>
      </c>
      <c r="N17" s="1350"/>
      <c r="O17" s="1358">
        <f t="shared" si="5"/>
        <v>5.9713143480329533E-3</v>
      </c>
      <c r="P17" s="1358">
        <f t="shared" si="6"/>
        <v>4.7331050742973361E-3</v>
      </c>
      <c r="Q17" s="1358">
        <f t="shared" si="7"/>
        <v>1.3089545681364528E-2</v>
      </c>
      <c r="R17" s="1358">
        <f t="shared" si="8"/>
        <v>0</v>
      </c>
      <c r="S17" s="1358">
        <f t="shared" si="9"/>
        <v>0.12280453091278443</v>
      </c>
      <c r="T17" s="1358">
        <f t="shared" si="10"/>
        <v>2.0454346474419647</v>
      </c>
      <c r="U17" s="595">
        <f>IF('TAR_Tab 2_Volumina'!C20="storage",1,0)</f>
        <v>0</v>
      </c>
      <c r="V17" s="1362">
        <f t="shared" si="14"/>
        <v>2.0454346474419647</v>
      </c>
      <c r="W17" s="1362">
        <f t="shared" si="12"/>
        <v>2.1550351430079551</v>
      </c>
      <c r="X17" s="1355">
        <f t="shared" si="13"/>
        <v>2.1549999999999998</v>
      </c>
      <c r="Y17" s="1355">
        <f>X17+'TAR_Tab 13_Overige tarieven'!$T$15+'TAR_Tab 13_Overige tarieven'!$T$16</f>
        <v>2.3079999999999998</v>
      </c>
      <c r="Z17" s="960"/>
    </row>
    <row r="18" spans="1:26">
      <c r="A18" s="155">
        <v>300025</v>
      </c>
      <c r="B18" s="156" t="s">
        <v>1028</v>
      </c>
      <c r="C18" s="839">
        <v>1.7847476072637916</v>
      </c>
      <c r="D18" s="1356">
        <f t="shared" si="0"/>
        <v>1.7019353182867516</v>
      </c>
      <c r="E18" s="1356">
        <f t="shared" si="1"/>
        <v>1.7983369679908392</v>
      </c>
      <c r="F18" s="1357"/>
      <c r="G18" s="1358">
        <f t="shared" si="2"/>
        <v>1.7084201195912971</v>
      </c>
      <c r="H18" s="1358">
        <f t="shared" si="3"/>
        <v>1.8882538163903813</v>
      </c>
      <c r="I18" s="833">
        <v>1.8078440030422742</v>
      </c>
      <c r="J18" s="1359" t="b">
        <f t="shared" si="11"/>
        <v>1</v>
      </c>
      <c r="K18" s="1583"/>
      <c r="L18" s="17"/>
      <c r="M18" s="1361">
        <f t="shared" si="4"/>
        <v>1.8078440030422742</v>
      </c>
      <c r="N18" s="1350"/>
      <c r="O18" s="1358">
        <f t="shared" si="5"/>
        <v>5.6851692160313754E-3</v>
      </c>
      <c r="P18" s="1358">
        <f t="shared" si="6"/>
        <v>4.5062948785305869E-3</v>
      </c>
      <c r="Q18" s="1358">
        <f t="shared" si="7"/>
        <v>1.2462295203742533E-2</v>
      </c>
      <c r="R18" s="1358">
        <f t="shared" si="8"/>
        <v>0</v>
      </c>
      <c r="S18" s="1358">
        <f t="shared" si="9"/>
        <v>0.11691974296488378</v>
      </c>
      <c r="T18" s="1358">
        <f t="shared" si="10"/>
        <v>1.9474175053054625</v>
      </c>
      <c r="U18" s="595">
        <f>IF('TAR_Tab 2_Volumina'!C21="storage",1,0)</f>
        <v>0</v>
      </c>
      <c r="V18" s="1362">
        <f t="shared" si="14"/>
        <v>1.9474175053054625</v>
      </c>
      <c r="W18" s="1362">
        <f t="shared" si="12"/>
        <v>2.0517659497411187</v>
      </c>
      <c r="X18" s="1355">
        <f t="shared" si="13"/>
        <v>2.052</v>
      </c>
      <c r="Y18" s="1355">
        <f>X18+'TAR_Tab 13_Overige tarieven'!$T$15+'TAR_Tab 13_Overige tarieven'!$T$16</f>
        <v>2.2050000000000001</v>
      </c>
      <c r="Z18" s="960"/>
    </row>
    <row r="19" spans="1:26">
      <c r="A19" s="155">
        <v>300027</v>
      </c>
      <c r="B19" s="156" t="s">
        <v>288</v>
      </c>
      <c r="C19" s="839">
        <v>1.7847476072637916</v>
      </c>
      <c r="D19" s="1356">
        <f t="shared" si="0"/>
        <v>1.7019353182867516</v>
      </c>
      <c r="E19" s="1356">
        <f t="shared" si="1"/>
        <v>1.7983369679908392</v>
      </c>
      <c r="F19" s="1357"/>
      <c r="G19" s="1358">
        <f t="shared" si="2"/>
        <v>1.7084201195912971</v>
      </c>
      <c r="H19" s="1358">
        <f t="shared" si="3"/>
        <v>1.8882538163903813</v>
      </c>
      <c r="I19" s="833">
        <v>1.8078440030422742</v>
      </c>
      <c r="J19" s="1359" t="b">
        <f t="shared" si="11"/>
        <v>1</v>
      </c>
      <c r="K19" s="1583"/>
      <c r="L19" s="17"/>
      <c r="M19" s="1361">
        <f t="shared" si="4"/>
        <v>1.8078440030422742</v>
      </c>
      <c r="N19" s="1350"/>
      <c r="O19" s="1358">
        <f t="shared" si="5"/>
        <v>5.6851692160313754E-3</v>
      </c>
      <c r="P19" s="1358">
        <f t="shared" si="6"/>
        <v>4.5062948785305869E-3</v>
      </c>
      <c r="Q19" s="1358">
        <f t="shared" si="7"/>
        <v>1.2462295203742533E-2</v>
      </c>
      <c r="R19" s="1358">
        <f t="shared" si="8"/>
        <v>0</v>
      </c>
      <c r="S19" s="1358">
        <f t="shared" si="9"/>
        <v>0.11691974296488378</v>
      </c>
      <c r="T19" s="1358">
        <f t="shared" si="10"/>
        <v>1.9474175053054625</v>
      </c>
      <c r="U19" s="595">
        <f>IF('TAR_Tab 2_Volumina'!C22="storage",1,0)</f>
        <v>0</v>
      </c>
      <c r="V19" s="1362">
        <f t="shared" si="14"/>
        <v>1.9474175053054625</v>
      </c>
      <c r="W19" s="1362">
        <f t="shared" si="12"/>
        <v>2.0517659497411187</v>
      </c>
      <c r="X19" s="1355">
        <f t="shared" si="13"/>
        <v>2.052</v>
      </c>
      <c r="Y19" s="1355">
        <f>X19+'TAR_Tab 13_Overige tarieven'!$T$15+'TAR_Tab 13_Overige tarieven'!$T$16</f>
        <v>2.2050000000000001</v>
      </c>
      <c r="Z19" s="960"/>
    </row>
    <row r="20" spans="1:26">
      <c r="A20" s="155">
        <v>300031</v>
      </c>
      <c r="B20" s="156" t="s">
        <v>1029</v>
      </c>
      <c r="C20" s="839">
        <v>2.0621337121537948</v>
      </c>
      <c r="D20" s="1356">
        <f t="shared" si="0"/>
        <v>1.9664507079098588</v>
      </c>
      <c r="E20" s="1356">
        <f t="shared" si="1"/>
        <v>2.0778351361354335</v>
      </c>
      <c r="F20" s="1357"/>
      <c r="G20" s="1358">
        <f t="shared" si="2"/>
        <v>1.9739433793286616</v>
      </c>
      <c r="H20" s="1358">
        <f t="shared" si="3"/>
        <v>2.1817268929422053</v>
      </c>
      <c r="I20" s="833">
        <v>2.0888197579398846</v>
      </c>
      <c r="J20" s="1359" t="b">
        <f t="shared" si="11"/>
        <v>1</v>
      </c>
      <c r="K20" s="1583"/>
      <c r="L20" s="17"/>
      <c r="M20" s="1361">
        <f t="shared" si="4"/>
        <v>2.0888197579398846</v>
      </c>
      <c r="N20" s="1350"/>
      <c r="O20" s="1358">
        <f t="shared" si="5"/>
        <v>6.5687602280362521E-3</v>
      </c>
      <c r="P20" s="1358">
        <f t="shared" si="6"/>
        <v>5.2066648237004409E-3</v>
      </c>
      <c r="Q20" s="1358">
        <f t="shared" si="7"/>
        <v>1.4399189535740131E-2</v>
      </c>
      <c r="R20" s="1358">
        <f t="shared" si="8"/>
        <v>0</v>
      </c>
      <c r="S20" s="1358">
        <f t="shared" si="9"/>
        <v>0.13509145080400567</v>
      </c>
      <c r="T20" s="1358">
        <f t="shared" si="10"/>
        <v>2.250085823331367</v>
      </c>
      <c r="U20" s="595">
        <f>IF('TAR_Tab 2_Volumina'!C23="storage",1,0)</f>
        <v>0</v>
      </c>
      <c r="V20" s="1362">
        <f t="shared" si="14"/>
        <v>2.250085823331367</v>
      </c>
      <c r="W20" s="1362">
        <f t="shared" si="12"/>
        <v>2.370652139938715</v>
      </c>
      <c r="X20" s="1355">
        <f t="shared" si="13"/>
        <v>2.371</v>
      </c>
      <c r="Y20" s="1355">
        <f>X20+'TAR_Tab 13_Overige tarieven'!$T$15+'TAR_Tab 13_Overige tarieven'!$T$16</f>
        <v>2.524</v>
      </c>
      <c r="Z20" s="960"/>
    </row>
    <row r="21" spans="1:26">
      <c r="A21" s="155">
        <v>300032</v>
      </c>
      <c r="B21" s="156" t="s">
        <v>60</v>
      </c>
      <c r="C21" s="839">
        <v>2.106554974502727</v>
      </c>
      <c r="D21" s="1356">
        <f t="shared" si="0"/>
        <v>2.0088108236858004</v>
      </c>
      <c r="E21" s="1356">
        <f t="shared" si="1"/>
        <v>2.122594629254674</v>
      </c>
      <c r="F21" s="1357"/>
      <c r="G21" s="1358">
        <f t="shared" si="2"/>
        <v>2.0164648977919404</v>
      </c>
      <c r="H21" s="1358">
        <f t="shared" si="3"/>
        <v>2.2287243607174076</v>
      </c>
      <c r="I21" s="833">
        <v>2.1338158752722416</v>
      </c>
      <c r="J21" s="1359" t="b">
        <f t="shared" si="11"/>
        <v>1</v>
      </c>
      <c r="K21" s="1583"/>
      <c r="L21" s="17"/>
      <c r="M21" s="1361">
        <f t="shared" si="4"/>
        <v>2.1338158752722416</v>
      </c>
      <c r="N21" s="1350"/>
      <c r="O21" s="1358">
        <f t="shared" si="5"/>
        <v>6.7102605680370315E-3</v>
      </c>
      <c r="P21" s="1358">
        <f t="shared" si="6"/>
        <v>5.3188237117169643E-3</v>
      </c>
      <c r="Q21" s="1358">
        <f t="shared" si="7"/>
        <v>1.47093683433554E-2</v>
      </c>
      <c r="R21" s="1358">
        <f t="shared" si="8"/>
        <v>0</v>
      </c>
      <c r="S21" s="1358">
        <f t="shared" si="9"/>
        <v>0.13800151077824224</v>
      </c>
      <c r="T21" s="1358">
        <f t="shared" si="10"/>
        <v>2.2985558386735931</v>
      </c>
      <c r="U21" s="595">
        <f>IF('TAR_Tab 2_Volumina'!C24="storage",1,0)</f>
        <v>0</v>
      </c>
      <c r="V21" s="1362">
        <f t="shared" si="14"/>
        <v>2.2985558386735931</v>
      </c>
      <c r="W21" s="1362">
        <f t="shared" si="12"/>
        <v>2.4217193234223156</v>
      </c>
      <c r="X21" s="1355">
        <f t="shared" si="13"/>
        <v>2.4220000000000002</v>
      </c>
      <c r="Y21" s="1355">
        <f>X21+'TAR_Tab 13_Overige tarieven'!$T$15+'TAR_Tab 13_Overige tarieven'!$T$16</f>
        <v>2.5750000000000002</v>
      </c>
      <c r="Z21" s="960"/>
    </row>
    <row r="22" spans="1:26">
      <c r="A22" s="155">
        <v>300034</v>
      </c>
      <c r="B22" s="156" t="s">
        <v>1030</v>
      </c>
      <c r="C22" s="839">
        <v>1.7847476072637916</v>
      </c>
      <c r="D22" s="1356">
        <f t="shared" si="0"/>
        <v>1.7019353182867516</v>
      </c>
      <c r="E22" s="1356">
        <f t="shared" si="1"/>
        <v>1.7983369679908392</v>
      </c>
      <c r="F22" s="1357"/>
      <c r="G22" s="1358">
        <f t="shared" si="2"/>
        <v>1.7084201195912971</v>
      </c>
      <c r="H22" s="1358">
        <f t="shared" si="3"/>
        <v>1.8882538163903813</v>
      </c>
      <c r="I22" s="833">
        <v>1.8078440030422742</v>
      </c>
      <c r="J22" s="1359" t="b">
        <f t="shared" si="11"/>
        <v>1</v>
      </c>
      <c r="K22" s="1583"/>
      <c r="L22" s="17"/>
      <c r="M22" s="1361">
        <f t="shared" si="4"/>
        <v>1.8078440030422742</v>
      </c>
      <c r="N22" s="1350"/>
      <c r="O22" s="1358">
        <f t="shared" si="5"/>
        <v>5.6851692160313754E-3</v>
      </c>
      <c r="P22" s="1358">
        <f t="shared" si="6"/>
        <v>4.5062948785305869E-3</v>
      </c>
      <c r="Q22" s="1358">
        <f t="shared" si="7"/>
        <v>1.2462295203742533E-2</v>
      </c>
      <c r="R22" s="1358">
        <f t="shared" si="8"/>
        <v>0</v>
      </c>
      <c r="S22" s="1358">
        <f t="shared" si="9"/>
        <v>0.11691974296488378</v>
      </c>
      <c r="T22" s="1358">
        <f t="shared" si="10"/>
        <v>1.9474175053054625</v>
      </c>
      <c r="U22" s="595">
        <f>IF('TAR_Tab 2_Volumina'!C25="storage",1,0)</f>
        <v>0</v>
      </c>
      <c r="V22" s="1362">
        <f t="shared" si="14"/>
        <v>1.9474175053054625</v>
      </c>
      <c r="W22" s="1362">
        <f t="shared" si="12"/>
        <v>2.0517659497411187</v>
      </c>
      <c r="X22" s="1355">
        <f t="shared" si="13"/>
        <v>2.052</v>
      </c>
      <c r="Y22" s="1355">
        <f>X22+'TAR_Tab 13_Overige tarieven'!$T$15+'TAR_Tab 13_Overige tarieven'!$T$16</f>
        <v>2.2050000000000001</v>
      </c>
      <c r="Z22" s="960"/>
    </row>
    <row r="23" spans="1:26">
      <c r="A23" s="155">
        <v>300035</v>
      </c>
      <c r="B23" s="156" t="s">
        <v>1031</v>
      </c>
      <c r="C23" s="839">
        <v>2.0986578611962505</v>
      </c>
      <c r="D23" s="1356">
        <f t="shared" si="0"/>
        <v>2.0012801364367445</v>
      </c>
      <c r="E23" s="1356">
        <f t="shared" si="1"/>
        <v>2.114637386033476</v>
      </c>
      <c r="F23" s="1357"/>
      <c r="G23" s="1358">
        <f t="shared" si="2"/>
        <v>2.0089055167318022</v>
      </c>
      <c r="H23" s="1358">
        <f t="shared" si="3"/>
        <v>2.2203692553351497</v>
      </c>
      <c r="I23" s="833">
        <v>2.1258165655242673</v>
      </c>
      <c r="J23" s="1359" t="b">
        <f t="shared" si="11"/>
        <v>1</v>
      </c>
      <c r="K23" s="1583"/>
      <c r="L23" s="17"/>
      <c r="M23" s="1361">
        <f t="shared" si="4"/>
        <v>2.1258165655242673</v>
      </c>
      <c r="N23" s="1350"/>
      <c r="O23" s="1358">
        <f t="shared" si="5"/>
        <v>6.6851049520368945E-3</v>
      </c>
      <c r="P23" s="1358">
        <f t="shared" si="6"/>
        <v>5.2988843538473614E-3</v>
      </c>
      <c r="Q23" s="1358">
        <f t="shared" si="7"/>
        <v>1.46542254442238E-2</v>
      </c>
      <c r="R23" s="1358">
        <f t="shared" si="8"/>
        <v>0</v>
      </c>
      <c r="S23" s="1358">
        <f t="shared" si="9"/>
        <v>0.13748416678282241</v>
      </c>
      <c r="T23" s="1358">
        <f t="shared" si="10"/>
        <v>2.2899389470571978</v>
      </c>
      <c r="U23" s="595">
        <f>IF('TAR_Tab 2_Volumina'!C26="storage",1,0)</f>
        <v>0</v>
      </c>
      <c r="V23" s="1362">
        <f t="shared" si="14"/>
        <v>2.2899389470571978</v>
      </c>
      <c r="W23" s="1362">
        <f t="shared" si="12"/>
        <v>2.4126407130252314</v>
      </c>
      <c r="X23" s="1355">
        <f t="shared" si="13"/>
        <v>2.4129999999999998</v>
      </c>
      <c r="Y23" s="1355">
        <f>X23+'TAR_Tab 13_Overige tarieven'!$T$15+'TAR_Tab 13_Overige tarieven'!$T$16</f>
        <v>2.5659999999999998</v>
      </c>
      <c r="Z23" s="960"/>
    </row>
    <row r="24" spans="1:26">
      <c r="A24" s="155">
        <v>300039</v>
      </c>
      <c r="B24" s="156" t="s">
        <v>1032</v>
      </c>
      <c r="C24" s="839">
        <v>2.0621337121537948</v>
      </c>
      <c r="D24" s="1356">
        <f t="shared" si="0"/>
        <v>1.9664507079098588</v>
      </c>
      <c r="E24" s="1356">
        <f t="shared" si="1"/>
        <v>2.0778351361354335</v>
      </c>
      <c r="F24" s="1357"/>
      <c r="G24" s="1358">
        <f t="shared" si="2"/>
        <v>1.9739433793286616</v>
      </c>
      <c r="H24" s="1358">
        <f t="shared" si="3"/>
        <v>2.1817268929422053</v>
      </c>
      <c r="I24" s="833">
        <v>2.0888197579398846</v>
      </c>
      <c r="J24" s="1359" t="b">
        <f t="shared" si="11"/>
        <v>1</v>
      </c>
      <c r="K24" s="1583"/>
      <c r="L24" s="17"/>
      <c r="M24" s="1361">
        <f t="shared" si="4"/>
        <v>2.0888197579398846</v>
      </c>
      <c r="N24" s="1350"/>
      <c r="O24" s="1358">
        <f t="shared" si="5"/>
        <v>6.5687602280362521E-3</v>
      </c>
      <c r="P24" s="1358">
        <f t="shared" si="6"/>
        <v>5.2066648237004409E-3</v>
      </c>
      <c r="Q24" s="1358">
        <f t="shared" si="7"/>
        <v>1.4399189535740131E-2</v>
      </c>
      <c r="R24" s="1358">
        <f t="shared" si="8"/>
        <v>0</v>
      </c>
      <c r="S24" s="1358">
        <f t="shared" si="9"/>
        <v>0.13509145080400567</v>
      </c>
      <c r="T24" s="1358">
        <f t="shared" si="10"/>
        <v>2.250085823331367</v>
      </c>
      <c r="U24" s="595">
        <f>IF('TAR_Tab 2_Volumina'!C27="storage",1,0)</f>
        <v>0</v>
      </c>
      <c r="V24" s="1362">
        <f t="shared" si="14"/>
        <v>2.250085823331367</v>
      </c>
      <c r="W24" s="1362">
        <f t="shared" si="12"/>
        <v>2.370652139938715</v>
      </c>
      <c r="X24" s="1355">
        <f t="shared" si="13"/>
        <v>2.371</v>
      </c>
      <c r="Y24" s="1355">
        <f>X24+'TAR_Tab 13_Overige tarieven'!$T$15+'TAR_Tab 13_Overige tarieven'!$T$16</f>
        <v>2.524</v>
      </c>
      <c r="Z24" s="960"/>
    </row>
    <row r="25" spans="1:26">
      <c r="A25" s="155">
        <v>300042</v>
      </c>
      <c r="B25" s="156" t="s">
        <v>289</v>
      </c>
      <c r="C25" s="839">
        <v>2.9456232633159036</v>
      </c>
      <c r="D25" s="1356">
        <f t="shared" si="0"/>
        <v>2.8089463438980458</v>
      </c>
      <c r="E25" s="1356">
        <f t="shared" si="1"/>
        <v>2.9680517215070048</v>
      </c>
      <c r="F25" s="1357"/>
      <c r="G25" s="1358">
        <f t="shared" si="2"/>
        <v>2.8196491354316544</v>
      </c>
      <c r="H25" s="1358">
        <f t="shared" si="3"/>
        <v>3.1164543075823552</v>
      </c>
      <c r="I25" s="833">
        <v>2.98374253599455</v>
      </c>
      <c r="J25" s="1359" t="b">
        <f t="shared" si="11"/>
        <v>1</v>
      </c>
      <c r="K25" s="1583"/>
      <c r="L25" s="17"/>
      <c r="M25" s="1361">
        <f t="shared" si="4"/>
        <v>2.98374253599455</v>
      </c>
      <c r="N25" s="1350"/>
      <c r="O25" s="1358">
        <f t="shared" si="5"/>
        <v>9.3830447680517837E-3</v>
      </c>
      <c r="P25" s="1358">
        <f t="shared" si="6"/>
        <v>7.4373804853624294E-3</v>
      </c>
      <c r="Q25" s="1358">
        <f t="shared" si="7"/>
        <v>2.0568301376088342E-2</v>
      </c>
      <c r="R25" s="1358">
        <f t="shared" si="8"/>
        <v>0</v>
      </c>
      <c r="S25" s="1358">
        <f t="shared" si="9"/>
        <v>0.19296931029160022</v>
      </c>
      <c r="T25" s="1358">
        <f t="shared" si="10"/>
        <v>3.2141005729156524</v>
      </c>
      <c r="U25" s="595">
        <f>IF('TAR_Tab 2_Volumina'!C28="storage",1,0)</f>
        <v>0</v>
      </c>
      <c r="V25" s="1362">
        <f t="shared" si="14"/>
        <v>3.2141005729156524</v>
      </c>
      <c r="W25" s="1362">
        <f t="shared" si="12"/>
        <v>3.3863216781125538</v>
      </c>
      <c r="X25" s="1355">
        <f t="shared" si="13"/>
        <v>3.3860000000000001</v>
      </c>
      <c r="Y25" s="1355">
        <f>X25+'TAR_Tab 13_Overige tarieven'!$T$15+'TAR_Tab 13_Overige tarieven'!$T$16</f>
        <v>3.5390000000000001</v>
      </c>
      <c r="Z25" s="960"/>
    </row>
    <row r="26" spans="1:26">
      <c r="A26" s="155">
        <v>300043</v>
      </c>
      <c r="B26" s="156" t="s">
        <v>290</v>
      </c>
      <c r="C26" s="839">
        <v>2.9456232633159036</v>
      </c>
      <c r="D26" s="1356">
        <f t="shared" si="0"/>
        <v>2.8089463438980458</v>
      </c>
      <c r="E26" s="1356">
        <f t="shared" si="1"/>
        <v>2.9680517215070048</v>
      </c>
      <c r="F26" s="1357"/>
      <c r="G26" s="1358">
        <f t="shared" si="2"/>
        <v>2.8196491354316544</v>
      </c>
      <c r="H26" s="1358">
        <f t="shared" si="3"/>
        <v>3.1164543075823552</v>
      </c>
      <c r="I26" s="833">
        <v>2.98374253599455</v>
      </c>
      <c r="J26" s="1359" t="b">
        <f t="shared" si="11"/>
        <v>1</v>
      </c>
      <c r="K26" s="1583"/>
      <c r="L26" s="17"/>
      <c r="M26" s="1361">
        <f t="shared" si="4"/>
        <v>2.98374253599455</v>
      </c>
      <c r="N26" s="1350"/>
      <c r="O26" s="1358">
        <f t="shared" si="5"/>
        <v>9.3830447680517837E-3</v>
      </c>
      <c r="P26" s="1358">
        <f t="shared" si="6"/>
        <v>7.4373804853624294E-3</v>
      </c>
      <c r="Q26" s="1358">
        <f t="shared" si="7"/>
        <v>2.0568301376088342E-2</v>
      </c>
      <c r="R26" s="1358">
        <f t="shared" si="8"/>
        <v>0</v>
      </c>
      <c r="S26" s="1358">
        <f t="shared" si="9"/>
        <v>0.19296931029160022</v>
      </c>
      <c r="T26" s="1358">
        <f t="shared" si="10"/>
        <v>3.2141005729156524</v>
      </c>
      <c r="U26" s="595">
        <f>IF('TAR_Tab 2_Volumina'!C29="storage",1,0)</f>
        <v>0</v>
      </c>
      <c r="V26" s="1362">
        <f t="shared" si="14"/>
        <v>3.2141005729156524</v>
      </c>
      <c r="W26" s="1362">
        <f t="shared" si="12"/>
        <v>3.3863216781125538</v>
      </c>
      <c r="X26" s="1355">
        <f t="shared" si="13"/>
        <v>3.3860000000000001</v>
      </c>
      <c r="Y26" s="1355">
        <f>X26+'TAR_Tab 13_Overige tarieven'!$T$15+'TAR_Tab 13_Overige tarieven'!$T$16</f>
        <v>3.5390000000000001</v>
      </c>
      <c r="Z26" s="960"/>
    </row>
    <row r="27" spans="1:26">
      <c r="A27" s="155">
        <v>300049</v>
      </c>
      <c r="B27" s="156" t="s">
        <v>1033</v>
      </c>
      <c r="C27" s="839">
        <v>2.5073334748064324</v>
      </c>
      <c r="D27" s="1356">
        <f t="shared" si="0"/>
        <v>2.3909932015754141</v>
      </c>
      <c r="E27" s="1356">
        <f t="shared" si="1"/>
        <v>2.5264247227304928</v>
      </c>
      <c r="F27" s="1357"/>
      <c r="G27" s="1358">
        <f t="shared" si="2"/>
        <v>2.4001034865939679</v>
      </c>
      <c r="H27" s="1358">
        <f t="shared" si="3"/>
        <v>2.6527459588670177</v>
      </c>
      <c r="I27" s="833">
        <v>2.5397808449819554</v>
      </c>
      <c r="J27" s="1359" t="b">
        <f t="shared" si="11"/>
        <v>1</v>
      </c>
      <c r="K27" s="1583"/>
      <c r="L27" s="17"/>
      <c r="M27" s="1361">
        <f t="shared" si="4"/>
        <v>2.5397808449819554</v>
      </c>
      <c r="N27" s="1350"/>
      <c r="O27" s="1358">
        <f t="shared" si="5"/>
        <v>7.9869080800440764E-3</v>
      </c>
      <c r="P27" s="1358">
        <f t="shared" si="6"/>
        <v>6.330746123599385E-3</v>
      </c>
      <c r="Q27" s="1358">
        <f t="shared" si="7"/>
        <v>1.7507870474284308E-2</v>
      </c>
      <c r="R27" s="1358">
        <f t="shared" si="8"/>
        <v>0</v>
      </c>
      <c r="S27" s="1358">
        <f t="shared" si="9"/>
        <v>0.16425671854579907</v>
      </c>
      <c r="T27" s="1358">
        <f t="shared" si="10"/>
        <v>2.7358630882056825</v>
      </c>
      <c r="U27" s="595">
        <f>IF('TAR_Tab 2_Volumina'!C30="storage",1,0)</f>
        <v>0</v>
      </c>
      <c r="V27" s="1362">
        <f t="shared" si="14"/>
        <v>2.7358630882056825</v>
      </c>
      <c r="W27" s="1362">
        <f t="shared" si="12"/>
        <v>2.8824588010743586</v>
      </c>
      <c r="X27" s="1355">
        <f t="shared" si="13"/>
        <v>2.8820000000000001</v>
      </c>
      <c r="Y27" s="1355">
        <f>X27+'TAR_Tab 13_Overige tarieven'!$T$15+'TAR_Tab 13_Overige tarieven'!$T$16</f>
        <v>3.0350000000000001</v>
      </c>
      <c r="Z27" s="960"/>
    </row>
    <row r="28" spans="1:26">
      <c r="A28" s="155">
        <v>300050</v>
      </c>
      <c r="B28" s="156" t="s">
        <v>61</v>
      </c>
      <c r="C28" s="839">
        <v>2.8074237804525572</v>
      </c>
      <c r="D28" s="1356">
        <f t="shared" si="0"/>
        <v>2.6771593170395587</v>
      </c>
      <c r="E28" s="1356">
        <f t="shared" si="1"/>
        <v>2.8287999651360329</v>
      </c>
      <c r="F28" s="1357"/>
      <c r="G28" s="1358">
        <f t="shared" si="2"/>
        <v>2.6873599668792312</v>
      </c>
      <c r="H28" s="1358">
        <f t="shared" si="3"/>
        <v>2.9702399633928347</v>
      </c>
      <c r="I28" s="833">
        <v>2.8437546154049937</v>
      </c>
      <c r="J28" s="1359" t="b">
        <f t="shared" si="11"/>
        <v>1</v>
      </c>
      <c r="K28" s="1583"/>
      <c r="L28" s="17"/>
      <c r="M28" s="1361">
        <f t="shared" si="4"/>
        <v>2.8437546154049937</v>
      </c>
      <c r="N28" s="1350"/>
      <c r="O28" s="1358">
        <f t="shared" si="5"/>
        <v>8.9428214880493545E-3</v>
      </c>
      <c r="P28" s="1358">
        <f t="shared" si="6"/>
        <v>7.0884417226443541E-3</v>
      </c>
      <c r="Q28" s="1358">
        <f t="shared" si="7"/>
        <v>1.9603300641285272E-2</v>
      </c>
      <c r="R28" s="1358">
        <f t="shared" si="8"/>
        <v>0</v>
      </c>
      <c r="S28" s="1358">
        <f t="shared" si="9"/>
        <v>0.18391579037175304</v>
      </c>
      <c r="T28" s="1358">
        <f t="shared" si="10"/>
        <v>3.0633049696287258</v>
      </c>
      <c r="U28" s="595">
        <f>IF('TAR_Tab 2_Volumina'!C31="storage",1,0)</f>
        <v>0</v>
      </c>
      <c r="V28" s="1362">
        <f t="shared" si="14"/>
        <v>3.0633049696287258</v>
      </c>
      <c r="W28" s="1362">
        <f t="shared" si="12"/>
        <v>3.2274459961635742</v>
      </c>
      <c r="X28" s="1355">
        <f t="shared" si="13"/>
        <v>3.2269999999999999</v>
      </c>
      <c r="Y28" s="1355">
        <f>X28+'TAR_Tab 13_Overige tarieven'!$T$15+'TAR_Tab 13_Overige tarieven'!$T$16</f>
        <v>3.38</v>
      </c>
      <c r="Z28" s="960"/>
    </row>
    <row r="29" spans="1:26">
      <c r="A29" s="155">
        <v>300052</v>
      </c>
      <c r="B29" s="156" t="s">
        <v>62</v>
      </c>
      <c r="C29" s="839">
        <v>2.8074237804525572</v>
      </c>
      <c r="D29" s="1356">
        <f t="shared" si="0"/>
        <v>2.6771593170395587</v>
      </c>
      <c r="E29" s="1356">
        <f t="shared" si="1"/>
        <v>2.8287999651360329</v>
      </c>
      <c r="F29" s="1357"/>
      <c r="G29" s="1358">
        <f t="shared" si="2"/>
        <v>2.6873599668792312</v>
      </c>
      <c r="H29" s="1358">
        <f t="shared" si="3"/>
        <v>2.9702399633928347</v>
      </c>
      <c r="I29" s="833">
        <v>2.8437546154049937</v>
      </c>
      <c r="J29" s="1359" t="b">
        <f t="shared" si="11"/>
        <v>1</v>
      </c>
      <c r="K29" s="1583"/>
      <c r="L29" s="17"/>
      <c r="M29" s="1361">
        <f t="shared" si="4"/>
        <v>2.8437546154049937</v>
      </c>
      <c r="N29" s="1350"/>
      <c r="O29" s="1358">
        <f t="shared" si="5"/>
        <v>8.9428214880493545E-3</v>
      </c>
      <c r="P29" s="1358">
        <f t="shared" si="6"/>
        <v>7.0884417226443541E-3</v>
      </c>
      <c r="Q29" s="1358">
        <f t="shared" si="7"/>
        <v>1.9603300641285272E-2</v>
      </c>
      <c r="R29" s="1358">
        <f t="shared" si="8"/>
        <v>0</v>
      </c>
      <c r="S29" s="1358">
        <f t="shared" si="9"/>
        <v>0.18391579037175304</v>
      </c>
      <c r="T29" s="1358">
        <f t="shared" si="10"/>
        <v>3.0633049696287258</v>
      </c>
      <c r="U29" s="595">
        <f>IF('TAR_Tab 2_Volumina'!C32="storage",1,0)</f>
        <v>0</v>
      </c>
      <c r="V29" s="1362">
        <f t="shared" si="14"/>
        <v>3.0633049696287258</v>
      </c>
      <c r="W29" s="1362">
        <f t="shared" si="12"/>
        <v>3.2274459961635742</v>
      </c>
      <c r="X29" s="1355">
        <f t="shared" si="13"/>
        <v>3.2269999999999999</v>
      </c>
      <c r="Y29" s="1355">
        <f>X29+'TAR_Tab 13_Overige tarieven'!$T$15+'TAR_Tab 13_Overige tarieven'!$T$16</f>
        <v>3.38</v>
      </c>
      <c r="Z29" s="960"/>
    </row>
    <row r="30" spans="1:26">
      <c r="A30" s="155">
        <v>300053</v>
      </c>
      <c r="B30" s="156" t="s">
        <v>1034</v>
      </c>
      <c r="C30" s="839">
        <v>2.8074237804525572</v>
      </c>
      <c r="D30" s="1356">
        <f t="shared" si="0"/>
        <v>2.6771593170395587</v>
      </c>
      <c r="E30" s="1356">
        <f t="shared" si="1"/>
        <v>2.8287999651360329</v>
      </c>
      <c r="F30" s="1357"/>
      <c r="G30" s="1358">
        <f t="shared" si="2"/>
        <v>2.6873599668792312</v>
      </c>
      <c r="H30" s="1358">
        <f t="shared" si="3"/>
        <v>2.9702399633928347</v>
      </c>
      <c r="I30" s="833">
        <v>2.8437546154049937</v>
      </c>
      <c r="J30" s="1359" t="b">
        <f t="shared" si="11"/>
        <v>1</v>
      </c>
      <c r="K30" s="1583"/>
      <c r="L30" s="17"/>
      <c r="M30" s="1361">
        <f t="shared" si="4"/>
        <v>2.8437546154049937</v>
      </c>
      <c r="N30" s="1350"/>
      <c r="O30" s="1358">
        <f t="shared" si="5"/>
        <v>8.9428214880493545E-3</v>
      </c>
      <c r="P30" s="1358">
        <f t="shared" si="6"/>
        <v>7.0884417226443541E-3</v>
      </c>
      <c r="Q30" s="1358">
        <f t="shared" si="7"/>
        <v>1.9603300641285272E-2</v>
      </c>
      <c r="R30" s="1358">
        <f t="shared" si="8"/>
        <v>0</v>
      </c>
      <c r="S30" s="1358">
        <f t="shared" si="9"/>
        <v>0.18391579037175304</v>
      </c>
      <c r="T30" s="1358">
        <f t="shared" si="10"/>
        <v>3.0633049696287258</v>
      </c>
      <c r="U30" s="595">
        <f>IF('TAR_Tab 2_Volumina'!C33="storage",1,0)</f>
        <v>0</v>
      </c>
      <c r="V30" s="1362">
        <f t="shared" si="14"/>
        <v>3.0633049696287258</v>
      </c>
      <c r="W30" s="1362">
        <f t="shared" si="12"/>
        <v>3.2274459961635742</v>
      </c>
      <c r="X30" s="1355">
        <f t="shared" si="13"/>
        <v>3.2269999999999999</v>
      </c>
      <c r="Y30" s="1355">
        <f>X30+'TAR_Tab 13_Overige tarieven'!$T$15+'TAR_Tab 13_Overige tarieven'!$T$16</f>
        <v>3.38</v>
      </c>
      <c r="Z30" s="960"/>
    </row>
    <row r="31" spans="1:26">
      <c r="A31" s="155">
        <v>300057</v>
      </c>
      <c r="B31" s="156" t="s">
        <v>224</v>
      </c>
      <c r="C31" s="839">
        <v>1.8691478606253467</v>
      </c>
      <c r="D31" s="1356">
        <f t="shared" si="0"/>
        <v>1.7824193998923306</v>
      </c>
      <c r="E31" s="1356">
        <f t="shared" si="1"/>
        <v>1.8833798587111539</v>
      </c>
      <c r="F31" s="1357"/>
      <c r="G31" s="1358">
        <f t="shared" si="2"/>
        <v>1.7892108657755961</v>
      </c>
      <c r="H31" s="1358">
        <f t="shared" si="3"/>
        <v>1.9775488516467117</v>
      </c>
      <c r="I31" s="833">
        <v>1.8933364789945806</v>
      </c>
      <c r="J31" s="1359" t="b">
        <f t="shared" si="11"/>
        <v>1</v>
      </c>
      <c r="K31" s="1583"/>
      <c r="L31" s="17"/>
      <c r="M31" s="1361">
        <f t="shared" si="4"/>
        <v>1.8933364789945806</v>
      </c>
      <c r="N31" s="1350"/>
      <c r="O31" s="1358">
        <f t="shared" si="5"/>
        <v>5.9540193998240251E-3</v>
      </c>
      <c r="P31" s="1358">
        <f t="shared" si="6"/>
        <v>4.7193963993965825E-3</v>
      </c>
      <c r="Q31" s="1358">
        <f t="shared" si="7"/>
        <v>1.3051633925016921E-2</v>
      </c>
      <c r="R31" s="1358">
        <f t="shared" si="8"/>
        <v>0</v>
      </c>
      <c r="S31" s="1358">
        <f t="shared" si="9"/>
        <v>0.12244884741026409</v>
      </c>
      <c r="T31" s="1358">
        <f t="shared" si="10"/>
        <v>2.039510376129082</v>
      </c>
      <c r="U31" s="595">
        <f>IF('TAR_Tab 2_Volumina'!C34="storage",1,0)</f>
        <v>0</v>
      </c>
      <c r="V31" s="1362">
        <f t="shared" si="14"/>
        <v>2.039510376129082</v>
      </c>
      <c r="W31" s="1362">
        <f t="shared" si="12"/>
        <v>2.1487934315497363</v>
      </c>
      <c r="X31" s="1355">
        <f t="shared" si="13"/>
        <v>2.149</v>
      </c>
      <c r="Y31" s="1355">
        <f>X31+'TAR_Tab 13_Overige tarieven'!$T$15+'TAR_Tab 13_Overige tarieven'!$T$16</f>
        <v>2.302</v>
      </c>
      <c r="Z31" s="960"/>
    </row>
    <row r="32" spans="1:26">
      <c r="A32" s="155">
        <v>300059</v>
      </c>
      <c r="B32" s="156" t="s">
        <v>1035</v>
      </c>
      <c r="C32" s="839">
        <v>2.0621337121537948</v>
      </c>
      <c r="D32" s="1356">
        <f t="shared" si="0"/>
        <v>1.9664507079098588</v>
      </c>
      <c r="E32" s="1356">
        <f t="shared" si="1"/>
        <v>2.0778351361354335</v>
      </c>
      <c r="F32" s="1357"/>
      <c r="G32" s="1358">
        <f t="shared" si="2"/>
        <v>1.9739433793286616</v>
      </c>
      <c r="H32" s="1358">
        <f t="shared" si="3"/>
        <v>2.1817268929422053</v>
      </c>
      <c r="I32" s="833">
        <v>2.0888197579398846</v>
      </c>
      <c r="J32" s="1359" t="b">
        <f t="shared" si="11"/>
        <v>1</v>
      </c>
      <c r="K32" s="1583"/>
      <c r="L32" s="17"/>
      <c r="M32" s="1361">
        <f t="shared" si="4"/>
        <v>2.0888197579398846</v>
      </c>
      <c r="N32" s="1350"/>
      <c r="O32" s="1358">
        <f t="shared" si="5"/>
        <v>6.5687602280362521E-3</v>
      </c>
      <c r="P32" s="1358">
        <f t="shared" si="6"/>
        <v>5.2066648237004409E-3</v>
      </c>
      <c r="Q32" s="1358">
        <f t="shared" si="7"/>
        <v>1.4399189535740131E-2</v>
      </c>
      <c r="R32" s="1358">
        <f t="shared" si="8"/>
        <v>0</v>
      </c>
      <c r="S32" s="1358">
        <f t="shared" si="9"/>
        <v>0.13509145080400567</v>
      </c>
      <c r="T32" s="1358">
        <f t="shared" si="10"/>
        <v>2.250085823331367</v>
      </c>
      <c r="U32" s="595">
        <f>IF('TAR_Tab 2_Volumina'!C35="storage",1,0)</f>
        <v>0</v>
      </c>
      <c r="V32" s="1362">
        <f t="shared" si="14"/>
        <v>2.250085823331367</v>
      </c>
      <c r="W32" s="1362">
        <f t="shared" si="12"/>
        <v>2.370652139938715</v>
      </c>
      <c r="X32" s="1355">
        <f t="shared" si="13"/>
        <v>2.371</v>
      </c>
      <c r="Y32" s="1355">
        <f>X32+'TAR_Tab 13_Overige tarieven'!$T$15+'TAR_Tab 13_Overige tarieven'!$T$16</f>
        <v>2.524</v>
      </c>
      <c r="Z32" s="960"/>
    </row>
    <row r="33" spans="1:26">
      <c r="A33" s="155">
        <v>300060</v>
      </c>
      <c r="B33" s="156" t="s">
        <v>63</v>
      </c>
      <c r="C33" s="839">
        <v>1.9400948975094388</v>
      </c>
      <c r="D33" s="1356">
        <f t="shared" si="0"/>
        <v>1.8500744942650007</v>
      </c>
      <c r="E33" s="1356">
        <f t="shared" si="1"/>
        <v>1.9548670979593277</v>
      </c>
      <c r="F33" s="1357"/>
      <c r="G33" s="1358">
        <f t="shared" si="2"/>
        <v>1.8571237430613612</v>
      </c>
      <c r="H33" s="1358">
        <f t="shared" si="3"/>
        <v>2.0526104528572939</v>
      </c>
      <c r="I33" s="833">
        <v>1.9652016405684138</v>
      </c>
      <c r="J33" s="1359" t="b">
        <f t="shared" si="11"/>
        <v>1</v>
      </c>
      <c r="K33" s="1583"/>
      <c r="L33" s="17"/>
      <c r="M33" s="1361">
        <f t="shared" si="4"/>
        <v>1.9652016405684138</v>
      </c>
      <c r="N33" s="1350"/>
      <c r="O33" s="1358">
        <f t="shared" si="5"/>
        <v>6.1800154501453668E-3</v>
      </c>
      <c r="P33" s="1358">
        <f t="shared" si="6"/>
        <v>4.8985300021852987E-3</v>
      </c>
      <c r="Q33" s="1358">
        <f t="shared" si="7"/>
        <v>1.3547033338290755E-2</v>
      </c>
      <c r="R33" s="1358">
        <f t="shared" si="8"/>
        <v>0</v>
      </c>
      <c r="S33" s="1358">
        <f t="shared" si="9"/>
        <v>0.12709662465498356</v>
      </c>
      <c r="T33" s="1358">
        <f t="shared" si="10"/>
        <v>2.116923844014019</v>
      </c>
      <c r="U33" s="595">
        <f>IF('TAR_Tab 2_Volumina'!C36="storage",1,0)</f>
        <v>0</v>
      </c>
      <c r="V33" s="1362">
        <f t="shared" si="14"/>
        <v>2.116923844014019</v>
      </c>
      <c r="W33" s="1362">
        <f t="shared" si="12"/>
        <v>2.2303549441811934</v>
      </c>
      <c r="X33" s="1355">
        <f t="shared" si="13"/>
        <v>2.23</v>
      </c>
      <c r="Y33" s="1355">
        <f>X33+'TAR_Tab 13_Overige tarieven'!$T$15+'TAR_Tab 13_Overige tarieven'!$T$16</f>
        <v>2.383</v>
      </c>
      <c r="Z33" s="960"/>
    </row>
    <row r="34" spans="1:26">
      <c r="A34" s="155">
        <v>300064</v>
      </c>
      <c r="B34" s="156" t="s">
        <v>1036</v>
      </c>
      <c r="C34" s="839">
        <v>2.0621337121537948</v>
      </c>
      <c r="D34" s="1356">
        <f t="shared" si="0"/>
        <v>1.9664507079098588</v>
      </c>
      <c r="E34" s="1356">
        <f t="shared" si="1"/>
        <v>2.0778351361354335</v>
      </c>
      <c r="F34" s="1357"/>
      <c r="G34" s="1358">
        <f t="shared" si="2"/>
        <v>1.9739433793286616</v>
      </c>
      <c r="H34" s="1358">
        <f t="shared" si="3"/>
        <v>2.1817268929422053</v>
      </c>
      <c r="I34" s="833">
        <v>2.0888197579398846</v>
      </c>
      <c r="J34" s="1359" t="b">
        <f t="shared" si="11"/>
        <v>1</v>
      </c>
      <c r="K34" s="1583"/>
      <c r="L34" s="17"/>
      <c r="M34" s="1361">
        <f t="shared" si="4"/>
        <v>2.0888197579398846</v>
      </c>
      <c r="N34" s="1350"/>
      <c r="O34" s="1358">
        <f t="shared" si="5"/>
        <v>6.5687602280362521E-3</v>
      </c>
      <c r="P34" s="1358">
        <f t="shared" si="6"/>
        <v>5.2066648237004409E-3</v>
      </c>
      <c r="Q34" s="1358">
        <f t="shared" si="7"/>
        <v>1.4399189535740131E-2</v>
      </c>
      <c r="R34" s="1358">
        <f t="shared" si="8"/>
        <v>0</v>
      </c>
      <c r="S34" s="1358">
        <f t="shared" si="9"/>
        <v>0.13509145080400567</v>
      </c>
      <c r="T34" s="1358">
        <f t="shared" si="10"/>
        <v>2.250085823331367</v>
      </c>
      <c r="U34" s="595">
        <f>IF('TAR_Tab 2_Volumina'!C37="storage",1,0)</f>
        <v>0</v>
      </c>
      <c r="V34" s="1362">
        <f t="shared" si="14"/>
        <v>2.250085823331367</v>
      </c>
      <c r="W34" s="1362">
        <f t="shared" si="12"/>
        <v>2.370652139938715</v>
      </c>
      <c r="X34" s="1355">
        <f t="shared" si="13"/>
        <v>2.371</v>
      </c>
      <c r="Y34" s="1355">
        <f>X34+'TAR_Tab 13_Overige tarieven'!$T$15+'TAR_Tab 13_Overige tarieven'!$T$16</f>
        <v>2.524</v>
      </c>
      <c r="Z34" s="960"/>
    </row>
    <row r="35" spans="1:26">
      <c r="A35" s="155">
        <v>300066</v>
      </c>
      <c r="B35" s="156" t="s">
        <v>1037</v>
      </c>
      <c r="C35" s="839">
        <v>2.0621337121537948</v>
      </c>
      <c r="D35" s="1356">
        <f t="shared" si="0"/>
        <v>1.9664507079098588</v>
      </c>
      <c r="E35" s="1356">
        <f t="shared" si="1"/>
        <v>2.0778351361354335</v>
      </c>
      <c r="F35" s="1357"/>
      <c r="G35" s="1358">
        <f t="shared" si="2"/>
        <v>1.9739433793286616</v>
      </c>
      <c r="H35" s="1358">
        <f t="shared" si="3"/>
        <v>2.1817268929422053</v>
      </c>
      <c r="I35" s="833">
        <v>2.0888197579398846</v>
      </c>
      <c r="J35" s="1359" t="b">
        <f t="shared" si="11"/>
        <v>1</v>
      </c>
      <c r="K35" s="1583"/>
      <c r="L35" s="17"/>
      <c r="M35" s="1361">
        <f t="shared" si="4"/>
        <v>2.0888197579398846</v>
      </c>
      <c r="N35" s="1350"/>
      <c r="O35" s="1358">
        <f t="shared" si="5"/>
        <v>6.5687602280362521E-3</v>
      </c>
      <c r="P35" s="1358">
        <f t="shared" si="6"/>
        <v>5.2066648237004409E-3</v>
      </c>
      <c r="Q35" s="1358">
        <f t="shared" si="7"/>
        <v>1.4399189535740131E-2</v>
      </c>
      <c r="R35" s="1358">
        <f t="shared" si="8"/>
        <v>0</v>
      </c>
      <c r="S35" s="1358">
        <f t="shared" si="9"/>
        <v>0.13509145080400567</v>
      </c>
      <c r="T35" s="1358">
        <f t="shared" si="10"/>
        <v>2.250085823331367</v>
      </c>
      <c r="U35" s="595">
        <f>IF('TAR_Tab 2_Volumina'!C38="storage",1,0)</f>
        <v>0</v>
      </c>
      <c r="V35" s="1362">
        <f t="shared" si="14"/>
        <v>2.250085823331367</v>
      </c>
      <c r="W35" s="1362">
        <f t="shared" si="12"/>
        <v>2.370652139938715</v>
      </c>
      <c r="X35" s="1355">
        <f t="shared" si="13"/>
        <v>2.371</v>
      </c>
      <c r="Y35" s="1355">
        <f>X35+'TAR_Tab 13_Overige tarieven'!$T$15+'TAR_Tab 13_Overige tarieven'!$T$16</f>
        <v>2.524</v>
      </c>
      <c r="Z35" s="960"/>
    </row>
    <row r="36" spans="1:26">
      <c r="A36" s="155">
        <v>300070</v>
      </c>
      <c r="B36" s="156" t="s">
        <v>64</v>
      </c>
      <c r="C36" s="839">
        <v>2.2580427294714829</v>
      </c>
      <c r="D36" s="1356">
        <f t="shared" si="0"/>
        <v>2.153269546824006</v>
      </c>
      <c r="E36" s="1356">
        <f t="shared" si="1"/>
        <v>2.2752358368122563</v>
      </c>
      <c r="F36" s="1357"/>
      <c r="G36" s="1358">
        <f t="shared" si="2"/>
        <v>2.1614740449716434</v>
      </c>
      <c r="H36" s="1358">
        <f t="shared" si="3"/>
        <v>2.3889976286528691</v>
      </c>
      <c r="I36" s="833">
        <v>2.2872640313252242</v>
      </c>
      <c r="J36" s="1359" t="b">
        <f t="shared" si="11"/>
        <v>1</v>
      </c>
      <c r="K36" s="1583"/>
      <c r="L36" s="17"/>
      <c r="M36" s="1361">
        <f t="shared" si="4"/>
        <v>2.2872640313252242</v>
      </c>
      <c r="N36" s="1350"/>
      <c r="O36" s="1358">
        <f t="shared" si="5"/>
        <v>7.1928125645484226E-3</v>
      </c>
      <c r="P36" s="1358">
        <f t="shared" si="6"/>
        <v>5.7013139257939965E-3</v>
      </c>
      <c r="Q36" s="1358">
        <f t="shared" si="7"/>
        <v>1.5767156634814254E-2</v>
      </c>
      <c r="R36" s="1358">
        <f t="shared" si="8"/>
        <v>0</v>
      </c>
      <c r="S36" s="1358">
        <f t="shared" si="9"/>
        <v>0.14792555230724497</v>
      </c>
      <c r="T36" s="1358">
        <f t="shared" si="10"/>
        <v>2.463850866757626</v>
      </c>
      <c r="U36" s="595">
        <f>IF('TAR_Tab 2_Volumina'!C39="storage",1,0)</f>
        <v>0</v>
      </c>
      <c r="V36" s="1362">
        <f t="shared" si="14"/>
        <v>2.463850866757626</v>
      </c>
      <c r="W36" s="1362">
        <f t="shared" si="12"/>
        <v>2.5958713526406849</v>
      </c>
      <c r="X36" s="1355">
        <f t="shared" si="13"/>
        <v>2.5960000000000001</v>
      </c>
      <c r="Y36" s="1355">
        <f>X36+'TAR_Tab 13_Overige tarieven'!$T$15+'TAR_Tab 13_Overige tarieven'!$T$16</f>
        <v>2.7490000000000001</v>
      </c>
      <c r="Z36" s="960"/>
    </row>
    <row r="37" spans="1:26">
      <c r="A37" s="155">
        <v>300071</v>
      </c>
      <c r="B37" s="156" t="s">
        <v>65</v>
      </c>
      <c r="C37" s="839">
        <v>1.9400948975094388</v>
      </c>
      <c r="D37" s="1356">
        <f t="shared" si="0"/>
        <v>1.8500744942650007</v>
      </c>
      <c r="E37" s="1356">
        <f t="shared" si="1"/>
        <v>1.9548670979593277</v>
      </c>
      <c r="F37" s="1357"/>
      <c r="G37" s="1358">
        <f t="shared" si="2"/>
        <v>1.8571237430613612</v>
      </c>
      <c r="H37" s="1358">
        <f t="shared" si="3"/>
        <v>2.0526104528572939</v>
      </c>
      <c r="I37" s="833">
        <v>1.9652016405684138</v>
      </c>
      <c r="J37" s="1359" t="b">
        <f t="shared" si="11"/>
        <v>1</v>
      </c>
      <c r="K37" s="1583"/>
      <c r="L37" s="17"/>
      <c r="M37" s="1361">
        <f t="shared" si="4"/>
        <v>1.9652016405684138</v>
      </c>
      <c r="N37" s="1350"/>
      <c r="O37" s="1358">
        <f t="shared" si="5"/>
        <v>6.1800154501453668E-3</v>
      </c>
      <c r="P37" s="1358">
        <f t="shared" si="6"/>
        <v>4.8985300021852987E-3</v>
      </c>
      <c r="Q37" s="1358">
        <f t="shared" si="7"/>
        <v>1.3547033338290755E-2</v>
      </c>
      <c r="R37" s="1358">
        <f t="shared" si="8"/>
        <v>0</v>
      </c>
      <c r="S37" s="1358">
        <f t="shared" si="9"/>
        <v>0.12709662465498356</v>
      </c>
      <c r="T37" s="1358">
        <f t="shared" si="10"/>
        <v>2.116923844014019</v>
      </c>
      <c r="U37" s="595">
        <f>IF('TAR_Tab 2_Volumina'!C40="storage",1,0)</f>
        <v>0</v>
      </c>
      <c r="V37" s="1362">
        <f t="shared" si="14"/>
        <v>2.116923844014019</v>
      </c>
      <c r="W37" s="1362">
        <f t="shared" si="12"/>
        <v>2.2303549441811934</v>
      </c>
      <c r="X37" s="1355">
        <f t="shared" si="13"/>
        <v>2.23</v>
      </c>
      <c r="Y37" s="1355">
        <f>X37+'TAR_Tab 13_Overige tarieven'!$T$15+'TAR_Tab 13_Overige tarieven'!$T$16</f>
        <v>2.383</v>
      </c>
      <c r="Z37" s="960"/>
    </row>
    <row r="38" spans="1:26">
      <c r="A38" s="155">
        <v>300072</v>
      </c>
      <c r="B38" s="156" t="s">
        <v>33</v>
      </c>
      <c r="C38" s="839">
        <v>1.9400948975094388</v>
      </c>
      <c r="D38" s="1356">
        <f t="shared" si="0"/>
        <v>1.8500744942650007</v>
      </c>
      <c r="E38" s="1356">
        <f t="shared" si="1"/>
        <v>1.9548670979593277</v>
      </c>
      <c r="F38" s="1357"/>
      <c r="G38" s="1358">
        <f t="shared" si="2"/>
        <v>1.8571237430613612</v>
      </c>
      <c r="H38" s="1358">
        <f t="shared" si="3"/>
        <v>2.0526104528572939</v>
      </c>
      <c r="I38" s="833">
        <v>1.9652016405684138</v>
      </c>
      <c r="J38" s="1359" t="b">
        <f t="shared" si="11"/>
        <v>1</v>
      </c>
      <c r="K38" s="1583"/>
      <c r="L38" s="17"/>
      <c r="M38" s="1361">
        <f t="shared" si="4"/>
        <v>1.9652016405684138</v>
      </c>
      <c r="N38" s="1350"/>
      <c r="O38" s="1358">
        <f t="shared" si="5"/>
        <v>6.1800154501453668E-3</v>
      </c>
      <c r="P38" s="1358">
        <f t="shared" si="6"/>
        <v>4.8985300021852987E-3</v>
      </c>
      <c r="Q38" s="1358">
        <f t="shared" si="7"/>
        <v>1.3547033338290755E-2</v>
      </c>
      <c r="R38" s="1358">
        <f t="shared" si="8"/>
        <v>0</v>
      </c>
      <c r="S38" s="1358">
        <f t="shared" si="9"/>
        <v>0.12709662465498356</v>
      </c>
      <c r="T38" s="1358">
        <f t="shared" si="10"/>
        <v>2.116923844014019</v>
      </c>
      <c r="U38" s="595">
        <f>IF('TAR_Tab 2_Volumina'!C41="storage",1,0)</f>
        <v>0</v>
      </c>
      <c r="V38" s="1362">
        <f t="shared" si="14"/>
        <v>2.116923844014019</v>
      </c>
      <c r="W38" s="1362">
        <f t="shared" si="12"/>
        <v>2.2303549441811934</v>
      </c>
      <c r="X38" s="1355">
        <f t="shared" si="13"/>
        <v>2.23</v>
      </c>
      <c r="Y38" s="1355">
        <f>X38+'TAR_Tab 13_Overige tarieven'!$T$15+'TAR_Tab 13_Overige tarieven'!$T$16</f>
        <v>2.383</v>
      </c>
      <c r="Z38" s="960"/>
    </row>
    <row r="39" spans="1:26">
      <c r="A39" s="155">
        <v>300073</v>
      </c>
      <c r="B39" s="156" t="s">
        <v>66</v>
      </c>
      <c r="C39" s="839">
        <v>2.3079684220936221</v>
      </c>
      <c r="D39" s="1356">
        <f t="shared" si="0"/>
        <v>2.200878687308478</v>
      </c>
      <c r="E39" s="1356">
        <f t="shared" si="1"/>
        <v>2.3255416718387498</v>
      </c>
      <c r="F39" s="1357"/>
      <c r="G39" s="1358">
        <f t="shared" si="2"/>
        <v>2.2092645882468123</v>
      </c>
      <c r="H39" s="1358">
        <f t="shared" si="3"/>
        <v>2.4418187554306874</v>
      </c>
      <c r="I39" s="833">
        <v>2.3378358116919968</v>
      </c>
      <c r="J39" s="1359" t="b">
        <f t="shared" si="11"/>
        <v>1</v>
      </c>
      <c r="K39" s="1583"/>
      <c r="L39" s="17"/>
      <c r="M39" s="1361">
        <f t="shared" si="4"/>
        <v>2.3378358116919968</v>
      </c>
      <c r="N39" s="1350"/>
      <c r="O39" s="1358">
        <f t="shared" si="5"/>
        <v>7.3518468221819636E-3</v>
      </c>
      <c r="P39" s="1358">
        <f t="shared" si="6"/>
        <v>5.8273709055342068E-3</v>
      </c>
      <c r="Q39" s="1358">
        <f t="shared" si="7"/>
        <v>1.61157710367477E-2</v>
      </c>
      <c r="R39" s="1358">
        <f t="shared" si="8"/>
        <v>0</v>
      </c>
      <c r="S39" s="1358">
        <f t="shared" si="9"/>
        <v>0.15119621036834394</v>
      </c>
      <c r="T39" s="1358">
        <f t="shared" si="10"/>
        <v>2.5183270108248048</v>
      </c>
      <c r="U39" s="595">
        <f>IF('TAR_Tab 2_Volumina'!C42="storage",1,0)</f>
        <v>0</v>
      </c>
      <c r="V39" s="1362">
        <f t="shared" si="14"/>
        <v>2.5183270108248048</v>
      </c>
      <c r="W39" s="1362">
        <f t="shared" si="12"/>
        <v>2.6532664911591182</v>
      </c>
      <c r="X39" s="1355">
        <f t="shared" si="13"/>
        <v>2.653</v>
      </c>
      <c r="Y39" s="1355">
        <f>X39+'TAR_Tab 13_Overige tarieven'!$T$15+'TAR_Tab 13_Overige tarieven'!$T$16</f>
        <v>2.806</v>
      </c>
      <c r="Z39" s="960"/>
    </row>
    <row r="40" spans="1:26">
      <c r="A40" s="155">
        <v>300074</v>
      </c>
      <c r="B40" s="156" t="s">
        <v>67</v>
      </c>
      <c r="C40" s="839">
        <v>2.2072411475050955</v>
      </c>
      <c r="D40" s="1356">
        <f t="shared" si="0"/>
        <v>2.104825158260859</v>
      </c>
      <c r="E40" s="1356">
        <f t="shared" si="1"/>
        <v>2.2240474432765267</v>
      </c>
      <c r="F40" s="1357"/>
      <c r="G40" s="1358">
        <f t="shared" si="2"/>
        <v>2.1128450711127003</v>
      </c>
      <c r="H40" s="1358">
        <f t="shared" si="3"/>
        <v>2.3352498154403531</v>
      </c>
      <c r="I40" s="833">
        <v>2.2358050267414917</v>
      </c>
      <c r="J40" s="1359" t="b">
        <f t="shared" si="11"/>
        <v>1</v>
      </c>
      <c r="K40" s="1583"/>
      <c r="L40" s="17"/>
      <c r="M40" s="1361">
        <f t="shared" si="4"/>
        <v>2.2358050267414917</v>
      </c>
      <c r="N40" s="1350"/>
      <c r="O40" s="1358">
        <f t="shared" si="5"/>
        <v>7.0309882322195615E-3</v>
      </c>
      <c r="P40" s="1358">
        <f t="shared" si="6"/>
        <v>5.5730454200934344E-3</v>
      </c>
      <c r="Q40" s="1358">
        <f t="shared" si="7"/>
        <v>1.5412426190741631E-2</v>
      </c>
      <c r="R40" s="1358">
        <f t="shared" si="8"/>
        <v>0</v>
      </c>
      <c r="S40" s="1358">
        <f t="shared" si="9"/>
        <v>0.1445975142801619</v>
      </c>
      <c r="T40" s="1358">
        <f t="shared" si="10"/>
        <v>2.4084190008647086</v>
      </c>
      <c r="U40" s="595">
        <f>IF('TAR_Tab 2_Volumina'!C43="storage",1,0)</f>
        <v>0</v>
      </c>
      <c r="V40" s="1362">
        <f t="shared" si="14"/>
        <v>2.4084190008647086</v>
      </c>
      <c r="W40" s="1362">
        <f t="shared" si="12"/>
        <v>2.5374692818675433</v>
      </c>
      <c r="X40" s="1355">
        <f t="shared" si="13"/>
        <v>2.5369999999999999</v>
      </c>
      <c r="Y40" s="1355">
        <f>X40+'TAR_Tab 13_Overige tarieven'!$T$15+'TAR_Tab 13_Overige tarieven'!$T$16</f>
        <v>2.69</v>
      </c>
      <c r="Z40" s="960"/>
    </row>
    <row r="41" spans="1:26">
      <c r="A41" s="155">
        <v>300075</v>
      </c>
      <c r="B41" s="156" t="s">
        <v>1038</v>
      </c>
      <c r="C41" s="839">
        <v>2.2580427294714829</v>
      </c>
      <c r="D41" s="1356">
        <f t="shared" si="0"/>
        <v>2.153269546824006</v>
      </c>
      <c r="E41" s="1356">
        <f t="shared" si="1"/>
        <v>2.2752358368122563</v>
      </c>
      <c r="F41" s="1357"/>
      <c r="G41" s="1358">
        <f t="shared" si="2"/>
        <v>2.1614740449716434</v>
      </c>
      <c r="H41" s="1358">
        <f t="shared" si="3"/>
        <v>2.3889976286528691</v>
      </c>
      <c r="I41" s="833">
        <v>2.2872640313252242</v>
      </c>
      <c r="J41" s="1359" t="b">
        <f t="shared" si="11"/>
        <v>1</v>
      </c>
      <c r="K41" s="1583"/>
      <c r="L41" s="17"/>
      <c r="M41" s="1361">
        <f t="shared" si="4"/>
        <v>2.2872640313252242</v>
      </c>
      <c r="N41" s="1350"/>
      <c r="O41" s="1358">
        <f t="shared" si="5"/>
        <v>7.1928125645484226E-3</v>
      </c>
      <c r="P41" s="1358">
        <f t="shared" si="6"/>
        <v>5.7013139257939965E-3</v>
      </c>
      <c r="Q41" s="1358">
        <f t="shared" si="7"/>
        <v>1.5767156634814254E-2</v>
      </c>
      <c r="R41" s="1358">
        <f t="shared" si="8"/>
        <v>0</v>
      </c>
      <c r="S41" s="1358">
        <f t="shared" si="9"/>
        <v>0.14792555230724497</v>
      </c>
      <c r="T41" s="1358">
        <f t="shared" si="10"/>
        <v>2.463850866757626</v>
      </c>
      <c r="U41" s="595">
        <f>IF('TAR_Tab 2_Volumina'!C44="storage",1,0)</f>
        <v>0</v>
      </c>
      <c r="V41" s="1362">
        <f t="shared" si="14"/>
        <v>2.463850866757626</v>
      </c>
      <c r="W41" s="1362">
        <f t="shared" si="12"/>
        <v>2.5958713526406849</v>
      </c>
      <c r="X41" s="1355">
        <f t="shared" si="13"/>
        <v>2.5960000000000001</v>
      </c>
      <c r="Y41" s="1355">
        <f>X41+'TAR_Tab 13_Overige tarieven'!$T$15+'TAR_Tab 13_Overige tarieven'!$T$16</f>
        <v>2.7490000000000001</v>
      </c>
      <c r="Z41" s="960"/>
    </row>
    <row r="42" spans="1:26">
      <c r="A42" s="155">
        <v>300076</v>
      </c>
      <c r="B42" s="156" t="s">
        <v>34</v>
      </c>
      <c r="C42" s="839">
        <v>2.2580427294714829</v>
      </c>
      <c r="D42" s="1356">
        <f t="shared" si="0"/>
        <v>2.153269546824006</v>
      </c>
      <c r="E42" s="1356">
        <f t="shared" si="1"/>
        <v>2.2752358368122563</v>
      </c>
      <c r="F42" s="1357"/>
      <c r="G42" s="1358">
        <f t="shared" si="2"/>
        <v>2.1614740449716434</v>
      </c>
      <c r="H42" s="1358">
        <f t="shared" si="3"/>
        <v>2.3889976286528691</v>
      </c>
      <c r="I42" s="833">
        <v>2.2872640313252242</v>
      </c>
      <c r="J42" s="1359" t="b">
        <f t="shared" si="11"/>
        <v>1</v>
      </c>
      <c r="K42" s="1583"/>
      <c r="L42" s="17"/>
      <c r="M42" s="1361">
        <f t="shared" si="4"/>
        <v>2.2872640313252242</v>
      </c>
      <c r="N42" s="1350"/>
      <c r="O42" s="1358">
        <f t="shared" si="5"/>
        <v>7.1928125645484226E-3</v>
      </c>
      <c r="P42" s="1358">
        <f t="shared" si="6"/>
        <v>5.7013139257939965E-3</v>
      </c>
      <c r="Q42" s="1358">
        <f t="shared" si="7"/>
        <v>1.5767156634814254E-2</v>
      </c>
      <c r="R42" s="1358">
        <f t="shared" si="8"/>
        <v>0</v>
      </c>
      <c r="S42" s="1358">
        <f t="shared" si="9"/>
        <v>0.14792555230724497</v>
      </c>
      <c r="T42" s="1358">
        <f t="shared" si="10"/>
        <v>2.463850866757626</v>
      </c>
      <c r="U42" s="595">
        <f>IF('TAR_Tab 2_Volumina'!C45="storage",1,0)</f>
        <v>0</v>
      </c>
      <c r="V42" s="1362">
        <f t="shared" si="14"/>
        <v>2.463850866757626</v>
      </c>
      <c r="W42" s="1362">
        <f t="shared" si="12"/>
        <v>2.5958713526406849</v>
      </c>
      <c r="X42" s="1355">
        <f t="shared" si="13"/>
        <v>2.5960000000000001</v>
      </c>
      <c r="Y42" s="1355">
        <f>X42+'TAR_Tab 13_Overige tarieven'!$T$15+'TAR_Tab 13_Overige tarieven'!$T$16</f>
        <v>2.7490000000000001</v>
      </c>
      <c r="Z42" s="960"/>
    </row>
    <row r="43" spans="1:26">
      <c r="A43" s="155">
        <v>300078</v>
      </c>
      <c r="B43" s="156" t="s">
        <v>68</v>
      </c>
      <c r="C43" s="839">
        <v>2.2580427294714829</v>
      </c>
      <c r="D43" s="1356">
        <f t="shared" si="0"/>
        <v>2.153269546824006</v>
      </c>
      <c r="E43" s="1356">
        <f t="shared" si="1"/>
        <v>2.2752358368122563</v>
      </c>
      <c r="F43" s="1357"/>
      <c r="G43" s="1358">
        <f t="shared" si="2"/>
        <v>2.1614740449716434</v>
      </c>
      <c r="H43" s="1358">
        <f t="shared" si="3"/>
        <v>2.3889976286528691</v>
      </c>
      <c r="I43" s="833">
        <v>2.2872640313252242</v>
      </c>
      <c r="J43" s="1359" t="b">
        <f t="shared" si="11"/>
        <v>1</v>
      </c>
      <c r="K43" s="1583"/>
      <c r="L43" s="17"/>
      <c r="M43" s="1361">
        <f t="shared" si="4"/>
        <v>2.2872640313252242</v>
      </c>
      <c r="N43" s="1350"/>
      <c r="O43" s="1358">
        <f t="shared" si="5"/>
        <v>7.1928125645484226E-3</v>
      </c>
      <c r="P43" s="1358">
        <f t="shared" si="6"/>
        <v>5.7013139257939965E-3</v>
      </c>
      <c r="Q43" s="1358">
        <f t="shared" si="7"/>
        <v>1.5767156634814254E-2</v>
      </c>
      <c r="R43" s="1358">
        <f t="shared" si="8"/>
        <v>0</v>
      </c>
      <c r="S43" s="1358">
        <f t="shared" si="9"/>
        <v>0.14792555230724497</v>
      </c>
      <c r="T43" s="1358">
        <f t="shared" si="10"/>
        <v>2.463850866757626</v>
      </c>
      <c r="U43" s="595">
        <f>IF('TAR_Tab 2_Volumina'!C46="storage",1,0)</f>
        <v>0</v>
      </c>
      <c r="V43" s="1362">
        <f t="shared" si="14"/>
        <v>2.463850866757626</v>
      </c>
      <c r="W43" s="1362">
        <f t="shared" si="12"/>
        <v>2.5958713526406849</v>
      </c>
      <c r="X43" s="1355">
        <f t="shared" si="13"/>
        <v>2.5960000000000001</v>
      </c>
      <c r="Y43" s="1355">
        <f>X43+'TAR_Tab 13_Overige tarieven'!$T$15+'TAR_Tab 13_Overige tarieven'!$T$16</f>
        <v>2.7490000000000001</v>
      </c>
      <c r="Z43" s="960"/>
    </row>
    <row r="44" spans="1:26">
      <c r="A44" s="155">
        <v>300081</v>
      </c>
      <c r="B44" s="156" t="s">
        <v>35</v>
      </c>
      <c r="C44" s="839">
        <v>1.9506055696404161</v>
      </c>
      <c r="D44" s="1356">
        <f t="shared" si="0"/>
        <v>1.8600974712091007</v>
      </c>
      <c r="E44" s="1356">
        <f t="shared" si="1"/>
        <v>1.965457800070169</v>
      </c>
      <c r="F44" s="1357"/>
      <c r="G44" s="1358">
        <f t="shared" si="2"/>
        <v>1.8671849100666604</v>
      </c>
      <c r="H44" s="1358">
        <f t="shared" si="3"/>
        <v>2.0637306900736774</v>
      </c>
      <c r="I44" s="833">
        <v>1.9758483311719455</v>
      </c>
      <c r="J44" s="1359" t="b">
        <f t="shared" si="11"/>
        <v>1</v>
      </c>
      <c r="K44" s="1583"/>
      <c r="L44" s="17"/>
      <c r="M44" s="1361">
        <f t="shared" si="4"/>
        <v>1.9758483311719455</v>
      </c>
      <c r="N44" s="1350"/>
      <c r="O44" s="1358">
        <f t="shared" si="5"/>
        <v>6.2134963464892711E-3</v>
      </c>
      <c r="P44" s="1358">
        <f t="shared" si="6"/>
        <v>4.9250683137095552E-3</v>
      </c>
      <c r="Q44" s="1358">
        <f t="shared" si="7"/>
        <v>1.3620425843960959E-2</v>
      </c>
      <c r="R44" s="1358">
        <f t="shared" si="8"/>
        <v>0</v>
      </c>
      <c r="S44" s="1358">
        <f t="shared" si="9"/>
        <v>0.12778518424679389</v>
      </c>
      <c r="T44" s="1358">
        <f t="shared" si="10"/>
        <v>2.1283925059228994</v>
      </c>
      <c r="U44" s="595">
        <f>IF('TAR_Tab 2_Volumina'!C47="storage",1,0)</f>
        <v>0</v>
      </c>
      <c r="V44" s="1362">
        <f t="shared" si="14"/>
        <v>2.1283925059228994</v>
      </c>
      <c r="W44" s="1362">
        <f t="shared" si="12"/>
        <v>2.242438131237706</v>
      </c>
      <c r="X44" s="1355">
        <f t="shared" si="13"/>
        <v>2.242</v>
      </c>
      <c r="Y44" s="1355">
        <f>X44+'TAR_Tab 13_Overige tarieven'!$T$15+'TAR_Tab 13_Overige tarieven'!$T$16</f>
        <v>2.395</v>
      </c>
      <c r="Z44" s="960"/>
    </row>
    <row r="45" spans="1:26">
      <c r="A45" s="155">
        <v>300082</v>
      </c>
      <c r="B45" s="156" t="s">
        <v>1039</v>
      </c>
      <c r="C45" s="839">
        <v>2.3079684220936221</v>
      </c>
      <c r="D45" s="1356">
        <f t="shared" si="0"/>
        <v>2.200878687308478</v>
      </c>
      <c r="E45" s="1356">
        <f t="shared" si="1"/>
        <v>2.3255416718387498</v>
      </c>
      <c r="F45" s="1357"/>
      <c r="G45" s="1358">
        <f t="shared" si="2"/>
        <v>2.2092645882468123</v>
      </c>
      <c r="H45" s="1358">
        <f t="shared" si="3"/>
        <v>2.4418187554306874</v>
      </c>
      <c r="I45" s="833">
        <v>2.3378358116919968</v>
      </c>
      <c r="J45" s="1359" t="b">
        <f t="shared" si="11"/>
        <v>1</v>
      </c>
      <c r="K45" s="1583"/>
      <c r="L45" s="17"/>
      <c r="M45" s="1361">
        <f t="shared" si="4"/>
        <v>2.3378358116919968</v>
      </c>
      <c r="N45" s="1350"/>
      <c r="O45" s="1358">
        <f t="shared" si="5"/>
        <v>7.3518468221819636E-3</v>
      </c>
      <c r="P45" s="1358">
        <f t="shared" si="6"/>
        <v>5.8273709055342068E-3</v>
      </c>
      <c r="Q45" s="1358">
        <f t="shared" si="7"/>
        <v>1.61157710367477E-2</v>
      </c>
      <c r="R45" s="1358">
        <f t="shared" si="8"/>
        <v>0</v>
      </c>
      <c r="S45" s="1358">
        <f t="shared" si="9"/>
        <v>0.15119621036834394</v>
      </c>
      <c r="T45" s="1358">
        <f t="shared" si="10"/>
        <v>2.5183270108248048</v>
      </c>
      <c r="U45" s="595">
        <f>IF('TAR_Tab 2_Volumina'!C48="storage",1,0)</f>
        <v>0</v>
      </c>
      <c r="V45" s="1362">
        <f t="shared" si="14"/>
        <v>2.5183270108248048</v>
      </c>
      <c r="W45" s="1362">
        <f t="shared" si="12"/>
        <v>2.6532664911591182</v>
      </c>
      <c r="X45" s="1355">
        <f t="shared" si="13"/>
        <v>2.653</v>
      </c>
      <c r="Y45" s="1355">
        <f>X45+'TAR_Tab 13_Overige tarieven'!$T$15+'TAR_Tab 13_Overige tarieven'!$T$16</f>
        <v>2.806</v>
      </c>
      <c r="Z45" s="960"/>
    </row>
    <row r="46" spans="1:26">
      <c r="A46" s="155">
        <v>300083</v>
      </c>
      <c r="B46" s="156" t="s">
        <v>69</v>
      </c>
      <c r="C46" s="839">
        <v>1.9506055696404161</v>
      </c>
      <c r="D46" s="1356">
        <f t="shared" si="0"/>
        <v>1.8600974712091007</v>
      </c>
      <c r="E46" s="1356">
        <f t="shared" si="1"/>
        <v>1.965457800070169</v>
      </c>
      <c r="F46" s="1357"/>
      <c r="G46" s="1358">
        <f t="shared" si="2"/>
        <v>1.8671849100666604</v>
      </c>
      <c r="H46" s="1358">
        <f t="shared" si="3"/>
        <v>2.0637306900736774</v>
      </c>
      <c r="I46" s="833">
        <v>1.9758483311719455</v>
      </c>
      <c r="J46" s="1359" t="b">
        <f t="shared" si="11"/>
        <v>1</v>
      </c>
      <c r="K46" s="1583"/>
      <c r="L46" s="17"/>
      <c r="M46" s="1361">
        <f t="shared" si="4"/>
        <v>1.9758483311719455</v>
      </c>
      <c r="N46" s="1350"/>
      <c r="O46" s="1358">
        <f t="shared" si="5"/>
        <v>6.2134963464892711E-3</v>
      </c>
      <c r="P46" s="1358">
        <f t="shared" si="6"/>
        <v>4.9250683137095552E-3</v>
      </c>
      <c r="Q46" s="1358">
        <f t="shared" si="7"/>
        <v>1.3620425843960959E-2</v>
      </c>
      <c r="R46" s="1358">
        <f t="shared" si="8"/>
        <v>0</v>
      </c>
      <c r="S46" s="1358">
        <f t="shared" si="9"/>
        <v>0.12778518424679389</v>
      </c>
      <c r="T46" s="1358">
        <f t="shared" si="10"/>
        <v>2.1283925059228994</v>
      </c>
      <c r="U46" s="595">
        <f>IF('TAR_Tab 2_Volumina'!C49="storage",1,0)</f>
        <v>0</v>
      </c>
      <c r="V46" s="1362">
        <f t="shared" si="14"/>
        <v>2.1283925059228994</v>
      </c>
      <c r="W46" s="1362">
        <f t="shared" si="12"/>
        <v>2.242438131237706</v>
      </c>
      <c r="X46" s="1355">
        <f t="shared" si="13"/>
        <v>2.242</v>
      </c>
      <c r="Y46" s="1355">
        <f>X46+'TAR_Tab 13_Overige tarieven'!$T$15+'TAR_Tab 13_Overige tarieven'!$T$16</f>
        <v>2.395</v>
      </c>
      <c r="Z46" s="960"/>
    </row>
    <row r="47" spans="1:26">
      <c r="A47" s="155">
        <v>300085</v>
      </c>
      <c r="B47" s="156" t="s">
        <v>36</v>
      </c>
      <c r="C47" s="839">
        <v>1.9506055696404161</v>
      </c>
      <c r="D47" s="1356">
        <f t="shared" si="0"/>
        <v>1.8600974712091007</v>
      </c>
      <c r="E47" s="1356">
        <f t="shared" si="1"/>
        <v>1.965457800070169</v>
      </c>
      <c r="F47" s="1357"/>
      <c r="G47" s="1358">
        <f t="shared" si="2"/>
        <v>1.8671849100666604</v>
      </c>
      <c r="H47" s="1358">
        <f t="shared" si="3"/>
        <v>2.0637306900736774</v>
      </c>
      <c r="I47" s="833">
        <v>1.9758483311719455</v>
      </c>
      <c r="J47" s="1359" t="b">
        <f t="shared" si="11"/>
        <v>1</v>
      </c>
      <c r="K47" s="1583"/>
      <c r="L47" s="17"/>
      <c r="M47" s="1361">
        <f t="shared" si="4"/>
        <v>1.9758483311719455</v>
      </c>
      <c r="N47" s="1350"/>
      <c r="O47" s="1358">
        <f t="shared" si="5"/>
        <v>6.2134963464892711E-3</v>
      </c>
      <c r="P47" s="1358">
        <f t="shared" si="6"/>
        <v>4.9250683137095552E-3</v>
      </c>
      <c r="Q47" s="1358">
        <f t="shared" si="7"/>
        <v>1.3620425843960959E-2</v>
      </c>
      <c r="R47" s="1358">
        <f t="shared" si="8"/>
        <v>0</v>
      </c>
      <c r="S47" s="1358">
        <f t="shared" si="9"/>
        <v>0.12778518424679389</v>
      </c>
      <c r="T47" s="1358">
        <f t="shared" si="10"/>
        <v>2.1283925059228994</v>
      </c>
      <c r="U47" s="595">
        <f>IF('TAR_Tab 2_Volumina'!C50="storage",1,0)</f>
        <v>0</v>
      </c>
      <c r="V47" s="1362">
        <f t="shared" si="14"/>
        <v>2.1283925059228994</v>
      </c>
      <c r="W47" s="1362">
        <f t="shared" si="12"/>
        <v>2.242438131237706</v>
      </c>
      <c r="X47" s="1355">
        <f t="shared" si="13"/>
        <v>2.242</v>
      </c>
      <c r="Y47" s="1355">
        <f>X47+'TAR_Tab 13_Overige tarieven'!$T$15+'TAR_Tab 13_Overige tarieven'!$T$16</f>
        <v>2.395</v>
      </c>
      <c r="Z47" s="960"/>
    </row>
    <row r="48" spans="1:26">
      <c r="A48" s="155">
        <v>300088</v>
      </c>
      <c r="B48" s="156" t="s">
        <v>1040</v>
      </c>
      <c r="C48" s="839">
        <v>1.8297328401341846</v>
      </c>
      <c r="D48" s="1356">
        <f t="shared" si="0"/>
        <v>1.7448332363519585</v>
      </c>
      <c r="E48" s="1356">
        <f t="shared" si="1"/>
        <v>1.8436647257955021</v>
      </c>
      <c r="F48" s="1357"/>
      <c r="G48" s="1358">
        <f t="shared" si="2"/>
        <v>1.7514814895057269</v>
      </c>
      <c r="H48" s="1358">
        <f t="shared" si="3"/>
        <v>1.9358479620852773</v>
      </c>
      <c r="I48" s="833">
        <v>1.8534113892313402</v>
      </c>
      <c r="J48" s="1359" t="b">
        <f t="shared" si="11"/>
        <v>1</v>
      </c>
      <c r="K48" s="1583"/>
      <c r="L48" s="17"/>
      <c r="M48" s="1361">
        <f t="shared" si="4"/>
        <v>1.8534113892313402</v>
      </c>
      <c r="N48" s="1350"/>
      <c r="O48" s="1358">
        <f t="shared" si="5"/>
        <v>5.828466038534391E-3</v>
      </c>
      <c r="P48" s="1358">
        <f t="shared" si="6"/>
        <v>4.6198777311806296E-3</v>
      </c>
      <c r="Q48" s="1358">
        <f t="shared" si="7"/>
        <v>1.2776412028753681E-2</v>
      </c>
      <c r="R48" s="1358">
        <f t="shared" si="8"/>
        <v>0</v>
      </c>
      <c r="S48" s="1358">
        <f t="shared" si="9"/>
        <v>0.11986674894097551</v>
      </c>
      <c r="T48" s="1358">
        <f t="shared" si="10"/>
        <v>1.9965028939707843</v>
      </c>
      <c r="U48" s="595">
        <f>IF('TAR_Tab 2_Volumina'!C51="storage",1,0)</f>
        <v>0</v>
      </c>
      <c r="V48" s="1362">
        <f t="shared" si="14"/>
        <v>1.9965028939707843</v>
      </c>
      <c r="W48" s="1362">
        <f t="shared" si="12"/>
        <v>2.1034814800878165</v>
      </c>
      <c r="X48" s="1355">
        <f t="shared" si="13"/>
        <v>2.1030000000000002</v>
      </c>
      <c r="Y48" s="1355">
        <f>X48+'TAR_Tab 13_Overige tarieven'!$T$15+'TAR_Tab 13_Overige tarieven'!$T$16</f>
        <v>2.2560000000000002</v>
      </c>
      <c r="Z48" s="960"/>
    </row>
    <row r="49" spans="1:26">
      <c r="A49" s="155">
        <v>300089</v>
      </c>
      <c r="B49" s="156" t="s">
        <v>70</v>
      </c>
      <c r="C49" s="839">
        <v>1.9506055696404161</v>
      </c>
      <c r="D49" s="1356">
        <f t="shared" si="0"/>
        <v>1.8600974712091007</v>
      </c>
      <c r="E49" s="1356">
        <f t="shared" si="1"/>
        <v>1.965457800070169</v>
      </c>
      <c r="F49" s="1357"/>
      <c r="G49" s="1358">
        <f t="shared" si="2"/>
        <v>1.8671849100666604</v>
      </c>
      <c r="H49" s="1358">
        <f t="shared" si="3"/>
        <v>2.0637306900736774</v>
      </c>
      <c r="I49" s="833">
        <v>1.9758483311719455</v>
      </c>
      <c r="J49" s="1359" t="b">
        <f t="shared" si="11"/>
        <v>1</v>
      </c>
      <c r="K49" s="1583"/>
      <c r="L49" s="17"/>
      <c r="M49" s="1361">
        <f t="shared" si="4"/>
        <v>1.9758483311719455</v>
      </c>
      <c r="N49" s="1350"/>
      <c r="O49" s="1358">
        <f t="shared" si="5"/>
        <v>6.2134963464892711E-3</v>
      </c>
      <c r="P49" s="1358">
        <f t="shared" si="6"/>
        <v>4.9250683137095552E-3</v>
      </c>
      <c r="Q49" s="1358">
        <f t="shared" si="7"/>
        <v>1.3620425843960959E-2</v>
      </c>
      <c r="R49" s="1358">
        <f t="shared" si="8"/>
        <v>0</v>
      </c>
      <c r="S49" s="1358">
        <f t="shared" si="9"/>
        <v>0.12778518424679389</v>
      </c>
      <c r="T49" s="1358">
        <f t="shared" si="10"/>
        <v>2.1283925059228994</v>
      </c>
      <c r="U49" s="595">
        <f>IF('TAR_Tab 2_Volumina'!C52="storage",1,0)</f>
        <v>0</v>
      </c>
      <c r="V49" s="1362">
        <f t="shared" si="14"/>
        <v>2.1283925059228994</v>
      </c>
      <c r="W49" s="1362">
        <f t="shared" si="12"/>
        <v>2.242438131237706</v>
      </c>
      <c r="X49" s="1355">
        <f t="shared" si="13"/>
        <v>2.242</v>
      </c>
      <c r="Y49" s="1355">
        <f>X49+'TAR_Tab 13_Overige tarieven'!$T$15+'TAR_Tab 13_Overige tarieven'!$T$16</f>
        <v>2.395</v>
      </c>
      <c r="Z49" s="960"/>
    </row>
    <row r="50" spans="1:26">
      <c r="A50" s="155">
        <v>300090</v>
      </c>
      <c r="B50" s="156" t="s">
        <v>71</v>
      </c>
      <c r="C50" s="839">
        <v>2.1862198032431421</v>
      </c>
      <c r="D50" s="1356">
        <f t="shared" si="0"/>
        <v>2.0847792043726603</v>
      </c>
      <c r="E50" s="1356">
        <f t="shared" si="1"/>
        <v>2.2028660390548453</v>
      </c>
      <c r="F50" s="1357"/>
      <c r="G50" s="1358">
        <f t="shared" si="2"/>
        <v>2.0927227371021031</v>
      </c>
      <c r="H50" s="1358">
        <f t="shared" si="3"/>
        <v>2.3130093410075876</v>
      </c>
      <c r="I50" s="833">
        <v>2.2145116455344298</v>
      </c>
      <c r="J50" s="1359" t="b">
        <f t="shared" si="11"/>
        <v>1</v>
      </c>
      <c r="K50" s="1583"/>
      <c r="L50" s="17"/>
      <c r="M50" s="1361">
        <f t="shared" si="4"/>
        <v>2.2145116455344298</v>
      </c>
      <c r="N50" s="1350"/>
      <c r="O50" s="1358">
        <f t="shared" si="5"/>
        <v>6.9640264395317555E-3</v>
      </c>
      <c r="P50" s="1358">
        <f t="shared" si="6"/>
        <v>5.5199687970449249E-3</v>
      </c>
      <c r="Q50" s="1358">
        <f t="shared" si="7"/>
        <v>1.5265641179401233E-2</v>
      </c>
      <c r="R50" s="1358">
        <f t="shared" si="8"/>
        <v>0</v>
      </c>
      <c r="S50" s="1358">
        <f t="shared" si="9"/>
        <v>0.1432203950965413</v>
      </c>
      <c r="T50" s="1358">
        <f t="shared" si="10"/>
        <v>2.3854816770469491</v>
      </c>
      <c r="U50" s="595">
        <f>IF('TAR_Tab 2_Volumina'!C53="storage",1,0)</f>
        <v>0</v>
      </c>
      <c r="V50" s="1362">
        <f t="shared" si="14"/>
        <v>2.3854816770469491</v>
      </c>
      <c r="W50" s="1362">
        <f t="shared" si="12"/>
        <v>2.5133029077545186</v>
      </c>
      <c r="X50" s="1355">
        <f t="shared" si="13"/>
        <v>2.5129999999999999</v>
      </c>
      <c r="Y50" s="1355">
        <f>X50+'TAR_Tab 13_Overige tarieven'!$T$15+'TAR_Tab 13_Overige tarieven'!$T$16</f>
        <v>2.6659999999999999</v>
      </c>
      <c r="Z50" s="960"/>
    </row>
    <row r="51" spans="1:26">
      <c r="A51" s="155">
        <v>300091</v>
      </c>
      <c r="B51" s="156" t="s">
        <v>72</v>
      </c>
      <c r="C51" s="839">
        <v>1.9506055696404161</v>
      </c>
      <c r="D51" s="1356">
        <f t="shared" si="0"/>
        <v>1.8600974712091007</v>
      </c>
      <c r="E51" s="1356">
        <f t="shared" si="1"/>
        <v>1.965457800070169</v>
      </c>
      <c r="F51" s="1357"/>
      <c r="G51" s="1358">
        <f t="shared" si="2"/>
        <v>1.8671849100666604</v>
      </c>
      <c r="H51" s="1358">
        <f t="shared" si="3"/>
        <v>2.0637306900736774</v>
      </c>
      <c r="I51" s="833">
        <v>1.9758483311719455</v>
      </c>
      <c r="J51" s="1359" t="b">
        <f t="shared" si="11"/>
        <v>1</v>
      </c>
      <c r="K51" s="1583"/>
      <c r="L51" s="17"/>
      <c r="M51" s="1361">
        <f t="shared" si="4"/>
        <v>1.9758483311719455</v>
      </c>
      <c r="N51" s="1350"/>
      <c r="O51" s="1358">
        <f t="shared" si="5"/>
        <v>6.2134963464892711E-3</v>
      </c>
      <c r="P51" s="1358">
        <f t="shared" si="6"/>
        <v>4.9250683137095552E-3</v>
      </c>
      <c r="Q51" s="1358">
        <f t="shared" si="7"/>
        <v>1.3620425843960959E-2</v>
      </c>
      <c r="R51" s="1358">
        <f t="shared" si="8"/>
        <v>0</v>
      </c>
      <c r="S51" s="1358">
        <f t="shared" si="9"/>
        <v>0.12778518424679389</v>
      </c>
      <c r="T51" s="1358">
        <f t="shared" si="10"/>
        <v>2.1283925059228994</v>
      </c>
      <c r="U51" s="595">
        <f>IF('TAR_Tab 2_Volumina'!C54="storage",1,0)</f>
        <v>0</v>
      </c>
      <c r="V51" s="1362">
        <f t="shared" si="14"/>
        <v>2.1283925059228994</v>
      </c>
      <c r="W51" s="1362">
        <f t="shared" si="12"/>
        <v>2.242438131237706</v>
      </c>
      <c r="X51" s="1355">
        <f t="shared" si="13"/>
        <v>2.242</v>
      </c>
      <c r="Y51" s="1355">
        <f>X51+'TAR_Tab 13_Overige tarieven'!$T$15+'TAR_Tab 13_Overige tarieven'!$T$16</f>
        <v>2.395</v>
      </c>
      <c r="Z51" s="960"/>
    </row>
    <row r="52" spans="1:26">
      <c r="A52" s="155">
        <v>300092</v>
      </c>
      <c r="B52" s="156" t="s">
        <v>73</v>
      </c>
      <c r="C52" s="839">
        <v>1.9400948975094388</v>
      </c>
      <c r="D52" s="1356">
        <f t="shared" si="0"/>
        <v>1.8500744942650007</v>
      </c>
      <c r="E52" s="1356">
        <f t="shared" si="1"/>
        <v>1.9548670979593277</v>
      </c>
      <c r="F52" s="1357"/>
      <c r="G52" s="1358">
        <f t="shared" si="2"/>
        <v>1.8571237430613612</v>
      </c>
      <c r="H52" s="1358">
        <f t="shared" si="3"/>
        <v>2.0526104528572939</v>
      </c>
      <c r="I52" s="833">
        <v>1.9652016405684138</v>
      </c>
      <c r="J52" s="1359" t="b">
        <f t="shared" si="11"/>
        <v>1</v>
      </c>
      <c r="K52" s="1583"/>
      <c r="L52" s="17"/>
      <c r="M52" s="1361">
        <f t="shared" si="4"/>
        <v>1.9652016405684138</v>
      </c>
      <c r="N52" s="1350"/>
      <c r="O52" s="1358">
        <f t="shared" si="5"/>
        <v>6.1800154501453668E-3</v>
      </c>
      <c r="P52" s="1358">
        <f t="shared" si="6"/>
        <v>4.8985300021852987E-3</v>
      </c>
      <c r="Q52" s="1358">
        <f t="shared" si="7"/>
        <v>1.3547033338290755E-2</v>
      </c>
      <c r="R52" s="1358">
        <f t="shared" si="8"/>
        <v>0</v>
      </c>
      <c r="S52" s="1358">
        <f t="shared" si="9"/>
        <v>0.12709662465498356</v>
      </c>
      <c r="T52" s="1358">
        <f t="shared" si="10"/>
        <v>2.116923844014019</v>
      </c>
      <c r="U52" s="595">
        <f>IF('TAR_Tab 2_Volumina'!C55="storage",1,0)</f>
        <v>0</v>
      </c>
      <c r="V52" s="1362">
        <f t="shared" si="14"/>
        <v>2.116923844014019</v>
      </c>
      <c r="W52" s="1362">
        <f t="shared" si="12"/>
        <v>2.2303549441811934</v>
      </c>
      <c r="X52" s="1355">
        <f t="shared" si="13"/>
        <v>2.23</v>
      </c>
      <c r="Y52" s="1355">
        <f>X52+'TAR_Tab 13_Overige tarieven'!$T$15+'TAR_Tab 13_Overige tarieven'!$T$16</f>
        <v>2.383</v>
      </c>
      <c r="Z52" s="960"/>
    </row>
    <row r="53" spans="1:26">
      <c r="A53" s="155">
        <v>300095</v>
      </c>
      <c r="B53" s="156" t="s">
        <v>291</v>
      </c>
      <c r="C53" s="839">
        <v>2.1862198032431421</v>
      </c>
      <c r="D53" s="1356">
        <f t="shared" si="0"/>
        <v>2.0847792043726603</v>
      </c>
      <c r="E53" s="1356">
        <f t="shared" si="1"/>
        <v>2.2028660390548453</v>
      </c>
      <c r="F53" s="1357"/>
      <c r="G53" s="1358">
        <f t="shared" si="2"/>
        <v>2.0927227371021031</v>
      </c>
      <c r="H53" s="1358">
        <f t="shared" si="3"/>
        <v>2.3130093410075876</v>
      </c>
      <c r="I53" s="833">
        <v>2.2145116455344298</v>
      </c>
      <c r="J53" s="1359" t="b">
        <f t="shared" si="11"/>
        <v>1</v>
      </c>
      <c r="K53" s="1583"/>
      <c r="L53" s="17"/>
      <c r="M53" s="1361">
        <f t="shared" si="4"/>
        <v>2.2145116455344298</v>
      </c>
      <c r="N53" s="1350"/>
      <c r="O53" s="1358">
        <f t="shared" si="5"/>
        <v>6.9640264395317555E-3</v>
      </c>
      <c r="P53" s="1358">
        <f t="shared" si="6"/>
        <v>5.5199687970449249E-3</v>
      </c>
      <c r="Q53" s="1358">
        <f t="shared" si="7"/>
        <v>1.5265641179401233E-2</v>
      </c>
      <c r="R53" s="1358">
        <f t="shared" si="8"/>
        <v>0</v>
      </c>
      <c r="S53" s="1358">
        <f t="shared" si="9"/>
        <v>0.1432203950965413</v>
      </c>
      <c r="T53" s="1358">
        <f t="shared" si="10"/>
        <v>2.3854816770469491</v>
      </c>
      <c r="U53" s="595">
        <f>IF('TAR_Tab 2_Volumina'!C56="storage",1,0)</f>
        <v>0</v>
      </c>
      <c r="V53" s="1362">
        <f t="shared" si="14"/>
        <v>2.3854816770469491</v>
      </c>
      <c r="W53" s="1362">
        <f t="shared" si="12"/>
        <v>2.5133029077545186</v>
      </c>
      <c r="X53" s="1355">
        <f t="shared" si="13"/>
        <v>2.5129999999999999</v>
      </c>
      <c r="Y53" s="1355">
        <f>X53+'TAR_Tab 13_Overige tarieven'!$T$15+'TAR_Tab 13_Overige tarieven'!$T$16</f>
        <v>2.6659999999999999</v>
      </c>
      <c r="Z53" s="960"/>
    </row>
    <row r="54" spans="1:26">
      <c r="A54" s="155">
        <v>300096</v>
      </c>
      <c r="B54" s="156" t="s">
        <v>74</v>
      </c>
      <c r="C54" s="839">
        <v>2.1862198032431421</v>
      </c>
      <c r="D54" s="1356">
        <f t="shared" si="0"/>
        <v>2.0847792043726603</v>
      </c>
      <c r="E54" s="1356">
        <f t="shared" si="1"/>
        <v>2.2028660390548453</v>
      </c>
      <c r="F54" s="1357"/>
      <c r="G54" s="1358">
        <f t="shared" si="2"/>
        <v>2.0927227371021031</v>
      </c>
      <c r="H54" s="1358">
        <f t="shared" si="3"/>
        <v>2.3130093410075876</v>
      </c>
      <c r="I54" s="833">
        <v>2.2145116455344298</v>
      </c>
      <c r="J54" s="1359" t="b">
        <f t="shared" si="11"/>
        <v>1</v>
      </c>
      <c r="K54" s="1583"/>
      <c r="L54" s="17"/>
      <c r="M54" s="1361">
        <f t="shared" si="4"/>
        <v>2.2145116455344298</v>
      </c>
      <c r="N54" s="1350"/>
      <c r="O54" s="1358">
        <f t="shared" si="5"/>
        <v>6.9640264395317555E-3</v>
      </c>
      <c r="P54" s="1358">
        <f t="shared" si="6"/>
        <v>5.5199687970449249E-3</v>
      </c>
      <c r="Q54" s="1358">
        <f t="shared" si="7"/>
        <v>1.5265641179401233E-2</v>
      </c>
      <c r="R54" s="1358">
        <f t="shared" si="8"/>
        <v>0</v>
      </c>
      <c r="S54" s="1358">
        <f t="shared" si="9"/>
        <v>0.1432203950965413</v>
      </c>
      <c r="T54" s="1358">
        <f t="shared" si="10"/>
        <v>2.3854816770469491</v>
      </c>
      <c r="U54" s="595">
        <f>IF('TAR_Tab 2_Volumina'!C57="storage",1,0)</f>
        <v>0</v>
      </c>
      <c r="V54" s="1362">
        <f t="shared" si="14"/>
        <v>2.3854816770469491</v>
      </c>
      <c r="W54" s="1362">
        <f t="shared" si="12"/>
        <v>2.5133029077545186</v>
      </c>
      <c r="X54" s="1355">
        <f t="shared" si="13"/>
        <v>2.5129999999999999</v>
      </c>
      <c r="Y54" s="1355">
        <f>X54+'TAR_Tab 13_Overige tarieven'!$T$15+'TAR_Tab 13_Overige tarieven'!$T$16</f>
        <v>2.6659999999999999</v>
      </c>
      <c r="Z54" s="960"/>
    </row>
    <row r="55" spans="1:26">
      <c r="A55" s="155">
        <v>300097</v>
      </c>
      <c r="B55" s="156" t="s">
        <v>75</v>
      </c>
      <c r="C55" s="839">
        <v>2.2580427294714829</v>
      </c>
      <c r="D55" s="1356">
        <f t="shared" si="0"/>
        <v>2.153269546824006</v>
      </c>
      <c r="E55" s="1356">
        <f t="shared" si="1"/>
        <v>2.2752358368122563</v>
      </c>
      <c r="F55" s="1357"/>
      <c r="G55" s="1358">
        <f t="shared" si="2"/>
        <v>2.1614740449716434</v>
      </c>
      <c r="H55" s="1358">
        <f t="shared" si="3"/>
        <v>2.3889976286528691</v>
      </c>
      <c r="I55" s="833">
        <v>2.2872640313252242</v>
      </c>
      <c r="J55" s="1359" t="b">
        <f t="shared" si="11"/>
        <v>1</v>
      </c>
      <c r="K55" s="1583"/>
      <c r="L55" s="17"/>
      <c r="M55" s="1361">
        <f t="shared" si="4"/>
        <v>2.2872640313252242</v>
      </c>
      <c r="N55" s="1350"/>
      <c r="O55" s="1358">
        <f t="shared" si="5"/>
        <v>7.1928125645484226E-3</v>
      </c>
      <c r="P55" s="1358">
        <f t="shared" si="6"/>
        <v>5.7013139257939965E-3</v>
      </c>
      <c r="Q55" s="1358">
        <f t="shared" si="7"/>
        <v>1.5767156634814254E-2</v>
      </c>
      <c r="R55" s="1358">
        <f t="shared" si="8"/>
        <v>0</v>
      </c>
      <c r="S55" s="1358">
        <f t="shared" si="9"/>
        <v>0.14792555230724497</v>
      </c>
      <c r="T55" s="1358">
        <f t="shared" si="10"/>
        <v>2.463850866757626</v>
      </c>
      <c r="U55" s="595">
        <f>IF('TAR_Tab 2_Volumina'!C58="storage",1,0)</f>
        <v>0</v>
      </c>
      <c r="V55" s="1362">
        <f t="shared" si="14"/>
        <v>2.463850866757626</v>
      </c>
      <c r="W55" s="1362">
        <f t="shared" si="12"/>
        <v>2.5958713526406849</v>
      </c>
      <c r="X55" s="1355">
        <f t="shared" si="13"/>
        <v>2.5960000000000001</v>
      </c>
      <c r="Y55" s="1355">
        <f>X55+'TAR_Tab 13_Overige tarieven'!$T$15+'TAR_Tab 13_Overige tarieven'!$T$16</f>
        <v>2.7490000000000001</v>
      </c>
      <c r="Z55" s="960"/>
    </row>
    <row r="56" spans="1:26">
      <c r="A56" s="155">
        <v>300099</v>
      </c>
      <c r="B56" s="156" t="s">
        <v>76</v>
      </c>
      <c r="C56" s="839">
        <v>1.5993739425969467</v>
      </c>
      <c r="D56" s="1356">
        <f t="shared" si="0"/>
        <v>1.5251629916604483</v>
      </c>
      <c r="E56" s="1356">
        <f t="shared" si="1"/>
        <v>1.6115518378662457</v>
      </c>
      <c r="F56" s="1357"/>
      <c r="G56" s="1358">
        <f t="shared" si="2"/>
        <v>1.5309742459729334</v>
      </c>
      <c r="H56" s="1358">
        <f t="shared" si="3"/>
        <v>1.6921294297595579</v>
      </c>
      <c r="I56" s="833">
        <v>1.620071420170621</v>
      </c>
      <c r="J56" s="1359" t="b">
        <f t="shared" si="11"/>
        <v>1</v>
      </c>
      <c r="K56" s="1583"/>
      <c r="L56" s="17"/>
      <c r="M56" s="1361">
        <f t="shared" si="4"/>
        <v>1.620071420170621</v>
      </c>
      <c r="N56" s="1350"/>
      <c r="O56" s="1358">
        <f t="shared" si="5"/>
        <v>5.0946763936638578E-3</v>
      </c>
      <c r="P56" s="1358">
        <f t="shared" si="6"/>
        <v>4.0382464036073859E-3</v>
      </c>
      <c r="Q56" s="1358">
        <f t="shared" si="7"/>
        <v>1.1167892946148502E-2</v>
      </c>
      <c r="R56" s="1358">
        <f t="shared" si="8"/>
        <v>0</v>
      </c>
      <c r="S56" s="1358">
        <f t="shared" si="9"/>
        <v>0.10477581788713322</v>
      </c>
      <c r="T56" s="1358">
        <f t="shared" si="10"/>
        <v>1.7451480538011739</v>
      </c>
      <c r="U56" s="595">
        <f>IF('TAR_Tab 2_Volumina'!C59="storage",1,0)</f>
        <v>0</v>
      </c>
      <c r="V56" s="1362">
        <f t="shared" si="14"/>
        <v>1.7451480538011739</v>
      </c>
      <c r="W56" s="1362">
        <f t="shared" si="12"/>
        <v>1.8386582970992598</v>
      </c>
      <c r="X56" s="1355">
        <f t="shared" si="13"/>
        <v>1.839</v>
      </c>
      <c r="Y56" s="1355">
        <f>X56+'TAR_Tab 13_Overige tarieven'!$T$15+'TAR_Tab 13_Overige tarieven'!$T$16</f>
        <v>1.992</v>
      </c>
      <c r="Z56" s="960"/>
    </row>
    <row r="57" spans="1:26">
      <c r="A57" s="155">
        <v>300100</v>
      </c>
      <c r="B57" s="156" t="s">
        <v>37</v>
      </c>
      <c r="C57" s="839">
        <v>1.8691478606253467</v>
      </c>
      <c r="D57" s="1356">
        <f t="shared" si="0"/>
        <v>1.7824193998923306</v>
      </c>
      <c r="E57" s="1356">
        <f t="shared" si="1"/>
        <v>1.8833798587111539</v>
      </c>
      <c r="F57" s="1357"/>
      <c r="G57" s="1358">
        <f t="shared" si="2"/>
        <v>1.7892108657755961</v>
      </c>
      <c r="H57" s="1358">
        <f t="shared" si="3"/>
        <v>1.9775488516467117</v>
      </c>
      <c r="I57" s="833">
        <v>1.8933364789945806</v>
      </c>
      <c r="J57" s="1359" t="b">
        <f t="shared" si="11"/>
        <v>1</v>
      </c>
      <c r="K57" s="1583"/>
      <c r="L57" s="17"/>
      <c r="M57" s="1361">
        <f t="shared" si="4"/>
        <v>1.8933364789945806</v>
      </c>
      <c r="N57" s="1350"/>
      <c r="O57" s="1358">
        <f t="shared" si="5"/>
        <v>5.9540193998240251E-3</v>
      </c>
      <c r="P57" s="1358">
        <f t="shared" si="6"/>
        <v>4.7193963993965825E-3</v>
      </c>
      <c r="Q57" s="1358">
        <f t="shared" si="7"/>
        <v>1.3051633925016921E-2</v>
      </c>
      <c r="R57" s="1358">
        <f t="shared" si="8"/>
        <v>0</v>
      </c>
      <c r="S57" s="1358">
        <f t="shared" si="9"/>
        <v>0.12244884741026409</v>
      </c>
      <c r="T57" s="1358">
        <f t="shared" si="10"/>
        <v>2.039510376129082</v>
      </c>
      <c r="U57" s="595">
        <f>IF('TAR_Tab 2_Volumina'!C60="storage",1,0)</f>
        <v>0</v>
      </c>
      <c r="V57" s="1362">
        <f t="shared" si="14"/>
        <v>2.039510376129082</v>
      </c>
      <c r="W57" s="1362">
        <f t="shared" si="12"/>
        <v>2.1487934315497363</v>
      </c>
      <c r="X57" s="1355">
        <f t="shared" si="13"/>
        <v>2.149</v>
      </c>
      <c r="Y57" s="1355">
        <f>X57+'TAR_Tab 13_Overige tarieven'!$T$15+'TAR_Tab 13_Overige tarieven'!$T$16</f>
        <v>2.302</v>
      </c>
      <c r="Z57" s="960"/>
    </row>
    <row r="58" spans="1:26">
      <c r="A58" s="155">
        <v>300131</v>
      </c>
      <c r="B58" s="156" t="s">
        <v>42</v>
      </c>
      <c r="C58" s="839">
        <v>2.0206767171802604</v>
      </c>
      <c r="D58" s="1356">
        <f t="shared" si="0"/>
        <v>1.9269173175030962</v>
      </c>
      <c r="E58" s="1356">
        <f t="shared" si="1"/>
        <v>2.0360624808091061</v>
      </c>
      <c r="F58" s="1357"/>
      <c r="G58" s="1358">
        <f t="shared" si="2"/>
        <v>1.9342593567686508</v>
      </c>
      <c r="H58" s="1358">
        <f t="shared" si="3"/>
        <v>2.1378656048495617</v>
      </c>
      <c r="I58" s="833">
        <v>2.0468262685288181</v>
      </c>
      <c r="J58" s="1359" t="b">
        <f t="shared" si="11"/>
        <v>1</v>
      </c>
      <c r="K58" s="1583"/>
      <c r="L58" s="17"/>
      <c r="M58" s="1361">
        <f t="shared" si="4"/>
        <v>2.0468262685288181</v>
      </c>
      <c r="N58" s="1350"/>
      <c r="O58" s="1358">
        <f t="shared" si="5"/>
        <v>6.4367023221152892E-3</v>
      </c>
      <c r="P58" s="1358">
        <f t="shared" si="6"/>
        <v>5.1019903905379178E-3</v>
      </c>
      <c r="Q58" s="1358">
        <f t="shared" si="7"/>
        <v>1.4109709215095613E-2</v>
      </c>
      <c r="R58" s="1358">
        <f t="shared" si="8"/>
        <v>0</v>
      </c>
      <c r="S58" s="1358">
        <f t="shared" si="9"/>
        <v>0.13237558152552917</v>
      </c>
      <c r="T58" s="1358">
        <f t="shared" si="10"/>
        <v>2.2048502519820961</v>
      </c>
      <c r="U58" s="595">
        <f>IF('TAR_Tab 2_Volumina'!C61="storage",1,0)</f>
        <v>0</v>
      </c>
      <c r="V58" s="1362">
        <f t="shared" si="14"/>
        <v>2.2048502519820961</v>
      </c>
      <c r="W58" s="1362">
        <f t="shared" si="12"/>
        <v>2.3229927116144533</v>
      </c>
      <c r="X58" s="1355">
        <f t="shared" si="13"/>
        <v>2.323</v>
      </c>
      <c r="Y58" s="1355">
        <f>X58+'TAR_Tab 13_Overige tarieven'!$T$15+'TAR_Tab 13_Overige tarieven'!$T$16</f>
        <v>2.476</v>
      </c>
      <c r="Z58" s="960"/>
    </row>
    <row r="59" spans="1:26">
      <c r="A59" s="155">
        <v>300132</v>
      </c>
      <c r="B59" s="156" t="s">
        <v>1042</v>
      </c>
      <c r="C59" s="839">
        <v>1.4662459901346743</v>
      </c>
      <c r="D59" s="1356">
        <f t="shared" si="0"/>
        <v>1.3982121761924253</v>
      </c>
      <c r="E59" s="1356">
        <f t="shared" si="1"/>
        <v>1.4774102273598329</v>
      </c>
      <c r="F59" s="1357"/>
      <c r="G59" s="1358">
        <f t="shared" si="2"/>
        <v>1.4035397159918412</v>
      </c>
      <c r="H59" s="1358">
        <f t="shared" si="3"/>
        <v>1.5512807387278245</v>
      </c>
      <c r="I59" s="833">
        <v>1.485220660591682</v>
      </c>
      <c r="J59" s="1359" t="b">
        <f t="shared" si="11"/>
        <v>1</v>
      </c>
      <c r="K59" s="1583"/>
      <c r="L59" s="17"/>
      <c r="M59" s="1361">
        <f t="shared" si="4"/>
        <v>1.485220660591682</v>
      </c>
      <c r="N59" s="1350"/>
      <c r="O59" s="1358">
        <f t="shared" si="5"/>
        <v>4.6706080637490535E-3</v>
      </c>
      <c r="P59" s="1358">
        <f t="shared" si="6"/>
        <v>3.7021127072077403E-3</v>
      </c>
      <c r="Q59" s="1358">
        <f t="shared" si="7"/>
        <v>1.0238305010743905E-2</v>
      </c>
      <c r="R59" s="1358">
        <f t="shared" si="8"/>
        <v>0</v>
      </c>
      <c r="S59" s="1358">
        <f t="shared" si="9"/>
        <v>9.6054536558624587E-2</v>
      </c>
      <c r="T59" s="1358">
        <f t="shared" si="10"/>
        <v>1.5998862229320072</v>
      </c>
      <c r="U59" s="595">
        <f>IF('TAR_Tab 2_Volumina'!C62="storage",1,0)</f>
        <v>0</v>
      </c>
      <c r="V59" s="1362">
        <f t="shared" si="14"/>
        <v>1.5998862229320072</v>
      </c>
      <c r="W59" s="1362">
        <f t="shared" si="12"/>
        <v>1.6856129036166434</v>
      </c>
      <c r="X59" s="1355">
        <f t="shared" si="13"/>
        <v>1.6859999999999999</v>
      </c>
      <c r="Y59" s="1355">
        <f>X59+'TAR_Tab 13_Overige tarieven'!$T$15+'TAR_Tab 13_Overige tarieven'!$T$16</f>
        <v>1.839</v>
      </c>
      <c r="Z59" s="960"/>
    </row>
    <row r="60" spans="1:26">
      <c r="A60" s="155">
        <v>300133</v>
      </c>
      <c r="B60" s="156" t="s">
        <v>1043</v>
      </c>
      <c r="C60" s="839">
        <v>1.4662459901346743</v>
      </c>
      <c r="D60" s="1356">
        <f t="shared" si="0"/>
        <v>1.3982121761924253</v>
      </c>
      <c r="E60" s="1356">
        <f t="shared" si="1"/>
        <v>1.4774102273598329</v>
      </c>
      <c r="F60" s="1357"/>
      <c r="G60" s="1358">
        <f t="shared" si="2"/>
        <v>1.4035397159918412</v>
      </c>
      <c r="H60" s="1358">
        <f t="shared" si="3"/>
        <v>1.5512807387278245</v>
      </c>
      <c r="I60" s="833">
        <v>1.485220660591682</v>
      </c>
      <c r="J60" s="1359" t="b">
        <f t="shared" si="11"/>
        <v>1</v>
      </c>
      <c r="K60" s="1583"/>
      <c r="L60" s="17"/>
      <c r="M60" s="1361">
        <f t="shared" si="4"/>
        <v>1.485220660591682</v>
      </c>
      <c r="N60" s="1350"/>
      <c r="O60" s="1358">
        <f t="shared" si="5"/>
        <v>4.6706080637490535E-3</v>
      </c>
      <c r="P60" s="1358">
        <f t="shared" si="6"/>
        <v>3.7021127072077403E-3</v>
      </c>
      <c r="Q60" s="1358">
        <f t="shared" si="7"/>
        <v>1.0238305010743905E-2</v>
      </c>
      <c r="R60" s="1358">
        <f t="shared" si="8"/>
        <v>0</v>
      </c>
      <c r="S60" s="1358">
        <f t="shared" si="9"/>
        <v>9.6054536558624587E-2</v>
      </c>
      <c r="T60" s="1358">
        <f t="shared" si="10"/>
        <v>1.5998862229320072</v>
      </c>
      <c r="U60" s="595">
        <f>IF('TAR_Tab 2_Volumina'!C63="storage",1,0)</f>
        <v>0</v>
      </c>
      <c r="V60" s="1362">
        <f t="shared" si="14"/>
        <v>1.5998862229320072</v>
      </c>
      <c r="W60" s="1362">
        <f t="shared" si="12"/>
        <v>1.6856129036166434</v>
      </c>
      <c r="X60" s="1355">
        <f t="shared" si="13"/>
        <v>1.6859999999999999</v>
      </c>
      <c r="Y60" s="1355">
        <f>X60+'TAR_Tab 13_Overige tarieven'!$T$15+'TAR_Tab 13_Overige tarieven'!$T$16</f>
        <v>1.839</v>
      </c>
      <c r="Z60" s="960"/>
    </row>
    <row r="61" spans="1:26">
      <c r="A61" s="155">
        <v>300136</v>
      </c>
      <c r="B61" s="156" t="s">
        <v>796</v>
      </c>
      <c r="C61" s="839">
        <v>0.72164918004341594</v>
      </c>
      <c r="D61" s="1356">
        <f t="shared" si="0"/>
        <v>0.68816465808940142</v>
      </c>
      <c r="E61" s="1356">
        <f t="shared" si="1"/>
        <v>0.72714393514832565</v>
      </c>
      <c r="F61" s="1357"/>
      <c r="G61" s="1358">
        <f t="shared" si="2"/>
        <v>0.69078673839090932</v>
      </c>
      <c r="H61" s="1358">
        <f t="shared" si="3"/>
        <v>0.76350113190574198</v>
      </c>
      <c r="I61" s="833">
        <v>0.73098803277960378</v>
      </c>
      <c r="J61" s="1359" t="b">
        <f t="shared" si="11"/>
        <v>1</v>
      </c>
      <c r="K61" s="1583"/>
      <c r="L61" s="17"/>
      <c r="M61" s="1361">
        <f t="shared" si="4"/>
        <v>0.73098803277960378</v>
      </c>
      <c r="N61" s="1350"/>
      <c r="O61" s="1358">
        <f t="shared" si="5"/>
        <v>2.2987551217098895E-3</v>
      </c>
      <c r="P61" s="1358">
        <f t="shared" si="6"/>
        <v>1.8220862103359536E-3</v>
      </c>
      <c r="Q61" s="1358">
        <f t="shared" si="7"/>
        <v>5.0390346952349429E-3</v>
      </c>
      <c r="R61" s="1358">
        <f t="shared" si="8"/>
        <v>0</v>
      </c>
      <c r="S61" s="1358">
        <f t="shared" si="9"/>
        <v>4.7275612696212686E-2</v>
      </c>
      <c r="T61" s="1358">
        <f t="shared" si="10"/>
        <v>0.78742352150309725</v>
      </c>
      <c r="U61" s="595">
        <f>IF('TAR_Tab 2_Volumina'!C64="storage",1,0)</f>
        <v>0</v>
      </c>
      <c r="V61" s="1362">
        <f t="shared" si="14"/>
        <v>0.78742352150309725</v>
      </c>
      <c r="W61" s="1362">
        <f t="shared" si="12"/>
        <v>0.82961602483483987</v>
      </c>
      <c r="X61" s="1355">
        <f t="shared" si="13"/>
        <v>0.83</v>
      </c>
      <c r="Y61" s="1355">
        <f>X61+'TAR_Tab 13_Overige tarieven'!$T$15+'TAR_Tab 13_Overige tarieven'!$T$16</f>
        <v>0.98299999999999998</v>
      </c>
      <c r="Z61" s="960"/>
    </row>
    <row r="62" spans="1:26">
      <c r="A62" s="155">
        <v>300138</v>
      </c>
      <c r="B62" s="156" t="s">
        <v>1044</v>
      </c>
      <c r="C62" s="839">
        <v>2.0084142663607878</v>
      </c>
      <c r="D62" s="1356">
        <f t="shared" si="0"/>
        <v>1.9152238444016472</v>
      </c>
      <c r="E62" s="1356">
        <f t="shared" si="1"/>
        <v>2.0237066616797925</v>
      </c>
      <c r="F62" s="1357"/>
      <c r="G62" s="1358">
        <f t="shared" si="2"/>
        <v>1.9225213285958027</v>
      </c>
      <c r="H62" s="1358">
        <f t="shared" si="3"/>
        <v>2.1248919947637823</v>
      </c>
      <c r="I62" s="833">
        <v>2.0344051294913656</v>
      </c>
      <c r="J62" s="1359" t="b">
        <f t="shared" si="11"/>
        <v>1</v>
      </c>
      <c r="K62" s="1583"/>
      <c r="L62" s="17"/>
      <c r="M62" s="1361">
        <f t="shared" si="4"/>
        <v>2.0344051294913656</v>
      </c>
      <c r="N62" s="1350"/>
      <c r="O62" s="1358">
        <f t="shared" si="5"/>
        <v>6.3976412763807368E-3</v>
      </c>
      <c r="P62" s="1358">
        <f t="shared" si="6"/>
        <v>5.071029027092955E-3</v>
      </c>
      <c r="Q62" s="1358">
        <f t="shared" si="7"/>
        <v>1.402408462514705E-2</v>
      </c>
      <c r="R62" s="1358">
        <f t="shared" si="8"/>
        <v>0</v>
      </c>
      <c r="S62" s="1358">
        <f t="shared" si="9"/>
        <v>0.13157226200175051</v>
      </c>
      <c r="T62" s="1358">
        <f t="shared" si="10"/>
        <v>2.1914701464217363</v>
      </c>
      <c r="U62" s="595">
        <f>IF('TAR_Tab 2_Volumina'!C65="storage",1,0)</f>
        <v>0</v>
      </c>
      <c r="V62" s="1362">
        <f t="shared" si="14"/>
        <v>2.1914701464217363</v>
      </c>
      <c r="W62" s="1362">
        <f t="shared" si="12"/>
        <v>2.3088956600485222</v>
      </c>
      <c r="X62" s="1355">
        <f t="shared" si="13"/>
        <v>2.3090000000000002</v>
      </c>
      <c r="Y62" s="1355">
        <f>X62+'TAR_Tab 13_Overige tarieven'!$T$15+'TAR_Tab 13_Overige tarieven'!$T$16</f>
        <v>2.4620000000000002</v>
      </c>
      <c r="Z62" s="960"/>
    </row>
    <row r="63" spans="1:26">
      <c r="A63" s="155">
        <v>300139</v>
      </c>
      <c r="B63" s="156" t="s">
        <v>1045</v>
      </c>
      <c r="C63" s="839">
        <v>1.7118715781505121</v>
      </c>
      <c r="D63" s="1356">
        <f t="shared" si="0"/>
        <v>1.6324407369243283</v>
      </c>
      <c r="E63" s="1356">
        <f t="shared" si="1"/>
        <v>1.7249060488505641</v>
      </c>
      <c r="F63" s="1357"/>
      <c r="G63" s="1358">
        <f t="shared" si="2"/>
        <v>1.6386607464080358</v>
      </c>
      <c r="H63" s="1358">
        <f t="shared" si="3"/>
        <v>1.8111513512930923</v>
      </c>
      <c r="I63" s="833">
        <v>1.7340248861756822</v>
      </c>
      <c r="J63" s="1359" t="b">
        <f t="shared" si="11"/>
        <v>1</v>
      </c>
      <c r="K63" s="1583"/>
      <c r="L63" s="17"/>
      <c r="M63" s="1361">
        <f t="shared" si="4"/>
        <v>1.7340248861756822</v>
      </c>
      <c r="N63" s="1350"/>
      <c r="O63" s="1358">
        <f t="shared" si="5"/>
        <v>5.4530285169122391E-3</v>
      </c>
      <c r="P63" s="1358">
        <f t="shared" si="6"/>
        <v>4.3222907787776304E-3</v>
      </c>
      <c r="Q63" s="1358">
        <f t="shared" si="7"/>
        <v>1.1953426283347345E-2</v>
      </c>
      <c r="R63" s="1358">
        <f t="shared" si="8"/>
        <v>0</v>
      </c>
      <c r="S63" s="1358">
        <f t="shared" si="9"/>
        <v>0.11214559643707916</v>
      </c>
      <c r="T63" s="1358">
        <f t="shared" ref="T63:T118" si="15">M63+O63+P63+Q63+R63+S63</f>
        <v>1.8678992281917988</v>
      </c>
      <c r="U63" s="595">
        <f>IF('TAR_Tab 2_Volumina'!C66="storage",1,0)</f>
        <v>0</v>
      </c>
      <c r="V63" s="1362">
        <f t="shared" si="14"/>
        <v>1.8678992281917988</v>
      </c>
      <c r="W63" s="1362">
        <f t="shared" si="12"/>
        <v>1.9679868459180263</v>
      </c>
      <c r="X63" s="1355">
        <f t="shared" si="13"/>
        <v>1.968</v>
      </c>
      <c r="Y63" s="1355">
        <f>X63+'TAR_Tab 13_Overige tarieven'!$T$15+'TAR_Tab 13_Overige tarieven'!$T$16</f>
        <v>2.121</v>
      </c>
      <c r="Z63" s="960"/>
    </row>
    <row r="64" spans="1:26">
      <c r="A64" s="155">
        <v>300140</v>
      </c>
      <c r="B64" s="156" t="s">
        <v>788</v>
      </c>
      <c r="C64" s="839">
        <v>1.2507699835862209</v>
      </c>
      <c r="D64" s="1356">
        <f t="shared" si="0"/>
        <v>1.1927342563478203</v>
      </c>
      <c r="E64" s="1356">
        <f t="shared" si="1"/>
        <v>1.2602935511900319</v>
      </c>
      <c r="F64" s="1357"/>
      <c r="G64" s="1358">
        <f t="shared" si="2"/>
        <v>1.1972788736305302</v>
      </c>
      <c r="H64" s="1358">
        <f t="shared" si="3"/>
        <v>1.3233082287495337</v>
      </c>
      <c r="I64" s="833">
        <v>1.2669561818201787</v>
      </c>
      <c r="J64" s="1359" t="b">
        <f t="shared" ref="J64:J118" si="16">IF(I64&gt;0,AND(I64&gt;=G64,I64&lt;=H64),"")</f>
        <v>1</v>
      </c>
      <c r="K64" s="1583"/>
      <c r="L64" s="17"/>
      <c r="M64" s="1361">
        <f t="shared" ref="M64:M118" si="17">IF(I64&gt;0,I64,E64)</f>
        <v>1.2669561818201787</v>
      </c>
      <c r="N64" s="1350"/>
      <c r="O64" s="1358">
        <f t="shared" si="5"/>
        <v>3.984226664924418E-3</v>
      </c>
      <c r="P64" s="1358">
        <f t="shared" si="6"/>
        <v>3.1580590713862792E-3</v>
      </c>
      <c r="Q64" s="1358">
        <f t="shared" si="7"/>
        <v>8.7337081747535916E-3</v>
      </c>
      <c r="R64" s="1358">
        <f t="shared" si="8"/>
        <v>0</v>
      </c>
      <c r="S64" s="1358">
        <f t="shared" si="9"/>
        <v>8.1938591425425075E-2</v>
      </c>
      <c r="T64" s="1358">
        <f t="shared" si="15"/>
        <v>1.364770767156668</v>
      </c>
      <c r="U64" s="595">
        <f>IF('TAR_Tab 2_Volumina'!C67="storage",1,0)</f>
        <v>0</v>
      </c>
      <c r="V64" s="1362">
        <f t="shared" si="14"/>
        <v>1.364770767156668</v>
      </c>
      <c r="W64" s="1362">
        <f t="shared" si="12"/>
        <v>1.4378992597249409</v>
      </c>
      <c r="X64" s="1355">
        <f t="shared" si="13"/>
        <v>1.4379999999999999</v>
      </c>
      <c r="Y64" s="1355">
        <f>X64+'TAR_Tab 13_Overige tarieven'!$T$15+'TAR_Tab 13_Overige tarieven'!$T$16</f>
        <v>1.591</v>
      </c>
      <c r="Z64" s="960"/>
    </row>
    <row r="65" spans="1:26">
      <c r="A65" s="155">
        <v>300141</v>
      </c>
      <c r="B65" s="156" t="s">
        <v>1046</v>
      </c>
      <c r="C65" s="839">
        <v>2.2335178278325376</v>
      </c>
      <c r="D65" s="1356">
        <f t="shared" si="0"/>
        <v>2.1298826006211078</v>
      </c>
      <c r="E65" s="1356">
        <f t="shared" si="1"/>
        <v>2.2505241985536286</v>
      </c>
      <c r="F65" s="1357"/>
      <c r="G65" s="1358">
        <f t="shared" si="2"/>
        <v>2.1379979886259473</v>
      </c>
      <c r="H65" s="1358">
        <f t="shared" si="3"/>
        <v>2.36305040848131</v>
      </c>
      <c r="I65" s="833">
        <v>2.2624217532503192</v>
      </c>
      <c r="J65" s="1359" t="b">
        <f t="shared" si="16"/>
        <v>1</v>
      </c>
      <c r="K65" s="1583"/>
      <c r="L65" s="17"/>
      <c r="M65" s="1361">
        <f t="shared" si="17"/>
        <v>2.2624217532503192</v>
      </c>
      <c r="N65" s="1350"/>
      <c r="O65" s="1358">
        <f t="shared" si="5"/>
        <v>7.1146904730793187E-3</v>
      </c>
      <c r="P65" s="1358">
        <f t="shared" si="6"/>
        <v>5.6393911989040708E-3</v>
      </c>
      <c r="Q65" s="1358">
        <f t="shared" si="7"/>
        <v>1.5595907454917127E-2</v>
      </c>
      <c r="R65" s="1358">
        <f t="shared" si="8"/>
        <v>0</v>
      </c>
      <c r="S65" s="1358">
        <f t="shared" si="9"/>
        <v>0.14631891325968766</v>
      </c>
      <c r="T65" s="1358">
        <f t="shared" si="15"/>
        <v>2.4370906556369074</v>
      </c>
      <c r="U65" s="595">
        <f>IF('TAR_Tab 2_Volumina'!C68="storage",1,0)</f>
        <v>0</v>
      </c>
      <c r="V65" s="1362">
        <f t="shared" si="14"/>
        <v>2.4370906556369074</v>
      </c>
      <c r="W65" s="1362">
        <f t="shared" si="12"/>
        <v>2.5676772495088236</v>
      </c>
      <c r="X65" s="1355">
        <f t="shared" si="13"/>
        <v>2.5680000000000001</v>
      </c>
      <c r="Y65" s="1355">
        <f>X65+'TAR_Tab 13_Overige tarieven'!$T$15+'TAR_Tab 13_Overige tarieven'!$T$16</f>
        <v>2.7210000000000001</v>
      </c>
      <c r="Z65" s="960"/>
    </row>
    <row r="66" spans="1:26">
      <c r="A66" s="155">
        <v>300142</v>
      </c>
      <c r="B66" s="156" t="s">
        <v>43</v>
      </c>
      <c r="C66" s="839">
        <v>0.36958708449743854</v>
      </c>
      <c r="D66" s="1356">
        <f t="shared" si="0"/>
        <v>0.35243824377675742</v>
      </c>
      <c r="E66" s="1356">
        <f t="shared" si="1"/>
        <v>0.37240118111863729</v>
      </c>
      <c r="F66" s="1357"/>
      <c r="G66" s="1358">
        <f t="shared" si="2"/>
        <v>0.3537811220627054</v>
      </c>
      <c r="H66" s="1358">
        <f t="shared" si="3"/>
        <v>0.39102124017456918</v>
      </c>
      <c r="I66" s="833">
        <v>0.3743699061935859</v>
      </c>
      <c r="J66" s="1359" t="b">
        <f t="shared" si="16"/>
        <v>1</v>
      </c>
      <c r="K66" s="1583"/>
      <c r="L66" s="17"/>
      <c r="M66" s="1361">
        <f t="shared" si="17"/>
        <v>0.3743699061935859</v>
      </c>
      <c r="N66" s="1350"/>
      <c r="O66" s="1358">
        <f t="shared" si="5"/>
        <v>1.1772897786084917E-3</v>
      </c>
      <c r="P66" s="1358">
        <f t="shared" si="6"/>
        <v>9.3316745699141145E-4</v>
      </c>
      <c r="Q66" s="1358">
        <f t="shared" si="7"/>
        <v>2.5807029138192575E-3</v>
      </c>
      <c r="R66" s="1358">
        <f t="shared" si="8"/>
        <v>0</v>
      </c>
      <c r="S66" s="1358">
        <f t="shared" si="9"/>
        <v>2.4211841913507278E-2</v>
      </c>
      <c r="T66" s="1358">
        <f t="shared" si="15"/>
        <v>0.4032729082565123</v>
      </c>
      <c r="U66" s="595">
        <f>IF('TAR_Tab 2_Volumina'!C69="storage",1,0)</f>
        <v>0</v>
      </c>
      <c r="V66" s="1362">
        <f t="shared" si="14"/>
        <v>0.4032729082565123</v>
      </c>
      <c r="W66" s="1362">
        <f t="shared" si="12"/>
        <v>0.42488147475289362</v>
      </c>
      <c r="X66" s="1355">
        <f t="shared" si="13"/>
        <v>0.42499999999999999</v>
      </c>
      <c r="Y66" s="1355">
        <f>X66+'TAR_Tab 13_Overige tarieven'!$T$15+'TAR_Tab 13_Overige tarieven'!$T$16</f>
        <v>0.57799999999999996</v>
      </c>
      <c r="Z66" s="960"/>
    </row>
    <row r="67" spans="1:26">
      <c r="A67" s="155">
        <v>300143</v>
      </c>
      <c r="B67" s="156" t="s">
        <v>44</v>
      </c>
      <c r="C67" s="839">
        <v>1.7118715781505121</v>
      </c>
      <c r="D67" s="1356">
        <f t="shared" si="0"/>
        <v>1.6324407369243283</v>
      </c>
      <c r="E67" s="1356">
        <f t="shared" si="1"/>
        <v>1.7249060488505641</v>
      </c>
      <c r="F67" s="1357"/>
      <c r="G67" s="1358">
        <f t="shared" si="2"/>
        <v>1.6386607464080358</v>
      </c>
      <c r="H67" s="1358">
        <f t="shared" si="3"/>
        <v>1.8111513512930923</v>
      </c>
      <c r="I67" s="833">
        <v>1.7340248861756822</v>
      </c>
      <c r="J67" s="1359" t="b">
        <f t="shared" si="16"/>
        <v>1</v>
      </c>
      <c r="K67" s="1583"/>
      <c r="L67" s="17"/>
      <c r="M67" s="1361">
        <f t="shared" si="17"/>
        <v>1.7340248861756822</v>
      </c>
      <c r="N67" s="1350"/>
      <c r="O67" s="1358">
        <f t="shared" si="5"/>
        <v>5.4530285169122391E-3</v>
      </c>
      <c r="P67" s="1358">
        <f t="shared" si="6"/>
        <v>4.3222907787776304E-3</v>
      </c>
      <c r="Q67" s="1358">
        <f t="shared" si="7"/>
        <v>1.1953426283347345E-2</v>
      </c>
      <c r="R67" s="1358">
        <f t="shared" si="8"/>
        <v>0</v>
      </c>
      <c r="S67" s="1358">
        <f t="shared" si="9"/>
        <v>0.11214559643707916</v>
      </c>
      <c r="T67" s="1358">
        <f t="shared" si="15"/>
        <v>1.8678992281917988</v>
      </c>
      <c r="U67" s="595">
        <f>IF('TAR_Tab 2_Volumina'!C70="storage",1,0)</f>
        <v>0</v>
      </c>
      <c r="V67" s="1362">
        <f t="shared" si="14"/>
        <v>1.8678992281917988</v>
      </c>
      <c r="W67" s="1362">
        <f t="shared" si="12"/>
        <v>1.9679868459180263</v>
      </c>
      <c r="X67" s="1355">
        <f t="shared" si="13"/>
        <v>1.968</v>
      </c>
      <c r="Y67" s="1355">
        <f>X67+'TAR_Tab 13_Overige tarieven'!$T$15+'TAR_Tab 13_Overige tarieven'!$T$16</f>
        <v>2.121</v>
      </c>
      <c r="Z67" s="960"/>
    </row>
    <row r="68" spans="1:26">
      <c r="A68" s="155">
        <v>300144</v>
      </c>
      <c r="B68" s="156" t="s">
        <v>292</v>
      </c>
      <c r="C68" s="839">
        <v>0.67214578087443477</v>
      </c>
      <c r="D68" s="1356">
        <f t="shared" si="0"/>
        <v>0.64095821664186103</v>
      </c>
      <c r="E68" s="1356">
        <f t="shared" si="1"/>
        <v>0.67726360898653937</v>
      </c>
      <c r="F68" s="1357"/>
      <c r="G68" s="1358">
        <f t="shared" si="2"/>
        <v>0.64340042853721235</v>
      </c>
      <c r="H68" s="1358">
        <f t="shared" si="3"/>
        <v>0.71112678943586638</v>
      </c>
      <c r="I68" s="833">
        <v>0.68084401076012357</v>
      </c>
      <c r="J68" s="1359" t="b">
        <f t="shared" si="16"/>
        <v>1</v>
      </c>
      <c r="K68" s="1583"/>
      <c r="L68" s="17"/>
      <c r="M68" s="1361">
        <f t="shared" si="17"/>
        <v>0.68084401076012357</v>
      </c>
      <c r="N68" s="1350"/>
      <c r="O68" s="1358">
        <f t="shared" si="5"/>
        <v>2.1410660457313125E-3</v>
      </c>
      <c r="P68" s="1358">
        <f t="shared" si="6"/>
        <v>1.6970954759390406E-3</v>
      </c>
      <c r="Q68" s="1358">
        <f t="shared" si="7"/>
        <v>4.6933690271473661E-3</v>
      </c>
      <c r="R68" s="1358">
        <f t="shared" si="8"/>
        <v>0</v>
      </c>
      <c r="S68" s="1358">
        <f t="shared" si="9"/>
        <v>4.4032619298620297E-2</v>
      </c>
      <c r="T68" s="1358">
        <f t="shared" si="15"/>
        <v>0.73340816060756153</v>
      </c>
      <c r="U68" s="595">
        <f>IF('TAR_Tab 2_Volumina'!C71="storage",1,0)</f>
        <v>0</v>
      </c>
      <c r="V68" s="1362">
        <f t="shared" si="14"/>
        <v>0.73340816060756153</v>
      </c>
      <c r="W68" s="1362">
        <f t="shared" si="12"/>
        <v>0.7727063596261694</v>
      </c>
      <c r="X68" s="1355">
        <f t="shared" si="13"/>
        <v>0.77300000000000002</v>
      </c>
      <c r="Y68" s="1355">
        <f>X68+'TAR_Tab 13_Overige tarieven'!$T$15+'TAR_Tab 13_Overige tarieven'!$T$16</f>
        <v>0.92600000000000005</v>
      </c>
      <c r="Z68" s="960"/>
    </row>
    <row r="69" spans="1:26">
      <c r="A69" s="155">
        <v>300145</v>
      </c>
      <c r="B69" s="156" t="s">
        <v>1047</v>
      </c>
      <c r="C69" s="839">
        <v>0.70534359224085763</v>
      </c>
      <c r="D69" s="1356">
        <f t="shared" si="0"/>
        <v>0.67261564956088182</v>
      </c>
      <c r="E69" s="1356">
        <f t="shared" si="1"/>
        <v>0.71071419392843616</v>
      </c>
      <c r="F69" s="1357"/>
      <c r="G69" s="1358">
        <f t="shared" si="2"/>
        <v>0.67517848423201432</v>
      </c>
      <c r="H69" s="1358">
        <f t="shared" si="3"/>
        <v>0.74624990362485799</v>
      </c>
      <c r="I69" s="833">
        <v>0.71447143457548734</v>
      </c>
      <c r="J69" s="1359" t="b">
        <f t="shared" si="16"/>
        <v>1</v>
      </c>
      <c r="K69" s="1583"/>
      <c r="L69" s="17"/>
      <c r="M69" s="1361">
        <f t="shared" si="17"/>
        <v>0.71447143457548734</v>
      </c>
      <c r="N69" s="1350"/>
      <c r="O69" s="1358">
        <f t="shared" si="5"/>
        <v>2.2468149899808323E-3</v>
      </c>
      <c r="P69" s="1358">
        <f t="shared" si="6"/>
        <v>1.7809163628420839E-3</v>
      </c>
      <c r="Q69" s="1358">
        <f t="shared" si="7"/>
        <v>4.9251782329323771E-3</v>
      </c>
      <c r="R69" s="1358">
        <f t="shared" si="8"/>
        <v>0</v>
      </c>
      <c r="S69" s="1358">
        <f t="shared" si="9"/>
        <v>4.620742516817939E-2</v>
      </c>
      <c r="T69" s="1358">
        <f t="shared" si="15"/>
        <v>0.76963176932942201</v>
      </c>
      <c r="U69" s="595">
        <f>IF('TAR_Tab 2_Volumina'!C72="storage",1,0)</f>
        <v>0</v>
      </c>
      <c r="V69" s="1362">
        <f t="shared" si="14"/>
        <v>0.76963176932942201</v>
      </c>
      <c r="W69" s="1362">
        <f t="shared" si="12"/>
        <v>0.81087093745797889</v>
      </c>
      <c r="X69" s="1355">
        <f t="shared" si="13"/>
        <v>0.81100000000000005</v>
      </c>
      <c r="Y69" s="1355">
        <f>X69+'TAR_Tab 13_Overige tarieven'!$T$15+'TAR_Tab 13_Overige tarieven'!$T$16</f>
        <v>0.96400000000000008</v>
      </c>
      <c r="Z69" s="960"/>
    </row>
    <row r="70" spans="1:26">
      <c r="A70" s="155">
        <v>300146</v>
      </c>
      <c r="B70" s="156" t="s">
        <v>293</v>
      </c>
      <c r="C70" s="839">
        <v>0.70534359224085763</v>
      </c>
      <c r="D70" s="1356">
        <f t="shared" si="0"/>
        <v>0.67261564956088182</v>
      </c>
      <c r="E70" s="1356">
        <f t="shared" si="1"/>
        <v>0.71071419392843616</v>
      </c>
      <c r="F70" s="1357"/>
      <c r="G70" s="1358">
        <f t="shared" si="2"/>
        <v>0.67517848423201432</v>
      </c>
      <c r="H70" s="1358">
        <f t="shared" si="3"/>
        <v>0.74624990362485799</v>
      </c>
      <c r="I70" s="833">
        <v>0.71447143457548734</v>
      </c>
      <c r="J70" s="1359" t="b">
        <f t="shared" si="16"/>
        <v>1</v>
      </c>
      <c r="K70" s="1583"/>
      <c r="L70" s="17"/>
      <c r="M70" s="1361">
        <f t="shared" si="17"/>
        <v>0.71447143457548734</v>
      </c>
      <c r="N70" s="1350"/>
      <c r="O70" s="1358">
        <f t="shared" si="5"/>
        <v>2.2468149899808323E-3</v>
      </c>
      <c r="P70" s="1358">
        <f t="shared" si="6"/>
        <v>1.7809163628420839E-3</v>
      </c>
      <c r="Q70" s="1358">
        <f t="shared" si="7"/>
        <v>4.9251782329323771E-3</v>
      </c>
      <c r="R70" s="1358">
        <f t="shared" si="8"/>
        <v>0</v>
      </c>
      <c r="S70" s="1358">
        <f t="shared" si="9"/>
        <v>4.620742516817939E-2</v>
      </c>
      <c r="T70" s="1358">
        <f t="shared" si="15"/>
        <v>0.76963176932942201</v>
      </c>
      <c r="U70" s="595">
        <f>IF('TAR_Tab 2_Volumina'!C73="storage",1,0)</f>
        <v>0</v>
      </c>
      <c r="V70" s="1362">
        <f t="shared" si="14"/>
        <v>0.76963176932942201</v>
      </c>
      <c r="W70" s="1362">
        <f t="shared" si="12"/>
        <v>0.81087093745797889</v>
      </c>
      <c r="X70" s="1355">
        <f t="shared" si="13"/>
        <v>0.81100000000000005</v>
      </c>
      <c r="Y70" s="1355">
        <f>X70+'TAR_Tab 13_Overige tarieven'!$T$15+'TAR_Tab 13_Overige tarieven'!$T$16</f>
        <v>0.96400000000000008</v>
      </c>
      <c r="Z70" s="960"/>
    </row>
    <row r="71" spans="1:26">
      <c r="A71" s="155">
        <v>300147</v>
      </c>
      <c r="B71" s="156" t="s">
        <v>1048</v>
      </c>
      <c r="C71" s="839">
        <v>0.70534359224085763</v>
      </c>
      <c r="D71" s="1356">
        <f t="shared" si="0"/>
        <v>0.67261564956088182</v>
      </c>
      <c r="E71" s="1356">
        <f t="shared" si="1"/>
        <v>0.71071419392843616</v>
      </c>
      <c r="F71" s="1357"/>
      <c r="G71" s="1358">
        <f t="shared" si="2"/>
        <v>0.67517848423201432</v>
      </c>
      <c r="H71" s="1358">
        <f t="shared" si="3"/>
        <v>0.74624990362485799</v>
      </c>
      <c r="I71" s="833">
        <v>0.71447143457548734</v>
      </c>
      <c r="J71" s="1359" t="b">
        <f t="shared" si="16"/>
        <v>1</v>
      </c>
      <c r="K71" s="1583"/>
      <c r="L71" s="17"/>
      <c r="M71" s="1361">
        <f t="shared" si="17"/>
        <v>0.71447143457548734</v>
      </c>
      <c r="N71" s="1350"/>
      <c r="O71" s="1358">
        <f t="shared" si="5"/>
        <v>2.2468149899808323E-3</v>
      </c>
      <c r="P71" s="1358">
        <f t="shared" si="6"/>
        <v>1.7809163628420839E-3</v>
      </c>
      <c r="Q71" s="1358">
        <f t="shared" si="7"/>
        <v>4.9251782329323771E-3</v>
      </c>
      <c r="R71" s="1358">
        <f t="shared" si="8"/>
        <v>0</v>
      </c>
      <c r="S71" s="1358">
        <f t="shared" si="9"/>
        <v>4.620742516817939E-2</v>
      </c>
      <c r="T71" s="1358">
        <f t="shared" si="15"/>
        <v>0.76963176932942201</v>
      </c>
      <c r="U71" s="595">
        <f>IF('TAR_Tab 2_Volumina'!C74="storage",1,0)</f>
        <v>0</v>
      </c>
      <c r="V71" s="1362">
        <f t="shared" si="14"/>
        <v>0.76963176932942201</v>
      </c>
      <c r="W71" s="1362">
        <f t="shared" si="12"/>
        <v>0.81087093745797889</v>
      </c>
      <c r="X71" s="1355">
        <f t="shared" si="13"/>
        <v>0.81100000000000005</v>
      </c>
      <c r="Y71" s="1355">
        <f>X71+'TAR_Tab 13_Overige tarieven'!$T$15+'TAR_Tab 13_Overige tarieven'!$T$16</f>
        <v>0.96400000000000008</v>
      </c>
      <c r="Z71" s="960"/>
    </row>
    <row r="72" spans="1:26">
      <c r="A72" s="155">
        <v>300148</v>
      </c>
      <c r="B72" s="156" t="s">
        <v>77</v>
      </c>
      <c r="C72" s="839">
        <v>1.251692459076597</v>
      </c>
      <c r="D72" s="1356">
        <f t="shared" si="0"/>
        <v>1.1936139289754428</v>
      </c>
      <c r="E72" s="1356">
        <f t="shared" si="1"/>
        <v>1.2612230505599469</v>
      </c>
      <c r="F72" s="1357"/>
      <c r="G72" s="1358">
        <f t="shared" si="2"/>
        <v>1.1981618980319495</v>
      </c>
      <c r="H72" s="1358">
        <f t="shared" si="3"/>
        <v>1.3242842030879443</v>
      </c>
      <c r="I72" s="833">
        <v>1.2678905950539843</v>
      </c>
      <c r="J72" s="1359" t="b">
        <f t="shared" si="16"/>
        <v>1</v>
      </c>
      <c r="K72" s="1583"/>
      <c r="L72" s="17"/>
      <c r="M72" s="1361">
        <f t="shared" si="17"/>
        <v>1.2678905950539843</v>
      </c>
      <c r="N72" s="1350"/>
      <c r="O72" s="1358">
        <f t="shared" si="5"/>
        <v>3.9871651360220044E-3</v>
      </c>
      <c r="P72" s="1358">
        <f t="shared" si="6"/>
        <v>3.160388222332292E-3</v>
      </c>
      <c r="Q72" s="1358">
        <f t="shared" si="7"/>
        <v>8.7401495123592549E-3</v>
      </c>
      <c r="R72" s="1358">
        <f t="shared" si="8"/>
        <v>0</v>
      </c>
      <c r="S72" s="1358">
        <f t="shared" si="9"/>
        <v>8.1999023274044597E-2</v>
      </c>
      <c r="T72" s="1358">
        <f t="shared" si="15"/>
        <v>1.3657773211987425</v>
      </c>
      <c r="U72" s="595">
        <f>IF('TAR_Tab 2_Volumina'!C75="storage",1,0)</f>
        <v>0</v>
      </c>
      <c r="V72" s="1362">
        <f t="shared" si="14"/>
        <v>1.3657773211987425</v>
      </c>
      <c r="W72" s="1362">
        <f t="shared" si="12"/>
        <v>1.4389597479379084</v>
      </c>
      <c r="X72" s="1355">
        <f t="shared" si="13"/>
        <v>1.4390000000000001</v>
      </c>
      <c r="Y72" s="1355">
        <f>X72+'TAR_Tab 13_Overige tarieven'!$T$15+'TAR_Tab 13_Overige tarieven'!$T$16</f>
        <v>1.5920000000000001</v>
      </c>
      <c r="Z72" s="960"/>
    </row>
    <row r="73" spans="1:26">
      <c r="A73" s="155">
        <v>300149</v>
      </c>
      <c r="B73" s="156" t="s">
        <v>78</v>
      </c>
      <c r="C73" s="839">
        <v>1.251692459076597</v>
      </c>
      <c r="D73" s="1356">
        <f t="shared" ref="D73:D136" si="18">C73*$D$7</f>
        <v>1.1936139289754428</v>
      </c>
      <c r="E73" s="1356">
        <f t="shared" ref="E73:E136" si="19">D73*$E$7</f>
        <v>1.2612230505599469</v>
      </c>
      <c r="F73" s="1357"/>
      <c r="G73" s="1358">
        <f t="shared" ref="G73:G136" si="20">E73*$G$7</f>
        <v>1.1981618980319495</v>
      </c>
      <c r="H73" s="1358">
        <f t="shared" ref="H73:H136" si="21">E73*$H$7</f>
        <v>1.3242842030879443</v>
      </c>
      <c r="I73" s="833">
        <v>1.2678905950539843</v>
      </c>
      <c r="J73" s="1359" t="b">
        <f t="shared" si="16"/>
        <v>1</v>
      </c>
      <c r="K73" s="1583"/>
      <c r="L73" s="17"/>
      <c r="M73" s="1361">
        <f t="shared" si="17"/>
        <v>1.2678905950539843</v>
      </c>
      <c r="N73" s="1350"/>
      <c r="O73" s="1358">
        <f t="shared" ref="O73:O136" si="22">$O$7*M73</f>
        <v>3.9871651360220044E-3</v>
      </c>
      <c r="P73" s="1358">
        <f t="shared" ref="P73:P136" si="23">$P$7*M73</f>
        <v>3.160388222332292E-3</v>
      </c>
      <c r="Q73" s="1358">
        <f t="shared" ref="Q73:Q136" si="24">$Q$7*M73</f>
        <v>8.7401495123592549E-3</v>
      </c>
      <c r="R73" s="1358">
        <f t="shared" ref="R73:R136" si="25">$R$7*M73</f>
        <v>0</v>
      </c>
      <c r="S73" s="1358">
        <f t="shared" ref="S73:S136" si="26">$S$7*M73</f>
        <v>8.1999023274044597E-2</v>
      </c>
      <c r="T73" s="1358">
        <f t="shared" si="15"/>
        <v>1.3657773211987425</v>
      </c>
      <c r="U73" s="595">
        <f>IF('TAR_Tab 2_Volumina'!C76="storage",1,0)</f>
        <v>0</v>
      </c>
      <c r="V73" s="1362">
        <f t="shared" si="14"/>
        <v>1.3657773211987425</v>
      </c>
      <c r="W73" s="1362">
        <f t="shared" si="12"/>
        <v>1.4389597479379084</v>
      </c>
      <c r="X73" s="1355">
        <f t="shared" si="13"/>
        <v>1.4390000000000001</v>
      </c>
      <c r="Y73" s="1355">
        <f>X73+'TAR_Tab 13_Overige tarieven'!$T$15+'TAR_Tab 13_Overige tarieven'!$T$16</f>
        <v>1.5920000000000001</v>
      </c>
      <c r="Z73" s="960"/>
    </row>
    <row r="74" spans="1:26">
      <c r="A74" s="155">
        <v>300150</v>
      </c>
      <c r="B74" s="156" t="s">
        <v>1049</v>
      </c>
      <c r="C74" s="839">
        <v>1.169431496746256</v>
      </c>
      <c r="D74" s="1356">
        <f t="shared" si="18"/>
        <v>1.1151698752972297</v>
      </c>
      <c r="E74" s="1356">
        <f t="shared" si="19"/>
        <v>1.1783357397832981</v>
      </c>
      <c r="F74" s="1357"/>
      <c r="G74" s="1358">
        <f t="shared" si="20"/>
        <v>1.1194189527941332</v>
      </c>
      <c r="H74" s="1358">
        <f t="shared" si="21"/>
        <v>1.237252526772463</v>
      </c>
      <c r="I74" s="833">
        <v>1.1845650946705493</v>
      </c>
      <c r="J74" s="1359" t="b">
        <f t="shared" si="16"/>
        <v>1</v>
      </c>
      <c r="K74" s="1583"/>
      <c r="L74" s="17"/>
      <c r="M74" s="1361">
        <f t="shared" si="17"/>
        <v>1.1845650946705493</v>
      </c>
      <c r="N74" s="1350"/>
      <c r="O74" s="1358">
        <f t="shared" si="22"/>
        <v>3.7251294908595173E-3</v>
      </c>
      <c r="P74" s="1358">
        <f t="shared" si="23"/>
        <v>2.9526881801843021E-3</v>
      </c>
      <c r="Q74" s="1358">
        <f t="shared" si="24"/>
        <v>8.1657487443557962E-3</v>
      </c>
      <c r="R74" s="1358">
        <f t="shared" si="25"/>
        <v>0</v>
      </c>
      <c r="S74" s="1358">
        <f t="shared" si="26"/>
        <v>7.6610064895524729E-2</v>
      </c>
      <c r="T74" s="1358">
        <f t="shared" si="15"/>
        <v>1.2760187259814737</v>
      </c>
      <c r="U74" s="595">
        <f>IF('TAR_Tab 2_Volumina'!C77="storage",1,0)</f>
        <v>0</v>
      </c>
      <c r="V74" s="1362">
        <f t="shared" si="14"/>
        <v>1.2760187259814737</v>
      </c>
      <c r="W74" s="1362">
        <f t="shared" ref="W74:W137" si="27">IF(U74=0,V74*(1+$W$7),V74)</f>
        <v>1.3443916191921923</v>
      </c>
      <c r="X74" s="1355">
        <f t="shared" ref="X74:X137" si="28">ROUND(W74,3)</f>
        <v>1.3440000000000001</v>
      </c>
      <c r="Y74" s="1355">
        <f>X74+'TAR_Tab 13_Overige tarieven'!$T$15+'TAR_Tab 13_Overige tarieven'!$T$16</f>
        <v>1.4970000000000001</v>
      </c>
      <c r="Z74" s="960"/>
    </row>
    <row r="75" spans="1:26">
      <c r="A75" s="155">
        <v>300151</v>
      </c>
      <c r="B75" s="156" t="s">
        <v>1050</v>
      </c>
      <c r="C75" s="839">
        <v>0.9784282765914557</v>
      </c>
      <c r="D75" s="1356">
        <f t="shared" si="18"/>
        <v>0.93302920455761218</v>
      </c>
      <c r="E75" s="1356">
        <f t="shared" si="19"/>
        <v>0.98587818981281561</v>
      </c>
      <c r="F75" s="1357"/>
      <c r="G75" s="1358">
        <f t="shared" si="20"/>
        <v>0.93658428032217478</v>
      </c>
      <c r="H75" s="1358">
        <f t="shared" si="21"/>
        <v>1.0351720993034563</v>
      </c>
      <c r="I75" s="833">
        <v>0.99109010430594158</v>
      </c>
      <c r="J75" s="1359" t="b">
        <f t="shared" si="16"/>
        <v>1</v>
      </c>
      <c r="K75" s="1583"/>
      <c r="L75" s="17"/>
      <c r="M75" s="1361">
        <f t="shared" si="17"/>
        <v>0.99109010430594158</v>
      </c>
      <c r="N75" s="1350"/>
      <c r="O75" s="1358">
        <f t="shared" si="22"/>
        <v>3.1167041746033371E-3</v>
      </c>
      <c r="P75" s="1358">
        <f t="shared" si="23"/>
        <v>2.4704256858891021E-3</v>
      </c>
      <c r="Q75" s="1358">
        <f t="shared" si="24"/>
        <v>6.8320371849472034E-3</v>
      </c>
      <c r="R75" s="1358">
        <f t="shared" si="25"/>
        <v>0</v>
      </c>
      <c r="S75" s="1358">
        <f t="shared" si="26"/>
        <v>6.4097344713088547E-2</v>
      </c>
      <c r="T75" s="1358">
        <f t="shared" si="15"/>
        <v>1.0676066160644697</v>
      </c>
      <c r="U75" s="595">
        <f>IF('TAR_Tab 2_Volumina'!C78="storage",1,0)</f>
        <v>0</v>
      </c>
      <c r="V75" s="1362">
        <f t="shared" ref="V75:V138" si="29">IF(U75=1,T75*$V$7,T75)</f>
        <v>1.0676066160644697</v>
      </c>
      <c r="W75" s="1362">
        <f t="shared" si="27"/>
        <v>1.1248121661594237</v>
      </c>
      <c r="X75" s="1355">
        <f t="shared" si="28"/>
        <v>1.125</v>
      </c>
      <c r="Y75" s="1355">
        <f>X75+'TAR_Tab 13_Overige tarieven'!$T$15+'TAR_Tab 13_Overige tarieven'!$T$16</f>
        <v>1.278</v>
      </c>
      <c r="Z75" s="960"/>
    </row>
    <row r="76" spans="1:26">
      <c r="A76" s="155">
        <v>300153</v>
      </c>
      <c r="B76" s="156" t="s">
        <v>79</v>
      </c>
      <c r="C76" s="839">
        <v>1.0304990368764013</v>
      </c>
      <c r="D76" s="1356">
        <f t="shared" si="18"/>
        <v>0.98268388156533626</v>
      </c>
      <c r="E76" s="1356">
        <f t="shared" si="19"/>
        <v>1.0383454253987863</v>
      </c>
      <c r="F76" s="1357"/>
      <c r="G76" s="1358">
        <f t="shared" si="20"/>
        <v>0.98642815412884688</v>
      </c>
      <c r="H76" s="1358">
        <f t="shared" si="21"/>
        <v>1.0902626966687257</v>
      </c>
      <c r="I76" s="833">
        <v>1.0438347116284923</v>
      </c>
      <c r="J76" s="1359" t="b">
        <f t="shared" si="16"/>
        <v>1</v>
      </c>
      <c r="K76" s="1583"/>
      <c r="L76" s="17"/>
      <c r="M76" s="1361">
        <f t="shared" si="17"/>
        <v>1.0438347116284923</v>
      </c>
      <c r="N76" s="1350"/>
      <c r="O76" s="1358">
        <f t="shared" si="22"/>
        <v>3.2825713718599666E-3</v>
      </c>
      <c r="P76" s="1358">
        <f t="shared" si="23"/>
        <v>2.601898729717961E-3</v>
      </c>
      <c r="Q76" s="1358">
        <f t="shared" si="24"/>
        <v>7.1956298764366015E-3</v>
      </c>
      <c r="R76" s="1358">
        <f t="shared" si="25"/>
        <v>0</v>
      </c>
      <c r="S76" s="1358">
        <f t="shared" si="26"/>
        <v>6.7508527271184601E-2</v>
      </c>
      <c r="T76" s="1358">
        <f t="shared" si="15"/>
        <v>1.1244233388776916</v>
      </c>
      <c r="U76" s="595">
        <f>IF('TAR_Tab 2_Volumina'!C79="storage",1,0)</f>
        <v>0</v>
      </c>
      <c r="V76" s="1362">
        <f t="shared" si="29"/>
        <v>1.1244233388776916</v>
      </c>
      <c r="W76" s="1362">
        <f t="shared" si="27"/>
        <v>1.1846732986214958</v>
      </c>
      <c r="X76" s="1355">
        <f t="shared" si="28"/>
        <v>1.1850000000000001</v>
      </c>
      <c r="Y76" s="1355">
        <f>X76+'TAR_Tab 13_Overige tarieven'!$T$15+'TAR_Tab 13_Overige tarieven'!$T$16</f>
        <v>1.3380000000000001</v>
      </c>
      <c r="Z76" s="960"/>
    </row>
    <row r="77" spans="1:26">
      <c r="A77" s="155">
        <v>300161</v>
      </c>
      <c r="B77" s="156" t="s">
        <v>294</v>
      </c>
      <c r="C77" s="839">
        <v>0.26060473911373949</v>
      </c>
      <c r="D77" s="1356">
        <f t="shared" si="18"/>
        <v>0.24851267921886197</v>
      </c>
      <c r="E77" s="1356">
        <f t="shared" si="19"/>
        <v>0.26258902629954733</v>
      </c>
      <c r="F77" s="1357"/>
      <c r="G77" s="1358">
        <f t="shared" si="20"/>
        <v>0.24945957498456994</v>
      </c>
      <c r="H77" s="1358">
        <f t="shared" si="21"/>
        <v>0.27571847761452473</v>
      </c>
      <c r="I77" s="833">
        <v>0.26397722168316395</v>
      </c>
      <c r="J77" s="1359" t="b">
        <f t="shared" si="16"/>
        <v>1</v>
      </c>
      <c r="K77" s="1583"/>
      <c r="L77" s="17"/>
      <c r="M77" s="1361">
        <f t="shared" si="17"/>
        <v>0.26397722168316395</v>
      </c>
      <c r="N77" s="1350"/>
      <c r="O77" s="1358">
        <f t="shared" si="22"/>
        <v>8.3013532800458136E-4</v>
      </c>
      <c r="P77" s="1358">
        <f t="shared" si="23"/>
        <v>6.5799880969694417E-4</v>
      </c>
      <c r="Q77" s="1358">
        <f t="shared" si="24"/>
        <v>1.8197156713429365E-3</v>
      </c>
      <c r="R77" s="1358">
        <f t="shared" si="25"/>
        <v>0</v>
      </c>
      <c r="S77" s="1358">
        <f t="shared" si="26"/>
        <v>1.7072351848854712E-2</v>
      </c>
      <c r="T77" s="1358">
        <f t="shared" si="15"/>
        <v>0.28435742334106312</v>
      </c>
      <c r="U77" s="595">
        <f>IF('TAR_Tab 2_Volumina'!C80="storage",1,0)</f>
        <v>0</v>
      </c>
      <c r="V77" s="1362">
        <f t="shared" si="29"/>
        <v>0.28435742334106312</v>
      </c>
      <c r="W77" s="1362">
        <f t="shared" si="27"/>
        <v>0.29959414310379168</v>
      </c>
      <c r="X77" s="1355">
        <f t="shared" si="28"/>
        <v>0.3</v>
      </c>
      <c r="Y77" s="1355">
        <f>X77+'TAR_Tab 13_Overige tarieven'!$T$15+'TAR_Tab 13_Overige tarieven'!$T$16</f>
        <v>0.45299999999999996</v>
      </c>
      <c r="Z77" s="960"/>
    </row>
    <row r="78" spans="1:26">
      <c r="A78" s="155">
        <v>300162</v>
      </c>
      <c r="B78" s="156" t="s">
        <v>295</v>
      </c>
      <c r="C78" s="839">
        <v>1.8834615235947534</v>
      </c>
      <c r="D78" s="1356">
        <f t="shared" si="18"/>
        <v>1.7960689088999569</v>
      </c>
      <c r="E78" s="1356">
        <f t="shared" si="19"/>
        <v>1.8978025082558192</v>
      </c>
      <c r="F78" s="1357"/>
      <c r="G78" s="1358">
        <f t="shared" si="20"/>
        <v>1.8029123828430282</v>
      </c>
      <c r="H78" s="1358">
        <f t="shared" si="21"/>
        <v>1.9926926336686102</v>
      </c>
      <c r="I78" s="833">
        <v>1.9078353748919574</v>
      </c>
      <c r="J78" s="1359" t="b">
        <f t="shared" si="16"/>
        <v>1</v>
      </c>
      <c r="K78" s="1583"/>
      <c r="L78" s="17"/>
      <c r="M78" s="1361">
        <f t="shared" si="17"/>
        <v>1.9078353748919574</v>
      </c>
      <c r="N78" s="1350"/>
      <c r="O78" s="1358">
        <f t="shared" si="22"/>
        <v>5.9996144160331102E-3</v>
      </c>
      <c r="P78" s="1358">
        <f t="shared" si="23"/>
        <v>4.7555368519006415E-3</v>
      </c>
      <c r="Q78" s="1358">
        <f t="shared" si="24"/>
        <v>1.3151581442887585E-2</v>
      </c>
      <c r="R78" s="1358">
        <f t="shared" si="25"/>
        <v>0</v>
      </c>
      <c r="S78" s="1358">
        <f t="shared" si="26"/>
        <v>0.12338654290763176</v>
      </c>
      <c r="T78" s="1358">
        <f t="shared" si="15"/>
        <v>2.0551286505104103</v>
      </c>
      <c r="U78" s="595">
        <f>IF('TAR_Tab 2_Volumina'!C81="storage",1,0)</f>
        <v>0</v>
      </c>
      <c r="V78" s="1362">
        <f t="shared" si="29"/>
        <v>2.0551286505104103</v>
      </c>
      <c r="W78" s="1362">
        <f t="shared" si="27"/>
        <v>2.1652485797046754</v>
      </c>
      <c r="X78" s="1355">
        <f t="shared" si="28"/>
        <v>2.165</v>
      </c>
      <c r="Y78" s="1355">
        <f>X78+'TAR_Tab 13_Overige tarieven'!$T$15+'TAR_Tab 13_Overige tarieven'!$T$16</f>
        <v>2.3180000000000001</v>
      </c>
      <c r="Z78" s="960"/>
    </row>
    <row r="79" spans="1:26">
      <c r="A79" s="155">
        <v>300163</v>
      </c>
      <c r="B79" s="156" t="s">
        <v>80</v>
      </c>
      <c r="C79" s="839">
        <v>0.78082707817790864</v>
      </c>
      <c r="D79" s="1356">
        <f t="shared" si="18"/>
        <v>0.74459670175045367</v>
      </c>
      <c r="E79" s="1356">
        <f t="shared" si="19"/>
        <v>0.78677242349599197</v>
      </c>
      <c r="F79" s="1357"/>
      <c r="G79" s="1358">
        <f t="shared" si="20"/>
        <v>0.74743380232119239</v>
      </c>
      <c r="H79" s="1358">
        <f t="shared" si="21"/>
        <v>0.82611104467079155</v>
      </c>
      <c r="I79" s="833">
        <v>0.7909317513309948</v>
      </c>
      <c r="J79" s="1359" t="b">
        <f t="shared" si="16"/>
        <v>1</v>
      </c>
      <c r="K79" s="1583"/>
      <c r="L79" s="17"/>
      <c r="M79" s="1361">
        <f t="shared" si="17"/>
        <v>0.7909317513309948</v>
      </c>
      <c r="N79" s="1350"/>
      <c r="O79" s="1358">
        <f t="shared" si="22"/>
        <v>2.4872615320137262E-3</v>
      </c>
      <c r="P79" s="1358">
        <f t="shared" si="23"/>
        <v>1.9715040093571316E-3</v>
      </c>
      <c r="Q79" s="1358">
        <f t="shared" si="24"/>
        <v>5.4522541516373573E-3</v>
      </c>
      <c r="R79" s="1358">
        <f t="shared" si="25"/>
        <v>0</v>
      </c>
      <c r="S79" s="1358">
        <f t="shared" si="26"/>
        <v>5.1152387547136642E-2</v>
      </c>
      <c r="T79" s="1358">
        <f t="shared" si="15"/>
        <v>0.85199515857113961</v>
      </c>
      <c r="U79" s="595">
        <f>IF('TAR_Tab 2_Volumina'!C82="storage",1,0)</f>
        <v>0</v>
      </c>
      <c r="V79" s="1362">
        <f t="shared" si="29"/>
        <v>0.85199515857113961</v>
      </c>
      <c r="W79" s="1362">
        <f t="shared" si="27"/>
        <v>0.89764760301173918</v>
      </c>
      <c r="X79" s="1355">
        <f t="shared" si="28"/>
        <v>0.89800000000000002</v>
      </c>
      <c r="Y79" s="1355">
        <f>X79+'TAR_Tab 13_Overige tarieven'!$T$15+'TAR_Tab 13_Overige tarieven'!$T$16</f>
        <v>1.0510000000000002</v>
      </c>
      <c r="Z79" s="960"/>
    </row>
    <row r="80" spans="1:26">
      <c r="A80" s="155">
        <v>300164</v>
      </c>
      <c r="B80" s="156" t="s">
        <v>296</v>
      </c>
      <c r="C80" s="839">
        <v>0.78082707817790864</v>
      </c>
      <c r="D80" s="1356">
        <f t="shared" si="18"/>
        <v>0.74459670175045367</v>
      </c>
      <c r="E80" s="1356">
        <f t="shared" si="19"/>
        <v>0.78677242349599197</v>
      </c>
      <c r="F80" s="1357"/>
      <c r="G80" s="1358">
        <f t="shared" si="20"/>
        <v>0.74743380232119239</v>
      </c>
      <c r="H80" s="1358">
        <f t="shared" si="21"/>
        <v>0.82611104467079155</v>
      </c>
      <c r="I80" s="833">
        <v>0.7909317513309948</v>
      </c>
      <c r="J80" s="1359" t="b">
        <f t="shared" si="16"/>
        <v>1</v>
      </c>
      <c r="K80" s="1583"/>
      <c r="L80" s="17"/>
      <c r="M80" s="1361">
        <f t="shared" si="17"/>
        <v>0.7909317513309948</v>
      </c>
      <c r="N80" s="1350"/>
      <c r="O80" s="1358">
        <f t="shared" si="22"/>
        <v>2.4872615320137262E-3</v>
      </c>
      <c r="P80" s="1358">
        <f t="shared" si="23"/>
        <v>1.9715040093571316E-3</v>
      </c>
      <c r="Q80" s="1358">
        <f t="shared" si="24"/>
        <v>5.4522541516373573E-3</v>
      </c>
      <c r="R80" s="1358">
        <f t="shared" si="25"/>
        <v>0</v>
      </c>
      <c r="S80" s="1358">
        <f t="shared" si="26"/>
        <v>5.1152387547136642E-2</v>
      </c>
      <c r="T80" s="1358">
        <f t="shared" si="15"/>
        <v>0.85199515857113961</v>
      </c>
      <c r="U80" s="595">
        <f>IF('TAR_Tab 2_Volumina'!C83="storage",1,0)</f>
        <v>0</v>
      </c>
      <c r="V80" s="1362">
        <f t="shared" si="29"/>
        <v>0.85199515857113961</v>
      </c>
      <c r="W80" s="1362">
        <f t="shared" si="27"/>
        <v>0.89764760301173918</v>
      </c>
      <c r="X80" s="1355">
        <f t="shared" si="28"/>
        <v>0.89800000000000002</v>
      </c>
      <c r="Y80" s="1355">
        <f>X80+'TAR_Tab 13_Overige tarieven'!$T$15+'TAR_Tab 13_Overige tarieven'!$T$16</f>
        <v>1.0510000000000002</v>
      </c>
      <c r="Z80" s="960"/>
    </row>
    <row r="81" spans="1:26">
      <c r="A81" s="155">
        <v>300167</v>
      </c>
      <c r="B81" s="156" t="s">
        <v>81</v>
      </c>
      <c r="C81" s="839">
        <v>1.1354480173536294</v>
      </c>
      <c r="D81" s="1356">
        <f t="shared" si="18"/>
        <v>1.0827632293484211</v>
      </c>
      <c r="E81" s="1356">
        <f t="shared" si="19"/>
        <v>1.1440935046101079</v>
      </c>
      <c r="F81" s="1357"/>
      <c r="G81" s="1358">
        <f t="shared" si="20"/>
        <v>1.0868888293796024</v>
      </c>
      <c r="H81" s="1358">
        <f t="shared" si="21"/>
        <v>1.2012981798406135</v>
      </c>
      <c r="I81" s="833">
        <v>1.1501418355091826</v>
      </c>
      <c r="J81" s="1359" t="b">
        <f t="shared" si="16"/>
        <v>1</v>
      </c>
      <c r="K81" s="1583"/>
      <c r="L81" s="17"/>
      <c r="M81" s="1361">
        <f t="shared" si="17"/>
        <v>1.1501418355091826</v>
      </c>
      <c r="N81" s="1350"/>
      <c r="O81" s="1358">
        <f t="shared" si="22"/>
        <v>3.6168778646294107E-3</v>
      </c>
      <c r="P81" s="1358">
        <f t="shared" si="23"/>
        <v>2.8668835664011675E-3</v>
      </c>
      <c r="Q81" s="1358">
        <f t="shared" si="24"/>
        <v>7.9284534816993005E-3</v>
      </c>
      <c r="R81" s="1358">
        <f t="shared" si="25"/>
        <v>0</v>
      </c>
      <c r="S81" s="1358">
        <f t="shared" si="26"/>
        <v>7.4383789505398354E-2</v>
      </c>
      <c r="T81" s="1358">
        <f t="shared" si="15"/>
        <v>1.2389378399273108</v>
      </c>
      <c r="U81" s="595">
        <f>IF('TAR_Tab 2_Volumina'!C84="storage",1,0)</f>
        <v>0</v>
      </c>
      <c r="V81" s="1362">
        <f t="shared" si="29"/>
        <v>1.2389378399273108</v>
      </c>
      <c r="W81" s="1362">
        <f t="shared" si="27"/>
        <v>1.3053238285489999</v>
      </c>
      <c r="X81" s="1355">
        <f t="shared" si="28"/>
        <v>1.3049999999999999</v>
      </c>
      <c r="Y81" s="1355">
        <f>X81+'TAR_Tab 13_Overige tarieven'!$T$15+'TAR_Tab 13_Overige tarieven'!$T$16</f>
        <v>1.458</v>
      </c>
      <c r="Z81" s="960"/>
    </row>
    <row r="82" spans="1:26">
      <c r="A82" s="155">
        <v>300168</v>
      </c>
      <c r="B82" s="156" t="s">
        <v>297</v>
      </c>
      <c r="C82" s="839">
        <v>0.33464017636196092</v>
      </c>
      <c r="D82" s="1356">
        <f t="shared" si="18"/>
        <v>0.31911287217876594</v>
      </c>
      <c r="E82" s="1356">
        <f t="shared" si="19"/>
        <v>0.33718818149828239</v>
      </c>
      <c r="F82" s="1357"/>
      <c r="G82" s="1358">
        <f t="shared" si="20"/>
        <v>0.32032877242336827</v>
      </c>
      <c r="H82" s="1358">
        <f t="shared" si="21"/>
        <v>0.35404759057319651</v>
      </c>
      <c r="I82" s="833">
        <v>0.33897075057042647</v>
      </c>
      <c r="J82" s="1359" t="b">
        <f t="shared" si="16"/>
        <v>1</v>
      </c>
      <c r="K82" s="1583"/>
      <c r="L82" s="17"/>
      <c r="M82" s="1361">
        <f t="shared" si="17"/>
        <v>0.33897075057042647</v>
      </c>
      <c r="N82" s="1350"/>
      <c r="O82" s="1358">
        <f t="shared" si="22"/>
        <v>1.065969228005883E-3</v>
      </c>
      <c r="P82" s="1358">
        <f t="shared" si="23"/>
        <v>8.4493028972448521E-4</v>
      </c>
      <c r="Q82" s="1358">
        <f t="shared" si="24"/>
        <v>2.3366803507017253E-3</v>
      </c>
      <c r="R82" s="1358">
        <f t="shared" si="25"/>
        <v>0</v>
      </c>
      <c r="S82" s="1358">
        <f t="shared" si="26"/>
        <v>2.1922451805915712E-2</v>
      </c>
      <c r="T82" s="1358">
        <f t="shared" si="15"/>
        <v>0.36514078224477431</v>
      </c>
      <c r="U82" s="595">
        <f>IF('TAR_Tab 2_Volumina'!C85="storage",1,0)</f>
        <v>0</v>
      </c>
      <c r="V82" s="1362">
        <f t="shared" si="29"/>
        <v>0.36514078224477431</v>
      </c>
      <c r="W82" s="1362">
        <f t="shared" si="27"/>
        <v>0.38470611557645984</v>
      </c>
      <c r="X82" s="1355">
        <f t="shared" si="28"/>
        <v>0.38500000000000001</v>
      </c>
      <c r="Y82" s="1355">
        <f>X82+'TAR_Tab 13_Overige tarieven'!$T$15+'TAR_Tab 13_Overige tarieven'!$T$16</f>
        <v>0.53800000000000003</v>
      </c>
      <c r="Z82" s="960"/>
    </row>
    <row r="83" spans="1:26">
      <c r="A83" s="155">
        <v>300171</v>
      </c>
      <c r="B83" s="156" t="s">
        <v>82</v>
      </c>
      <c r="C83" s="839">
        <v>1.5462483123644943</v>
      </c>
      <c r="D83" s="1356">
        <f t="shared" si="18"/>
        <v>1.4745023906707817</v>
      </c>
      <c r="E83" s="1356">
        <f t="shared" si="19"/>
        <v>1.5580217003801389</v>
      </c>
      <c r="F83" s="1357"/>
      <c r="G83" s="1358">
        <f t="shared" si="20"/>
        <v>1.4801206153611319</v>
      </c>
      <c r="H83" s="1358">
        <f t="shared" si="21"/>
        <v>1.6359227853991458</v>
      </c>
      <c r="I83" s="833">
        <v>1.566258291842171</v>
      </c>
      <c r="J83" s="1359" t="b">
        <f t="shared" si="16"/>
        <v>1</v>
      </c>
      <c r="K83" s="1583"/>
      <c r="L83" s="17"/>
      <c r="M83" s="1361">
        <f t="shared" si="17"/>
        <v>1.566258291842171</v>
      </c>
      <c r="N83" s="1350"/>
      <c r="O83" s="1358">
        <f t="shared" si="22"/>
        <v>4.9254489934698071E-3</v>
      </c>
      <c r="P83" s="1358">
        <f t="shared" si="23"/>
        <v>3.904109927132578E-3</v>
      </c>
      <c r="Q83" s="1358">
        <f t="shared" si="24"/>
        <v>1.0796934450870444E-2</v>
      </c>
      <c r="R83" s="1358">
        <f t="shared" si="25"/>
        <v>0</v>
      </c>
      <c r="S83" s="1358">
        <f t="shared" si="26"/>
        <v>0.10129553025074939</v>
      </c>
      <c r="T83" s="1358">
        <f t="shared" si="15"/>
        <v>1.6871803154643934</v>
      </c>
      <c r="U83" s="595">
        <f>IF('TAR_Tab 2_Volumina'!C86="storage",1,0)</f>
        <v>0</v>
      </c>
      <c r="V83" s="1362">
        <f t="shared" si="29"/>
        <v>1.6871803154643934</v>
      </c>
      <c r="W83" s="1362">
        <f t="shared" si="27"/>
        <v>1.7775844742652325</v>
      </c>
      <c r="X83" s="1355">
        <f t="shared" si="28"/>
        <v>1.778</v>
      </c>
      <c r="Y83" s="1355">
        <f>X83+'TAR_Tab 13_Overige tarieven'!$T$15+'TAR_Tab 13_Overige tarieven'!$T$16</f>
        <v>1.931</v>
      </c>
      <c r="Z83" s="960"/>
    </row>
    <row r="84" spans="1:26">
      <c r="A84" s="155">
        <v>300178</v>
      </c>
      <c r="B84" s="156" t="s">
        <v>83</v>
      </c>
      <c r="C84" s="839">
        <v>1.1490299860923967</v>
      </c>
      <c r="D84" s="1356">
        <f t="shared" si="18"/>
        <v>1.0957149947377094</v>
      </c>
      <c r="E84" s="1356">
        <f t="shared" si="19"/>
        <v>1.1577788886843676</v>
      </c>
      <c r="F84" s="1357"/>
      <c r="G84" s="1358">
        <f t="shared" si="20"/>
        <v>1.0998899442501493</v>
      </c>
      <c r="H84" s="1358">
        <f t="shared" si="21"/>
        <v>1.2156678331185859</v>
      </c>
      <c r="I84" s="833">
        <v>1.1638995683303135</v>
      </c>
      <c r="J84" s="1359" t="b">
        <f t="shared" si="16"/>
        <v>1</v>
      </c>
      <c r="K84" s="1583"/>
      <c r="L84" s="17"/>
      <c r="M84" s="1361">
        <f t="shared" si="17"/>
        <v>1.1638995683303135</v>
      </c>
      <c r="N84" s="1350"/>
      <c r="O84" s="1358">
        <f t="shared" si="22"/>
        <v>3.660142128020199E-3</v>
      </c>
      <c r="P84" s="1358">
        <f t="shared" si="23"/>
        <v>2.9011765700274351E-3</v>
      </c>
      <c r="Q84" s="1358">
        <f t="shared" si="24"/>
        <v>8.0232918236483996E-3</v>
      </c>
      <c r="R84" s="1358">
        <f t="shared" si="25"/>
        <v>0</v>
      </c>
      <c r="S84" s="1358">
        <f t="shared" si="26"/>
        <v>7.5273551333586666E-2</v>
      </c>
      <c r="T84" s="1358">
        <f t="shared" si="15"/>
        <v>1.2537577301855964</v>
      </c>
      <c r="U84" s="595">
        <f>IF('TAR_Tab 2_Volumina'!C87="storage",1,0)</f>
        <v>0</v>
      </c>
      <c r="V84" s="1362">
        <f t="shared" si="29"/>
        <v>1.2537577301855964</v>
      </c>
      <c r="W84" s="1362">
        <f t="shared" si="27"/>
        <v>1.3209378127758087</v>
      </c>
      <c r="X84" s="1355">
        <f t="shared" si="28"/>
        <v>1.321</v>
      </c>
      <c r="Y84" s="1355">
        <f>X84+'TAR_Tab 13_Overige tarieven'!$T$15+'TAR_Tab 13_Overige tarieven'!$T$16</f>
        <v>1.474</v>
      </c>
      <c r="Z84" s="960"/>
    </row>
    <row r="85" spans="1:26">
      <c r="A85" s="155">
        <v>300179</v>
      </c>
      <c r="B85" s="156" t="s">
        <v>84</v>
      </c>
      <c r="C85" s="839">
        <v>1.3256725650487466</v>
      </c>
      <c r="D85" s="1356">
        <f t="shared" si="18"/>
        <v>1.2641613580304849</v>
      </c>
      <c r="E85" s="1356">
        <f t="shared" si="19"/>
        <v>1.3357664531812077</v>
      </c>
      <c r="F85" s="1357"/>
      <c r="G85" s="1358">
        <f t="shared" si="20"/>
        <v>1.2689781305221473</v>
      </c>
      <c r="H85" s="1358">
        <f t="shared" si="21"/>
        <v>1.4025547758402681</v>
      </c>
      <c r="I85" s="833">
        <v>1.3428280766238445</v>
      </c>
      <c r="J85" s="1359" t="b">
        <f t="shared" si="16"/>
        <v>1</v>
      </c>
      <c r="K85" s="1583"/>
      <c r="L85" s="17"/>
      <c r="M85" s="1361">
        <f t="shared" si="17"/>
        <v>1.3428280766238445</v>
      </c>
      <c r="N85" s="1350"/>
      <c r="O85" s="1358">
        <f t="shared" si="22"/>
        <v>4.2228227827166044E-3</v>
      </c>
      <c r="P85" s="1358">
        <f t="shared" si="23"/>
        <v>3.3471799968659188E-3</v>
      </c>
      <c r="Q85" s="1358">
        <f t="shared" si="24"/>
        <v>9.2567278319360766E-3</v>
      </c>
      <c r="R85" s="1358">
        <f t="shared" si="25"/>
        <v>0</v>
      </c>
      <c r="S85" s="1358">
        <f t="shared" si="26"/>
        <v>8.6845498450464381E-2</v>
      </c>
      <c r="T85" s="1358">
        <f t="shared" si="15"/>
        <v>1.4465003056858272</v>
      </c>
      <c r="U85" s="595">
        <f>IF('TAR_Tab 2_Volumina'!C88="storage",1,0)</f>
        <v>0</v>
      </c>
      <c r="V85" s="1362">
        <f t="shared" si="29"/>
        <v>1.4465003056858272</v>
      </c>
      <c r="W85" s="1362">
        <f t="shared" si="27"/>
        <v>1.5240081109524444</v>
      </c>
      <c r="X85" s="1355">
        <f t="shared" si="28"/>
        <v>1.524</v>
      </c>
      <c r="Y85" s="1355">
        <f>X85+'TAR_Tab 13_Overige tarieven'!$T$15+'TAR_Tab 13_Overige tarieven'!$T$16</f>
        <v>1.677</v>
      </c>
      <c r="Z85" s="960"/>
    </row>
    <row r="86" spans="1:26">
      <c r="A86" s="155">
        <v>300183</v>
      </c>
      <c r="B86" s="156" t="s">
        <v>38</v>
      </c>
      <c r="C86" s="839">
        <v>0.66656008186439808</v>
      </c>
      <c r="D86" s="1356">
        <f t="shared" si="18"/>
        <v>0.63563169406589004</v>
      </c>
      <c r="E86" s="1356">
        <f t="shared" si="19"/>
        <v>0.67163537954897823</v>
      </c>
      <c r="F86" s="1357"/>
      <c r="G86" s="1358">
        <f t="shared" si="20"/>
        <v>0.63805361057152932</v>
      </c>
      <c r="H86" s="1358">
        <f t="shared" si="21"/>
        <v>0.70521714852642714</v>
      </c>
      <c r="I86" s="833">
        <v>0.67518602729120292</v>
      </c>
      <c r="J86" s="1359" t="b">
        <f t="shared" si="16"/>
        <v>1</v>
      </c>
      <c r="K86" s="1583"/>
      <c r="L86" s="17"/>
      <c r="M86" s="1361">
        <f t="shared" si="17"/>
        <v>0.67518602729120292</v>
      </c>
      <c r="N86" s="1350"/>
      <c r="O86" s="1358">
        <f t="shared" si="22"/>
        <v>2.1232732531075065E-3</v>
      </c>
      <c r="P86" s="1358">
        <f t="shared" si="23"/>
        <v>1.6829921894353922E-3</v>
      </c>
      <c r="Q86" s="1358">
        <f t="shared" si="24"/>
        <v>4.65436596043977E-3</v>
      </c>
      <c r="R86" s="1358">
        <f t="shared" si="25"/>
        <v>0</v>
      </c>
      <c r="S86" s="1358">
        <f t="shared" si="26"/>
        <v>4.3666697254587446E-2</v>
      </c>
      <c r="T86" s="1358">
        <f t="shared" si="15"/>
        <v>0.727313355948773</v>
      </c>
      <c r="U86" s="595">
        <f>IF('TAR_Tab 2_Volumina'!C89="storage",1,0)</f>
        <v>0</v>
      </c>
      <c r="V86" s="1362">
        <f t="shared" si="29"/>
        <v>0.727313355948773</v>
      </c>
      <c r="W86" s="1362">
        <f t="shared" si="27"/>
        <v>0.76628497713620125</v>
      </c>
      <c r="X86" s="1355">
        <f t="shared" si="28"/>
        <v>0.76600000000000001</v>
      </c>
      <c r="Y86" s="1355">
        <f>X86+'TAR_Tab 13_Overige tarieven'!$T$15+'TAR_Tab 13_Overige tarieven'!$T$16</f>
        <v>0.91900000000000004</v>
      </c>
      <c r="Z86" s="960"/>
    </row>
    <row r="87" spans="1:26">
      <c r="A87" s="155">
        <v>300189</v>
      </c>
      <c r="B87" s="156" t="s">
        <v>85</v>
      </c>
      <c r="C87" s="839">
        <v>1.2472664262092286</v>
      </c>
      <c r="D87" s="1356">
        <f t="shared" si="18"/>
        <v>1.1893932640331204</v>
      </c>
      <c r="E87" s="1356">
        <f t="shared" si="19"/>
        <v>1.256763317153085</v>
      </c>
      <c r="F87" s="1357"/>
      <c r="G87" s="1358">
        <f t="shared" si="20"/>
        <v>1.1939251512954308</v>
      </c>
      <c r="H87" s="1358">
        <f t="shared" si="21"/>
        <v>1.3196014830107392</v>
      </c>
      <c r="I87" s="833">
        <v>1.263407284952335</v>
      </c>
      <c r="J87" s="1359" t="b">
        <f t="shared" si="16"/>
        <v>1</v>
      </c>
      <c r="K87" s="1583"/>
      <c r="L87" s="17"/>
      <c r="M87" s="1361">
        <f t="shared" si="17"/>
        <v>1.263407284952335</v>
      </c>
      <c r="N87" s="1350"/>
      <c r="O87" s="1358">
        <f t="shared" si="22"/>
        <v>3.9730663661431166E-3</v>
      </c>
      <c r="P87" s="1358">
        <f t="shared" si="23"/>
        <v>3.1492129675448613E-3</v>
      </c>
      <c r="Q87" s="1358">
        <f t="shared" si="24"/>
        <v>8.7092440061968587E-3</v>
      </c>
      <c r="R87" s="1358">
        <f t="shared" si="25"/>
        <v>0</v>
      </c>
      <c r="S87" s="1358">
        <f t="shared" si="26"/>
        <v>8.1709071561488322E-2</v>
      </c>
      <c r="T87" s="1358">
        <f t="shared" si="15"/>
        <v>1.360947879853708</v>
      </c>
      <c r="U87" s="595">
        <f>IF('TAR_Tab 2_Volumina'!C90="storage",1,0)</f>
        <v>0</v>
      </c>
      <c r="V87" s="1362">
        <f t="shared" si="29"/>
        <v>1.360947879853708</v>
      </c>
      <c r="W87" s="1362">
        <f t="shared" si="27"/>
        <v>1.4338715307061036</v>
      </c>
      <c r="X87" s="1355">
        <f t="shared" si="28"/>
        <v>1.4339999999999999</v>
      </c>
      <c r="Y87" s="1355">
        <f>X87+'TAR_Tab 13_Overige tarieven'!$T$15+'TAR_Tab 13_Overige tarieven'!$T$16</f>
        <v>1.587</v>
      </c>
      <c r="Z87" s="960"/>
    </row>
    <row r="88" spans="1:26">
      <c r="A88" s="155">
        <v>300191</v>
      </c>
      <c r="B88" s="156" t="s">
        <v>86</v>
      </c>
      <c r="C88" s="839">
        <v>1.0177404773722174</v>
      </c>
      <c r="D88" s="1356">
        <f t="shared" si="18"/>
        <v>0.97051731922214657</v>
      </c>
      <c r="E88" s="1356">
        <f t="shared" si="19"/>
        <v>1.0254897201319444</v>
      </c>
      <c r="F88" s="1357"/>
      <c r="G88" s="1358">
        <f t="shared" si="20"/>
        <v>0.97421523412534716</v>
      </c>
      <c r="H88" s="1358">
        <f t="shared" si="21"/>
        <v>1.0767642061385416</v>
      </c>
      <c r="I88" s="833">
        <v>1.0309110437702351</v>
      </c>
      <c r="J88" s="1359" t="b">
        <f t="shared" si="16"/>
        <v>1</v>
      </c>
      <c r="K88" s="1583"/>
      <c r="L88" s="17"/>
      <c r="M88" s="1361">
        <f t="shared" si="17"/>
        <v>1.0309110437702351</v>
      </c>
      <c r="N88" s="1350"/>
      <c r="O88" s="1358">
        <f t="shared" si="22"/>
        <v>3.241930012017892E-3</v>
      </c>
      <c r="P88" s="1358">
        <f t="shared" si="23"/>
        <v>2.5696847454452633E-3</v>
      </c>
      <c r="Q88" s="1358">
        <f t="shared" si="24"/>
        <v>7.1065411255854839E-3</v>
      </c>
      <c r="R88" s="1358">
        <f t="shared" si="25"/>
        <v>0</v>
      </c>
      <c r="S88" s="1358">
        <f t="shared" si="26"/>
        <v>6.6672707409731857E-2</v>
      </c>
      <c r="T88" s="1358">
        <f t="shared" si="15"/>
        <v>1.1105019070630155</v>
      </c>
      <c r="U88" s="595">
        <f>IF('TAR_Tab 2_Volumina'!C91="storage",1,0)</f>
        <v>0</v>
      </c>
      <c r="V88" s="1362">
        <f t="shared" si="29"/>
        <v>1.1105019070630155</v>
      </c>
      <c r="W88" s="1362">
        <f t="shared" si="27"/>
        <v>1.1700059149242774</v>
      </c>
      <c r="X88" s="1355">
        <f t="shared" si="28"/>
        <v>1.17</v>
      </c>
      <c r="Y88" s="1355">
        <f>X88+'TAR_Tab 13_Overige tarieven'!$T$15+'TAR_Tab 13_Overige tarieven'!$T$16</f>
        <v>1.323</v>
      </c>
      <c r="Z88" s="960"/>
    </row>
    <row r="89" spans="1:26">
      <c r="A89" s="155">
        <v>300192</v>
      </c>
      <c r="B89" s="156" t="s">
        <v>1051</v>
      </c>
      <c r="C89" s="839">
        <v>0.33883527982647926</v>
      </c>
      <c r="D89" s="1356">
        <f t="shared" si="18"/>
        <v>0.32311332284253064</v>
      </c>
      <c r="E89" s="1356">
        <f t="shared" si="19"/>
        <v>0.34141522716798123</v>
      </c>
      <c r="F89" s="1357"/>
      <c r="G89" s="1358">
        <f t="shared" si="20"/>
        <v>0.32434446580958215</v>
      </c>
      <c r="H89" s="1358">
        <f t="shared" si="21"/>
        <v>0.35848598852638031</v>
      </c>
      <c r="I89" s="833">
        <v>0.34322014281480018</v>
      </c>
      <c r="J89" s="1359" t="b">
        <f t="shared" si="16"/>
        <v>1</v>
      </c>
      <c r="K89" s="1583"/>
      <c r="L89" s="17"/>
      <c r="M89" s="1361">
        <f t="shared" si="17"/>
        <v>0.34322014281480018</v>
      </c>
      <c r="N89" s="1350"/>
      <c r="O89" s="1358">
        <f t="shared" si="22"/>
        <v>1.0793323909413473E-3</v>
      </c>
      <c r="P89" s="1358">
        <f t="shared" si="23"/>
        <v>8.5552247272006703E-4</v>
      </c>
      <c r="Q89" s="1358">
        <f t="shared" si="24"/>
        <v>2.3659733541338589E-3</v>
      </c>
      <c r="R89" s="1358">
        <f t="shared" si="25"/>
        <v>0</v>
      </c>
      <c r="S89" s="1358">
        <f t="shared" si="26"/>
        <v>2.2197275213318705E-2</v>
      </c>
      <c r="T89" s="1358">
        <f t="shared" si="15"/>
        <v>0.36971824624591415</v>
      </c>
      <c r="U89" s="595">
        <f>IF('TAR_Tab 2_Volumina'!C92="storage",1,0)</f>
        <v>0</v>
      </c>
      <c r="V89" s="1362">
        <f t="shared" si="29"/>
        <v>0.36971824624591415</v>
      </c>
      <c r="W89" s="1362">
        <f t="shared" si="27"/>
        <v>0.38952885376594287</v>
      </c>
      <c r="X89" s="1355">
        <f t="shared" si="28"/>
        <v>0.39</v>
      </c>
      <c r="Y89" s="1355">
        <f>X89+'TAR_Tab 13_Overige tarieven'!$T$15+'TAR_Tab 13_Overige tarieven'!$T$16</f>
        <v>0.54300000000000004</v>
      </c>
      <c r="Z89" s="960"/>
    </row>
    <row r="90" spans="1:26">
      <c r="A90" s="155">
        <v>300193</v>
      </c>
      <c r="B90" s="156" t="s">
        <v>87</v>
      </c>
      <c r="C90" s="839">
        <v>1.1490299860923967</v>
      </c>
      <c r="D90" s="1356">
        <f t="shared" si="18"/>
        <v>1.0957149947377094</v>
      </c>
      <c r="E90" s="1356">
        <f t="shared" si="19"/>
        <v>1.1577788886843676</v>
      </c>
      <c r="F90" s="1357"/>
      <c r="G90" s="1358">
        <f t="shared" si="20"/>
        <v>1.0998899442501493</v>
      </c>
      <c r="H90" s="1358">
        <f t="shared" si="21"/>
        <v>1.2156678331185859</v>
      </c>
      <c r="I90" s="833">
        <v>1.1638995683303135</v>
      </c>
      <c r="J90" s="1359" t="b">
        <f t="shared" si="16"/>
        <v>1</v>
      </c>
      <c r="K90" s="1583"/>
      <c r="L90" s="17"/>
      <c r="M90" s="1361">
        <f t="shared" si="17"/>
        <v>1.1638995683303135</v>
      </c>
      <c r="N90" s="1350"/>
      <c r="O90" s="1358">
        <f t="shared" si="22"/>
        <v>3.660142128020199E-3</v>
      </c>
      <c r="P90" s="1358">
        <f t="shared" si="23"/>
        <v>2.9011765700274351E-3</v>
      </c>
      <c r="Q90" s="1358">
        <f t="shared" si="24"/>
        <v>8.0232918236483996E-3</v>
      </c>
      <c r="R90" s="1358">
        <f t="shared" si="25"/>
        <v>0</v>
      </c>
      <c r="S90" s="1358">
        <f t="shared" si="26"/>
        <v>7.5273551333586666E-2</v>
      </c>
      <c r="T90" s="1358">
        <f t="shared" si="15"/>
        <v>1.2537577301855964</v>
      </c>
      <c r="U90" s="595">
        <f>IF('TAR_Tab 2_Volumina'!C93="storage",1,0)</f>
        <v>0</v>
      </c>
      <c r="V90" s="1362">
        <f t="shared" si="29"/>
        <v>1.2537577301855964</v>
      </c>
      <c r="W90" s="1362">
        <f t="shared" si="27"/>
        <v>1.3209378127758087</v>
      </c>
      <c r="X90" s="1355">
        <f t="shared" si="28"/>
        <v>1.321</v>
      </c>
      <c r="Y90" s="1355">
        <f>X90+'TAR_Tab 13_Overige tarieven'!$T$15+'TAR_Tab 13_Overige tarieven'!$T$16</f>
        <v>1.474</v>
      </c>
      <c r="Z90" s="960"/>
    </row>
    <row r="91" spans="1:26">
      <c r="A91" s="155">
        <v>300196</v>
      </c>
      <c r="B91" s="156" t="s">
        <v>1052</v>
      </c>
      <c r="C91" s="839">
        <v>1.2094120607375809</v>
      </c>
      <c r="D91" s="1356">
        <f t="shared" si="18"/>
        <v>1.1532953411193572</v>
      </c>
      <c r="E91" s="1356">
        <f t="shared" si="19"/>
        <v>1.2186207223399921</v>
      </c>
      <c r="F91" s="1357"/>
      <c r="G91" s="1358">
        <f t="shared" si="20"/>
        <v>1.1576896862229924</v>
      </c>
      <c r="H91" s="1358">
        <f t="shared" si="21"/>
        <v>1.2795517584569918</v>
      </c>
      <c r="I91" s="833">
        <v>1.225063046625098</v>
      </c>
      <c r="J91" s="1359" t="b">
        <f t="shared" si="16"/>
        <v>1</v>
      </c>
      <c r="K91" s="1583"/>
      <c r="L91" s="17"/>
      <c r="M91" s="1361">
        <f t="shared" si="17"/>
        <v>1.225063046625098</v>
      </c>
      <c r="N91" s="1350"/>
      <c r="O91" s="1358">
        <f t="shared" si="22"/>
        <v>3.8524843452478769E-3</v>
      </c>
      <c r="P91" s="1358">
        <f t="shared" si="23"/>
        <v>3.0536347846350474E-3</v>
      </c>
      <c r="Q91" s="1358">
        <f t="shared" si="24"/>
        <v>8.4449196415987294E-3</v>
      </c>
      <c r="R91" s="1358">
        <f t="shared" si="25"/>
        <v>0</v>
      </c>
      <c r="S91" s="1358">
        <f t="shared" si="26"/>
        <v>7.9229212413320455E-2</v>
      </c>
      <c r="T91" s="1358">
        <f t="shared" si="15"/>
        <v>1.3196432978099002</v>
      </c>
      <c r="U91" s="595">
        <f>IF('TAR_Tab 2_Volumina'!C94="storage",1,0)</f>
        <v>0</v>
      </c>
      <c r="V91" s="1362">
        <f t="shared" si="29"/>
        <v>1.3196432978099002</v>
      </c>
      <c r="W91" s="1362">
        <f t="shared" si="27"/>
        <v>1.3903537258312417</v>
      </c>
      <c r="X91" s="1355">
        <f t="shared" si="28"/>
        <v>1.39</v>
      </c>
      <c r="Y91" s="1355">
        <f>X91+'TAR_Tab 13_Overige tarieven'!$T$15+'TAR_Tab 13_Overige tarieven'!$T$16</f>
        <v>1.5429999999999999</v>
      </c>
      <c r="Z91" s="960"/>
    </row>
    <row r="92" spans="1:26">
      <c r="A92" s="155">
        <v>300197</v>
      </c>
      <c r="B92" s="156" t="s">
        <v>39</v>
      </c>
      <c r="C92" s="839">
        <v>0.96852916268984779</v>
      </c>
      <c r="D92" s="1356">
        <f t="shared" si="18"/>
        <v>0.92358940954103885</v>
      </c>
      <c r="E92" s="1356">
        <f t="shared" si="19"/>
        <v>0.97590370243591085</v>
      </c>
      <c r="F92" s="1357"/>
      <c r="G92" s="1358">
        <f t="shared" si="20"/>
        <v>0.92710851731411525</v>
      </c>
      <c r="H92" s="1358">
        <f t="shared" si="21"/>
        <v>1.0246988875577063</v>
      </c>
      <c r="I92" s="833">
        <v>0.98106288609894199</v>
      </c>
      <c r="J92" s="1359" t="b">
        <f t="shared" si="16"/>
        <v>1</v>
      </c>
      <c r="K92" s="1583"/>
      <c r="L92" s="17"/>
      <c r="M92" s="1361">
        <f t="shared" si="17"/>
        <v>0.98106288609894199</v>
      </c>
      <c r="N92" s="1350"/>
      <c r="O92" s="1358">
        <f t="shared" si="22"/>
        <v>3.08517134755801E-3</v>
      </c>
      <c r="P92" s="1358">
        <f t="shared" si="23"/>
        <v>2.4454314928193063E-3</v>
      </c>
      <c r="Q92" s="1358">
        <f t="shared" si="24"/>
        <v>6.7629149857100562E-3</v>
      </c>
      <c r="R92" s="1358">
        <f t="shared" si="25"/>
        <v>0</v>
      </c>
      <c r="S92" s="1358">
        <f t="shared" si="26"/>
        <v>6.3448848618601242E-2</v>
      </c>
      <c r="T92" s="1358">
        <f t="shared" si="15"/>
        <v>1.0568052525436307</v>
      </c>
      <c r="U92" s="595">
        <f>IF('TAR_Tab 2_Volumina'!C95="storage",1,0)</f>
        <v>0</v>
      </c>
      <c r="V92" s="1362">
        <f t="shared" si="29"/>
        <v>1.0568052525436307</v>
      </c>
      <c r="W92" s="1362">
        <f t="shared" si="27"/>
        <v>1.1134320333309695</v>
      </c>
      <c r="X92" s="1355">
        <f t="shared" si="28"/>
        <v>1.113</v>
      </c>
      <c r="Y92" s="1355">
        <f>X92+'TAR_Tab 13_Overige tarieven'!$T$15+'TAR_Tab 13_Overige tarieven'!$T$16</f>
        <v>1.266</v>
      </c>
      <c r="Z92" s="960"/>
    </row>
    <row r="93" spans="1:26">
      <c r="A93" s="155">
        <v>300200</v>
      </c>
      <c r="B93" s="156" t="s">
        <v>40</v>
      </c>
      <c r="C93" s="839">
        <v>0.7906156529284516</v>
      </c>
      <c r="D93" s="1356">
        <f t="shared" si="18"/>
        <v>0.75393108663257147</v>
      </c>
      <c r="E93" s="1356">
        <f t="shared" si="19"/>
        <v>0.79663553005862286</v>
      </c>
      <c r="F93" s="1357"/>
      <c r="G93" s="1358">
        <f t="shared" si="20"/>
        <v>0.75680375355569174</v>
      </c>
      <c r="H93" s="1358">
        <f t="shared" si="21"/>
        <v>0.83646730656155399</v>
      </c>
      <c r="I93" s="833">
        <v>0.80084699990120045</v>
      </c>
      <c r="J93" s="1359" t="b">
        <f t="shared" si="16"/>
        <v>1</v>
      </c>
      <c r="K93" s="1583"/>
      <c r="L93" s="17"/>
      <c r="M93" s="1361">
        <f t="shared" si="17"/>
        <v>0.80084699990120045</v>
      </c>
      <c r="N93" s="1350"/>
      <c r="O93" s="1358">
        <f t="shared" si="22"/>
        <v>2.5184422455298105E-3</v>
      </c>
      <c r="P93" s="1358">
        <f t="shared" si="23"/>
        <v>1.9962191030134897E-3</v>
      </c>
      <c r="Q93" s="1358">
        <f t="shared" si="24"/>
        <v>5.5206044929790041E-3</v>
      </c>
      <c r="R93" s="1358">
        <f t="shared" si="25"/>
        <v>0</v>
      </c>
      <c r="S93" s="1358">
        <f t="shared" si="26"/>
        <v>5.1793642164410313E-2</v>
      </c>
      <c r="T93" s="1358">
        <f t="shared" si="15"/>
        <v>0.862675907907133</v>
      </c>
      <c r="U93" s="595">
        <f>IF('TAR_Tab 2_Volumina'!C96="storage",1,0)</f>
        <v>0</v>
      </c>
      <c r="V93" s="1362">
        <f t="shared" si="29"/>
        <v>0.862675907907133</v>
      </c>
      <c r="W93" s="1362">
        <f t="shared" si="27"/>
        <v>0.90890065878720006</v>
      </c>
      <c r="X93" s="1355">
        <f t="shared" si="28"/>
        <v>0.90900000000000003</v>
      </c>
      <c r="Y93" s="1355">
        <f>X93+'TAR_Tab 13_Overige tarieven'!$T$15+'TAR_Tab 13_Overige tarieven'!$T$16</f>
        <v>1.0620000000000001</v>
      </c>
      <c r="Z93" s="960"/>
    </row>
    <row r="94" spans="1:26">
      <c r="A94" s="155">
        <v>300201</v>
      </c>
      <c r="B94" s="156" t="s">
        <v>88</v>
      </c>
      <c r="C94" s="839">
        <v>0.86957726681131853</v>
      </c>
      <c r="D94" s="1356">
        <f t="shared" si="18"/>
        <v>0.8292288816312734</v>
      </c>
      <c r="E94" s="1356">
        <f t="shared" si="19"/>
        <v>0.87619837060809347</v>
      </c>
      <c r="F94" s="1357"/>
      <c r="G94" s="1358">
        <f t="shared" si="20"/>
        <v>0.83238845207768875</v>
      </c>
      <c r="H94" s="1358">
        <f t="shared" si="21"/>
        <v>0.92000828913849819</v>
      </c>
      <c r="I94" s="833">
        <v>0.8808304550114342</v>
      </c>
      <c r="J94" s="1359" t="b">
        <f t="shared" si="16"/>
        <v>1</v>
      </c>
      <c r="K94" s="1583"/>
      <c r="L94" s="17"/>
      <c r="M94" s="1361">
        <f t="shared" si="17"/>
        <v>0.8808304550114342</v>
      </c>
      <c r="N94" s="1350"/>
      <c r="O94" s="1358">
        <f t="shared" si="22"/>
        <v>2.7699680829468207E-3</v>
      </c>
      <c r="P94" s="1358">
        <f t="shared" si="23"/>
        <v>2.1955886468037122E-3</v>
      </c>
      <c r="Q94" s="1358">
        <f t="shared" si="24"/>
        <v>6.0719670150337982E-3</v>
      </c>
      <c r="R94" s="1358">
        <f t="shared" si="25"/>
        <v>0</v>
      </c>
      <c r="S94" s="1358">
        <f t="shared" si="26"/>
        <v>5.696645851205686E-2</v>
      </c>
      <c r="T94" s="1358">
        <f t="shared" si="15"/>
        <v>0.94883443726827532</v>
      </c>
      <c r="U94" s="595">
        <f>IF('TAR_Tab 2_Volumina'!C97="storage",1,0)</f>
        <v>0</v>
      </c>
      <c r="V94" s="1362">
        <f t="shared" si="29"/>
        <v>0.94883443726827532</v>
      </c>
      <c r="W94" s="1362">
        <f t="shared" si="27"/>
        <v>0.99967581939932249</v>
      </c>
      <c r="X94" s="1355">
        <f t="shared" si="28"/>
        <v>1</v>
      </c>
      <c r="Y94" s="1355">
        <f>X94+'TAR_Tab 13_Overige tarieven'!$T$15+'TAR_Tab 13_Overige tarieven'!$T$16</f>
        <v>1.153</v>
      </c>
      <c r="Z94" s="960"/>
    </row>
    <row r="95" spans="1:26">
      <c r="A95" s="155">
        <v>300203</v>
      </c>
      <c r="B95" s="156" t="s">
        <v>89</v>
      </c>
      <c r="C95" s="839">
        <v>0.33883527982647926</v>
      </c>
      <c r="D95" s="1356">
        <f t="shared" si="18"/>
        <v>0.32311332284253064</v>
      </c>
      <c r="E95" s="1356">
        <f t="shared" si="19"/>
        <v>0.34141522716798123</v>
      </c>
      <c r="F95" s="1357"/>
      <c r="G95" s="1358">
        <f t="shared" si="20"/>
        <v>0.32434446580958215</v>
      </c>
      <c r="H95" s="1358">
        <f t="shared" si="21"/>
        <v>0.35848598852638031</v>
      </c>
      <c r="I95" s="833">
        <v>0.34322014281480018</v>
      </c>
      <c r="J95" s="1359" t="b">
        <f t="shared" si="16"/>
        <v>1</v>
      </c>
      <c r="K95" s="1583"/>
      <c r="L95" s="17"/>
      <c r="M95" s="1361">
        <f t="shared" si="17"/>
        <v>0.34322014281480018</v>
      </c>
      <c r="N95" s="1350"/>
      <c r="O95" s="1358">
        <f t="shared" si="22"/>
        <v>1.0793323909413473E-3</v>
      </c>
      <c r="P95" s="1358">
        <f t="shared" si="23"/>
        <v>8.5552247272006703E-4</v>
      </c>
      <c r="Q95" s="1358">
        <f t="shared" si="24"/>
        <v>2.3659733541338589E-3</v>
      </c>
      <c r="R95" s="1358">
        <f t="shared" si="25"/>
        <v>0</v>
      </c>
      <c r="S95" s="1358">
        <f t="shared" si="26"/>
        <v>2.2197275213318705E-2</v>
      </c>
      <c r="T95" s="1358">
        <f t="shared" si="15"/>
        <v>0.36971824624591415</v>
      </c>
      <c r="U95" s="595">
        <f>IF('TAR_Tab 2_Volumina'!C98="storage",1,0)</f>
        <v>0</v>
      </c>
      <c r="V95" s="1362">
        <f t="shared" si="29"/>
        <v>0.36971824624591415</v>
      </c>
      <c r="W95" s="1362">
        <f t="shared" si="27"/>
        <v>0.38952885376594287</v>
      </c>
      <c r="X95" s="1355">
        <f t="shared" si="28"/>
        <v>0.39</v>
      </c>
      <c r="Y95" s="1355">
        <f>X95+'TAR_Tab 13_Overige tarieven'!$T$15+'TAR_Tab 13_Overige tarieven'!$T$16</f>
        <v>0.54300000000000004</v>
      </c>
      <c r="Z95" s="960"/>
    </row>
    <row r="96" spans="1:26">
      <c r="A96" s="155">
        <v>300205</v>
      </c>
      <c r="B96" s="156" t="s">
        <v>298</v>
      </c>
      <c r="C96" s="839">
        <v>1.2094120607375809</v>
      </c>
      <c r="D96" s="1356">
        <f t="shared" si="18"/>
        <v>1.1532953411193572</v>
      </c>
      <c r="E96" s="1356">
        <f t="shared" si="19"/>
        <v>1.2186207223399921</v>
      </c>
      <c r="F96" s="1357"/>
      <c r="G96" s="1358">
        <f t="shared" si="20"/>
        <v>1.1576896862229924</v>
      </c>
      <c r="H96" s="1358">
        <f t="shared" si="21"/>
        <v>1.2795517584569918</v>
      </c>
      <c r="I96" s="833">
        <v>1.225063046625098</v>
      </c>
      <c r="J96" s="1359" t="b">
        <f t="shared" si="16"/>
        <v>1</v>
      </c>
      <c r="K96" s="1583"/>
      <c r="L96" s="17"/>
      <c r="M96" s="1361">
        <f t="shared" si="17"/>
        <v>1.225063046625098</v>
      </c>
      <c r="N96" s="1350"/>
      <c r="O96" s="1358">
        <f t="shared" si="22"/>
        <v>3.8524843452478769E-3</v>
      </c>
      <c r="P96" s="1358">
        <f t="shared" si="23"/>
        <v>3.0536347846350474E-3</v>
      </c>
      <c r="Q96" s="1358">
        <f t="shared" si="24"/>
        <v>8.4449196415987294E-3</v>
      </c>
      <c r="R96" s="1358">
        <f t="shared" si="25"/>
        <v>0</v>
      </c>
      <c r="S96" s="1358">
        <f t="shared" si="26"/>
        <v>7.9229212413320455E-2</v>
      </c>
      <c r="T96" s="1358">
        <f t="shared" si="15"/>
        <v>1.3196432978099002</v>
      </c>
      <c r="U96" s="595">
        <f>IF('TAR_Tab 2_Volumina'!C99="storage",1,0)</f>
        <v>0</v>
      </c>
      <c r="V96" s="1362">
        <f t="shared" si="29"/>
        <v>1.3196432978099002</v>
      </c>
      <c r="W96" s="1362">
        <f t="shared" si="27"/>
        <v>1.3903537258312417</v>
      </c>
      <c r="X96" s="1355">
        <f t="shared" si="28"/>
        <v>1.39</v>
      </c>
      <c r="Y96" s="1355">
        <f>X96+'TAR_Tab 13_Overige tarieven'!$T$15+'TAR_Tab 13_Overige tarieven'!$T$16</f>
        <v>1.5429999999999999</v>
      </c>
      <c r="Z96" s="960"/>
    </row>
    <row r="97" spans="1:26">
      <c r="A97" s="155">
        <v>300210</v>
      </c>
      <c r="B97" s="156" t="s">
        <v>90</v>
      </c>
      <c r="C97" s="839">
        <v>1.0304990368764013</v>
      </c>
      <c r="D97" s="1356">
        <f t="shared" si="18"/>
        <v>0.98268388156533626</v>
      </c>
      <c r="E97" s="1356">
        <f t="shared" si="19"/>
        <v>1.0383454253987863</v>
      </c>
      <c r="F97" s="1357"/>
      <c r="G97" s="1358">
        <f t="shared" si="20"/>
        <v>0.98642815412884688</v>
      </c>
      <c r="H97" s="1358">
        <f t="shared" si="21"/>
        <v>1.0902626966687257</v>
      </c>
      <c r="I97" s="833">
        <v>1.0438347116284923</v>
      </c>
      <c r="J97" s="1359" t="b">
        <f t="shared" si="16"/>
        <v>1</v>
      </c>
      <c r="K97" s="1583"/>
      <c r="L97" s="17"/>
      <c r="M97" s="1361">
        <f t="shared" si="17"/>
        <v>1.0438347116284923</v>
      </c>
      <c r="N97" s="1350"/>
      <c r="O97" s="1358">
        <f t="shared" si="22"/>
        <v>3.2825713718599666E-3</v>
      </c>
      <c r="P97" s="1358">
        <f t="shared" si="23"/>
        <v>2.601898729717961E-3</v>
      </c>
      <c r="Q97" s="1358">
        <f t="shared" si="24"/>
        <v>7.1956298764366015E-3</v>
      </c>
      <c r="R97" s="1358">
        <f t="shared" si="25"/>
        <v>0</v>
      </c>
      <c r="S97" s="1358">
        <f t="shared" si="26"/>
        <v>6.7508527271184601E-2</v>
      </c>
      <c r="T97" s="1358">
        <f t="shared" si="15"/>
        <v>1.1244233388776916</v>
      </c>
      <c r="U97" s="595">
        <f>IF('TAR_Tab 2_Volumina'!C100="storage",1,0)</f>
        <v>0</v>
      </c>
      <c r="V97" s="1362">
        <f t="shared" si="29"/>
        <v>1.1244233388776916</v>
      </c>
      <c r="W97" s="1362">
        <f t="shared" si="27"/>
        <v>1.1846732986214958</v>
      </c>
      <c r="X97" s="1355">
        <f t="shared" si="28"/>
        <v>1.1850000000000001</v>
      </c>
      <c r="Y97" s="1355">
        <f>X97+'TAR_Tab 13_Overige tarieven'!$T$15+'TAR_Tab 13_Overige tarieven'!$T$16</f>
        <v>1.3380000000000001</v>
      </c>
      <c r="Z97" s="960"/>
    </row>
    <row r="98" spans="1:26">
      <c r="A98" s="155">
        <v>300211</v>
      </c>
      <c r="B98" s="156" t="s">
        <v>1053</v>
      </c>
      <c r="C98" s="839">
        <v>1.3805986053141091</v>
      </c>
      <c r="D98" s="1356">
        <f t="shared" si="18"/>
        <v>1.3165388300275345</v>
      </c>
      <c r="E98" s="1356">
        <f t="shared" si="19"/>
        <v>1.3911107093172268</v>
      </c>
      <c r="F98" s="1357"/>
      <c r="G98" s="1358">
        <f t="shared" si="20"/>
        <v>1.3215551738513653</v>
      </c>
      <c r="H98" s="1358">
        <f t="shared" si="21"/>
        <v>1.4606662447830883</v>
      </c>
      <c r="I98" s="833">
        <v>1.3984649140682315</v>
      </c>
      <c r="J98" s="1359" t="b">
        <f t="shared" si="16"/>
        <v>1</v>
      </c>
      <c r="K98" s="1583"/>
      <c r="L98" s="17"/>
      <c r="M98" s="1361">
        <f t="shared" si="17"/>
        <v>1.3984649140682315</v>
      </c>
      <c r="N98" s="1350"/>
      <c r="O98" s="1358">
        <f t="shared" si="22"/>
        <v>4.3977852435173629E-3</v>
      </c>
      <c r="P98" s="1358">
        <f t="shared" si="23"/>
        <v>3.4858623141517963E-3</v>
      </c>
      <c r="Q98" s="1358">
        <f t="shared" si="24"/>
        <v>9.6402579878941026E-3</v>
      </c>
      <c r="R98" s="1358">
        <f t="shared" si="25"/>
        <v>0</v>
      </c>
      <c r="S98" s="1358">
        <f t="shared" si="26"/>
        <v>9.0443731883454143E-2</v>
      </c>
      <c r="T98" s="1358">
        <f t="shared" si="15"/>
        <v>1.5064325514972488</v>
      </c>
      <c r="U98" s="595">
        <f>IF('TAR_Tab 2_Volumina'!C101="storage",1,0)</f>
        <v>0</v>
      </c>
      <c r="V98" s="1362">
        <f t="shared" si="29"/>
        <v>1.5064325514972488</v>
      </c>
      <c r="W98" s="1362">
        <f t="shared" si="27"/>
        <v>1.5871517054371316</v>
      </c>
      <c r="X98" s="1355">
        <f t="shared" si="28"/>
        <v>1.587</v>
      </c>
      <c r="Y98" s="1355">
        <f>X98+'TAR_Tab 13_Overige tarieven'!$T$15+'TAR_Tab 13_Overige tarieven'!$T$16</f>
        <v>1.74</v>
      </c>
      <c r="Z98" s="960"/>
    </row>
    <row r="99" spans="1:26">
      <c r="A99" s="155">
        <v>300216</v>
      </c>
      <c r="B99" s="156" t="s">
        <v>91</v>
      </c>
      <c r="C99" s="839">
        <v>1.2791250732984396</v>
      </c>
      <c r="D99" s="1356">
        <f t="shared" si="18"/>
        <v>1.219773669897392</v>
      </c>
      <c r="E99" s="1356">
        <f t="shared" si="19"/>
        <v>1.2888645412015305</v>
      </c>
      <c r="F99" s="1357"/>
      <c r="G99" s="1358">
        <f t="shared" si="20"/>
        <v>1.2244213141414539</v>
      </c>
      <c r="H99" s="1358">
        <f t="shared" si="21"/>
        <v>1.353307768261607</v>
      </c>
      <c r="I99" s="833">
        <v>1.2956782143828389</v>
      </c>
      <c r="J99" s="1359" t="b">
        <f t="shared" si="16"/>
        <v>1</v>
      </c>
      <c r="K99" s="1583"/>
      <c r="L99" s="17"/>
      <c r="M99" s="1361">
        <f t="shared" si="17"/>
        <v>1.2956782143828389</v>
      </c>
      <c r="N99" s="1350"/>
      <c r="O99" s="1358">
        <f t="shared" si="22"/>
        <v>4.0745495108515557E-3</v>
      </c>
      <c r="P99" s="1358">
        <f t="shared" si="23"/>
        <v>3.2296526093355147E-3</v>
      </c>
      <c r="Q99" s="1358">
        <f t="shared" si="24"/>
        <v>8.9317022760394462E-3</v>
      </c>
      <c r="R99" s="1358">
        <f t="shared" si="25"/>
        <v>0</v>
      </c>
      <c r="S99" s="1358">
        <f t="shared" si="26"/>
        <v>8.3796148083523939E-2</v>
      </c>
      <c r="T99" s="1358">
        <f t="shared" si="15"/>
        <v>1.3957102668625894</v>
      </c>
      <c r="U99" s="595">
        <f>IF('TAR_Tab 2_Volumina'!C102="storage",1,0)</f>
        <v>0</v>
      </c>
      <c r="V99" s="1362">
        <f t="shared" si="29"/>
        <v>1.3957102668625894</v>
      </c>
      <c r="W99" s="1362">
        <f t="shared" si="27"/>
        <v>1.4704965902027101</v>
      </c>
      <c r="X99" s="1355">
        <f t="shared" si="28"/>
        <v>1.47</v>
      </c>
      <c r="Y99" s="1355">
        <f>X99+'TAR_Tab 13_Overige tarieven'!$T$15+'TAR_Tab 13_Overige tarieven'!$T$16</f>
        <v>1.623</v>
      </c>
      <c r="Z99" s="960"/>
    </row>
    <row r="100" spans="1:26">
      <c r="A100" s="155">
        <v>300217</v>
      </c>
      <c r="B100" s="156" t="s">
        <v>299</v>
      </c>
      <c r="C100" s="839">
        <v>0.79365988730093384</v>
      </c>
      <c r="D100" s="1356">
        <f t="shared" si="18"/>
        <v>0.75683406853017055</v>
      </c>
      <c r="E100" s="1356">
        <f t="shared" si="19"/>
        <v>0.7997029437304396</v>
      </c>
      <c r="F100" s="1357"/>
      <c r="G100" s="1358">
        <f t="shared" si="20"/>
        <v>0.75971779654391758</v>
      </c>
      <c r="H100" s="1358">
        <f t="shared" si="21"/>
        <v>0.83968809091696162</v>
      </c>
      <c r="I100" s="833">
        <v>0.80393062967145379</v>
      </c>
      <c r="J100" s="1359" t="b">
        <f t="shared" si="16"/>
        <v>1</v>
      </c>
      <c r="K100" s="1583"/>
      <c r="L100" s="17"/>
      <c r="M100" s="1361">
        <f t="shared" si="17"/>
        <v>0.80393062967145379</v>
      </c>
      <c r="N100" s="1350"/>
      <c r="O100" s="1358">
        <f t="shared" si="22"/>
        <v>2.528139408013952E-3</v>
      </c>
      <c r="P100" s="1358">
        <f t="shared" si="23"/>
        <v>2.0039054658952389E-3</v>
      </c>
      <c r="Q100" s="1358">
        <f t="shared" si="24"/>
        <v>5.5418613627262149E-3</v>
      </c>
      <c r="R100" s="1358">
        <f t="shared" si="25"/>
        <v>0</v>
      </c>
      <c r="S100" s="1358">
        <f t="shared" si="26"/>
        <v>5.1993071539693889E-2</v>
      </c>
      <c r="T100" s="1358">
        <f t="shared" si="15"/>
        <v>0.86599760744778309</v>
      </c>
      <c r="U100" s="595">
        <f>IF('TAR_Tab 2_Volumina'!C103="storage",1,0)</f>
        <v>0</v>
      </c>
      <c r="V100" s="1362">
        <f t="shared" si="29"/>
        <v>0.86599760744778309</v>
      </c>
      <c r="W100" s="1362">
        <f t="shared" si="27"/>
        <v>0.91240034490700184</v>
      </c>
      <c r="X100" s="1355">
        <f t="shared" si="28"/>
        <v>0.91200000000000003</v>
      </c>
      <c r="Y100" s="1355">
        <f>X100+'TAR_Tab 13_Overige tarieven'!$T$15+'TAR_Tab 13_Overige tarieven'!$T$16</f>
        <v>1.0650000000000002</v>
      </c>
      <c r="Z100" s="960"/>
    </row>
    <row r="101" spans="1:26">
      <c r="A101" s="155">
        <v>300220</v>
      </c>
      <c r="B101" s="156" t="s">
        <v>789</v>
      </c>
      <c r="C101" s="839">
        <v>1.6252099262473607</v>
      </c>
      <c r="D101" s="1356">
        <f t="shared" si="18"/>
        <v>1.5498001856694832</v>
      </c>
      <c r="E101" s="1356">
        <f t="shared" si="19"/>
        <v>1.637584540929609</v>
      </c>
      <c r="F101" s="1357"/>
      <c r="G101" s="1358">
        <f t="shared" si="20"/>
        <v>1.5557053138831285</v>
      </c>
      <c r="H101" s="1358">
        <f t="shared" si="21"/>
        <v>1.7194637679760896</v>
      </c>
      <c r="I101" s="833">
        <v>1.6462417469524044</v>
      </c>
      <c r="J101" s="1359" t="b">
        <f t="shared" si="16"/>
        <v>1</v>
      </c>
      <c r="K101" s="1583"/>
      <c r="L101" s="17"/>
      <c r="M101" s="1361">
        <f t="shared" si="17"/>
        <v>1.6462417469524044</v>
      </c>
      <c r="N101" s="1350"/>
      <c r="O101" s="1358">
        <f t="shared" si="22"/>
        <v>5.1769748308868159E-3</v>
      </c>
      <c r="P101" s="1358">
        <f t="shared" si="23"/>
        <v>4.1034794709227992E-3</v>
      </c>
      <c r="Q101" s="1358">
        <f t="shared" si="24"/>
        <v>1.1348296972925234E-2</v>
      </c>
      <c r="R101" s="1358">
        <f t="shared" si="25"/>
        <v>0</v>
      </c>
      <c r="S101" s="1358">
        <f t="shared" si="26"/>
        <v>0.10646834659839591</v>
      </c>
      <c r="T101" s="1358">
        <f t="shared" si="15"/>
        <v>1.7733388448255352</v>
      </c>
      <c r="U101" s="595">
        <f>IF('TAR_Tab 2_Volumina'!C104="storage",1,0)</f>
        <v>0</v>
      </c>
      <c r="V101" s="1362">
        <f t="shared" si="29"/>
        <v>1.7733388448255352</v>
      </c>
      <c r="W101" s="1362">
        <f t="shared" si="27"/>
        <v>1.8683596348773543</v>
      </c>
      <c r="X101" s="1355">
        <f t="shared" si="28"/>
        <v>1.8680000000000001</v>
      </c>
      <c r="Y101" s="1355">
        <f>X101+'TAR_Tab 13_Overige tarieven'!$T$15+'TAR_Tab 13_Overige tarieven'!$T$16</f>
        <v>2.0210000000000004</v>
      </c>
      <c r="Z101" s="960"/>
    </row>
    <row r="102" spans="1:26">
      <c r="A102" s="155">
        <v>300221</v>
      </c>
      <c r="B102" s="156" t="s">
        <v>41</v>
      </c>
      <c r="C102" s="839">
        <v>1.3403484078091703</v>
      </c>
      <c r="D102" s="1356">
        <f t="shared" si="18"/>
        <v>1.2781562416868248</v>
      </c>
      <c r="E102" s="1356">
        <f t="shared" si="19"/>
        <v>1.3505540402131648</v>
      </c>
      <c r="F102" s="1357"/>
      <c r="G102" s="1358">
        <f t="shared" si="20"/>
        <v>1.2830263382025064</v>
      </c>
      <c r="H102" s="1358">
        <f t="shared" si="21"/>
        <v>1.4180817422238232</v>
      </c>
      <c r="I102" s="833">
        <v>1.3576938392762452</v>
      </c>
      <c r="J102" s="1359" t="b">
        <f t="shared" si="16"/>
        <v>1</v>
      </c>
      <c r="K102" s="1583"/>
      <c r="L102" s="17"/>
      <c r="M102" s="1361">
        <f t="shared" si="17"/>
        <v>1.3576938392762452</v>
      </c>
      <c r="N102" s="1350"/>
      <c r="O102" s="1358">
        <f t="shared" si="22"/>
        <v>4.2695714933697554E-3</v>
      </c>
      <c r="P102" s="1358">
        <f t="shared" si="23"/>
        <v>3.3842349142112391E-3</v>
      </c>
      <c r="Q102" s="1358">
        <f t="shared" si="24"/>
        <v>9.3592043300693376E-3</v>
      </c>
      <c r="R102" s="1358">
        <f t="shared" si="25"/>
        <v>0</v>
      </c>
      <c r="S102" s="1358">
        <f t="shared" si="26"/>
        <v>8.780692053410144E-2</v>
      </c>
      <c r="T102" s="1358">
        <f t="shared" si="15"/>
        <v>1.4625137705479971</v>
      </c>
      <c r="U102" s="595">
        <f>IF('TAR_Tab 2_Volumina'!C105="storage",1,0)</f>
        <v>0</v>
      </c>
      <c r="V102" s="1362">
        <f t="shared" si="29"/>
        <v>1.4625137705479971</v>
      </c>
      <c r="W102" s="1362">
        <f t="shared" si="27"/>
        <v>1.5408796250741286</v>
      </c>
      <c r="X102" s="1355">
        <f t="shared" si="28"/>
        <v>1.5409999999999999</v>
      </c>
      <c r="Y102" s="1355">
        <f>X102+'TAR_Tab 13_Overige tarieven'!$T$15+'TAR_Tab 13_Overige tarieven'!$T$16</f>
        <v>1.694</v>
      </c>
      <c r="Z102" s="960"/>
    </row>
    <row r="103" spans="1:26">
      <c r="A103" s="155">
        <v>300222</v>
      </c>
      <c r="B103" s="156" t="s">
        <v>92</v>
      </c>
      <c r="C103" s="839">
        <v>1.2743966598327188</v>
      </c>
      <c r="D103" s="1356">
        <f t="shared" si="18"/>
        <v>1.2152646548164807</v>
      </c>
      <c r="E103" s="1356">
        <f t="shared" si="19"/>
        <v>1.284100124820893</v>
      </c>
      <c r="F103" s="1357"/>
      <c r="G103" s="1358">
        <f t="shared" si="20"/>
        <v>1.2198951185798483</v>
      </c>
      <c r="H103" s="1358">
        <f t="shared" si="21"/>
        <v>1.3483051310619376</v>
      </c>
      <c r="I103" s="833">
        <v>1.2908886105794122</v>
      </c>
      <c r="J103" s="1359" t="b">
        <f t="shared" si="16"/>
        <v>1</v>
      </c>
      <c r="K103" s="1583"/>
      <c r="L103" s="17"/>
      <c r="M103" s="1361">
        <f t="shared" si="17"/>
        <v>1.2908886105794122</v>
      </c>
      <c r="N103" s="1350"/>
      <c r="O103" s="1358">
        <f t="shared" si="22"/>
        <v>4.0594875320224058E-3</v>
      </c>
      <c r="P103" s="1358">
        <f t="shared" si="23"/>
        <v>3.2177138762074066E-3</v>
      </c>
      <c r="Q103" s="1358">
        <f t="shared" si="24"/>
        <v>8.8986853473626212E-3</v>
      </c>
      <c r="R103" s="1358">
        <f t="shared" si="25"/>
        <v>0</v>
      </c>
      <c r="S103" s="1358">
        <f t="shared" si="26"/>
        <v>8.3486387260876677E-2</v>
      </c>
      <c r="T103" s="1358">
        <f t="shared" si="15"/>
        <v>1.3905508845958814</v>
      </c>
      <c r="U103" s="595">
        <f>IF('TAR_Tab 2_Volumina'!C106="storage",1,0)</f>
        <v>0</v>
      </c>
      <c r="V103" s="1362">
        <f t="shared" si="29"/>
        <v>1.3905508845958814</v>
      </c>
      <c r="W103" s="1362">
        <f t="shared" si="27"/>
        <v>1.4650607528295274</v>
      </c>
      <c r="X103" s="1355">
        <f t="shared" si="28"/>
        <v>1.4650000000000001</v>
      </c>
      <c r="Y103" s="1355">
        <f>X103+'TAR_Tab 13_Overige tarieven'!$T$15+'TAR_Tab 13_Overige tarieven'!$T$16</f>
        <v>1.6180000000000001</v>
      </c>
      <c r="Z103" s="960"/>
    </row>
    <row r="104" spans="1:26">
      <c r="A104" s="155">
        <v>300223</v>
      </c>
      <c r="B104" s="156" t="s">
        <v>300</v>
      </c>
      <c r="C104" s="839">
        <v>1.1264493003574325</v>
      </c>
      <c r="D104" s="1356">
        <f t="shared" si="18"/>
        <v>1.0741820528208477</v>
      </c>
      <c r="E104" s="1356">
        <f t="shared" si="19"/>
        <v>1.1350262699081894</v>
      </c>
      <c r="F104" s="1357"/>
      <c r="G104" s="1358">
        <f t="shared" si="20"/>
        <v>1.0782749564127798</v>
      </c>
      <c r="H104" s="1358">
        <f t="shared" si="21"/>
        <v>1.1917775834035991</v>
      </c>
      <c r="I104" s="833">
        <v>1.1410266662323403</v>
      </c>
      <c r="J104" s="1359" t="b">
        <f t="shared" si="16"/>
        <v>1</v>
      </c>
      <c r="K104" s="1583"/>
      <c r="L104" s="17"/>
      <c r="M104" s="1361">
        <f t="shared" si="17"/>
        <v>1.1410266662323403</v>
      </c>
      <c r="N104" s="1350"/>
      <c r="O104" s="1358">
        <f t="shared" si="22"/>
        <v>3.5882131791341947E-3</v>
      </c>
      <c r="P104" s="1358">
        <f t="shared" si="23"/>
        <v>2.8441627782357891E-3</v>
      </c>
      <c r="Q104" s="1358">
        <f t="shared" si="24"/>
        <v>7.8656184526984963E-3</v>
      </c>
      <c r="R104" s="1358">
        <f t="shared" si="25"/>
        <v>0</v>
      </c>
      <c r="S104" s="1358">
        <f t="shared" si="26"/>
        <v>7.3794278879959235E-2</v>
      </c>
      <c r="T104" s="1358">
        <f t="shared" si="15"/>
        <v>1.2291189395223681</v>
      </c>
      <c r="U104" s="595">
        <f>IF('TAR_Tab 2_Volumina'!C107="storage",1,0)</f>
        <v>0</v>
      </c>
      <c r="V104" s="1362">
        <f t="shared" si="29"/>
        <v>1.2291189395223681</v>
      </c>
      <c r="W104" s="1362">
        <f t="shared" si="27"/>
        <v>1.2949788021435806</v>
      </c>
      <c r="X104" s="1355">
        <f t="shared" si="28"/>
        <v>1.2949999999999999</v>
      </c>
      <c r="Y104" s="1355">
        <f>X104+'TAR_Tab 13_Overige tarieven'!$T$15+'TAR_Tab 13_Overige tarieven'!$T$16</f>
        <v>1.448</v>
      </c>
      <c r="Z104" s="960"/>
    </row>
    <row r="105" spans="1:26">
      <c r="A105" s="155">
        <v>300225</v>
      </c>
      <c r="B105" s="156" t="s">
        <v>93</v>
      </c>
      <c r="C105" s="839">
        <v>1.290372702820014</v>
      </c>
      <c r="D105" s="1356">
        <f t="shared" si="18"/>
        <v>1.2304994094091655</v>
      </c>
      <c r="E105" s="1356">
        <f t="shared" si="19"/>
        <v>1.3001978120172974</v>
      </c>
      <c r="F105" s="1357"/>
      <c r="G105" s="1358">
        <f t="shared" si="20"/>
        <v>1.2351879214164325</v>
      </c>
      <c r="H105" s="1358">
        <f t="shared" si="21"/>
        <v>1.3652077026181624</v>
      </c>
      <c r="I105" s="833">
        <v>1.3070713993330594</v>
      </c>
      <c r="J105" s="1359" t="b">
        <f t="shared" si="16"/>
        <v>1</v>
      </c>
      <c r="K105" s="1583"/>
      <c r="L105" s="17"/>
      <c r="M105" s="1361">
        <f t="shared" si="17"/>
        <v>1.3070713993330594</v>
      </c>
      <c r="N105" s="1350"/>
      <c r="O105" s="1358">
        <f t="shared" si="22"/>
        <v>4.1103779253843058E-3</v>
      </c>
      <c r="P105" s="1358">
        <f t="shared" si="23"/>
        <v>3.2580516586478074E-3</v>
      </c>
      <c r="Q105" s="1358">
        <f t="shared" si="24"/>
        <v>9.0102407085156707E-3</v>
      </c>
      <c r="R105" s="1358">
        <f t="shared" si="25"/>
        <v>0</v>
      </c>
      <c r="S105" s="1358">
        <f t="shared" si="26"/>
        <v>8.4532986136856794E-2</v>
      </c>
      <c r="T105" s="1358">
        <f t="shared" si="15"/>
        <v>1.4079830557624642</v>
      </c>
      <c r="U105" s="595">
        <f>IF('TAR_Tab 2_Volumina'!C108="storage",1,0)</f>
        <v>0</v>
      </c>
      <c r="V105" s="1362">
        <f t="shared" si="29"/>
        <v>1.4079830557624642</v>
      </c>
      <c r="W105" s="1362">
        <f t="shared" si="27"/>
        <v>1.4834269917753169</v>
      </c>
      <c r="X105" s="1355">
        <f t="shared" si="28"/>
        <v>1.4830000000000001</v>
      </c>
      <c r="Y105" s="1355">
        <f>X105+'TAR_Tab 13_Overige tarieven'!$T$15+'TAR_Tab 13_Overige tarieven'!$T$16</f>
        <v>1.6360000000000001</v>
      </c>
      <c r="Z105" s="960"/>
    </row>
    <row r="106" spans="1:26">
      <c r="A106" s="155">
        <v>300227</v>
      </c>
      <c r="B106" s="156" t="s">
        <v>1054</v>
      </c>
      <c r="C106" s="839">
        <v>0.7906156529284516</v>
      </c>
      <c r="D106" s="1356">
        <f t="shared" si="18"/>
        <v>0.75393108663257147</v>
      </c>
      <c r="E106" s="1356">
        <f t="shared" si="19"/>
        <v>0.79663553005862286</v>
      </c>
      <c r="F106" s="1357"/>
      <c r="G106" s="1358">
        <f t="shared" si="20"/>
        <v>0.75680375355569174</v>
      </c>
      <c r="H106" s="1358">
        <f t="shared" si="21"/>
        <v>0.83646730656155399</v>
      </c>
      <c r="I106" s="833">
        <v>0.80084699990120045</v>
      </c>
      <c r="J106" s="1359" t="b">
        <f t="shared" si="16"/>
        <v>1</v>
      </c>
      <c r="K106" s="1583"/>
      <c r="L106" s="17"/>
      <c r="M106" s="1361">
        <f t="shared" si="17"/>
        <v>0.80084699990120045</v>
      </c>
      <c r="N106" s="1350"/>
      <c r="O106" s="1358">
        <f t="shared" si="22"/>
        <v>2.5184422455298105E-3</v>
      </c>
      <c r="P106" s="1358">
        <f t="shared" si="23"/>
        <v>1.9962191030134897E-3</v>
      </c>
      <c r="Q106" s="1358">
        <f t="shared" si="24"/>
        <v>5.5206044929790041E-3</v>
      </c>
      <c r="R106" s="1358">
        <f t="shared" si="25"/>
        <v>0</v>
      </c>
      <c r="S106" s="1358">
        <f t="shared" si="26"/>
        <v>5.1793642164410313E-2</v>
      </c>
      <c r="T106" s="1358">
        <f t="shared" si="15"/>
        <v>0.862675907907133</v>
      </c>
      <c r="U106" s="595">
        <f>IF('TAR_Tab 2_Volumina'!C109="storage",1,0)</f>
        <v>0</v>
      </c>
      <c r="V106" s="1362">
        <f t="shared" si="29"/>
        <v>0.862675907907133</v>
      </c>
      <c r="W106" s="1362">
        <f t="shared" si="27"/>
        <v>0.90890065878720006</v>
      </c>
      <c r="X106" s="1355">
        <f t="shared" si="28"/>
        <v>0.90900000000000003</v>
      </c>
      <c r="Y106" s="1355">
        <f>X106+'TAR_Tab 13_Overige tarieven'!$T$15+'TAR_Tab 13_Overige tarieven'!$T$16</f>
        <v>1.0620000000000001</v>
      </c>
      <c r="Z106" s="960"/>
    </row>
    <row r="107" spans="1:26">
      <c r="A107" s="155">
        <v>300228</v>
      </c>
      <c r="B107" s="156" t="s">
        <v>1055</v>
      </c>
      <c r="C107" s="839">
        <v>0.89856317570502919</v>
      </c>
      <c r="D107" s="1356">
        <f t="shared" si="18"/>
        <v>0.85686984435231583</v>
      </c>
      <c r="E107" s="1356">
        <f t="shared" si="19"/>
        <v>0.90540498296169658</v>
      </c>
      <c r="F107" s="1357"/>
      <c r="G107" s="1358">
        <f t="shared" si="20"/>
        <v>0.86013473381361172</v>
      </c>
      <c r="H107" s="1358">
        <f t="shared" si="21"/>
        <v>0.95067523210978144</v>
      </c>
      <c r="I107" s="833">
        <v>0.91019147017848201</v>
      </c>
      <c r="J107" s="1359" t="b">
        <f t="shared" si="16"/>
        <v>1</v>
      </c>
      <c r="K107" s="1583"/>
      <c r="L107" s="17"/>
      <c r="M107" s="1361">
        <f t="shared" si="17"/>
        <v>0.91019147017848201</v>
      </c>
      <c r="N107" s="1350"/>
      <c r="O107" s="1358">
        <f t="shared" si="22"/>
        <v>2.8623003523783816E-3</v>
      </c>
      <c r="P107" s="1358">
        <f t="shared" si="23"/>
        <v>2.2687749350305026E-3</v>
      </c>
      <c r="Q107" s="1358">
        <f t="shared" si="24"/>
        <v>6.2743659155349244E-3</v>
      </c>
      <c r="R107" s="1358">
        <f t="shared" si="25"/>
        <v>0</v>
      </c>
      <c r="S107" s="1358">
        <f t="shared" si="26"/>
        <v>5.8865340462458754E-2</v>
      </c>
      <c r="T107" s="1358">
        <f t="shared" si="15"/>
        <v>0.98046225184388447</v>
      </c>
      <c r="U107" s="595">
        <f>IF('TAR_Tab 2_Volumina'!C110="storage",1,0)</f>
        <v>0</v>
      </c>
      <c r="V107" s="1362">
        <f t="shared" si="29"/>
        <v>0.98046225184388447</v>
      </c>
      <c r="W107" s="1362">
        <f t="shared" si="27"/>
        <v>1.0329983467126331</v>
      </c>
      <c r="X107" s="1355">
        <f t="shared" si="28"/>
        <v>1.0329999999999999</v>
      </c>
      <c r="Y107" s="1355">
        <f>X107+'TAR_Tab 13_Overige tarieven'!$T$15+'TAR_Tab 13_Overige tarieven'!$T$16</f>
        <v>1.1859999999999999</v>
      </c>
      <c r="Z107" s="960"/>
    </row>
    <row r="108" spans="1:26">
      <c r="A108" s="155">
        <v>300231</v>
      </c>
      <c r="B108" s="156" t="s">
        <v>1056</v>
      </c>
      <c r="C108" s="839">
        <v>0.86957726681131853</v>
      </c>
      <c r="D108" s="1356">
        <f t="shared" si="18"/>
        <v>0.8292288816312734</v>
      </c>
      <c r="E108" s="1356">
        <f t="shared" si="19"/>
        <v>0.87619837060809347</v>
      </c>
      <c r="F108" s="1357"/>
      <c r="G108" s="1358">
        <f t="shared" si="20"/>
        <v>0.83238845207768875</v>
      </c>
      <c r="H108" s="1358">
        <f t="shared" si="21"/>
        <v>0.92000828913849819</v>
      </c>
      <c r="I108" s="833">
        <v>0.8808304550114342</v>
      </c>
      <c r="J108" s="1359" t="b">
        <f t="shared" si="16"/>
        <v>1</v>
      </c>
      <c r="K108" s="1583"/>
      <c r="L108" s="17"/>
      <c r="M108" s="1361">
        <f t="shared" si="17"/>
        <v>0.8808304550114342</v>
      </c>
      <c r="N108" s="1350"/>
      <c r="O108" s="1358">
        <f t="shared" si="22"/>
        <v>2.7699680829468207E-3</v>
      </c>
      <c r="P108" s="1358">
        <f t="shared" si="23"/>
        <v>2.1955886468037122E-3</v>
      </c>
      <c r="Q108" s="1358">
        <f t="shared" si="24"/>
        <v>6.0719670150337982E-3</v>
      </c>
      <c r="R108" s="1358">
        <f t="shared" si="25"/>
        <v>0</v>
      </c>
      <c r="S108" s="1358">
        <f t="shared" si="26"/>
        <v>5.696645851205686E-2</v>
      </c>
      <c r="T108" s="1358">
        <f t="shared" si="15"/>
        <v>0.94883443726827532</v>
      </c>
      <c r="U108" s="595">
        <f>IF('TAR_Tab 2_Volumina'!C111="storage",1,0)</f>
        <v>0</v>
      </c>
      <c r="V108" s="1362">
        <f t="shared" si="29"/>
        <v>0.94883443726827532</v>
      </c>
      <c r="W108" s="1362">
        <f t="shared" si="27"/>
        <v>0.99967581939932249</v>
      </c>
      <c r="X108" s="1355">
        <f t="shared" si="28"/>
        <v>1</v>
      </c>
      <c r="Y108" s="1355">
        <f>X108+'TAR_Tab 13_Overige tarieven'!$T$15+'TAR_Tab 13_Overige tarieven'!$T$16</f>
        <v>1.153</v>
      </c>
      <c r="Z108" s="960"/>
    </row>
    <row r="109" spans="1:26">
      <c r="A109" s="155">
        <v>300234</v>
      </c>
      <c r="B109" s="156" t="s">
        <v>94</v>
      </c>
      <c r="C109" s="839">
        <v>0.85881107207936869</v>
      </c>
      <c r="D109" s="1356">
        <f t="shared" si="18"/>
        <v>0.81896223833488602</v>
      </c>
      <c r="E109" s="1356">
        <f t="shared" si="19"/>
        <v>0.86535020030532639</v>
      </c>
      <c r="F109" s="1357"/>
      <c r="G109" s="1358">
        <f t="shared" si="20"/>
        <v>0.82208269029005998</v>
      </c>
      <c r="H109" s="1358">
        <f t="shared" si="21"/>
        <v>0.9086177103205928</v>
      </c>
      <c r="I109" s="833">
        <v>0.86992493509224478</v>
      </c>
      <c r="J109" s="1359" t="b">
        <f t="shared" si="16"/>
        <v>1</v>
      </c>
      <c r="K109" s="1583"/>
      <c r="L109" s="17"/>
      <c r="M109" s="1361">
        <f t="shared" si="17"/>
        <v>0.86992493509224478</v>
      </c>
      <c r="N109" s="1350"/>
      <c r="O109" s="1358">
        <f t="shared" si="22"/>
        <v>2.7356732400150977E-3</v>
      </c>
      <c r="P109" s="1358">
        <f t="shared" si="23"/>
        <v>2.1684051683194751E-3</v>
      </c>
      <c r="Q109" s="1358">
        <f t="shared" si="24"/>
        <v>5.9967902805619496E-3</v>
      </c>
      <c r="R109" s="1358">
        <f t="shared" si="25"/>
        <v>0</v>
      </c>
      <c r="S109" s="1358">
        <f t="shared" si="26"/>
        <v>5.6261159501907569E-2</v>
      </c>
      <c r="T109" s="1358">
        <f t="shared" si="15"/>
        <v>0.93708696328304897</v>
      </c>
      <c r="U109" s="595">
        <f>IF('TAR_Tab 2_Volumina'!C112="storage",1,0)</f>
        <v>0</v>
      </c>
      <c r="V109" s="1362">
        <f t="shared" si="29"/>
        <v>0.93708696328304897</v>
      </c>
      <c r="W109" s="1362">
        <f t="shared" si="27"/>
        <v>0.98729888068294991</v>
      </c>
      <c r="X109" s="1355">
        <f t="shared" si="28"/>
        <v>0.98699999999999999</v>
      </c>
      <c r="Y109" s="1355">
        <f>X109+'TAR_Tab 13_Overige tarieven'!$T$15+'TAR_Tab 13_Overige tarieven'!$T$16</f>
        <v>1.1399999999999999</v>
      </c>
      <c r="Z109" s="960"/>
    </row>
    <row r="110" spans="1:26">
      <c r="A110" s="155">
        <v>300236</v>
      </c>
      <c r="B110" s="156" t="s">
        <v>1057</v>
      </c>
      <c r="C110" s="839">
        <v>0.95980927989133291</v>
      </c>
      <c r="D110" s="1356">
        <f t="shared" si="18"/>
        <v>0.91527412930437502</v>
      </c>
      <c r="E110" s="1356">
        <f t="shared" si="19"/>
        <v>0.96711742502094467</v>
      </c>
      <c r="F110" s="1357"/>
      <c r="G110" s="1358">
        <f t="shared" si="20"/>
        <v>0.91876155376989743</v>
      </c>
      <c r="H110" s="1358">
        <f t="shared" si="21"/>
        <v>1.0154732962719919</v>
      </c>
      <c r="I110" s="833">
        <v>0.97223015940953927</v>
      </c>
      <c r="J110" s="1359" t="b">
        <f t="shared" si="16"/>
        <v>1</v>
      </c>
      <c r="K110" s="1583"/>
      <c r="L110" s="17"/>
      <c r="M110" s="1361">
        <f t="shared" si="17"/>
        <v>0.97223015940953927</v>
      </c>
      <c r="N110" s="1350"/>
      <c r="O110" s="1358">
        <f t="shared" si="22"/>
        <v>3.057394865857317E-3</v>
      </c>
      <c r="P110" s="1358">
        <f t="shared" si="23"/>
        <v>2.4234147308769402E-3</v>
      </c>
      <c r="Q110" s="1358">
        <f t="shared" si="24"/>
        <v>6.7020269625885512E-3</v>
      </c>
      <c r="R110" s="1358">
        <f t="shared" si="25"/>
        <v>0</v>
      </c>
      <c r="S110" s="1358">
        <f t="shared" si="26"/>
        <v>6.2877604566312362E-2</v>
      </c>
      <c r="T110" s="1358">
        <f t="shared" si="15"/>
        <v>1.0472906005351745</v>
      </c>
      <c r="U110" s="595">
        <f>IF('TAR_Tab 2_Volumina'!C113="storage",1,0)</f>
        <v>0</v>
      </c>
      <c r="V110" s="1362">
        <f t="shared" si="29"/>
        <v>1.0472906005351745</v>
      </c>
      <c r="W110" s="1362">
        <f t="shared" si="27"/>
        <v>1.1034075578595302</v>
      </c>
      <c r="X110" s="1355">
        <f t="shared" si="28"/>
        <v>1.103</v>
      </c>
      <c r="Y110" s="1355">
        <f>X110+'TAR_Tab 13_Overige tarieven'!$T$15+'TAR_Tab 13_Overige tarieven'!$T$16</f>
        <v>1.256</v>
      </c>
      <c r="Z110" s="960"/>
    </row>
    <row r="111" spans="1:26">
      <c r="A111" s="155">
        <v>300237</v>
      </c>
      <c r="B111" s="156" t="s">
        <v>301</v>
      </c>
      <c r="C111" s="839">
        <v>0.33464017636196092</v>
      </c>
      <c r="D111" s="1356">
        <f t="shared" si="18"/>
        <v>0.31911287217876594</v>
      </c>
      <c r="E111" s="1356">
        <f t="shared" si="19"/>
        <v>0.33718818149828239</v>
      </c>
      <c r="F111" s="1357"/>
      <c r="G111" s="1358">
        <f t="shared" si="20"/>
        <v>0.32032877242336827</v>
      </c>
      <c r="H111" s="1358">
        <f t="shared" si="21"/>
        <v>0.35404759057319651</v>
      </c>
      <c r="I111" s="833">
        <v>0.33897075057042647</v>
      </c>
      <c r="J111" s="1359" t="b">
        <f t="shared" si="16"/>
        <v>1</v>
      </c>
      <c r="K111" s="1583"/>
      <c r="L111" s="17"/>
      <c r="M111" s="1361">
        <f t="shared" si="17"/>
        <v>0.33897075057042647</v>
      </c>
      <c r="N111" s="1350"/>
      <c r="O111" s="1358">
        <f t="shared" si="22"/>
        <v>1.065969228005883E-3</v>
      </c>
      <c r="P111" s="1358">
        <f t="shared" si="23"/>
        <v>8.4493028972448521E-4</v>
      </c>
      <c r="Q111" s="1358">
        <f t="shared" si="24"/>
        <v>2.3366803507017253E-3</v>
      </c>
      <c r="R111" s="1358">
        <f t="shared" si="25"/>
        <v>0</v>
      </c>
      <c r="S111" s="1358">
        <f t="shared" si="26"/>
        <v>2.1922451805915712E-2</v>
      </c>
      <c r="T111" s="1358">
        <f t="shared" si="15"/>
        <v>0.36514078224477431</v>
      </c>
      <c r="U111" s="595">
        <f>IF('TAR_Tab 2_Volumina'!C114="storage",1,0)</f>
        <v>0</v>
      </c>
      <c r="V111" s="1362">
        <f t="shared" si="29"/>
        <v>0.36514078224477431</v>
      </c>
      <c r="W111" s="1362">
        <f t="shared" si="27"/>
        <v>0.38470611557645984</v>
      </c>
      <c r="X111" s="1355">
        <f t="shared" si="28"/>
        <v>0.38500000000000001</v>
      </c>
      <c r="Y111" s="1355">
        <f>X111+'TAR_Tab 13_Overige tarieven'!$T$15+'TAR_Tab 13_Overige tarieven'!$T$16</f>
        <v>0.53800000000000003</v>
      </c>
      <c r="Z111" s="960"/>
    </row>
    <row r="112" spans="1:26">
      <c r="A112" s="155">
        <v>300241</v>
      </c>
      <c r="B112" s="156" t="s">
        <v>1058</v>
      </c>
      <c r="C112" s="839">
        <v>1.169431496746256</v>
      </c>
      <c r="D112" s="1356">
        <f t="shared" si="18"/>
        <v>1.1151698752972297</v>
      </c>
      <c r="E112" s="1356">
        <f t="shared" si="19"/>
        <v>1.1783357397832981</v>
      </c>
      <c r="F112" s="1357"/>
      <c r="G112" s="1358">
        <f t="shared" si="20"/>
        <v>1.1194189527941332</v>
      </c>
      <c r="H112" s="1358">
        <f t="shared" si="21"/>
        <v>1.237252526772463</v>
      </c>
      <c r="I112" s="833">
        <v>1.1845650946705493</v>
      </c>
      <c r="J112" s="1359" t="b">
        <f t="shared" si="16"/>
        <v>1</v>
      </c>
      <c r="K112" s="1583"/>
      <c r="L112" s="17"/>
      <c r="M112" s="1361">
        <f t="shared" si="17"/>
        <v>1.1845650946705493</v>
      </c>
      <c r="N112" s="1350"/>
      <c r="O112" s="1358">
        <f t="shared" si="22"/>
        <v>3.7251294908595173E-3</v>
      </c>
      <c r="P112" s="1358">
        <f t="shared" si="23"/>
        <v>2.9526881801843021E-3</v>
      </c>
      <c r="Q112" s="1358">
        <f t="shared" si="24"/>
        <v>8.1657487443557962E-3</v>
      </c>
      <c r="R112" s="1358">
        <f t="shared" si="25"/>
        <v>0</v>
      </c>
      <c r="S112" s="1358">
        <f t="shared" si="26"/>
        <v>7.6610064895524729E-2</v>
      </c>
      <c r="T112" s="1358">
        <f t="shared" si="15"/>
        <v>1.2760187259814737</v>
      </c>
      <c r="U112" s="595">
        <f>IF('TAR_Tab 2_Volumina'!C115="storage",1,0)</f>
        <v>0</v>
      </c>
      <c r="V112" s="1362">
        <f t="shared" si="29"/>
        <v>1.2760187259814737</v>
      </c>
      <c r="W112" s="1362">
        <f t="shared" si="27"/>
        <v>1.3443916191921923</v>
      </c>
      <c r="X112" s="1355">
        <f t="shared" si="28"/>
        <v>1.3440000000000001</v>
      </c>
      <c r="Y112" s="1355">
        <f>X112+'TAR_Tab 13_Overige tarieven'!$T$15+'TAR_Tab 13_Overige tarieven'!$T$16</f>
        <v>1.4970000000000001</v>
      </c>
      <c r="Z112" s="960"/>
    </row>
    <row r="113" spans="1:26">
      <c r="A113" s="155">
        <v>300242</v>
      </c>
      <c r="B113" s="156" t="s">
        <v>95</v>
      </c>
      <c r="C113" s="839">
        <v>0.31559199406708227</v>
      </c>
      <c r="D113" s="1356">
        <f t="shared" si="18"/>
        <v>0.30094852554236967</v>
      </c>
      <c r="E113" s="1356">
        <f t="shared" si="19"/>
        <v>0.31799496322221171</v>
      </c>
      <c r="F113" s="1357"/>
      <c r="G113" s="1358">
        <f t="shared" si="20"/>
        <v>0.3020952150611011</v>
      </c>
      <c r="H113" s="1358">
        <f t="shared" si="21"/>
        <v>0.33389471138332233</v>
      </c>
      <c r="I113" s="833">
        <v>0.31967606599401921</v>
      </c>
      <c r="J113" s="1359" t="b">
        <f t="shared" si="16"/>
        <v>1</v>
      </c>
      <c r="K113" s="1583"/>
      <c r="L113" s="17"/>
      <c r="M113" s="1361">
        <f t="shared" si="17"/>
        <v>0.31967606599401921</v>
      </c>
      <c r="N113" s="1350"/>
      <c r="O113" s="1358">
        <f t="shared" si="22"/>
        <v>1.0052927832450344E-3</v>
      </c>
      <c r="P113" s="1358">
        <f t="shared" si="23"/>
        <v>7.9683568745614233E-4</v>
      </c>
      <c r="Q113" s="1358">
        <f t="shared" si="24"/>
        <v>2.2036732689791646E-3</v>
      </c>
      <c r="R113" s="1358">
        <f t="shared" si="25"/>
        <v>0</v>
      </c>
      <c r="S113" s="1358">
        <f t="shared" si="26"/>
        <v>2.0674595487856343E-2</v>
      </c>
      <c r="T113" s="1358">
        <f t="shared" si="15"/>
        <v>0.34435646322155589</v>
      </c>
      <c r="U113" s="595">
        <f>IF('TAR_Tab 2_Volumina'!C116="storage",1,0)</f>
        <v>0</v>
      </c>
      <c r="V113" s="1362">
        <f t="shared" si="29"/>
        <v>0.34435646322155589</v>
      </c>
      <c r="W113" s="1362">
        <f t="shared" si="27"/>
        <v>0.3628081106832014</v>
      </c>
      <c r="X113" s="1355">
        <f t="shared" si="28"/>
        <v>0.36299999999999999</v>
      </c>
      <c r="Y113" s="1355">
        <f>X113+'TAR_Tab 13_Overige tarieven'!$T$15+'TAR_Tab 13_Overige tarieven'!$T$16</f>
        <v>0.51600000000000001</v>
      </c>
      <c r="Z113" s="960"/>
    </row>
    <row r="114" spans="1:26">
      <c r="A114" s="155">
        <v>300245</v>
      </c>
      <c r="B114" s="156" t="s">
        <v>1059</v>
      </c>
      <c r="C114" s="839">
        <v>1.248403728743237</v>
      </c>
      <c r="D114" s="1356">
        <f t="shared" si="18"/>
        <v>1.1904777957295509</v>
      </c>
      <c r="E114" s="1356">
        <f t="shared" si="19"/>
        <v>1.2579092792949438</v>
      </c>
      <c r="F114" s="1357"/>
      <c r="G114" s="1358">
        <f t="shared" si="20"/>
        <v>1.1950138153301966</v>
      </c>
      <c r="H114" s="1358">
        <f t="shared" si="21"/>
        <v>1.320804743259691</v>
      </c>
      <c r="I114" s="833">
        <v>1.2645593053037754</v>
      </c>
      <c r="J114" s="1359" t="b">
        <f t="shared" si="16"/>
        <v>1</v>
      </c>
      <c r="K114" s="1583"/>
      <c r="L114" s="17"/>
      <c r="M114" s="1361">
        <f t="shared" si="17"/>
        <v>1.2645593053037754</v>
      </c>
      <c r="N114" s="1350"/>
      <c r="O114" s="1358">
        <f t="shared" si="22"/>
        <v>3.9766891514206237E-3</v>
      </c>
      <c r="P114" s="1358">
        <f t="shared" si="23"/>
        <v>3.1520845335654486E-3</v>
      </c>
      <c r="Q114" s="1358">
        <f t="shared" si="24"/>
        <v>8.7171854091476712E-3</v>
      </c>
      <c r="R114" s="1358">
        <f t="shared" si="25"/>
        <v>0</v>
      </c>
      <c r="S114" s="1358">
        <f t="shared" si="26"/>
        <v>8.1783576841343242E-2</v>
      </c>
      <c r="T114" s="1358">
        <f t="shared" si="15"/>
        <v>1.3621888412392524</v>
      </c>
      <c r="U114" s="595">
        <f>IF('TAR_Tab 2_Volumina'!C117="storage",1,0)</f>
        <v>0</v>
      </c>
      <c r="V114" s="1362">
        <f t="shared" si="29"/>
        <v>1.3621888412392524</v>
      </c>
      <c r="W114" s="1362">
        <f t="shared" si="27"/>
        <v>1.4351789865078857</v>
      </c>
      <c r="X114" s="1355">
        <f t="shared" si="28"/>
        <v>1.4350000000000001</v>
      </c>
      <c r="Y114" s="1355">
        <f>X114+'TAR_Tab 13_Overige tarieven'!$T$15+'TAR_Tab 13_Overige tarieven'!$T$16</f>
        <v>1.5880000000000001</v>
      </c>
      <c r="Z114" s="960"/>
    </row>
    <row r="115" spans="1:26">
      <c r="A115" s="155">
        <v>300246</v>
      </c>
      <c r="B115" s="156" t="s">
        <v>417</v>
      </c>
      <c r="C115" s="839">
        <v>1.5137244317199878</v>
      </c>
      <c r="D115" s="1356">
        <f t="shared" si="18"/>
        <v>1.4434876180881804</v>
      </c>
      <c r="E115" s="1356">
        <f t="shared" si="19"/>
        <v>1.5252501775791041</v>
      </c>
      <c r="F115" s="1357"/>
      <c r="G115" s="1358">
        <f t="shared" si="20"/>
        <v>1.4489876687001488</v>
      </c>
      <c r="H115" s="1358">
        <f t="shared" si="21"/>
        <v>1.6015126864580593</v>
      </c>
      <c r="I115" s="833">
        <v>1.5333135200775083</v>
      </c>
      <c r="J115" s="1359" t="b">
        <f t="shared" si="16"/>
        <v>1</v>
      </c>
      <c r="K115" s="1583"/>
      <c r="L115" s="17"/>
      <c r="M115" s="1361">
        <f t="shared" si="17"/>
        <v>1.5333135200775083</v>
      </c>
      <c r="N115" s="1350"/>
      <c r="O115" s="1358">
        <f t="shared" si="22"/>
        <v>4.8218468010514052E-3</v>
      </c>
      <c r="P115" s="1358">
        <f t="shared" si="23"/>
        <v>3.821990642488754E-3</v>
      </c>
      <c r="Q115" s="1358">
        <f t="shared" si="24"/>
        <v>1.0569831077758473E-2</v>
      </c>
      <c r="R115" s="1358">
        <f t="shared" si="25"/>
        <v>0</v>
      </c>
      <c r="S115" s="1358">
        <f t="shared" si="26"/>
        <v>9.916487393290388E-2</v>
      </c>
      <c r="T115" s="1358">
        <f t="shared" si="15"/>
        <v>1.6516920625317109</v>
      </c>
      <c r="U115" s="595">
        <f>IF('TAR_Tab 2_Volumina'!C118="storage",1,0)</f>
        <v>0</v>
      </c>
      <c r="V115" s="1362">
        <f t="shared" si="29"/>
        <v>1.6516920625317109</v>
      </c>
      <c r="W115" s="1362">
        <f t="shared" si="27"/>
        <v>1.7401946547813734</v>
      </c>
      <c r="X115" s="1355">
        <f t="shared" si="28"/>
        <v>1.74</v>
      </c>
      <c r="Y115" s="1355">
        <f>X115+'TAR_Tab 13_Overige tarieven'!$T$15+'TAR_Tab 13_Overige tarieven'!$T$16</f>
        <v>1.893</v>
      </c>
      <c r="Z115" s="960"/>
    </row>
    <row r="116" spans="1:26">
      <c r="A116" s="155">
        <v>300248</v>
      </c>
      <c r="B116" s="156" t="s">
        <v>302</v>
      </c>
      <c r="C116" s="839">
        <v>1.073020270517556</v>
      </c>
      <c r="D116" s="1356">
        <f t="shared" si="18"/>
        <v>1.0232321299655414</v>
      </c>
      <c r="E116" s="1356">
        <f t="shared" si="19"/>
        <v>1.0811904226803331</v>
      </c>
      <c r="F116" s="1357"/>
      <c r="G116" s="1358">
        <f t="shared" si="20"/>
        <v>1.0271309015463164</v>
      </c>
      <c r="H116" s="1358">
        <f t="shared" si="21"/>
        <v>1.1352499438143497</v>
      </c>
      <c r="I116" s="833">
        <v>1.0869062120060575</v>
      </c>
      <c r="J116" s="1359" t="b">
        <f t="shared" si="16"/>
        <v>1</v>
      </c>
      <c r="K116" s="1583"/>
      <c r="L116" s="17"/>
      <c r="M116" s="1361">
        <f t="shared" si="17"/>
        <v>1.0869062120060575</v>
      </c>
      <c r="N116" s="1350"/>
      <c r="O116" s="1358">
        <f t="shared" si="22"/>
        <v>3.418019324018863E-3</v>
      </c>
      <c r="P116" s="1358">
        <f t="shared" si="23"/>
        <v>2.7092602505324934E-3</v>
      </c>
      <c r="Q116" s="1358">
        <f t="shared" si="24"/>
        <v>7.4925414195067108E-3</v>
      </c>
      <c r="R116" s="1358">
        <f t="shared" si="25"/>
        <v>0</v>
      </c>
      <c r="S116" s="1358">
        <f t="shared" si="26"/>
        <v>7.0294115377670718E-2</v>
      </c>
      <c r="T116" s="1358">
        <f t="shared" si="15"/>
        <v>1.1708201483777865</v>
      </c>
      <c r="U116" s="595">
        <f>IF('TAR_Tab 2_Volumina'!C119="storage",1,0)</f>
        <v>0</v>
      </c>
      <c r="V116" s="1362">
        <f t="shared" si="29"/>
        <v>1.1708201483777865</v>
      </c>
      <c r="W116" s="1362">
        <f t="shared" si="27"/>
        <v>1.2335561877038694</v>
      </c>
      <c r="X116" s="1355">
        <f t="shared" si="28"/>
        <v>1.234</v>
      </c>
      <c r="Y116" s="1355">
        <f>X116+'TAR_Tab 13_Overige tarieven'!$T$15+'TAR_Tab 13_Overige tarieven'!$T$16</f>
        <v>1.387</v>
      </c>
      <c r="Z116" s="960"/>
    </row>
    <row r="117" spans="1:26">
      <c r="A117" s="155">
        <v>300249</v>
      </c>
      <c r="B117" s="156" t="s">
        <v>303</v>
      </c>
      <c r="C117" s="839">
        <v>0.78082707817790864</v>
      </c>
      <c r="D117" s="1356">
        <f t="shared" si="18"/>
        <v>0.74459670175045367</v>
      </c>
      <c r="E117" s="1356">
        <f t="shared" si="19"/>
        <v>0.78677242349599197</v>
      </c>
      <c r="F117" s="1357"/>
      <c r="G117" s="1358">
        <f t="shared" si="20"/>
        <v>0.74743380232119239</v>
      </c>
      <c r="H117" s="1358">
        <f t="shared" si="21"/>
        <v>0.82611104467079155</v>
      </c>
      <c r="I117" s="833">
        <v>0.7909317513309948</v>
      </c>
      <c r="J117" s="1359" t="b">
        <f t="shared" si="16"/>
        <v>1</v>
      </c>
      <c r="K117" s="1583"/>
      <c r="L117" s="17"/>
      <c r="M117" s="1361">
        <f t="shared" si="17"/>
        <v>0.7909317513309948</v>
      </c>
      <c r="N117" s="1350"/>
      <c r="O117" s="1358">
        <f t="shared" si="22"/>
        <v>2.4872615320137262E-3</v>
      </c>
      <c r="P117" s="1358">
        <f t="shared" si="23"/>
        <v>1.9715040093571316E-3</v>
      </c>
      <c r="Q117" s="1358">
        <f t="shared" si="24"/>
        <v>5.4522541516373573E-3</v>
      </c>
      <c r="R117" s="1358">
        <f t="shared" si="25"/>
        <v>0</v>
      </c>
      <c r="S117" s="1358">
        <f t="shared" si="26"/>
        <v>5.1152387547136642E-2</v>
      </c>
      <c r="T117" s="1358">
        <f t="shared" si="15"/>
        <v>0.85199515857113961</v>
      </c>
      <c r="U117" s="595">
        <f>IF('TAR_Tab 2_Volumina'!C120="storage",1,0)</f>
        <v>0</v>
      </c>
      <c r="V117" s="1362">
        <f t="shared" si="29"/>
        <v>0.85199515857113961</v>
      </c>
      <c r="W117" s="1362">
        <f t="shared" si="27"/>
        <v>0.89764760301173918</v>
      </c>
      <c r="X117" s="1355">
        <f t="shared" si="28"/>
        <v>0.89800000000000002</v>
      </c>
      <c r="Y117" s="1355">
        <f>X117+'TAR_Tab 13_Overige tarieven'!$T$15+'TAR_Tab 13_Overige tarieven'!$T$16</f>
        <v>1.0510000000000002</v>
      </c>
      <c r="Z117" s="960"/>
    </row>
    <row r="118" spans="1:26">
      <c r="A118" s="155">
        <v>300250</v>
      </c>
      <c r="B118" s="156" t="s">
        <v>790</v>
      </c>
      <c r="C118" s="839">
        <v>0.79875495843527033</v>
      </c>
      <c r="D118" s="1356">
        <f t="shared" si="18"/>
        <v>0.76169272836387381</v>
      </c>
      <c r="E118" s="1356">
        <f t="shared" si="19"/>
        <v>0.80483680957126158</v>
      </c>
      <c r="F118" s="1357"/>
      <c r="G118" s="1358">
        <f t="shared" si="20"/>
        <v>0.76459496909269842</v>
      </c>
      <c r="H118" s="1358">
        <f t="shared" si="21"/>
        <v>0.84507865004982474</v>
      </c>
      <c r="I118" s="833">
        <v>0.80909163605565937</v>
      </c>
      <c r="J118" s="1359" t="b">
        <f t="shared" si="16"/>
        <v>1</v>
      </c>
      <c r="K118" s="1583"/>
      <c r="L118" s="17"/>
      <c r="M118" s="1361">
        <f t="shared" si="17"/>
        <v>0.80909163605565937</v>
      </c>
      <c r="N118" s="1350"/>
      <c r="O118" s="1358">
        <f t="shared" si="22"/>
        <v>2.544369345204247E-3</v>
      </c>
      <c r="P118" s="1358">
        <f t="shared" si="23"/>
        <v>2.0167699700217412E-3</v>
      </c>
      <c r="Q118" s="1358">
        <f t="shared" si="24"/>
        <v>5.5774385391862049E-3</v>
      </c>
      <c r="R118" s="1358">
        <f t="shared" si="25"/>
        <v>0</v>
      </c>
      <c r="S118" s="1358">
        <f t="shared" si="26"/>
        <v>5.232685229669836E-2</v>
      </c>
      <c r="T118" s="1358">
        <f t="shared" si="15"/>
        <v>0.87155706620676998</v>
      </c>
      <c r="U118" s="595">
        <f>IF('TAR_Tab 2_Volumina'!C121="storage",1,0)</f>
        <v>0</v>
      </c>
      <c r="V118" s="1362">
        <f t="shared" si="29"/>
        <v>0.87155706620676998</v>
      </c>
      <c r="W118" s="1362">
        <f t="shared" si="27"/>
        <v>0.91825769606544805</v>
      </c>
      <c r="X118" s="1355">
        <f t="shared" si="28"/>
        <v>0.91800000000000004</v>
      </c>
      <c r="Y118" s="1355">
        <f>X118+'TAR_Tab 13_Overige tarieven'!$T$15+'TAR_Tab 13_Overige tarieven'!$T$16</f>
        <v>1.0710000000000002</v>
      </c>
      <c r="Z118" s="960"/>
    </row>
    <row r="119" spans="1:26">
      <c r="A119" s="155">
        <v>300251</v>
      </c>
      <c r="B119" s="156" t="s">
        <v>96</v>
      </c>
      <c r="C119" s="839">
        <v>0.33883527982647926</v>
      </c>
      <c r="D119" s="1356">
        <f t="shared" si="18"/>
        <v>0.32311332284253064</v>
      </c>
      <c r="E119" s="1356">
        <f t="shared" si="19"/>
        <v>0.34141522716798123</v>
      </c>
      <c r="F119" s="1357"/>
      <c r="G119" s="1358">
        <f t="shared" si="20"/>
        <v>0.32434446580958215</v>
      </c>
      <c r="H119" s="1358">
        <f t="shared" si="21"/>
        <v>0.35848598852638031</v>
      </c>
      <c r="I119" s="833">
        <v>0.34322014281480018</v>
      </c>
      <c r="J119" s="1359" t="b">
        <f t="shared" ref="J119:J172" si="30">IF(I119&gt;0,AND(I119&gt;=G119,I119&lt;=H119),"")</f>
        <v>1</v>
      </c>
      <c r="K119" s="1583"/>
      <c r="L119" s="17"/>
      <c r="M119" s="1361">
        <f t="shared" ref="M119:M172" si="31">IF(I119&gt;0,I119,E119)</f>
        <v>0.34322014281480018</v>
      </c>
      <c r="N119" s="1350"/>
      <c r="O119" s="1358">
        <f t="shared" si="22"/>
        <v>1.0793323909413473E-3</v>
      </c>
      <c r="P119" s="1358">
        <f t="shared" si="23"/>
        <v>8.5552247272006703E-4</v>
      </c>
      <c r="Q119" s="1358">
        <f t="shared" si="24"/>
        <v>2.3659733541338589E-3</v>
      </c>
      <c r="R119" s="1358">
        <f t="shared" si="25"/>
        <v>0</v>
      </c>
      <c r="S119" s="1358">
        <f t="shared" si="26"/>
        <v>2.2197275213318705E-2</v>
      </c>
      <c r="T119" s="1358">
        <f t="shared" ref="T119:T171" si="32">M119+O119+P119+Q119+R119+S119</f>
        <v>0.36971824624591415</v>
      </c>
      <c r="U119" s="595">
        <f>IF('TAR_Tab 2_Volumina'!C122="storage",1,0)</f>
        <v>0</v>
      </c>
      <c r="V119" s="1362">
        <f t="shared" si="29"/>
        <v>0.36971824624591415</v>
      </c>
      <c r="W119" s="1362">
        <f t="shared" si="27"/>
        <v>0.38952885376594287</v>
      </c>
      <c r="X119" s="1355">
        <f t="shared" si="28"/>
        <v>0.39</v>
      </c>
      <c r="Y119" s="1355">
        <f>X119+'TAR_Tab 13_Overige tarieven'!$T$15+'TAR_Tab 13_Overige tarieven'!$T$16</f>
        <v>0.54300000000000004</v>
      </c>
      <c r="Z119" s="960"/>
    </row>
    <row r="120" spans="1:26">
      <c r="A120" s="155">
        <v>300252</v>
      </c>
      <c r="B120" s="156" t="s">
        <v>418</v>
      </c>
      <c r="C120" s="839">
        <v>1.4960189999756759</v>
      </c>
      <c r="D120" s="1356">
        <f t="shared" si="18"/>
        <v>1.4266037183768046</v>
      </c>
      <c r="E120" s="1356">
        <f t="shared" si="19"/>
        <v>1.5074099337763127</v>
      </c>
      <c r="F120" s="1357"/>
      <c r="G120" s="1358">
        <f t="shared" si="20"/>
        <v>1.4320394370874969</v>
      </c>
      <c r="H120" s="1358">
        <f t="shared" si="21"/>
        <v>1.5827804304651285</v>
      </c>
      <c r="I120" s="833">
        <v>1.5153789625692333</v>
      </c>
      <c r="J120" s="1359" t="b">
        <f t="shared" si="30"/>
        <v>1</v>
      </c>
      <c r="K120" s="1583"/>
      <c r="L120" s="17"/>
      <c r="M120" s="1361">
        <f t="shared" si="31"/>
        <v>1.5153789625692333</v>
      </c>
      <c r="N120" s="1350"/>
      <c r="O120" s="1358">
        <f t="shared" si="22"/>
        <v>4.7654475796154805E-3</v>
      </c>
      <c r="P120" s="1358">
        <f t="shared" si="23"/>
        <v>3.7772863402855497E-3</v>
      </c>
      <c r="Q120" s="1358">
        <f t="shared" si="24"/>
        <v>1.0446199973724883E-2</v>
      </c>
      <c r="R120" s="1358">
        <f t="shared" si="25"/>
        <v>0</v>
      </c>
      <c r="S120" s="1358">
        <f t="shared" si="26"/>
        <v>9.8004981900998628E-2</v>
      </c>
      <c r="T120" s="1358">
        <f t="shared" si="32"/>
        <v>1.632372878363858</v>
      </c>
      <c r="U120" s="595">
        <f>IF('TAR_Tab 2_Volumina'!C123="storage",1,0)</f>
        <v>0</v>
      </c>
      <c r="V120" s="1362">
        <f t="shared" si="29"/>
        <v>1.632372878363858</v>
      </c>
      <c r="W120" s="1362">
        <f t="shared" si="27"/>
        <v>1.7198402910435571</v>
      </c>
      <c r="X120" s="1355">
        <f t="shared" si="28"/>
        <v>1.72</v>
      </c>
      <c r="Y120" s="1355">
        <f>X120+'TAR_Tab 13_Overige tarieven'!$T$15+'TAR_Tab 13_Overige tarieven'!$T$16</f>
        <v>1.873</v>
      </c>
      <c r="Z120" s="960"/>
    </row>
    <row r="121" spans="1:26">
      <c r="A121" s="155">
        <v>300262</v>
      </c>
      <c r="B121" s="156" t="s">
        <v>419</v>
      </c>
      <c r="C121" s="839">
        <v>0.33883527982647926</v>
      </c>
      <c r="D121" s="1356">
        <f t="shared" si="18"/>
        <v>0.32311332284253064</v>
      </c>
      <c r="E121" s="1356">
        <f t="shared" si="19"/>
        <v>0.34141522716798123</v>
      </c>
      <c r="F121" s="1357"/>
      <c r="G121" s="1358">
        <f t="shared" si="20"/>
        <v>0.32434446580958215</v>
      </c>
      <c r="H121" s="1358">
        <f t="shared" si="21"/>
        <v>0.35848598852638031</v>
      </c>
      <c r="I121" s="833">
        <v>0.34322014281480018</v>
      </c>
      <c r="J121" s="1359" t="b">
        <f t="shared" si="30"/>
        <v>1</v>
      </c>
      <c r="K121" s="1583"/>
      <c r="L121" s="17"/>
      <c r="M121" s="1361">
        <f t="shared" si="31"/>
        <v>0.34322014281480018</v>
      </c>
      <c r="N121" s="1350"/>
      <c r="O121" s="1358">
        <f t="shared" si="22"/>
        <v>1.0793323909413473E-3</v>
      </c>
      <c r="P121" s="1358">
        <f t="shared" si="23"/>
        <v>8.5552247272006703E-4</v>
      </c>
      <c r="Q121" s="1358">
        <f t="shared" si="24"/>
        <v>2.3659733541338589E-3</v>
      </c>
      <c r="R121" s="1358">
        <f t="shared" si="25"/>
        <v>0</v>
      </c>
      <c r="S121" s="1358">
        <f t="shared" si="26"/>
        <v>2.2197275213318705E-2</v>
      </c>
      <c r="T121" s="1358">
        <f t="shared" si="32"/>
        <v>0.36971824624591415</v>
      </c>
      <c r="U121" s="595">
        <f>IF('TAR_Tab 2_Volumina'!C124="storage",1,0)</f>
        <v>0</v>
      </c>
      <c r="V121" s="1362">
        <f t="shared" si="29"/>
        <v>0.36971824624591415</v>
      </c>
      <c r="W121" s="1362">
        <f t="shared" si="27"/>
        <v>0.38952885376594287</v>
      </c>
      <c r="X121" s="1355">
        <f t="shared" si="28"/>
        <v>0.39</v>
      </c>
      <c r="Y121" s="1355">
        <f>X121+'TAR_Tab 13_Overige tarieven'!$T$15+'TAR_Tab 13_Overige tarieven'!$T$16</f>
        <v>0.54300000000000004</v>
      </c>
      <c r="Z121" s="960"/>
    </row>
    <row r="122" spans="1:26">
      <c r="A122" s="155">
        <v>300263</v>
      </c>
      <c r="B122" s="156" t="s">
        <v>304</v>
      </c>
      <c r="C122" s="839">
        <v>1.3237536179981995</v>
      </c>
      <c r="D122" s="1356">
        <f t="shared" si="18"/>
        <v>1.2623314501230831</v>
      </c>
      <c r="E122" s="1356">
        <f t="shared" si="19"/>
        <v>1.3338328949533826</v>
      </c>
      <c r="F122" s="1357"/>
      <c r="G122" s="1358">
        <f t="shared" si="20"/>
        <v>1.2671412502057136</v>
      </c>
      <c r="H122" s="1358">
        <f t="shared" si="21"/>
        <v>1.4005245397010517</v>
      </c>
      <c r="I122" s="833">
        <v>1.3408842965042533</v>
      </c>
      <c r="J122" s="1359" t="b">
        <f t="shared" si="30"/>
        <v>1</v>
      </c>
      <c r="K122" s="1583"/>
      <c r="L122" s="17"/>
      <c r="M122" s="1361">
        <f t="shared" si="31"/>
        <v>1.3408842965042533</v>
      </c>
      <c r="N122" s="1350"/>
      <c r="O122" s="1358">
        <f t="shared" si="22"/>
        <v>4.2167101320232719E-3</v>
      </c>
      <c r="P122" s="1358">
        <f t="shared" si="23"/>
        <v>3.3423348628924326E-3</v>
      </c>
      <c r="Q122" s="1358">
        <f t="shared" si="24"/>
        <v>9.2433284669351436E-3</v>
      </c>
      <c r="R122" s="1358">
        <f t="shared" si="25"/>
        <v>0</v>
      </c>
      <c r="S122" s="1358">
        <f t="shared" si="26"/>
        <v>8.6719787232250642E-2</v>
      </c>
      <c r="T122" s="1358">
        <f t="shared" si="32"/>
        <v>1.4444064571983548</v>
      </c>
      <c r="U122" s="595">
        <f>IF('TAR_Tab 2_Volumina'!C125="storage",1,0)</f>
        <v>0</v>
      </c>
      <c r="V122" s="1362">
        <f t="shared" si="29"/>
        <v>1.4444064571983548</v>
      </c>
      <c r="W122" s="1362">
        <f t="shared" si="27"/>
        <v>1.5218020678113056</v>
      </c>
      <c r="X122" s="1355">
        <f t="shared" si="28"/>
        <v>1.522</v>
      </c>
      <c r="Y122" s="1355">
        <f>X122+'TAR_Tab 13_Overige tarieven'!$T$15+'TAR_Tab 13_Overige tarieven'!$T$16</f>
        <v>1.675</v>
      </c>
      <c r="Z122" s="960"/>
    </row>
    <row r="123" spans="1:26">
      <c r="A123" s="155">
        <v>300264</v>
      </c>
      <c r="B123" s="156" t="s">
        <v>97</v>
      </c>
      <c r="C123" s="839">
        <v>0.96443496255349814</v>
      </c>
      <c r="D123" s="1356">
        <f t="shared" si="18"/>
        <v>0.91968518029101587</v>
      </c>
      <c r="E123" s="1356">
        <f t="shared" si="19"/>
        <v>0.97177832838885525</v>
      </c>
      <c r="F123" s="1357"/>
      <c r="G123" s="1358">
        <f t="shared" si="20"/>
        <v>0.9231894119694124</v>
      </c>
      <c r="H123" s="1358">
        <f t="shared" si="21"/>
        <v>1.0203672448082981</v>
      </c>
      <c r="I123" s="833">
        <v>0.97691570297140606</v>
      </c>
      <c r="J123" s="1359" t="b">
        <f t="shared" si="30"/>
        <v>1</v>
      </c>
      <c r="K123" s="1583"/>
      <c r="L123" s="17"/>
      <c r="M123" s="1361">
        <f t="shared" si="31"/>
        <v>0.97691570297140606</v>
      </c>
      <c r="N123" s="1350"/>
      <c r="O123" s="1358">
        <f t="shared" si="22"/>
        <v>3.0721296040169548E-3</v>
      </c>
      <c r="P123" s="1358">
        <f t="shared" si="23"/>
        <v>2.4350940798254337E-3</v>
      </c>
      <c r="Q123" s="1358">
        <f t="shared" si="24"/>
        <v>6.7343265564471554E-3</v>
      </c>
      <c r="R123" s="1358">
        <f t="shared" si="25"/>
        <v>0</v>
      </c>
      <c r="S123" s="1358">
        <f t="shared" si="26"/>
        <v>6.3180635440647934E-2</v>
      </c>
      <c r="T123" s="1358">
        <f t="shared" si="32"/>
        <v>1.0523378886523436</v>
      </c>
      <c r="U123" s="595">
        <f>IF('TAR_Tab 2_Volumina'!C126="storage",1,0)</f>
        <v>0</v>
      </c>
      <c r="V123" s="1362">
        <f t="shared" si="29"/>
        <v>1.0523378886523436</v>
      </c>
      <c r="W123" s="1362">
        <f t="shared" si="27"/>
        <v>1.1087252947439563</v>
      </c>
      <c r="X123" s="1355">
        <f t="shared" si="28"/>
        <v>1.109</v>
      </c>
      <c r="Y123" s="1355">
        <f>X123+'TAR_Tab 13_Overige tarieven'!$T$15+'TAR_Tab 13_Overige tarieven'!$T$16</f>
        <v>1.262</v>
      </c>
      <c r="Z123" s="960"/>
    </row>
    <row r="124" spans="1:26">
      <c r="A124" s="155">
        <v>300265</v>
      </c>
      <c r="B124" s="156" t="s">
        <v>98</v>
      </c>
      <c r="C124" s="839">
        <v>0.89856317570502919</v>
      </c>
      <c r="D124" s="1356">
        <f t="shared" si="18"/>
        <v>0.85686984435231583</v>
      </c>
      <c r="E124" s="1356">
        <f t="shared" si="19"/>
        <v>0.90540498296169658</v>
      </c>
      <c r="F124" s="1357"/>
      <c r="G124" s="1358">
        <f t="shared" si="20"/>
        <v>0.86013473381361172</v>
      </c>
      <c r="H124" s="1358">
        <f t="shared" si="21"/>
        <v>0.95067523210978144</v>
      </c>
      <c r="I124" s="833">
        <v>0.91019147017848201</v>
      </c>
      <c r="J124" s="1359" t="b">
        <f t="shared" si="30"/>
        <v>1</v>
      </c>
      <c r="K124" s="1583"/>
      <c r="L124" s="17"/>
      <c r="M124" s="1361">
        <f t="shared" si="31"/>
        <v>0.91019147017848201</v>
      </c>
      <c r="N124" s="1350"/>
      <c r="O124" s="1358">
        <f t="shared" si="22"/>
        <v>2.8623003523783816E-3</v>
      </c>
      <c r="P124" s="1358">
        <f t="shared" si="23"/>
        <v>2.2687749350305026E-3</v>
      </c>
      <c r="Q124" s="1358">
        <f t="shared" si="24"/>
        <v>6.2743659155349244E-3</v>
      </c>
      <c r="R124" s="1358">
        <f t="shared" si="25"/>
        <v>0</v>
      </c>
      <c r="S124" s="1358">
        <f t="shared" si="26"/>
        <v>5.8865340462458754E-2</v>
      </c>
      <c r="T124" s="1358">
        <f t="shared" si="32"/>
        <v>0.98046225184388447</v>
      </c>
      <c r="U124" s="595">
        <f>IF('TAR_Tab 2_Volumina'!C127="storage",1,0)</f>
        <v>0</v>
      </c>
      <c r="V124" s="1362">
        <f t="shared" si="29"/>
        <v>0.98046225184388447</v>
      </c>
      <c r="W124" s="1362">
        <f t="shared" si="27"/>
        <v>1.0329983467126331</v>
      </c>
      <c r="X124" s="1355">
        <f t="shared" si="28"/>
        <v>1.0329999999999999</v>
      </c>
      <c r="Y124" s="1355">
        <f>X124+'TAR_Tab 13_Overige tarieven'!$T$15+'TAR_Tab 13_Overige tarieven'!$T$16</f>
        <v>1.1859999999999999</v>
      </c>
      <c r="Z124" s="960"/>
    </row>
    <row r="125" spans="1:26">
      <c r="A125" s="155">
        <v>300267</v>
      </c>
      <c r="B125" s="156" t="s">
        <v>1060</v>
      </c>
      <c r="C125" s="839">
        <v>0.8062025571153193</v>
      </c>
      <c r="D125" s="1356">
        <f t="shared" si="18"/>
        <v>0.76879475846516854</v>
      </c>
      <c r="E125" s="1356">
        <f t="shared" si="19"/>
        <v>0.8123411154880098</v>
      </c>
      <c r="F125" s="1357"/>
      <c r="G125" s="1358">
        <f t="shared" si="20"/>
        <v>0.77172405971360925</v>
      </c>
      <c r="H125" s="1358">
        <f t="shared" si="21"/>
        <v>0.85295817126241036</v>
      </c>
      <c r="I125" s="833">
        <v>0.81663561401422013</v>
      </c>
      <c r="J125" s="1359" t="b">
        <f t="shared" si="30"/>
        <v>1</v>
      </c>
      <c r="K125" s="1583"/>
      <c r="L125" s="17"/>
      <c r="M125" s="1361">
        <f t="shared" si="31"/>
        <v>0.81663561401422013</v>
      </c>
      <c r="N125" s="1350"/>
      <c r="O125" s="1358">
        <f t="shared" si="22"/>
        <v>2.5680930687026543E-3</v>
      </c>
      <c r="P125" s="1358">
        <f t="shared" si="23"/>
        <v>2.0355743520266054E-3</v>
      </c>
      <c r="Q125" s="1358">
        <f t="shared" si="24"/>
        <v>5.6294426281296656E-3</v>
      </c>
      <c r="R125" s="1358">
        <f t="shared" si="25"/>
        <v>0</v>
      </c>
      <c r="S125" s="1358">
        <f t="shared" si="26"/>
        <v>5.2814748355408822E-2</v>
      </c>
      <c r="T125" s="1358">
        <f t="shared" si="32"/>
        <v>0.87968347241848788</v>
      </c>
      <c r="U125" s="595">
        <f>IF('TAR_Tab 2_Volumina'!C128="storage",1,0)</f>
        <v>0</v>
      </c>
      <c r="V125" s="1362">
        <f t="shared" si="29"/>
        <v>0.87968347241848788</v>
      </c>
      <c r="W125" s="1362">
        <f t="shared" si="27"/>
        <v>0.92681953938540529</v>
      </c>
      <c r="X125" s="1355">
        <f t="shared" si="28"/>
        <v>0.92700000000000005</v>
      </c>
      <c r="Y125" s="1355">
        <f>X125+'TAR_Tab 13_Overige tarieven'!$T$15+'TAR_Tab 13_Overige tarieven'!$T$16</f>
        <v>1.08</v>
      </c>
      <c r="Z125" s="960"/>
    </row>
    <row r="126" spans="1:26">
      <c r="A126" s="155">
        <v>300269</v>
      </c>
      <c r="B126" s="156" t="s">
        <v>99</v>
      </c>
      <c r="C126" s="839">
        <v>1.527104285639981</v>
      </c>
      <c r="D126" s="1356">
        <f t="shared" si="18"/>
        <v>1.456246646786286</v>
      </c>
      <c r="E126" s="1356">
        <f t="shared" si="19"/>
        <v>1.5387319078992416</v>
      </c>
      <c r="F126" s="1357"/>
      <c r="G126" s="1358">
        <f t="shared" si="20"/>
        <v>1.4617953125042795</v>
      </c>
      <c r="H126" s="1358">
        <f t="shared" si="21"/>
        <v>1.6156685032942038</v>
      </c>
      <c r="I126" s="833">
        <v>1.546866522514601</v>
      </c>
      <c r="J126" s="1359" t="b">
        <f t="shared" si="30"/>
        <v>1</v>
      </c>
      <c r="K126" s="1583"/>
      <c r="L126" s="17"/>
      <c r="M126" s="1361">
        <f t="shared" si="31"/>
        <v>1.546866522514601</v>
      </c>
      <c r="N126" s="1350"/>
      <c r="O126" s="1358">
        <f t="shared" si="22"/>
        <v>4.8644672440268464E-3</v>
      </c>
      <c r="P126" s="1358">
        <f t="shared" si="23"/>
        <v>3.855773328034745E-3</v>
      </c>
      <c r="Q126" s="1358">
        <f t="shared" si="24"/>
        <v>1.066325811957395E-2</v>
      </c>
      <c r="R126" s="1358">
        <f t="shared" si="25"/>
        <v>0</v>
      </c>
      <c r="S126" s="1358">
        <f t="shared" si="26"/>
        <v>0.10004139511431152</v>
      </c>
      <c r="T126" s="1358">
        <f t="shared" si="32"/>
        <v>1.666291416320548</v>
      </c>
      <c r="U126" s="595">
        <f>IF('TAR_Tab 2_Volumina'!C129="storage",1,0)</f>
        <v>0</v>
      </c>
      <c r="V126" s="1362">
        <f t="shared" si="29"/>
        <v>1.666291416320548</v>
      </c>
      <c r="W126" s="1362">
        <f t="shared" si="27"/>
        <v>1.7555762855362338</v>
      </c>
      <c r="X126" s="1355">
        <f t="shared" si="28"/>
        <v>1.756</v>
      </c>
      <c r="Y126" s="1355">
        <f>X126+'TAR_Tab 13_Overige tarieven'!$T$15+'TAR_Tab 13_Overige tarieven'!$T$16</f>
        <v>1.909</v>
      </c>
      <c r="Z126" s="960"/>
    </row>
    <row r="127" spans="1:26">
      <c r="A127" s="155">
        <v>300274</v>
      </c>
      <c r="B127" s="156" t="s">
        <v>1061</v>
      </c>
      <c r="C127" s="839">
        <v>0.41479835140999677</v>
      </c>
      <c r="D127" s="1356">
        <f t="shared" si="18"/>
        <v>0.39555170790457295</v>
      </c>
      <c r="E127" s="1356">
        <f t="shared" si="19"/>
        <v>0.41795669402569979</v>
      </c>
      <c r="F127" s="1357"/>
      <c r="G127" s="1358">
        <f t="shared" si="20"/>
        <v>0.39705885932441476</v>
      </c>
      <c r="H127" s="1358">
        <f t="shared" si="21"/>
        <v>0.43885452872698483</v>
      </c>
      <c r="I127" s="833">
        <v>0.42016625152844278</v>
      </c>
      <c r="J127" s="1359" t="b">
        <f t="shared" si="30"/>
        <v>1</v>
      </c>
      <c r="K127" s="1583"/>
      <c r="L127" s="17"/>
      <c r="M127" s="1361">
        <f t="shared" si="31"/>
        <v>0.42016625152844278</v>
      </c>
      <c r="N127" s="1350"/>
      <c r="O127" s="1358">
        <f t="shared" si="22"/>
        <v>1.3213066142792307E-3</v>
      </c>
      <c r="P127" s="1358">
        <f t="shared" si="23"/>
        <v>1.0473210211764835E-3</v>
      </c>
      <c r="Q127" s="1358">
        <f t="shared" si="24"/>
        <v>2.8963980588954325E-3</v>
      </c>
      <c r="R127" s="1358">
        <f t="shared" si="25"/>
        <v>0</v>
      </c>
      <c r="S127" s="1358">
        <f t="shared" si="26"/>
        <v>2.7173655497130574E-2</v>
      </c>
      <c r="T127" s="1358">
        <f t="shared" si="32"/>
        <v>0.45260493271992447</v>
      </c>
      <c r="U127" s="595">
        <f>IF('TAR_Tab 2_Volumina'!C130="storage",1,0)</f>
        <v>0</v>
      </c>
      <c r="V127" s="1362">
        <f t="shared" si="29"/>
        <v>0.45260493271992447</v>
      </c>
      <c r="W127" s="1362">
        <f t="shared" si="27"/>
        <v>0.47685685638013664</v>
      </c>
      <c r="X127" s="1355">
        <f t="shared" si="28"/>
        <v>0.47699999999999998</v>
      </c>
      <c r="Y127" s="1355">
        <f>X127+'TAR_Tab 13_Overige tarieven'!$T$15+'TAR_Tab 13_Overige tarieven'!$T$16</f>
        <v>0.63</v>
      </c>
      <c r="Z127" s="960"/>
    </row>
    <row r="128" spans="1:26">
      <c r="A128" s="155">
        <v>300276</v>
      </c>
      <c r="B128" s="156" t="s">
        <v>100</v>
      </c>
      <c r="C128" s="839">
        <v>1.1944383876046392</v>
      </c>
      <c r="D128" s="1356">
        <f t="shared" si="18"/>
        <v>1.1390164464197838</v>
      </c>
      <c r="E128" s="1356">
        <f t="shared" si="19"/>
        <v>1.2035330372062585</v>
      </c>
      <c r="F128" s="1357"/>
      <c r="G128" s="1358">
        <f t="shared" si="20"/>
        <v>1.1433563853459454</v>
      </c>
      <c r="H128" s="1358">
        <f t="shared" si="21"/>
        <v>1.2637096890665716</v>
      </c>
      <c r="I128" s="833">
        <v>1.209895599381168</v>
      </c>
      <c r="J128" s="1359" t="b">
        <f t="shared" si="30"/>
        <v>1</v>
      </c>
      <c r="K128" s="1583"/>
      <c r="L128" s="17"/>
      <c r="M128" s="1361">
        <f t="shared" si="31"/>
        <v>1.209895599381168</v>
      </c>
      <c r="N128" s="1350"/>
      <c r="O128" s="1358">
        <f t="shared" si="22"/>
        <v>3.8047869200209974E-3</v>
      </c>
      <c r="P128" s="1358">
        <f t="shared" si="23"/>
        <v>3.0158278777776605E-3</v>
      </c>
      <c r="Q128" s="1358">
        <f t="shared" si="24"/>
        <v>8.3403634936551254E-3</v>
      </c>
      <c r="R128" s="1358">
        <f t="shared" si="25"/>
        <v>0</v>
      </c>
      <c r="S128" s="1358">
        <f t="shared" si="26"/>
        <v>7.8248279307250757E-2</v>
      </c>
      <c r="T128" s="1358">
        <f t="shared" si="32"/>
        <v>1.3033048569798726</v>
      </c>
      <c r="U128" s="595">
        <f>IF('TAR_Tab 2_Volumina'!C131="storage",1,0)</f>
        <v>0</v>
      </c>
      <c r="V128" s="1362">
        <f t="shared" si="29"/>
        <v>1.3033048569798726</v>
      </c>
      <c r="W128" s="1362">
        <f t="shared" si="27"/>
        <v>1.3731398225590452</v>
      </c>
      <c r="X128" s="1355">
        <f t="shared" si="28"/>
        <v>1.373</v>
      </c>
      <c r="Y128" s="1355">
        <f>X128+'TAR_Tab 13_Overige tarieven'!$T$15+'TAR_Tab 13_Overige tarieven'!$T$16</f>
        <v>1.526</v>
      </c>
      <c r="Z128" s="960"/>
    </row>
    <row r="129" spans="1:26">
      <c r="A129" s="155">
        <v>300281</v>
      </c>
      <c r="B129" s="156" t="s">
        <v>420</v>
      </c>
      <c r="C129" s="839">
        <v>1.1213900895197273</v>
      </c>
      <c r="D129" s="1356">
        <f t="shared" si="18"/>
        <v>1.0693575893660119</v>
      </c>
      <c r="E129" s="1356">
        <f t="shared" si="19"/>
        <v>1.1299285374101731</v>
      </c>
      <c r="F129" s="1357"/>
      <c r="G129" s="1358">
        <f t="shared" si="20"/>
        <v>1.0734321105396645</v>
      </c>
      <c r="H129" s="1358">
        <f t="shared" si="21"/>
        <v>1.1864249642806817</v>
      </c>
      <c r="I129" s="833">
        <v>1.1359019842124021</v>
      </c>
      <c r="J129" s="1359" t="b">
        <f t="shared" si="30"/>
        <v>1</v>
      </c>
      <c r="K129" s="1583"/>
      <c r="L129" s="17"/>
      <c r="M129" s="1361">
        <f t="shared" si="31"/>
        <v>1.1359019842124021</v>
      </c>
      <c r="N129" s="1350"/>
      <c r="O129" s="1358">
        <f t="shared" si="22"/>
        <v>3.5720974720197126E-3</v>
      </c>
      <c r="P129" s="1358">
        <f t="shared" si="23"/>
        <v>2.8313888174838196E-3</v>
      </c>
      <c r="Q129" s="1358">
        <f t="shared" si="24"/>
        <v>7.8302916766877853E-3</v>
      </c>
      <c r="R129" s="1358">
        <f t="shared" si="25"/>
        <v>0</v>
      </c>
      <c r="S129" s="1358">
        <f t="shared" si="26"/>
        <v>7.3462847349617222E-2</v>
      </c>
      <c r="T129" s="1358">
        <f t="shared" si="32"/>
        <v>1.2235986095282105</v>
      </c>
      <c r="U129" s="595">
        <f>IF('TAR_Tab 2_Volumina'!C132="storage",1,0)</f>
        <v>0</v>
      </c>
      <c r="V129" s="1362">
        <f t="shared" si="29"/>
        <v>1.2235986095282105</v>
      </c>
      <c r="W129" s="1362">
        <f t="shared" si="27"/>
        <v>1.2891626763860122</v>
      </c>
      <c r="X129" s="1355">
        <f t="shared" si="28"/>
        <v>1.2889999999999999</v>
      </c>
      <c r="Y129" s="1355">
        <f>X129+'TAR_Tab 13_Overige tarieven'!$T$15+'TAR_Tab 13_Overige tarieven'!$T$16</f>
        <v>1.4419999999999999</v>
      </c>
      <c r="Z129" s="960"/>
    </row>
    <row r="130" spans="1:26">
      <c r="A130" s="155">
        <v>300283</v>
      </c>
      <c r="B130" s="156" t="s">
        <v>305</v>
      </c>
      <c r="C130" s="839">
        <v>1.334612148794605</v>
      </c>
      <c r="D130" s="1356">
        <f t="shared" si="18"/>
        <v>1.2726861450905353</v>
      </c>
      <c r="E130" s="1356">
        <f t="shared" si="19"/>
        <v>1.3447741043825301</v>
      </c>
      <c r="F130" s="1357"/>
      <c r="G130" s="1358">
        <f t="shared" si="20"/>
        <v>1.2775353991634035</v>
      </c>
      <c r="H130" s="1358">
        <f t="shared" si="21"/>
        <v>1.4120128096016566</v>
      </c>
      <c r="I130" s="833">
        <v>1.3518833474077181</v>
      </c>
      <c r="J130" s="1359" t="b">
        <f t="shared" si="30"/>
        <v>1</v>
      </c>
      <c r="K130" s="1583"/>
      <c r="L130" s="17"/>
      <c r="M130" s="1361">
        <f t="shared" si="31"/>
        <v>1.3518833474077181</v>
      </c>
      <c r="N130" s="1350"/>
      <c r="O130" s="1358">
        <f t="shared" si="22"/>
        <v>4.2512991040234609E-3</v>
      </c>
      <c r="P130" s="1358">
        <f t="shared" si="23"/>
        <v>3.3697514799631376E-3</v>
      </c>
      <c r="Q130" s="1358">
        <f t="shared" si="24"/>
        <v>9.319149953241096E-3</v>
      </c>
      <c r="R130" s="1358">
        <f t="shared" si="25"/>
        <v>0</v>
      </c>
      <c r="S130" s="1358">
        <f t="shared" si="26"/>
        <v>8.7431135225952902E-2</v>
      </c>
      <c r="T130" s="1358">
        <f t="shared" si="32"/>
        <v>1.4562546831708987</v>
      </c>
      <c r="U130" s="595">
        <f>IF('TAR_Tab 2_Volumina'!C133="storage",1,0)</f>
        <v>0</v>
      </c>
      <c r="V130" s="1362">
        <f t="shared" si="29"/>
        <v>1.4562546831708987</v>
      </c>
      <c r="W130" s="1362">
        <f t="shared" si="27"/>
        <v>1.5342851571072964</v>
      </c>
      <c r="X130" s="1355">
        <f t="shared" si="28"/>
        <v>1.534</v>
      </c>
      <c r="Y130" s="1355">
        <f>X130+'TAR_Tab 13_Overige tarieven'!$T$15+'TAR_Tab 13_Overige tarieven'!$T$16</f>
        <v>1.6870000000000001</v>
      </c>
      <c r="Z130" s="960"/>
    </row>
    <row r="131" spans="1:26">
      <c r="A131" s="155">
        <v>300285</v>
      </c>
      <c r="B131" s="156" t="s">
        <v>101</v>
      </c>
      <c r="C131" s="839">
        <v>0.79365988730093384</v>
      </c>
      <c r="D131" s="1356">
        <f t="shared" si="18"/>
        <v>0.75683406853017055</v>
      </c>
      <c r="E131" s="1356">
        <f t="shared" si="19"/>
        <v>0.7997029437304396</v>
      </c>
      <c r="F131" s="1357"/>
      <c r="G131" s="1358">
        <f t="shared" si="20"/>
        <v>0.75971779654391758</v>
      </c>
      <c r="H131" s="1358">
        <f t="shared" si="21"/>
        <v>0.83968809091696162</v>
      </c>
      <c r="I131" s="833">
        <v>0.80393062967145379</v>
      </c>
      <c r="J131" s="1359" t="b">
        <f t="shared" si="30"/>
        <v>1</v>
      </c>
      <c r="K131" s="1583"/>
      <c r="L131" s="17"/>
      <c r="M131" s="1361">
        <f t="shared" si="31"/>
        <v>0.80393062967145379</v>
      </c>
      <c r="N131" s="1350"/>
      <c r="O131" s="1358">
        <f t="shared" si="22"/>
        <v>2.528139408013952E-3</v>
      </c>
      <c r="P131" s="1358">
        <f t="shared" si="23"/>
        <v>2.0039054658952389E-3</v>
      </c>
      <c r="Q131" s="1358">
        <f t="shared" si="24"/>
        <v>5.5418613627262149E-3</v>
      </c>
      <c r="R131" s="1358">
        <f t="shared" si="25"/>
        <v>0</v>
      </c>
      <c r="S131" s="1358">
        <f t="shared" si="26"/>
        <v>5.1993071539693889E-2</v>
      </c>
      <c r="T131" s="1358">
        <f t="shared" si="32"/>
        <v>0.86599760744778309</v>
      </c>
      <c r="U131" s="595">
        <f>IF('TAR_Tab 2_Volumina'!C134="storage",1,0)</f>
        <v>0</v>
      </c>
      <c r="V131" s="1362">
        <f t="shared" si="29"/>
        <v>0.86599760744778309</v>
      </c>
      <c r="W131" s="1362">
        <f t="shared" si="27"/>
        <v>0.91240034490700184</v>
      </c>
      <c r="X131" s="1355">
        <f t="shared" si="28"/>
        <v>0.91200000000000003</v>
      </c>
      <c r="Y131" s="1355">
        <f>X131+'TAR_Tab 13_Overige tarieven'!$T$15+'TAR_Tab 13_Overige tarieven'!$T$16</f>
        <v>1.0650000000000002</v>
      </c>
      <c r="Z131" s="960"/>
    </row>
    <row r="132" spans="1:26">
      <c r="A132" s="155">
        <v>300288</v>
      </c>
      <c r="B132" s="156" t="s">
        <v>102</v>
      </c>
      <c r="C132" s="839">
        <v>0.80992635645534383</v>
      </c>
      <c r="D132" s="1356">
        <f t="shared" si="18"/>
        <v>0.7723457735158159</v>
      </c>
      <c r="E132" s="1356">
        <f t="shared" si="19"/>
        <v>0.81609326844638397</v>
      </c>
      <c r="F132" s="1357"/>
      <c r="G132" s="1358">
        <f t="shared" si="20"/>
        <v>0.77528860502406471</v>
      </c>
      <c r="H132" s="1358">
        <f t="shared" si="21"/>
        <v>0.85689793186870322</v>
      </c>
      <c r="I132" s="833">
        <v>0.82040760299350057</v>
      </c>
      <c r="J132" s="1359" t="b">
        <f t="shared" si="30"/>
        <v>1</v>
      </c>
      <c r="K132" s="1583"/>
      <c r="L132" s="17"/>
      <c r="M132" s="1361">
        <f t="shared" si="31"/>
        <v>0.82040760299350057</v>
      </c>
      <c r="N132" s="1350"/>
      <c r="O132" s="1358">
        <f t="shared" si="22"/>
        <v>2.5799549304518581E-3</v>
      </c>
      <c r="P132" s="1358">
        <f t="shared" si="23"/>
        <v>2.0449765430290375E-3</v>
      </c>
      <c r="Q132" s="1358">
        <f t="shared" si="24"/>
        <v>5.6554446726013955E-3</v>
      </c>
      <c r="R132" s="1358">
        <f t="shared" si="25"/>
        <v>0</v>
      </c>
      <c r="S132" s="1358">
        <f t="shared" si="26"/>
        <v>5.3058696384764063E-2</v>
      </c>
      <c r="T132" s="1358">
        <f t="shared" si="32"/>
        <v>0.88374667552434683</v>
      </c>
      <c r="U132" s="595">
        <f>IF('TAR_Tab 2_Volumina'!C135="storage",1,0)</f>
        <v>0</v>
      </c>
      <c r="V132" s="1362">
        <f t="shared" si="29"/>
        <v>0.88374667552434683</v>
      </c>
      <c r="W132" s="1362">
        <f t="shared" si="27"/>
        <v>0.93110046104538402</v>
      </c>
      <c r="X132" s="1355">
        <f t="shared" si="28"/>
        <v>0.93100000000000005</v>
      </c>
      <c r="Y132" s="1355">
        <f>X132+'TAR_Tab 13_Overige tarieven'!$T$15+'TAR_Tab 13_Overige tarieven'!$T$16</f>
        <v>1.0840000000000001</v>
      </c>
      <c r="Z132" s="960"/>
    </row>
    <row r="133" spans="1:26">
      <c r="A133" s="155">
        <v>300292</v>
      </c>
      <c r="B133" s="156" t="s">
        <v>1062</v>
      </c>
      <c r="C133" s="839">
        <v>0.31559199406708227</v>
      </c>
      <c r="D133" s="1356">
        <f t="shared" si="18"/>
        <v>0.30094852554236967</v>
      </c>
      <c r="E133" s="1356">
        <f t="shared" si="19"/>
        <v>0.31799496322221171</v>
      </c>
      <c r="F133" s="1357"/>
      <c r="G133" s="1358">
        <f t="shared" si="20"/>
        <v>0.3020952150611011</v>
      </c>
      <c r="H133" s="1358">
        <f t="shared" si="21"/>
        <v>0.33389471138332233</v>
      </c>
      <c r="I133" s="833">
        <v>0.31967606599401921</v>
      </c>
      <c r="J133" s="1359" t="b">
        <f t="shared" si="30"/>
        <v>1</v>
      </c>
      <c r="K133" s="1583"/>
      <c r="L133" s="17"/>
      <c r="M133" s="1361">
        <f t="shared" si="31"/>
        <v>0.31967606599401921</v>
      </c>
      <c r="N133" s="1350"/>
      <c r="O133" s="1358">
        <f t="shared" si="22"/>
        <v>1.0052927832450344E-3</v>
      </c>
      <c r="P133" s="1358">
        <f t="shared" si="23"/>
        <v>7.9683568745614233E-4</v>
      </c>
      <c r="Q133" s="1358">
        <f t="shared" si="24"/>
        <v>2.2036732689791646E-3</v>
      </c>
      <c r="R133" s="1358">
        <f t="shared" si="25"/>
        <v>0</v>
      </c>
      <c r="S133" s="1358">
        <f t="shared" si="26"/>
        <v>2.0674595487856343E-2</v>
      </c>
      <c r="T133" s="1358">
        <f t="shared" si="32"/>
        <v>0.34435646322155589</v>
      </c>
      <c r="U133" s="595">
        <f>IF('TAR_Tab 2_Volumina'!C136="storage",1,0)</f>
        <v>0</v>
      </c>
      <c r="V133" s="1362">
        <f t="shared" si="29"/>
        <v>0.34435646322155589</v>
      </c>
      <c r="W133" s="1362">
        <f t="shared" si="27"/>
        <v>0.3628081106832014</v>
      </c>
      <c r="X133" s="1355">
        <f t="shared" si="28"/>
        <v>0.36299999999999999</v>
      </c>
      <c r="Y133" s="1355">
        <f>X133+'TAR_Tab 13_Overige tarieven'!$T$15+'TAR_Tab 13_Overige tarieven'!$T$16</f>
        <v>0.51600000000000001</v>
      </c>
      <c r="Z133" s="960"/>
    </row>
    <row r="134" spans="1:26">
      <c r="A134" s="155">
        <v>300294</v>
      </c>
      <c r="B134" s="156" t="s">
        <v>791</v>
      </c>
      <c r="C134" s="839">
        <v>1.4960189999756759</v>
      </c>
      <c r="D134" s="1356">
        <f t="shared" si="18"/>
        <v>1.4266037183768046</v>
      </c>
      <c r="E134" s="1356">
        <f t="shared" si="19"/>
        <v>1.5074099337763127</v>
      </c>
      <c r="F134" s="1357"/>
      <c r="G134" s="1358">
        <f t="shared" si="20"/>
        <v>1.4320394370874969</v>
      </c>
      <c r="H134" s="1358">
        <f t="shared" si="21"/>
        <v>1.5827804304651285</v>
      </c>
      <c r="I134" s="833">
        <v>1.5153789625692333</v>
      </c>
      <c r="J134" s="1359" t="b">
        <f t="shared" si="30"/>
        <v>1</v>
      </c>
      <c r="K134" s="1583"/>
      <c r="L134" s="17"/>
      <c r="M134" s="1361">
        <f t="shared" si="31"/>
        <v>1.5153789625692333</v>
      </c>
      <c r="N134" s="1350"/>
      <c r="O134" s="1358">
        <f t="shared" si="22"/>
        <v>4.7654475796154805E-3</v>
      </c>
      <c r="P134" s="1358">
        <f t="shared" si="23"/>
        <v>3.7772863402855497E-3</v>
      </c>
      <c r="Q134" s="1358">
        <f t="shared" si="24"/>
        <v>1.0446199973724883E-2</v>
      </c>
      <c r="R134" s="1358">
        <f t="shared" si="25"/>
        <v>0</v>
      </c>
      <c r="S134" s="1358">
        <f t="shared" si="26"/>
        <v>9.8004981900998628E-2</v>
      </c>
      <c r="T134" s="1358">
        <f t="shared" si="32"/>
        <v>1.632372878363858</v>
      </c>
      <c r="U134" s="595">
        <f>IF('TAR_Tab 2_Volumina'!C137="storage",1,0)</f>
        <v>0</v>
      </c>
      <c r="V134" s="1362">
        <f t="shared" si="29"/>
        <v>1.632372878363858</v>
      </c>
      <c r="W134" s="1362">
        <f t="shared" si="27"/>
        <v>1.7198402910435571</v>
      </c>
      <c r="X134" s="1355">
        <f t="shared" si="28"/>
        <v>1.72</v>
      </c>
      <c r="Y134" s="1355">
        <f>X134+'TAR_Tab 13_Overige tarieven'!$T$15+'TAR_Tab 13_Overige tarieven'!$T$16</f>
        <v>1.873</v>
      </c>
      <c r="Z134" s="960"/>
    </row>
    <row r="135" spans="1:26">
      <c r="A135" s="155">
        <v>300304</v>
      </c>
      <c r="B135" s="156" t="s">
        <v>1063</v>
      </c>
      <c r="C135" s="839">
        <v>0.31559199406708227</v>
      </c>
      <c r="D135" s="1356">
        <f t="shared" si="18"/>
        <v>0.30094852554236967</v>
      </c>
      <c r="E135" s="1356">
        <f t="shared" si="19"/>
        <v>0.31799496322221171</v>
      </c>
      <c r="F135" s="1357"/>
      <c r="G135" s="1358">
        <f t="shared" si="20"/>
        <v>0.3020952150611011</v>
      </c>
      <c r="H135" s="1358">
        <f t="shared" si="21"/>
        <v>0.33389471138332233</v>
      </c>
      <c r="I135" s="833">
        <v>0.31967606599401921</v>
      </c>
      <c r="J135" s="1359" t="b">
        <f t="shared" si="30"/>
        <v>1</v>
      </c>
      <c r="K135" s="1583"/>
      <c r="L135" s="17"/>
      <c r="M135" s="1361">
        <f t="shared" si="31"/>
        <v>0.31967606599401921</v>
      </c>
      <c r="N135" s="1350"/>
      <c r="O135" s="1358">
        <f t="shared" si="22"/>
        <v>1.0052927832450344E-3</v>
      </c>
      <c r="P135" s="1358">
        <f t="shared" si="23"/>
        <v>7.9683568745614233E-4</v>
      </c>
      <c r="Q135" s="1358">
        <f t="shared" si="24"/>
        <v>2.2036732689791646E-3</v>
      </c>
      <c r="R135" s="1358">
        <f t="shared" si="25"/>
        <v>0</v>
      </c>
      <c r="S135" s="1358">
        <f t="shared" si="26"/>
        <v>2.0674595487856343E-2</v>
      </c>
      <c r="T135" s="1358">
        <f t="shared" si="32"/>
        <v>0.34435646322155589</v>
      </c>
      <c r="U135" s="595">
        <f>IF('TAR_Tab 2_Volumina'!C138="storage",1,0)</f>
        <v>0</v>
      </c>
      <c r="V135" s="1362">
        <f t="shared" si="29"/>
        <v>0.34435646322155589</v>
      </c>
      <c r="W135" s="1362">
        <f t="shared" si="27"/>
        <v>0.3628081106832014</v>
      </c>
      <c r="X135" s="1355">
        <f t="shared" si="28"/>
        <v>0.36299999999999999</v>
      </c>
      <c r="Y135" s="1355">
        <f>X135+'TAR_Tab 13_Overige tarieven'!$T$15+'TAR_Tab 13_Overige tarieven'!$T$16</f>
        <v>0.51600000000000001</v>
      </c>
      <c r="Z135" s="960"/>
    </row>
    <row r="136" spans="1:26">
      <c r="A136" s="155">
        <v>300306</v>
      </c>
      <c r="B136" s="156" t="s">
        <v>1064</v>
      </c>
      <c r="C136" s="839">
        <v>0.33883527982647926</v>
      </c>
      <c r="D136" s="1356">
        <f t="shared" si="18"/>
        <v>0.32311332284253064</v>
      </c>
      <c r="E136" s="1356">
        <f t="shared" si="19"/>
        <v>0.34141522716798123</v>
      </c>
      <c r="F136" s="1357"/>
      <c r="G136" s="1358">
        <f t="shared" si="20"/>
        <v>0.32434446580958215</v>
      </c>
      <c r="H136" s="1358">
        <f t="shared" si="21"/>
        <v>0.35848598852638031</v>
      </c>
      <c r="I136" s="833">
        <v>0.34322014281480018</v>
      </c>
      <c r="J136" s="1359" t="b">
        <f t="shared" si="30"/>
        <v>1</v>
      </c>
      <c r="K136" s="1583"/>
      <c r="L136" s="17"/>
      <c r="M136" s="1361">
        <f t="shared" si="31"/>
        <v>0.34322014281480018</v>
      </c>
      <c r="N136" s="1350"/>
      <c r="O136" s="1358">
        <f t="shared" si="22"/>
        <v>1.0793323909413473E-3</v>
      </c>
      <c r="P136" s="1358">
        <f t="shared" si="23"/>
        <v>8.5552247272006703E-4</v>
      </c>
      <c r="Q136" s="1358">
        <f t="shared" si="24"/>
        <v>2.3659733541338589E-3</v>
      </c>
      <c r="R136" s="1358">
        <f t="shared" si="25"/>
        <v>0</v>
      </c>
      <c r="S136" s="1358">
        <f t="shared" si="26"/>
        <v>2.2197275213318705E-2</v>
      </c>
      <c r="T136" s="1358">
        <f t="shared" si="32"/>
        <v>0.36971824624591415</v>
      </c>
      <c r="U136" s="595">
        <f>IF('TAR_Tab 2_Volumina'!C139="storage",1,0)</f>
        <v>0</v>
      </c>
      <c r="V136" s="1362">
        <f t="shared" si="29"/>
        <v>0.36971824624591415</v>
      </c>
      <c r="W136" s="1362">
        <f t="shared" si="27"/>
        <v>0.38952885376594287</v>
      </c>
      <c r="X136" s="1355">
        <f t="shared" si="28"/>
        <v>0.39</v>
      </c>
      <c r="Y136" s="1355">
        <f>X136+'TAR_Tab 13_Overige tarieven'!$T$15+'TAR_Tab 13_Overige tarieven'!$T$16</f>
        <v>0.54300000000000004</v>
      </c>
      <c r="Z136" s="960"/>
    </row>
    <row r="137" spans="1:26">
      <c r="A137" s="155">
        <v>300308</v>
      </c>
      <c r="B137" s="156" t="s">
        <v>103</v>
      </c>
      <c r="C137" s="839">
        <v>1.3550008155517392</v>
      </c>
      <c r="D137" s="1356">
        <f t="shared" ref="D137:D200" si="33">C137*$D$7</f>
        <v>1.2921287777101385</v>
      </c>
      <c r="E137" s="1356">
        <f t="shared" ref="E137:E200" si="34">D137*$E$7</f>
        <v>1.3653180137892011</v>
      </c>
      <c r="F137" s="1357"/>
      <c r="G137" s="1358">
        <f t="shared" ref="G137:G200" si="35">E137*$G$7</f>
        <v>1.297052113099741</v>
      </c>
      <c r="H137" s="1358">
        <f t="shared" ref="H137:H200" si="36">E137*$H$7</f>
        <v>1.4335839144786613</v>
      </c>
      <c r="I137" s="833">
        <v>1.3725358636385268</v>
      </c>
      <c r="J137" s="1359" t="b">
        <f t="shared" si="30"/>
        <v>1</v>
      </c>
      <c r="K137" s="1583"/>
      <c r="L137" s="17"/>
      <c r="M137" s="1361">
        <f t="shared" si="31"/>
        <v>1.3725358636385268</v>
      </c>
      <c r="N137" s="1350"/>
      <c r="O137" s="1358">
        <f t="shared" ref="O137:O200" si="37">$O$7*M137</f>
        <v>4.316245553668119E-3</v>
      </c>
      <c r="P137" s="1358">
        <f t="shared" ref="P137:P200" si="38">$P$7*M137</f>
        <v>3.4212306606684691E-3</v>
      </c>
      <c r="Q137" s="1358">
        <f t="shared" ref="Q137:Q200" si="39">$Q$7*M137</f>
        <v>9.4615171893163898E-3</v>
      </c>
      <c r="R137" s="1358">
        <f t="shared" ref="R137:R200" si="40">$R$7*M137</f>
        <v>0</v>
      </c>
      <c r="S137" s="1358">
        <f t="shared" ref="S137:S200" si="41">$S$7*M137</f>
        <v>8.8766807377543833E-2</v>
      </c>
      <c r="T137" s="1358">
        <f t="shared" si="32"/>
        <v>1.4785016644197235</v>
      </c>
      <c r="U137" s="595">
        <f>IF('TAR_Tab 2_Volumina'!C140="storage",1,0)</f>
        <v>0</v>
      </c>
      <c r="V137" s="1362">
        <f t="shared" si="29"/>
        <v>1.4785016644197235</v>
      </c>
      <c r="W137" s="1362">
        <f t="shared" si="27"/>
        <v>1.5577241980353527</v>
      </c>
      <c r="X137" s="1355">
        <f t="shared" si="28"/>
        <v>1.5580000000000001</v>
      </c>
      <c r="Y137" s="1355">
        <f>X137+'TAR_Tab 13_Overige tarieven'!$T$15+'TAR_Tab 13_Overige tarieven'!$T$16</f>
        <v>1.7110000000000001</v>
      </c>
      <c r="Z137" s="960"/>
    </row>
    <row r="138" spans="1:26">
      <c r="A138" s="155">
        <v>300309</v>
      </c>
      <c r="B138" s="156" t="s">
        <v>104</v>
      </c>
      <c r="C138" s="839">
        <v>0.74848366734493843</v>
      </c>
      <c r="D138" s="1356">
        <f t="shared" si="33"/>
        <v>0.71375402518013331</v>
      </c>
      <c r="E138" s="1356">
        <f t="shared" si="34"/>
        <v>0.75418274463321</v>
      </c>
      <c r="F138" s="1357"/>
      <c r="G138" s="1358">
        <f t="shared" si="35"/>
        <v>0.71647360740154942</v>
      </c>
      <c r="H138" s="1358">
        <f t="shared" si="36"/>
        <v>0.79189188186487058</v>
      </c>
      <c r="I138" s="833">
        <v>0.75816978483537301</v>
      </c>
      <c r="J138" s="1359" t="b">
        <f t="shared" si="30"/>
        <v>1</v>
      </c>
      <c r="K138" s="1583"/>
      <c r="L138" s="17"/>
      <c r="M138" s="1361">
        <f t="shared" si="31"/>
        <v>0.75816978483537301</v>
      </c>
      <c r="N138" s="1350"/>
      <c r="O138" s="1358">
        <f t="shared" si="37"/>
        <v>2.3842342115899932E-3</v>
      </c>
      <c r="P138" s="1358">
        <f t="shared" si="38"/>
        <v>1.8898403914889038E-3</v>
      </c>
      <c r="Q138" s="1358">
        <f t="shared" si="39"/>
        <v>5.226410938817842E-3</v>
      </c>
      <c r="R138" s="1358">
        <f t="shared" si="40"/>
        <v>0</v>
      </c>
      <c r="S138" s="1358">
        <f t="shared" si="41"/>
        <v>4.9033553900402656E-2</v>
      </c>
      <c r="T138" s="1358">
        <f t="shared" si="32"/>
        <v>0.8167038242776723</v>
      </c>
      <c r="U138" s="595">
        <f>IF('TAR_Tab 2_Volumina'!C141="storage",1,0)</f>
        <v>0</v>
      </c>
      <c r="V138" s="1362">
        <f t="shared" si="29"/>
        <v>0.8167038242776723</v>
      </c>
      <c r="W138" s="1362">
        <f t="shared" ref="W138:W201" si="42">IF(U138=0,V138*(1+$W$7),V138)</f>
        <v>0.86046525365573423</v>
      </c>
      <c r="X138" s="1355">
        <f t="shared" ref="X138:X201" si="43">ROUND(W138,3)</f>
        <v>0.86</v>
      </c>
      <c r="Y138" s="1355">
        <f>X138+'TAR_Tab 13_Overige tarieven'!$T$15+'TAR_Tab 13_Overige tarieven'!$T$16</f>
        <v>1.0130000000000001</v>
      </c>
      <c r="Z138" s="960"/>
    </row>
    <row r="139" spans="1:26">
      <c r="A139" s="155">
        <v>300311</v>
      </c>
      <c r="B139" s="156" t="s">
        <v>105</v>
      </c>
      <c r="C139" s="839">
        <v>0.89856317570502919</v>
      </c>
      <c r="D139" s="1356">
        <f t="shared" si="33"/>
        <v>0.85686984435231583</v>
      </c>
      <c r="E139" s="1356">
        <f t="shared" si="34"/>
        <v>0.90540498296169658</v>
      </c>
      <c r="F139" s="1357"/>
      <c r="G139" s="1358">
        <f t="shared" si="35"/>
        <v>0.86013473381361172</v>
      </c>
      <c r="H139" s="1358">
        <f t="shared" si="36"/>
        <v>0.95067523210978144</v>
      </c>
      <c r="I139" s="833">
        <v>0.91019147017848201</v>
      </c>
      <c r="J139" s="1359" t="b">
        <f t="shared" si="30"/>
        <v>1</v>
      </c>
      <c r="K139" s="1583"/>
      <c r="L139" s="17"/>
      <c r="M139" s="1361">
        <f t="shared" si="31"/>
        <v>0.91019147017848201</v>
      </c>
      <c r="N139" s="1350"/>
      <c r="O139" s="1358">
        <f t="shared" si="37"/>
        <v>2.8623003523783816E-3</v>
      </c>
      <c r="P139" s="1358">
        <f t="shared" si="38"/>
        <v>2.2687749350305026E-3</v>
      </c>
      <c r="Q139" s="1358">
        <f t="shared" si="39"/>
        <v>6.2743659155349244E-3</v>
      </c>
      <c r="R139" s="1358">
        <f t="shared" si="40"/>
        <v>0</v>
      </c>
      <c r="S139" s="1358">
        <f t="shared" si="41"/>
        <v>5.8865340462458754E-2</v>
      </c>
      <c r="T139" s="1358">
        <f t="shared" si="32"/>
        <v>0.98046225184388447</v>
      </c>
      <c r="U139" s="595">
        <f>IF('TAR_Tab 2_Volumina'!C142="storage",1,0)</f>
        <v>0</v>
      </c>
      <c r="V139" s="1362">
        <f t="shared" ref="V139:V202" si="44">IF(U139=1,T139*$V$7,T139)</f>
        <v>0.98046225184388447</v>
      </c>
      <c r="W139" s="1362">
        <f t="shared" si="42"/>
        <v>1.0329983467126331</v>
      </c>
      <c r="X139" s="1355">
        <f t="shared" si="43"/>
        <v>1.0329999999999999</v>
      </c>
      <c r="Y139" s="1355">
        <f>X139+'TAR_Tab 13_Overige tarieven'!$T$15+'TAR_Tab 13_Overige tarieven'!$T$16</f>
        <v>1.1859999999999999</v>
      </c>
      <c r="Z139" s="960"/>
    </row>
    <row r="140" spans="1:26">
      <c r="A140" s="155">
        <v>300314</v>
      </c>
      <c r="B140" s="156" t="s">
        <v>106</v>
      </c>
      <c r="C140" s="839">
        <v>1.4233080780911693</v>
      </c>
      <c r="D140" s="1356">
        <f t="shared" si="33"/>
        <v>1.3572665832677391</v>
      </c>
      <c r="E140" s="1356">
        <f t="shared" si="34"/>
        <v>1.4341453790183043</v>
      </c>
      <c r="F140" s="1357"/>
      <c r="G140" s="1358">
        <f t="shared" si="35"/>
        <v>1.362438110067389</v>
      </c>
      <c r="H140" s="1358">
        <f t="shared" si="36"/>
        <v>1.5058526479692196</v>
      </c>
      <c r="I140" s="833">
        <v>1.4417270895819332</v>
      </c>
      <c r="J140" s="1359" t="b">
        <f t="shared" si="30"/>
        <v>1</v>
      </c>
      <c r="K140" s="1583"/>
      <c r="L140" s="17"/>
      <c r="M140" s="1361">
        <f t="shared" si="31"/>
        <v>1.4417270895819332</v>
      </c>
      <c r="N140" s="1350"/>
      <c r="O140" s="1358">
        <f t="shared" si="37"/>
        <v>4.5338328162255991E-3</v>
      </c>
      <c r="P140" s="1358">
        <f t="shared" si="38"/>
        <v>3.5936991184465344E-3</v>
      </c>
      <c r="Q140" s="1358">
        <f t="shared" si="39"/>
        <v>9.9384839418484201E-3</v>
      </c>
      <c r="R140" s="1358">
        <f t="shared" si="40"/>
        <v>0</v>
      </c>
      <c r="S140" s="1358">
        <f t="shared" si="41"/>
        <v>9.3241651633527517E-2</v>
      </c>
      <c r="T140" s="1358">
        <f t="shared" si="32"/>
        <v>1.5530347570919811</v>
      </c>
      <c r="U140" s="595">
        <f>IF('TAR_Tab 2_Volumina'!C143="storage",1,0)</f>
        <v>0</v>
      </c>
      <c r="V140" s="1362">
        <f t="shared" si="44"/>
        <v>1.5530347570919811</v>
      </c>
      <c r="W140" s="1362">
        <f t="shared" si="42"/>
        <v>1.6362509963501548</v>
      </c>
      <c r="X140" s="1355">
        <f t="shared" si="43"/>
        <v>1.6359999999999999</v>
      </c>
      <c r="Y140" s="1355">
        <f>X140+'TAR_Tab 13_Overige tarieven'!$T$15+'TAR_Tab 13_Overige tarieven'!$T$16</f>
        <v>1.7889999999999999</v>
      </c>
      <c r="Z140" s="960"/>
    </row>
    <row r="141" spans="1:26">
      <c r="A141" s="155">
        <v>300319</v>
      </c>
      <c r="B141" s="156" t="s">
        <v>306</v>
      </c>
      <c r="C141" s="839">
        <v>0.70679164092968738</v>
      </c>
      <c r="D141" s="1356">
        <f t="shared" si="33"/>
        <v>0.67399650879054984</v>
      </c>
      <c r="E141" s="1356">
        <f t="shared" si="34"/>
        <v>0.71217326829725713</v>
      </c>
      <c r="F141" s="1357"/>
      <c r="G141" s="1358">
        <f t="shared" si="35"/>
        <v>0.67656460488239423</v>
      </c>
      <c r="H141" s="1358">
        <f t="shared" si="36"/>
        <v>0.74778193171212004</v>
      </c>
      <c r="I141" s="833">
        <v>0.71593822244373251</v>
      </c>
      <c r="J141" s="1359" t="b">
        <f t="shared" si="30"/>
        <v>1</v>
      </c>
      <c r="K141" s="1583"/>
      <c r="L141" s="17"/>
      <c r="M141" s="1361">
        <f t="shared" si="31"/>
        <v>0.71593822244373251</v>
      </c>
      <c r="N141" s="1350"/>
      <c r="O141" s="1358">
        <f t="shared" si="37"/>
        <v>2.2514276320124253E-3</v>
      </c>
      <c r="P141" s="1358">
        <f t="shared" si="38"/>
        <v>1.7845725293295909E-3</v>
      </c>
      <c r="Q141" s="1358">
        <f t="shared" si="39"/>
        <v>4.9352894722785702E-3</v>
      </c>
      <c r="R141" s="1358">
        <f t="shared" si="40"/>
        <v>0</v>
      </c>
      <c r="S141" s="1358">
        <f t="shared" si="41"/>
        <v>4.6302287590075659E-2</v>
      </c>
      <c r="T141" s="1358">
        <f t="shared" si="32"/>
        <v>0.77121179966742892</v>
      </c>
      <c r="U141" s="595">
        <f>IF('TAR_Tab 2_Volumina'!C144="storage",1,0)</f>
        <v>0</v>
      </c>
      <c r="V141" s="1362">
        <f t="shared" si="44"/>
        <v>0.77121179966742892</v>
      </c>
      <c r="W141" s="1362">
        <f t="shared" si="42"/>
        <v>0.81253563053907152</v>
      </c>
      <c r="X141" s="1355">
        <f t="shared" si="43"/>
        <v>0.81299999999999994</v>
      </c>
      <c r="Y141" s="1355">
        <f>X141+'TAR_Tab 13_Overige tarieven'!$T$15+'TAR_Tab 13_Overige tarieven'!$T$16</f>
        <v>0.96599999999999997</v>
      </c>
      <c r="Z141" s="960"/>
    </row>
    <row r="142" spans="1:26">
      <c r="A142" s="155">
        <v>300321</v>
      </c>
      <c r="B142" s="156" t="s">
        <v>107</v>
      </c>
      <c r="C142" s="839">
        <v>1.6860336909328295</v>
      </c>
      <c r="D142" s="1356">
        <f t="shared" si="33"/>
        <v>1.6078017276735461</v>
      </c>
      <c r="E142" s="1356">
        <f t="shared" si="34"/>
        <v>1.698871427725859</v>
      </c>
      <c r="F142" s="1357"/>
      <c r="G142" s="1358">
        <f t="shared" si="35"/>
        <v>1.613927856339566</v>
      </c>
      <c r="H142" s="1358">
        <f t="shared" si="36"/>
        <v>1.7838149991121519</v>
      </c>
      <c r="I142" s="833">
        <v>1.7078526311925906</v>
      </c>
      <c r="J142" s="1359" t="b">
        <f t="shared" si="30"/>
        <v>1</v>
      </c>
      <c r="K142" s="1583"/>
      <c r="L142" s="17"/>
      <c r="M142" s="1361">
        <f t="shared" si="31"/>
        <v>1.7078526311925906</v>
      </c>
      <c r="N142" s="1350"/>
      <c r="O142" s="1358">
        <f t="shared" si="37"/>
        <v>5.3707240160296389E-3</v>
      </c>
      <c r="P142" s="1358">
        <f t="shared" si="38"/>
        <v>4.2570529051605315E-3</v>
      </c>
      <c r="Q142" s="1358">
        <f t="shared" si="39"/>
        <v>1.177300896459748E-2</v>
      </c>
      <c r="R142" s="1358">
        <f t="shared" si="40"/>
        <v>0</v>
      </c>
      <c r="S142" s="1358">
        <f t="shared" si="41"/>
        <v>0.11045294302213576</v>
      </c>
      <c r="T142" s="1358">
        <f t="shared" si="32"/>
        <v>1.8397063601005139</v>
      </c>
      <c r="U142" s="595">
        <f>IF('TAR_Tab 2_Volumina'!C145="storage",1,0)</f>
        <v>0</v>
      </c>
      <c r="V142" s="1362">
        <f t="shared" si="44"/>
        <v>1.8397063601005139</v>
      </c>
      <c r="W142" s="1362">
        <f t="shared" si="42"/>
        <v>1.9382833197775606</v>
      </c>
      <c r="X142" s="1355">
        <f t="shared" si="43"/>
        <v>1.9379999999999999</v>
      </c>
      <c r="Y142" s="1355">
        <f>X142+'TAR_Tab 13_Overige tarieven'!$T$15+'TAR_Tab 13_Overige tarieven'!$T$16</f>
        <v>2.0910000000000002</v>
      </c>
      <c r="Z142" s="960"/>
    </row>
    <row r="143" spans="1:26">
      <c r="A143" s="155">
        <v>300322</v>
      </c>
      <c r="B143" s="156" t="s">
        <v>307</v>
      </c>
      <c r="C143" s="839">
        <v>0.85881107207936869</v>
      </c>
      <c r="D143" s="1356">
        <f t="shared" si="33"/>
        <v>0.81896223833488602</v>
      </c>
      <c r="E143" s="1356">
        <f t="shared" si="34"/>
        <v>0.86535020030532639</v>
      </c>
      <c r="F143" s="1357"/>
      <c r="G143" s="1358">
        <f t="shared" si="35"/>
        <v>0.82208269029005998</v>
      </c>
      <c r="H143" s="1358">
        <f t="shared" si="36"/>
        <v>0.9086177103205928</v>
      </c>
      <c r="I143" s="833">
        <v>0.86992493509224478</v>
      </c>
      <c r="J143" s="1359" t="b">
        <f t="shared" si="30"/>
        <v>1</v>
      </c>
      <c r="K143" s="1583"/>
      <c r="L143" s="17"/>
      <c r="M143" s="1361">
        <f t="shared" si="31"/>
        <v>0.86992493509224478</v>
      </c>
      <c r="N143" s="1350"/>
      <c r="O143" s="1358">
        <f t="shared" si="37"/>
        <v>2.7356732400150977E-3</v>
      </c>
      <c r="P143" s="1358">
        <f t="shared" si="38"/>
        <v>2.1684051683194751E-3</v>
      </c>
      <c r="Q143" s="1358">
        <f t="shared" si="39"/>
        <v>5.9967902805619496E-3</v>
      </c>
      <c r="R143" s="1358">
        <f t="shared" si="40"/>
        <v>0</v>
      </c>
      <c r="S143" s="1358">
        <f t="shared" si="41"/>
        <v>5.6261159501907569E-2</v>
      </c>
      <c r="T143" s="1358">
        <f t="shared" si="32"/>
        <v>0.93708696328304897</v>
      </c>
      <c r="U143" s="595">
        <f>IF('TAR_Tab 2_Volumina'!C146="storage",1,0)</f>
        <v>0</v>
      </c>
      <c r="V143" s="1362">
        <f t="shared" si="44"/>
        <v>0.93708696328304897</v>
      </c>
      <c r="W143" s="1362">
        <f t="shared" si="42"/>
        <v>0.98729888068294991</v>
      </c>
      <c r="X143" s="1355">
        <f t="shared" si="43"/>
        <v>0.98699999999999999</v>
      </c>
      <c r="Y143" s="1355">
        <f>X143+'TAR_Tab 13_Overige tarieven'!$T$15+'TAR_Tab 13_Overige tarieven'!$T$16</f>
        <v>1.1399999999999999</v>
      </c>
      <c r="Z143" s="960"/>
    </row>
    <row r="144" spans="1:26">
      <c r="A144" s="155">
        <v>300325</v>
      </c>
      <c r="B144" s="156" t="s">
        <v>308</v>
      </c>
      <c r="C144" s="839">
        <v>1.1944383876046392</v>
      </c>
      <c r="D144" s="1356">
        <f t="shared" si="33"/>
        <v>1.1390164464197838</v>
      </c>
      <c r="E144" s="1356">
        <f t="shared" si="34"/>
        <v>1.2035330372062585</v>
      </c>
      <c r="F144" s="1357"/>
      <c r="G144" s="1358">
        <f t="shared" si="35"/>
        <v>1.1433563853459454</v>
      </c>
      <c r="H144" s="1358">
        <f t="shared" si="36"/>
        <v>1.2637096890665716</v>
      </c>
      <c r="I144" s="833">
        <v>1.209895599381168</v>
      </c>
      <c r="J144" s="1359" t="b">
        <f t="shared" si="30"/>
        <v>1</v>
      </c>
      <c r="K144" s="1583"/>
      <c r="L144" s="17"/>
      <c r="M144" s="1361">
        <f t="shared" si="31"/>
        <v>1.209895599381168</v>
      </c>
      <c r="N144" s="1350"/>
      <c r="O144" s="1358">
        <f t="shared" si="37"/>
        <v>3.8047869200209974E-3</v>
      </c>
      <c r="P144" s="1358">
        <f t="shared" si="38"/>
        <v>3.0158278777776605E-3</v>
      </c>
      <c r="Q144" s="1358">
        <f t="shared" si="39"/>
        <v>8.3403634936551254E-3</v>
      </c>
      <c r="R144" s="1358">
        <f t="shared" si="40"/>
        <v>0</v>
      </c>
      <c r="S144" s="1358">
        <f t="shared" si="41"/>
        <v>7.8248279307250757E-2</v>
      </c>
      <c r="T144" s="1358">
        <f t="shared" si="32"/>
        <v>1.3033048569798726</v>
      </c>
      <c r="U144" s="595">
        <f>IF('TAR_Tab 2_Volumina'!C147="storage",1,0)</f>
        <v>0</v>
      </c>
      <c r="V144" s="1362">
        <f t="shared" si="44"/>
        <v>1.3033048569798726</v>
      </c>
      <c r="W144" s="1362">
        <f t="shared" si="42"/>
        <v>1.3731398225590452</v>
      </c>
      <c r="X144" s="1355">
        <f t="shared" si="43"/>
        <v>1.373</v>
      </c>
      <c r="Y144" s="1355">
        <f>X144+'TAR_Tab 13_Overige tarieven'!$T$15+'TAR_Tab 13_Overige tarieven'!$T$16</f>
        <v>1.526</v>
      </c>
      <c r="Z144" s="960"/>
    </row>
    <row r="145" spans="1:26">
      <c r="A145" s="155">
        <v>300328</v>
      </c>
      <c r="B145" s="156" t="s">
        <v>108</v>
      </c>
      <c r="C145" s="839">
        <v>0.73638131948985863</v>
      </c>
      <c r="D145" s="1356">
        <f t="shared" si="33"/>
        <v>0.70221322626552918</v>
      </c>
      <c r="E145" s="1356">
        <f t="shared" si="34"/>
        <v>0.7419882475184939</v>
      </c>
      <c r="F145" s="1357"/>
      <c r="G145" s="1358">
        <f t="shared" si="35"/>
        <v>0.70488883514256917</v>
      </c>
      <c r="H145" s="1358">
        <f t="shared" si="36"/>
        <v>0.77908765989441864</v>
      </c>
      <c r="I145" s="833">
        <v>0.74591082065271141</v>
      </c>
      <c r="J145" s="1359" t="b">
        <f t="shared" si="30"/>
        <v>1</v>
      </c>
      <c r="K145" s="1583"/>
      <c r="L145" s="17"/>
      <c r="M145" s="1361">
        <f t="shared" si="31"/>
        <v>0.74591082065271141</v>
      </c>
      <c r="N145" s="1350"/>
      <c r="O145" s="1358">
        <f t="shared" si="37"/>
        <v>2.3456831609050799E-3</v>
      </c>
      <c r="P145" s="1358">
        <f t="shared" si="38"/>
        <v>1.8592832707309986E-3</v>
      </c>
      <c r="Q145" s="1358">
        <f t="shared" si="39"/>
        <v>5.1419042942847173E-3</v>
      </c>
      <c r="R145" s="1358">
        <f t="shared" si="40"/>
        <v>0</v>
      </c>
      <c r="S145" s="1358">
        <f t="shared" si="41"/>
        <v>4.8240722804998123E-2</v>
      </c>
      <c r="T145" s="1358">
        <f t="shared" si="32"/>
        <v>0.80349841418363044</v>
      </c>
      <c r="U145" s="595">
        <f>IF('TAR_Tab 2_Volumina'!C148="storage",1,0)</f>
        <v>0</v>
      </c>
      <c r="V145" s="1362">
        <f t="shared" si="44"/>
        <v>0.80349841418363044</v>
      </c>
      <c r="W145" s="1362">
        <f t="shared" si="42"/>
        <v>0.84655225826080327</v>
      </c>
      <c r="X145" s="1355">
        <f t="shared" si="43"/>
        <v>0.84699999999999998</v>
      </c>
      <c r="Y145" s="1355">
        <f>X145+'TAR_Tab 13_Overige tarieven'!$T$15+'TAR_Tab 13_Overige tarieven'!$T$16</f>
        <v>1</v>
      </c>
      <c r="Z145" s="960"/>
    </row>
    <row r="146" spans="1:26">
      <c r="A146" s="155">
        <v>300330</v>
      </c>
      <c r="B146" s="156" t="s">
        <v>109</v>
      </c>
      <c r="C146" s="839">
        <v>1.4056861685528979</v>
      </c>
      <c r="D146" s="1356">
        <f t="shared" si="33"/>
        <v>1.3404623303320433</v>
      </c>
      <c r="E146" s="1356">
        <f t="shared" si="34"/>
        <v>1.416389293373316</v>
      </c>
      <c r="F146" s="1357"/>
      <c r="G146" s="1358">
        <f t="shared" si="35"/>
        <v>1.34556982870465</v>
      </c>
      <c r="H146" s="1358">
        <f t="shared" si="36"/>
        <v>1.4872087580419819</v>
      </c>
      <c r="I146" s="833">
        <v>1.4238771351394903</v>
      </c>
      <c r="J146" s="1359" t="b">
        <f t="shared" si="30"/>
        <v>1</v>
      </c>
      <c r="K146" s="1583"/>
      <c r="L146" s="17"/>
      <c r="M146" s="1361">
        <f t="shared" si="31"/>
        <v>1.4238771351394903</v>
      </c>
      <c r="N146" s="1350"/>
      <c r="O146" s="1358">
        <f t="shared" si="37"/>
        <v>4.4776996480247111E-3</v>
      </c>
      <c r="P146" s="1358">
        <f t="shared" si="38"/>
        <v>3.5492057007895776E-3</v>
      </c>
      <c r="Q146" s="1358">
        <f t="shared" si="39"/>
        <v>9.8154360454255352E-3</v>
      </c>
      <c r="R146" s="1358">
        <f t="shared" si="40"/>
        <v>0</v>
      </c>
      <c r="S146" s="1358">
        <f t="shared" si="41"/>
        <v>9.2087231184731472E-2</v>
      </c>
      <c r="T146" s="1358">
        <f t="shared" si="32"/>
        <v>1.5338067077184614</v>
      </c>
      <c r="U146" s="595">
        <f>IF('TAR_Tab 2_Volumina'!C149="storage",1,0)</f>
        <v>0</v>
      </c>
      <c r="V146" s="1362">
        <f t="shared" si="44"/>
        <v>1.5338067077184614</v>
      </c>
      <c r="W146" s="1362">
        <f t="shared" si="42"/>
        <v>1.6159926506810578</v>
      </c>
      <c r="X146" s="1355">
        <f t="shared" si="43"/>
        <v>1.6160000000000001</v>
      </c>
      <c r="Y146" s="1355">
        <f>X146+'TAR_Tab 13_Overige tarieven'!$T$15+'TAR_Tab 13_Overige tarieven'!$T$16</f>
        <v>1.7690000000000001</v>
      </c>
      <c r="Z146" s="960"/>
    </row>
    <row r="147" spans="1:26">
      <c r="A147" s="155">
        <v>300333</v>
      </c>
      <c r="B147" s="156" t="s">
        <v>1065</v>
      </c>
      <c r="C147" s="839">
        <v>1.290372702820014</v>
      </c>
      <c r="D147" s="1356">
        <f t="shared" si="33"/>
        <v>1.2304994094091655</v>
      </c>
      <c r="E147" s="1356">
        <f t="shared" si="34"/>
        <v>1.3001978120172974</v>
      </c>
      <c r="F147" s="1357"/>
      <c r="G147" s="1358">
        <f t="shared" si="35"/>
        <v>1.2351879214164325</v>
      </c>
      <c r="H147" s="1358">
        <f t="shared" si="36"/>
        <v>1.3652077026181624</v>
      </c>
      <c r="I147" s="833">
        <v>1.3070713993330594</v>
      </c>
      <c r="J147" s="1359" t="b">
        <f t="shared" si="30"/>
        <v>1</v>
      </c>
      <c r="K147" s="1583"/>
      <c r="L147" s="17"/>
      <c r="M147" s="1361">
        <f t="shared" si="31"/>
        <v>1.3070713993330594</v>
      </c>
      <c r="N147" s="1350"/>
      <c r="O147" s="1358">
        <f t="shared" si="37"/>
        <v>4.1103779253843058E-3</v>
      </c>
      <c r="P147" s="1358">
        <f t="shared" si="38"/>
        <v>3.2580516586478074E-3</v>
      </c>
      <c r="Q147" s="1358">
        <f t="shared" si="39"/>
        <v>9.0102407085156707E-3</v>
      </c>
      <c r="R147" s="1358">
        <f t="shared" si="40"/>
        <v>0</v>
      </c>
      <c r="S147" s="1358">
        <f t="shared" si="41"/>
        <v>8.4532986136856794E-2</v>
      </c>
      <c r="T147" s="1358">
        <f t="shared" si="32"/>
        <v>1.4079830557624642</v>
      </c>
      <c r="U147" s="595">
        <f>IF('TAR_Tab 2_Volumina'!C150="storage",1,0)</f>
        <v>0</v>
      </c>
      <c r="V147" s="1362">
        <f t="shared" si="44"/>
        <v>1.4079830557624642</v>
      </c>
      <c r="W147" s="1362">
        <f t="shared" si="42"/>
        <v>1.4834269917753169</v>
      </c>
      <c r="X147" s="1355">
        <f t="shared" si="43"/>
        <v>1.4830000000000001</v>
      </c>
      <c r="Y147" s="1355">
        <f>X147+'TAR_Tab 13_Overige tarieven'!$T$15+'TAR_Tab 13_Overige tarieven'!$T$16</f>
        <v>1.6360000000000001</v>
      </c>
      <c r="Z147" s="960"/>
    </row>
    <row r="148" spans="1:26">
      <c r="A148" s="155">
        <v>300337</v>
      </c>
      <c r="B148" s="156" t="s">
        <v>1066</v>
      </c>
      <c r="C148" s="839">
        <v>1.6252099262473607</v>
      </c>
      <c r="D148" s="1356">
        <f t="shared" si="33"/>
        <v>1.5498001856694832</v>
      </c>
      <c r="E148" s="1356">
        <f t="shared" si="34"/>
        <v>1.637584540929609</v>
      </c>
      <c r="F148" s="1357"/>
      <c r="G148" s="1358">
        <f t="shared" si="35"/>
        <v>1.5557053138831285</v>
      </c>
      <c r="H148" s="1358">
        <f t="shared" si="36"/>
        <v>1.7194637679760896</v>
      </c>
      <c r="I148" s="833">
        <v>1.6462417469524044</v>
      </c>
      <c r="J148" s="1359" t="b">
        <f t="shared" si="30"/>
        <v>1</v>
      </c>
      <c r="K148" s="1583"/>
      <c r="L148" s="17"/>
      <c r="M148" s="1361">
        <f t="shared" si="31"/>
        <v>1.6462417469524044</v>
      </c>
      <c r="N148" s="1350"/>
      <c r="O148" s="1358">
        <f t="shared" si="37"/>
        <v>5.1769748308868159E-3</v>
      </c>
      <c r="P148" s="1358">
        <f t="shared" si="38"/>
        <v>4.1034794709227992E-3</v>
      </c>
      <c r="Q148" s="1358">
        <f t="shared" si="39"/>
        <v>1.1348296972925234E-2</v>
      </c>
      <c r="R148" s="1358">
        <f t="shared" si="40"/>
        <v>0</v>
      </c>
      <c r="S148" s="1358">
        <f t="shared" si="41"/>
        <v>0.10646834659839591</v>
      </c>
      <c r="T148" s="1358">
        <f t="shared" si="32"/>
        <v>1.7733388448255352</v>
      </c>
      <c r="U148" s="595">
        <f>IF('TAR_Tab 2_Volumina'!C151="storage",1,0)</f>
        <v>0</v>
      </c>
      <c r="V148" s="1362">
        <f t="shared" si="44"/>
        <v>1.7733388448255352</v>
      </c>
      <c r="W148" s="1362">
        <f t="shared" si="42"/>
        <v>1.8683596348773543</v>
      </c>
      <c r="X148" s="1355">
        <f t="shared" si="43"/>
        <v>1.8680000000000001</v>
      </c>
      <c r="Y148" s="1355">
        <f>X148+'TAR_Tab 13_Overige tarieven'!$T$15+'TAR_Tab 13_Overige tarieven'!$T$16</f>
        <v>2.0210000000000004</v>
      </c>
      <c r="Z148" s="960"/>
    </row>
    <row r="149" spans="1:26">
      <c r="A149" s="155">
        <v>300338</v>
      </c>
      <c r="B149" s="156" t="s">
        <v>110</v>
      </c>
      <c r="C149" s="839">
        <v>0.26060473911373949</v>
      </c>
      <c r="D149" s="1356">
        <f t="shared" si="33"/>
        <v>0.24851267921886197</v>
      </c>
      <c r="E149" s="1356">
        <f t="shared" si="34"/>
        <v>0.26258902629954733</v>
      </c>
      <c r="F149" s="1357"/>
      <c r="G149" s="1358">
        <f t="shared" si="35"/>
        <v>0.24945957498456994</v>
      </c>
      <c r="H149" s="1358">
        <f t="shared" si="36"/>
        <v>0.27571847761452473</v>
      </c>
      <c r="I149" s="833">
        <v>0.26397722168316395</v>
      </c>
      <c r="J149" s="1359" t="b">
        <f t="shared" si="30"/>
        <v>1</v>
      </c>
      <c r="K149" s="1583"/>
      <c r="L149" s="17"/>
      <c r="M149" s="1361">
        <f t="shared" si="31"/>
        <v>0.26397722168316395</v>
      </c>
      <c r="N149" s="1350"/>
      <c r="O149" s="1358">
        <f t="shared" si="37"/>
        <v>8.3013532800458136E-4</v>
      </c>
      <c r="P149" s="1358">
        <f t="shared" si="38"/>
        <v>6.5799880969694417E-4</v>
      </c>
      <c r="Q149" s="1358">
        <f t="shared" si="39"/>
        <v>1.8197156713429365E-3</v>
      </c>
      <c r="R149" s="1358">
        <f t="shared" si="40"/>
        <v>0</v>
      </c>
      <c r="S149" s="1358">
        <f t="shared" si="41"/>
        <v>1.7072351848854712E-2</v>
      </c>
      <c r="T149" s="1358">
        <f t="shared" si="32"/>
        <v>0.28435742334106312</v>
      </c>
      <c r="U149" s="595">
        <f>IF('TAR_Tab 2_Volumina'!C152="storage",1,0)</f>
        <v>0</v>
      </c>
      <c r="V149" s="1362">
        <f t="shared" si="44"/>
        <v>0.28435742334106312</v>
      </c>
      <c r="W149" s="1362">
        <f t="shared" si="42"/>
        <v>0.29959414310379168</v>
      </c>
      <c r="X149" s="1355">
        <f t="shared" si="43"/>
        <v>0.3</v>
      </c>
      <c r="Y149" s="1355">
        <f>X149+'TAR_Tab 13_Overige tarieven'!$T$15+'TAR_Tab 13_Overige tarieven'!$T$16</f>
        <v>0.45299999999999996</v>
      </c>
      <c r="Z149" s="960"/>
    </row>
    <row r="150" spans="1:26">
      <c r="A150" s="155">
        <v>300345</v>
      </c>
      <c r="B150" s="156" t="s">
        <v>1067</v>
      </c>
      <c r="C150" s="839">
        <v>1.3359130132338146</v>
      </c>
      <c r="D150" s="1356">
        <f t="shared" si="33"/>
        <v>1.2739266494197656</v>
      </c>
      <c r="E150" s="1356">
        <f t="shared" si="34"/>
        <v>1.346084873816737</v>
      </c>
      <c r="F150" s="1357"/>
      <c r="G150" s="1358">
        <f t="shared" si="35"/>
        <v>1.2787806301259002</v>
      </c>
      <c r="H150" s="1358">
        <f t="shared" si="36"/>
        <v>1.4133891175075739</v>
      </c>
      <c r="I150" s="833">
        <v>1.3532010463168662</v>
      </c>
      <c r="J150" s="1359" t="b">
        <f t="shared" si="30"/>
        <v>1</v>
      </c>
      <c r="K150" s="1583"/>
      <c r="L150" s="17"/>
      <c r="M150" s="1361">
        <f t="shared" si="31"/>
        <v>1.3532010463168662</v>
      </c>
      <c r="N150" s="1350"/>
      <c r="O150" s="1358">
        <f t="shared" si="37"/>
        <v>4.2554429025269168E-3</v>
      </c>
      <c r="P150" s="1358">
        <f t="shared" si="38"/>
        <v>3.3730360221226087E-3</v>
      </c>
      <c r="Q150" s="1358">
        <f t="shared" si="39"/>
        <v>9.3282334542333385E-3</v>
      </c>
      <c r="R150" s="1358">
        <f t="shared" si="40"/>
        <v>0</v>
      </c>
      <c r="S150" s="1358">
        <f t="shared" si="41"/>
        <v>8.7516355531191317E-2</v>
      </c>
      <c r="T150" s="1358">
        <f t="shared" si="32"/>
        <v>1.4576741142269405</v>
      </c>
      <c r="U150" s="595">
        <f>IF('TAR_Tab 2_Volumina'!C153="storage",1,0)</f>
        <v>0</v>
      </c>
      <c r="V150" s="1362">
        <f t="shared" si="44"/>
        <v>1.4576741142269405</v>
      </c>
      <c r="W150" s="1362">
        <f t="shared" si="42"/>
        <v>1.5357806455173868</v>
      </c>
      <c r="X150" s="1355">
        <f t="shared" si="43"/>
        <v>1.536</v>
      </c>
      <c r="Y150" s="1355">
        <f>X150+'TAR_Tab 13_Overige tarieven'!$T$15+'TAR_Tab 13_Overige tarieven'!$T$16</f>
        <v>1.6890000000000001</v>
      </c>
      <c r="Z150" s="960"/>
    </row>
    <row r="151" spans="1:26">
      <c r="A151" s="155">
        <v>300348</v>
      </c>
      <c r="B151" s="156" t="s">
        <v>1068</v>
      </c>
      <c r="C151" s="839">
        <v>0.73638131948985863</v>
      </c>
      <c r="D151" s="1356">
        <f t="shared" si="33"/>
        <v>0.70221322626552918</v>
      </c>
      <c r="E151" s="1356">
        <f t="shared" si="34"/>
        <v>0.7419882475184939</v>
      </c>
      <c r="F151" s="1357"/>
      <c r="G151" s="1358">
        <f t="shared" si="35"/>
        <v>0.70488883514256917</v>
      </c>
      <c r="H151" s="1358">
        <f t="shared" si="36"/>
        <v>0.77908765989441864</v>
      </c>
      <c r="I151" s="833">
        <v>0.74591082065271141</v>
      </c>
      <c r="J151" s="1359" t="b">
        <f t="shared" si="30"/>
        <v>1</v>
      </c>
      <c r="K151" s="1583"/>
      <c r="L151" s="17"/>
      <c r="M151" s="1361">
        <f t="shared" si="31"/>
        <v>0.74591082065271141</v>
      </c>
      <c r="N151" s="1350"/>
      <c r="O151" s="1358">
        <f t="shared" si="37"/>
        <v>2.3456831609050799E-3</v>
      </c>
      <c r="P151" s="1358">
        <f t="shared" si="38"/>
        <v>1.8592832707309986E-3</v>
      </c>
      <c r="Q151" s="1358">
        <f t="shared" si="39"/>
        <v>5.1419042942847173E-3</v>
      </c>
      <c r="R151" s="1358">
        <f t="shared" si="40"/>
        <v>0</v>
      </c>
      <c r="S151" s="1358">
        <f t="shared" si="41"/>
        <v>4.8240722804998123E-2</v>
      </c>
      <c r="T151" s="1358">
        <f t="shared" si="32"/>
        <v>0.80349841418363044</v>
      </c>
      <c r="U151" s="595">
        <f>IF('TAR_Tab 2_Volumina'!C154="storage",1,0)</f>
        <v>0</v>
      </c>
      <c r="V151" s="1362">
        <f t="shared" si="44"/>
        <v>0.80349841418363044</v>
      </c>
      <c r="W151" s="1362">
        <f t="shared" si="42"/>
        <v>0.84655225826080327</v>
      </c>
      <c r="X151" s="1355">
        <f t="shared" si="43"/>
        <v>0.84699999999999998</v>
      </c>
      <c r="Y151" s="1355">
        <f>X151+'TAR_Tab 13_Overige tarieven'!$T$15+'TAR_Tab 13_Overige tarieven'!$T$16</f>
        <v>1</v>
      </c>
      <c r="Z151" s="960"/>
    </row>
    <row r="152" spans="1:26">
      <c r="A152" s="155">
        <v>300350</v>
      </c>
      <c r="B152" s="156" t="s">
        <v>1069</v>
      </c>
      <c r="C152" s="839">
        <v>1.2743966598327188</v>
      </c>
      <c r="D152" s="1356">
        <f t="shared" si="33"/>
        <v>1.2152646548164807</v>
      </c>
      <c r="E152" s="1356">
        <f t="shared" si="34"/>
        <v>1.284100124820893</v>
      </c>
      <c r="F152" s="1357"/>
      <c r="G152" s="1358">
        <f t="shared" si="35"/>
        <v>1.2198951185798483</v>
      </c>
      <c r="H152" s="1358">
        <f t="shared" si="36"/>
        <v>1.3483051310619376</v>
      </c>
      <c r="I152" s="833">
        <v>1.2908886105794122</v>
      </c>
      <c r="J152" s="1359" t="b">
        <f t="shared" si="30"/>
        <v>1</v>
      </c>
      <c r="K152" s="1583"/>
      <c r="L152" s="17"/>
      <c r="M152" s="1361">
        <f t="shared" si="31"/>
        <v>1.2908886105794122</v>
      </c>
      <c r="N152" s="1350"/>
      <c r="O152" s="1358">
        <f t="shared" si="37"/>
        <v>4.0594875320224058E-3</v>
      </c>
      <c r="P152" s="1358">
        <f t="shared" si="38"/>
        <v>3.2177138762074066E-3</v>
      </c>
      <c r="Q152" s="1358">
        <f t="shared" si="39"/>
        <v>8.8986853473626212E-3</v>
      </c>
      <c r="R152" s="1358">
        <f t="shared" si="40"/>
        <v>0</v>
      </c>
      <c r="S152" s="1358">
        <f t="shared" si="41"/>
        <v>8.3486387260876677E-2</v>
      </c>
      <c r="T152" s="1358">
        <f t="shared" si="32"/>
        <v>1.3905508845958814</v>
      </c>
      <c r="U152" s="595">
        <f>IF('TAR_Tab 2_Volumina'!C155="storage",1,0)</f>
        <v>0</v>
      </c>
      <c r="V152" s="1362">
        <f t="shared" si="44"/>
        <v>1.3905508845958814</v>
      </c>
      <c r="W152" s="1362">
        <f t="shared" si="42"/>
        <v>1.4650607528295274</v>
      </c>
      <c r="X152" s="1355">
        <f t="shared" si="43"/>
        <v>1.4650000000000001</v>
      </c>
      <c r="Y152" s="1355">
        <f>X152+'TAR_Tab 13_Overige tarieven'!$T$15+'TAR_Tab 13_Overige tarieven'!$T$16</f>
        <v>1.6180000000000001</v>
      </c>
      <c r="Z152" s="960"/>
    </row>
    <row r="153" spans="1:26">
      <c r="A153" s="155">
        <v>300353</v>
      </c>
      <c r="B153" s="156" t="s">
        <v>1070</v>
      </c>
      <c r="C153" s="839">
        <v>1.6860336909328295</v>
      </c>
      <c r="D153" s="1356">
        <f t="shared" si="33"/>
        <v>1.6078017276735461</v>
      </c>
      <c r="E153" s="1356">
        <f t="shared" si="34"/>
        <v>1.698871427725859</v>
      </c>
      <c r="F153" s="1357"/>
      <c r="G153" s="1358">
        <f t="shared" si="35"/>
        <v>1.613927856339566</v>
      </c>
      <c r="H153" s="1358">
        <f t="shared" si="36"/>
        <v>1.7838149991121519</v>
      </c>
      <c r="I153" s="833">
        <v>1.7078526311925906</v>
      </c>
      <c r="J153" s="1359" t="b">
        <f t="shared" si="30"/>
        <v>1</v>
      </c>
      <c r="K153" s="1583"/>
      <c r="L153" s="17"/>
      <c r="M153" s="1361">
        <f t="shared" si="31"/>
        <v>1.7078526311925906</v>
      </c>
      <c r="N153" s="1350"/>
      <c r="O153" s="1358">
        <f t="shared" si="37"/>
        <v>5.3707240160296389E-3</v>
      </c>
      <c r="P153" s="1358">
        <f t="shared" si="38"/>
        <v>4.2570529051605315E-3</v>
      </c>
      <c r="Q153" s="1358">
        <f t="shared" si="39"/>
        <v>1.177300896459748E-2</v>
      </c>
      <c r="R153" s="1358">
        <f t="shared" si="40"/>
        <v>0</v>
      </c>
      <c r="S153" s="1358">
        <f t="shared" si="41"/>
        <v>0.11045294302213576</v>
      </c>
      <c r="T153" s="1358">
        <f t="shared" si="32"/>
        <v>1.8397063601005139</v>
      </c>
      <c r="U153" s="595">
        <f>IF('TAR_Tab 2_Volumina'!C156="storage",1,0)</f>
        <v>0</v>
      </c>
      <c r="V153" s="1362">
        <f t="shared" si="44"/>
        <v>1.8397063601005139</v>
      </c>
      <c r="W153" s="1362">
        <f t="shared" si="42"/>
        <v>1.9382833197775606</v>
      </c>
      <c r="X153" s="1355">
        <f t="shared" si="43"/>
        <v>1.9379999999999999</v>
      </c>
      <c r="Y153" s="1355">
        <f>X153+'TAR_Tab 13_Overige tarieven'!$T$15+'TAR_Tab 13_Overige tarieven'!$T$16</f>
        <v>2.0910000000000002</v>
      </c>
      <c r="Z153" s="960"/>
    </row>
    <row r="154" spans="1:26">
      <c r="A154" s="155">
        <v>300355</v>
      </c>
      <c r="B154" s="156" t="s">
        <v>1071</v>
      </c>
      <c r="C154" s="839">
        <v>0.85881107207936869</v>
      </c>
      <c r="D154" s="1356">
        <f t="shared" si="33"/>
        <v>0.81896223833488602</v>
      </c>
      <c r="E154" s="1356">
        <f t="shared" si="34"/>
        <v>0.86535020030532639</v>
      </c>
      <c r="F154" s="1357"/>
      <c r="G154" s="1358">
        <f t="shared" si="35"/>
        <v>0.82208269029005998</v>
      </c>
      <c r="H154" s="1358">
        <f t="shared" si="36"/>
        <v>0.9086177103205928</v>
      </c>
      <c r="I154" s="833">
        <v>0.86992493509224478</v>
      </c>
      <c r="J154" s="1359" t="b">
        <f t="shared" si="30"/>
        <v>1</v>
      </c>
      <c r="K154" s="1583"/>
      <c r="L154" s="17"/>
      <c r="M154" s="1361">
        <f t="shared" si="31"/>
        <v>0.86992493509224478</v>
      </c>
      <c r="N154" s="1350"/>
      <c r="O154" s="1358">
        <f t="shared" si="37"/>
        <v>2.7356732400150977E-3</v>
      </c>
      <c r="P154" s="1358">
        <f t="shared" si="38"/>
        <v>2.1684051683194751E-3</v>
      </c>
      <c r="Q154" s="1358">
        <f t="shared" si="39"/>
        <v>5.9967902805619496E-3</v>
      </c>
      <c r="R154" s="1358">
        <f t="shared" si="40"/>
        <v>0</v>
      </c>
      <c r="S154" s="1358">
        <f t="shared" si="41"/>
        <v>5.6261159501907569E-2</v>
      </c>
      <c r="T154" s="1358">
        <f t="shared" si="32"/>
        <v>0.93708696328304897</v>
      </c>
      <c r="U154" s="595">
        <f>IF('TAR_Tab 2_Volumina'!C157="storage",1,0)</f>
        <v>0</v>
      </c>
      <c r="V154" s="1362">
        <f t="shared" si="44"/>
        <v>0.93708696328304897</v>
      </c>
      <c r="W154" s="1362">
        <f t="shared" si="42"/>
        <v>0.98729888068294991</v>
      </c>
      <c r="X154" s="1355">
        <f t="shared" si="43"/>
        <v>0.98699999999999999</v>
      </c>
      <c r="Y154" s="1355">
        <f>X154+'TAR_Tab 13_Overige tarieven'!$T$15+'TAR_Tab 13_Overige tarieven'!$T$16</f>
        <v>1.1399999999999999</v>
      </c>
      <c r="Z154" s="960"/>
    </row>
    <row r="155" spans="1:26">
      <c r="A155" s="155">
        <v>300360</v>
      </c>
      <c r="B155" s="156" t="s">
        <v>1072</v>
      </c>
      <c r="C155" s="839">
        <v>1.8834615235947534</v>
      </c>
      <c r="D155" s="1356">
        <f t="shared" si="33"/>
        <v>1.7960689088999569</v>
      </c>
      <c r="E155" s="1356">
        <f t="shared" si="34"/>
        <v>1.8978025082558192</v>
      </c>
      <c r="F155" s="1357"/>
      <c r="G155" s="1358">
        <f t="shared" si="35"/>
        <v>1.8029123828430282</v>
      </c>
      <c r="H155" s="1358">
        <f t="shared" si="36"/>
        <v>1.9926926336686102</v>
      </c>
      <c r="I155" s="833">
        <v>1.9078353748919574</v>
      </c>
      <c r="J155" s="1359" t="b">
        <f t="shared" si="30"/>
        <v>1</v>
      </c>
      <c r="K155" s="1583"/>
      <c r="L155" s="17"/>
      <c r="M155" s="1361">
        <f t="shared" si="31"/>
        <v>1.9078353748919574</v>
      </c>
      <c r="N155" s="1350"/>
      <c r="O155" s="1358">
        <f t="shared" si="37"/>
        <v>5.9996144160331102E-3</v>
      </c>
      <c r="P155" s="1358">
        <f t="shared" si="38"/>
        <v>4.7555368519006415E-3</v>
      </c>
      <c r="Q155" s="1358">
        <f t="shared" si="39"/>
        <v>1.3151581442887585E-2</v>
      </c>
      <c r="R155" s="1358">
        <f t="shared" si="40"/>
        <v>0</v>
      </c>
      <c r="S155" s="1358">
        <f t="shared" si="41"/>
        <v>0.12338654290763176</v>
      </c>
      <c r="T155" s="1358">
        <f t="shared" si="32"/>
        <v>2.0551286505104103</v>
      </c>
      <c r="U155" s="595">
        <f>IF('TAR_Tab 2_Volumina'!C158="storage",1,0)</f>
        <v>0</v>
      </c>
      <c r="V155" s="1362">
        <f t="shared" si="44"/>
        <v>2.0551286505104103</v>
      </c>
      <c r="W155" s="1362">
        <f t="shared" si="42"/>
        <v>2.1652485797046754</v>
      </c>
      <c r="X155" s="1355">
        <f t="shared" si="43"/>
        <v>2.165</v>
      </c>
      <c r="Y155" s="1355">
        <f>X155+'TAR_Tab 13_Overige tarieven'!$T$15+'TAR_Tab 13_Overige tarieven'!$T$16</f>
        <v>2.3180000000000001</v>
      </c>
      <c r="Z155" s="960"/>
    </row>
    <row r="156" spans="1:26">
      <c r="A156" s="155">
        <v>300363</v>
      </c>
      <c r="B156" s="156" t="s">
        <v>1073</v>
      </c>
      <c r="C156" s="839">
        <v>1.4401793947545023</v>
      </c>
      <c r="D156" s="1356">
        <f t="shared" si="33"/>
        <v>1.3733550708378934</v>
      </c>
      <c r="E156" s="1356">
        <f t="shared" si="34"/>
        <v>1.4511451566512137</v>
      </c>
      <c r="F156" s="1357"/>
      <c r="G156" s="1358">
        <f t="shared" si="35"/>
        <v>1.3785878988186528</v>
      </c>
      <c r="H156" s="1358">
        <f t="shared" si="36"/>
        <v>1.5237024144837745</v>
      </c>
      <c r="I156" s="833">
        <v>1.4588167377367187</v>
      </c>
      <c r="J156" s="1359" t="b">
        <f t="shared" si="30"/>
        <v>1</v>
      </c>
      <c r="K156" s="1583"/>
      <c r="L156" s="17"/>
      <c r="M156" s="1361">
        <f t="shared" si="31"/>
        <v>1.4588167377367187</v>
      </c>
      <c r="N156" s="1350"/>
      <c r="O156" s="1358">
        <f t="shared" si="37"/>
        <v>4.5875750315046253E-3</v>
      </c>
      <c r="P156" s="1358">
        <f t="shared" si="38"/>
        <v>3.6362973701907137E-3</v>
      </c>
      <c r="Q156" s="1358">
        <f t="shared" si="39"/>
        <v>1.0056290699441792E-2</v>
      </c>
      <c r="R156" s="1358">
        <f t="shared" si="40"/>
        <v>0</v>
      </c>
      <c r="S156" s="1358">
        <f t="shared" si="41"/>
        <v>9.4346900353137919E-2</v>
      </c>
      <c r="T156" s="1358">
        <f t="shared" si="32"/>
        <v>1.5714438011909935</v>
      </c>
      <c r="U156" s="595">
        <f>IF('TAR_Tab 2_Volumina'!C159="storage",1,0)</f>
        <v>0</v>
      </c>
      <c r="V156" s="1362">
        <f t="shared" si="44"/>
        <v>1.5714438011909935</v>
      </c>
      <c r="W156" s="1362">
        <f t="shared" si="42"/>
        <v>1.6556464519967917</v>
      </c>
      <c r="X156" s="1355">
        <f t="shared" si="43"/>
        <v>1.6559999999999999</v>
      </c>
      <c r="Y156" s="1355">
        <f>X156+'TAR_Tab 13_Overige tarieven'!$T$15+'TAR_Tab 13_Overige tarieven'!$T$16</f>
        <v>1.8089999999999999</v>
      </c>
      <c r="Z156" s="960"/>
    </row>
    <row r="157" spans="1:26">
      <c r="A157" s="155">
        <v>300366</v>
      </c>
      <c r="B157" s="156" t="s">
        <v>1074</v>
      </c>
      <c r="C157" s="839">
        <v>1.5900623181904912</v>
      </c>
      <c r="D157" s="1356">
        <f t="shared" si="33"/>
        <v>1.5162834266264524</v>
      </c>
      <c r="E157" s="1356">
        <f t="shared" si="34"/>
        <v>1.6021693132257744</v>
      </c>
      <c r="F157" s="1357"/>
      <c r="G157" s="1358">
        <f t="shared" si="35"/>
        <v>1.5220608475644857</v>
      </c>
      <c r="H157" s="1358">
        <f t="shared" si="36"/>
        <v>1.6822777788870631</v>
      </c>
      <c r="I157" s="833">
        <v>1.6106392941527574</v>
      </c>
      <c r="J157" s="1359" t="b">
        <f t="shared" si="30"/>
        <v>1</v>
      </c>
      <c r="K157" s="1583"/>
      <c r="L157" s="17"/>
      <c r="M157" s="1361">
        <f t="shared" si="31"/>
        <v>1.6106392941527574</v>
      </c>
      <c r="N157" s="1350"/>
      <c r="O157" s="1358">
        <f t="shared" si="37"/>
        <v>5.0650149669100846E-3</v>
      </c>
      <c r="P157" s="1358">
        <f t="shared" si="38"/>
        <v>4.0147355580386164E-3</v>
      </c>
      <c r="Q157" s="1358">
        <f t="shared" si="39"/>
        <v>1.1102872989428947E-2</v>
      </c>
      <c r="R157" s="1358">
        <f t="shared" si="40"/>
        <v>0</v>
      </c>
      <c r="S157" s="1358">
        <f t="shared" si="41"/>
        <v>0.10416580853468622</v>
      </c>
      <c r="T157" s="1358">
        <f t="shared" si="32"/>
        <v>1.7349877262018212</v>
      </c>
      <c r="U157" s="595">
        <f>IF('TAR_Tab 2_Volumina'!C160="storage",1,0)</f>
        <v>0</v>
      </c>
      <c r="V157" s="1362">
        <f t="shared" si="44"/>
        <v>1.7349877262018212</v>
      </c>
      <c r="W157" s="1362">
        <f t="shared" si="42"/>
        <v>1.8279535488109377</v>
      </c>
      <c r="X157" s="1355">
        <f t="shared" si="43"/>
        <v>1.8280000000000001</v>
      </c>
      <c r="Y157" s="1355">
        <f>X157+'TAR_Tab 13_Overige tarieven'!$T$15+'TAR_Tab 13_Overige tarieven'!$T$16</f>
        <v>1.9810000000000001</v>
      </c>
      <c r="Z157" s="960"/>
    </row>
    <row r="158" spans="1:26">
      <c r="A158" s="155">
        <v>300373</v>
      </c>
      <c r="B158" s="156" t="s">
        <v>1075</v>
      </c>
      <c r="C158" s="839">
        <v>1.4056861685528979</v>
      </c>
      <c r="D158" s="1356">
        <f t="shared" si="33"/>
        <v>1.3404623303320433</v>
      </c>
      <c r="E158" s="1356">
        <f t="shared" si="34"/>
        <v>1.416389293373316</v>
      </c>
      <c r="F158" s="1357"/>
      <c r="G158" s="1358">
        <f t="shared" si="35"/>
        <v>1.34556982870465</v>
      </c>
      <c r="H158" s="1358">
        <f t="shared" si="36"/>
        <v>1.4872087580419819</v>
      </c>
      <c r="I158" s="833">
        <v>1.4238771351394903</v>
      </c>
      <c r="J158" s="1359" t="b">
        <f t="shared" si="30"/>
        <v>1</v>
      </c>
      <c r="K158" s="1583"/>
      <c r="L158" s="17"/>
      <c r="M158" s="1361">
        <f t="shared" si="31"/>
        <v>1.4238771351394903</v>
      </c>
      <c r="N158" s="1350"/>
      <c r="O158" s="1358">
        <f t="shared" si="37"/>
        <v>4.4776996480247111E-3</v>
      </c>
      <c r="P158" s="1358">
        <f t="shared" si="38"/>
        <v>3.5492057007895776E-3</v>
      </c>
      <c r="Q158" s="1358">
        <f t="shared" si="39"/>
        <v>9.8154360454255352E-3</v>
      </c>
      <c r="R158" s="1358">
        <f t="shared" si="40"/>
        <v>0</v>
      </c>
      <c r="S158" s="1358">
        <f t="shared" si="41"/>
        <v>9.2087231184731472E-2</v>
      </c>
      <c r="T158" s="1358">
        <f t="shared" si="32"/>
        <v>1.5338067077184614</v>
      </c>
      <c r="U158" s="595">
        <f>IF('TAR_Tab 2_Volumina'!C161="storage",1,0)</f>
        <v>0</v>
      </c>
      <c r="V158" s="1362">
        <f t="shared" si="44"/>
        <v>1.5338067077184614</v>
      </c>
      <c r="W158" s="1362">
        <f t="shared" si="42"/>
        <v>1.6159926506810578</v>
      </c>
      <c r="X158" s="1355">
        <f t="shared" si="43"/>
        <v>1.6160000000000001</v>
      </c>
      <c r="Y158" s="1355">
        <f>X158+'TAR_Tab 13_Overige tarieven'!$T$15+'TAR_Tab 13_Overige tarieven'!$T$16</f>
        <v>1.7690000000000001</v>
      </c>
      <c r="Z158" s="960"/>
    </row>
    <row r="159" spans="1:26">
      <c r="A159" s="155">
        <v>300375</v>
      </c>
      <c r="B159" s="156" t="s">
        <v>1076</v>
      </c>
      <c r="C159" s="839">
        <v>0.31559199406708227</v>
      </c>
      <c r="D159" s="1356">
        <f t="shared" si="33"/>
        <v>0.30094852554236967</v>
      </c>
      <c r="E159" s="1356">
        <f t="shared" si="34"/>
        <v>0.31799496322221171</v>
      </c>
      <c r="F159" s="1357"/>
      <c r="G159" s="1358">
        <f t="shared" si="35"/>
        <v>0.3020952150611011</v>
      </c>
      <c r="H159" s="1358">
        <f t="shared" si="36"/>
        <v>0.33389471138332233</v>
      </c>
      <c r="I159" s="833">
        <v>0.31967606599401921</v>
      </c>
      <c r="J159" s="1359" t="b">
        <f t="shared" si="30"/>
        <v>1</v>
      </c>
      <c r="K159" s="1583"/>
      <c r="L159" s="17"/>
      <c r="M159" s="1361">
        <f t="shared" si="31"/>
        <v>0.31967606599401921</v>
      </c>
      <c r="N159" s="1350"/>
      <c r="O159" s="1358">
        <f t="shared" si="37"/>
        <v>1.0052927832450344E-3</v>
      </c>
      <c r="P159" s="1358">
        <f t="shared" si="38"/>
        <v>7.9683568745614233E-4</v>
      </c>
      <c r="Q159" s="1358">
        <f t="shared" si="39"/>
        <v>2.2036732689791646E-3</v>
      </c>
      <c r="R159" s="1358">
        <f t="shared" si="40"/>
        <v>0</v>
      </c>
      <c r="S159" s="1358">
        <f t="shared" si="41"/>
        <v>2.0674595487856343E-2</v>
      </c>
      <c r="T159" s="1358">
        <f t="shared" si="32"/>
        <v>0.34435646322155589</v>
      </c>
      <c r="U159" s="595">
        <f>IF('TAR_Tab 2_Volumina'!C162="storage",1,0)</f>
        <v>0</v>
      </c>
      <c r="V159" s="1362">
        <f t="shared" si="44"/>
        <v>0.34435646322155589</v>
      </c>
      <c r="W159" s="1362">
        <f t="shared" si="42"/>
        <v>0.3628081106832014</v>
      </c>
      <c r="X159" s="1355">
        <f t="shared" si="43"/>
        <v>0.36299999999999999</v>
      </c>
      <c r="Y159" s="1355">
        <f>X159+'TAR_Tab 13_Overige tarieven'!$T$15+'TAR_Tab 13_Overige tarieven'!$T$16</f>
        <v>0.51600000000000001</v>
      </c>
      <c r="Z159" s="960"/>
    </row>
    <row r="160" spans="1:26">
      <c r="A160" s="155">
        <v>300378</v>
      </c>
      <c r="B160" s="156" t="s">
        <v>1077</v>
      </c>
      <c r="C160" s="839">
        <v>0.77562294143170474</v>
      </c>
      <c r="D160" s="1356">
        <f t="shared" si="33"/>
        <v>0.73963403694927365</v>
      </c>
      <c r="E160" s="1356">
        <f t="shared" si="34"/>
        <v>0.78152866159986267</v>
      </c>
      <c r="F160" s="1357"/>
      <c r="G160" s="1358">
        <f t="shared" si="35"/>
        <v>0.74245222851986947</v>
      </c>
      <c r="H160" s="1358">
        <f t="shared" si="36"/>
        <v>0.82060509467985587</v>
      </c>
      <c r="I160" s="833">
        <v>0.78566026791824473</v>
      </c>
      <c r="J160" s="1359" t="b">
        <f t="shared" si="30"/>
        <v>1</v>
      </c>
      <c r="K160" s="1583"/>
      <c r="L160" s="17"/>
      <c r="M160" s="1361">
        <f t="shared" si="31"/>
        <v>0.78566026791824473</v>
      </c>
      <c r="N160" s="1350"/>
      <c r="O160" s="1358">
        <f t="shared" si="37"/>
        <v>2.4706841751341757E-3</v>
      </c>
      <c r="P160" s="1358">
        <f t="shared" si="38"/>
        <v>1.9583641263444603E-3</v>
      </c>
      <c r="Q160" s="1358">
        <f t="shared" si="39"/>
        <v>5.4159154065129044E-3</v>
      </c>
      <c r="R160" s="1358">
        <f t="shared" si="40"/>
        <v>0</v>
      </c>
      <c r="S160" s="1358">
        <f t="shared" si="41"/>
        <v>5.0811461845236924E-2</v>
      </c>
      <c r="T160" s="1358">
        <f t="shared" si="32"/>
        <v>0.84631669347147309</v>
      </c>
      <c r="U160" s="595">
        <f>IF('TAR_Tab 2_Volumina'!C163="storage",1,0)</f>
        <v>0</v>
      </c>
      <c r="V160" s="1362">
        <f t="shared" si="44"/>
        <v>0.84631669347147309</v>
      </c>
      <c r="W160" s="1362">
        <f t="shared" si="42"/>
        <v>0.89166486879755658</v>
      </c>
      <c r="X160" s="1355">
        <f t="shared" si="43"/>
        <v>0.89200000000000002</v>
      </c>
      <c r="Y160" s="1355">
        <f>X160+'TAR_Tab 13_Overige tarieven'!$T$15+'TAR_Tab 13_Overige tarieven'!$T$16</f>
        <v>1.0450000000000002</v>
      </c>
      <c r="Z160" s="960"/>
    </row>
    <row r="161" spans="1:26">
      <c r="A161" s="155">
        <v>300380</v>
      </c>
      <c r="B161" s="156" t="s">
        <v>1078</v>
      </c>
      <c r="C161" s="839">
        <v>0.95980927989133291</v>
      </c>
      <c r="D161" s="1356">
        <f t="shared" si="33"/>
        <v>0.91527412930437502</v>
      </c>
      <c r="E161" s="1356">
        <f t="shared" si="34"/>
        <v>0.96711742502094467</v>
      </c>
      <c r="F161" s="1357"/>
      <c r="G161" s="1358">
        <f t="shared" si="35"/>
        <v>0.91876155376989743</v>
      </c>
      <c r="H161" s="1358">
        <f t="shared" si="36"/>
        <v>1.0154732962719919</v>
      </c>
      <c r="I161" s="833">
        <v>0.97223015940953927</v>
      </c>
      <c r="J161" s="1359" t="b">
        <f t="shared" si="30"/>
        <v>1</v>
      </c>
      <c r="K161" s="1583"/>
      <c r="L161" s="17"/>
      <c r="M161" s="1361">
        <f t="shared" si="31"/>
        <v>0.97223015940953927</v>
      </c>
      <c r="N161" s="1350"/>
      <c r="O161" s="1358">
        <f t="shared" si="37"/>
        <v>3.057394865857317E-3</v>
      </c>
      <c r="P161" s="1358">
        <f t="shared" si="38"/>
        <v>2.4234147308769402E-3</v>
      </c>
      <c r="Q161" s="1358">
        <f t="shared" si="39"/>
        <v>6.7020269625885512E-3</v>
      </c>
      <c r="R161" s="1358">
        <f t="shared" si="40"/>
        <v>0</v>
      </c>
      <c r="S161" s="1358">
        <f t="shared" si="41"/>
        <v>6.2877604566312362E-2</v>
      </c>
      <c r="T161" s="1358">
        <f t="shared" si="32"/>
        <v>1.0472906005351745</v>
      </c>
      <c r="U161" s="595">
        <f>IF('TAR_Tab 2_Volumina'!C164="storage",1,0)</f>
        <v>0</v>
      </c>
      <c r="V161" s="1362">
        <f t="shared" si="44"/>
        <v>1.0472906005351745</v>
      </c>
      <c r="W161" s="1362">
        <f t="shared" si="42"/>
        <v>1.1034075578595302</v>
      </c>
      <c r="X161" s="1355">
        <f t="shared" si="43"/>
        <v>1.103</v>
      </c>
      <c r="Y161" s="1355">
        <f>X161+'TAR_Tab 13_Overige tarieven'!$T$15+'TAR_Tab 13_Overige tarieven'!$T$16</f>
        <v>1.256</v>
      </c>
      <c r="Z161" s="960"/>
    </row>
    <row r="162" spans="1:26">
      <c r="A162" s="155">
        <v>300382</v>
      </c>
      <c r="B162" s="156" t="s">
        <v>1079</v>
      </c>
      <c r="C162" s="839">
        <v>0.31559199406708227</v>
      </c>
      <c r="D162" s="1356">
        <f t="shared" si="33"/>
        <v>0.30094852554236967</v>
      </c>
      <c r="E162" s="1356">
        <f t="shared" si="34"/>
        <v>0.31799496322221171</v>
      </c>
      <c r="F162" s="1357"/>
      <c r="G162" s="1358">
        <f t="shared" si="35"/>
        <v>0.3020952150611011</v>
      </c>
      <c r="H162" s="1358">
        <f t="shared" si="36"/>
        <v>0.33389471138332233</v>
      </c>
      <c r="I162" s="833">
        <v>0.31967606599401921</v>
      </c>
      <c r="J162" s="1359" t="b">
        <f t="shared" si="30"/>
        <v>1</v>
      </c>
      <c r="K162" s="1583"/>
      <c r="L162" s="17"/>
      <c r="M162" s="1361">
        <f t="shared" si="31"/>
        <v>0.31967606599401921</v>
      </c>
      <c r="N162" s="1350"/>
      <c r="O162" s="1358">
        <f t="shared" si="37"/>
        <v>1.0052927832450344E-3</v>
      </c>
      <c r="P162" s="1358">
        <f t="shared" si="38"/>
        <v>7.9683568745614233E-4</v>
      </c>
      <c r="Q162" s="1358">
        <f t="shared" si="39"/>
        <v>2.2036732689791646E-3</v>
      </c>
      <c r="R162" s="1358">
        <f t="shared" si="40"/>
        <v>0</v>
      </c>
      <c r="S162" s="1358">
        <f t="shared" si="41"/>
        <v>2.0674595487856343E-2</v>
      </c>
      <c r="T162" s="1358">
        <f t="shared" si="32"/>
        <v>0.34435646322155589</v>
      </c>
      <c r="U162" s="595">
        <f>IF('TAR_Tab 2_Volumina'!C165="storage",1,0)</f>
        <v>0</v>
      </c>
      <c r="V162" s="1362">
        <f t="shared" si="44"/>
        <v>0.34435646322155589</v>
      </c>
      <c r="W162" s="1362">
        <f t="shared" si="42"/>
        <v>0.3628081106832014</v>
      </c>
      <c r="X162" s="1355">
        <f t="shared" si="43"/>
        <v>0.36299999999999999</v>
      </c>
      <c r="Y162" s="1355">
        <f>X162+'TAR_Tab 13_Overige tarieven'!$T$15+'TAR_Tab 13_Overige tarieven'!$T$16</f>
        <v>0.51600000000000001</v>
      </c>
      <c r="Z162" s="960"/>
    </row>
    <row r="163" spans="1:26">
      <c r="A163" s="155">
        <v>300394</v>
      </c>
      <c r="B163" s="156" t="s">
        <v>111</v>
      </c>
      <c r="C163" s="839">
        <v>1.0892113069571865</v>
      </c>
      <c r="D163" s="1356">
        <f t="shared" si="33"/>
        <v>1.0386719023143731</v>
      </c>
      <c r="E163" s="1356">
        <f t="shared" si="34"/>
        <v>1.0975047403244473</v>
      </c>
      <c r="F163" s="1357"/>
      <c r="G163" s="1358">
        <f t="shared" si="35"/>
        <v>1.0426295033082249</v>
      </c>
      <c r="H163" s="1358">
        <f t="shared" si="36"/>
        <v>1.1523799773406698</v>
      </c>
      <c r="I163" s="833">
        <v>1.1033067764395352</v>
      </c>
      <c r="J163" s="1359" t="b">
        <f t="shared" si="30"/>
        <v>1</v>
      </c>
      <c r="K163" s="1583"/>
      <c r="L163" s="17"/>
      <c r="M163" s="1361">
        <f t="shared" si="31"/>
        <v>1.1033067764395352</v>
      </c>
      <c r="N163" s="1350"/>
      <c r="O163" s="1358">
        <f t="shared" si="37"/>
        <v>3.4695945616421541E-3</v>
      </c>
      <c r="P163" s="1358">
        <f t="shared" si="38"/>
        <v>2.7501408682114644E-3</v>
      </c>
      <c r="Q163" s="1358">
        <f t="shared" si="39"/>
        <v>7.6055980079811868E-3</v>
      </c>
      <c r="R163" s="1358">
        <f t="shared" si="40"/>
        <v>0</v>
      </c>
      <c r="S163" s="1358">
        <f t="shared" si="41"/>
        <v>7.1354798586406837E-2</v>
      </c>
      <c r="T163" s="1358">
        <f t="shared" si="32"/>
        <v>1.188486908463777</v>
      </c>
      <c r="U163" s="595">
        <f>IF('TAR_Tab 2_Volumina'!C166="storage",1,0)</f>
        <v>0</v>
      </c>
      <c r="V163" s="1362">
        <f t="shared" si="44"/>
        <v>1.188486908463777</v>
      </c>
      <c r="W163" s="1362">
        <f t="shared" si="42"/>
        <v>1.2521695855437924</v>
      </c>
      <c r="X163" s="1355">
        <f t="shared" si="43"/>
        <v>1.252</v>
      </c>
      <c r="Y163" s="1355">
        <f>X163+'TAR_Tab 13_Overige tarieven'!$T$15+'TAR_Tab 13_Overige tarieven'!$T$16</f>
        <v>1.405</v>
      </c>
      <c r="Z163" s="960"/>
    </row>
    <row r="164" spans="1:26">
      <c r="A164" s="155">
        <v>300400</v>
      </c>
      <c r="B164" s="156" t="s">
        <v>121</v>
      </c>
      <c r="C164" s="839">
        <v>1.0304990368764013</v>
      </c>
      <c r="D164" s="1356">
        <f t="shared" si="33"/>
        <v>0.98268388156533626</v>
      </c>
      <c r="E164" s="1356">
        <f t="shared" si="34"/>
        <v>1.0383454253987863</v>
      </c>
      <c r="F164" s="1357"/>
      <c r="G164" s="1358">
        <f t="shared" si="35"/>
        <v>0.98642815412884688</v>
      </c>
      <c r="H164" s="1358">
        <f t="shared" si="36"/>
        <v>1.0902626966687257</v>
      </c>
      <c r="I164" s="833">
        <v>1.0438347116284923</v>
      </c>
      <c r="J164" s="1359" t="b">
        <f t="shared" si="30"/>
        <v>1</v>
      </c>
      <c r="K164" s="1583"/>
      <c r="L164" s="17"/>
      <c r="M164" s="1361">
        <f t="shared" si="31"/>
        <v>1.0438347116284923</v>
      </c>
      <c r="N164" s="1350"/>
      <c r="O164" s="1358">
        <f t="shared" si="37"/>
        <v>3.2825713718599666E-3</v>
      </c>
      <c r="P164" s="1358">
        <f t="shared" si="38"/>
        <v>2.601898729717961E-3</v>
      </c>
      <c r="Q164" s="1358">
        <f t="shared" si="39"/>
        <v>7.1956298764366015E-3</v>
      </c>
      <c r="R164" s="1358">
        <f t="shared" si="40"/>
        <v>0</v>
      </c>
      <c r="S164" s="1358">
        <f t="shared" si="41"/>
        <v>6.7508527271184601E-2</v>
      </c>
      <c r="T164" s="1358">
        <f t="shared" si="32"/>
        <v>1.1244233388776916</v>
      </c>
      <c r="U164" s="595">
        <f>IF('TAR_Tab 2_Volumina'!C167="storage",1,0)</f>
        <v>0</v>
      </c>
      <c r="V164" s="1362">
        <f t="shared" si="44"/>
        <v>1.1244233388776916</v>
      </c>
      <c r="W164" s="1362">
        <f t="shared" si="42"/>
        <v>1.1846732986214958</v>
      </c>
      <c r="X164" s="1355">
        <f t="shared" si="43"/>
        <v>1.1850000000000001</v>
      </c>
      <c r="Y164" s="1355">
        <f>X164+'TAR_Tab 13_Overige tarieven'!$T$15+'TAR_Tab 13_Overige tarieven'!$T$16</f>
        <v>1.3380000000000001</v>
      </c>
      <c r="Z164" s="960"/>
    </row>
    <row r="165" spans="1:26">
      <c r="A165" s="155">
        <v>300405</v>
      </c>
      <c r="B165" s="156" t="s">
        <v>122</v>
      </c>
      <c r="C165" s="839">
        <v>1.2094120607375809</v>
      </c>
      <c r="D165" s="1356">
        <f t="shared" si="33"/>
        <v>1.1532953411193572</v>
      </c>
      <c r="E165" s="1356">
        <f t="shared" si="34"/>
        <v>1.2186207223399921</v>
      </c>
      <c r="F165" s="1357"/>
      <c r="G165" s="1358">
        <f t="shared" si="35"/>
        <v>1.1576896862229924</v>
      </c>
      <c r="H165" s="1358">
        <f t="shared" si="36"/>
        <v>1.2795517584569918</v>
      </c>
      <c r="I165" s="833">
        <v>1.225063046625098</v>
      </c>
      <c r="J165" s="1359" t="b">
        <f t="shared" si="30"/>
        <v>1</v>
      </c>
      <c r="K165" s="1583"/>
      <c r="L165" s="17"/>
      <c r="M165" s="1361">
        <f t="shared" si="31"/>
        <v>1.225063046625098</v>
      </c>
      <c r="N165" s="1350"/>
      <c r="O165" s="1358">
        <f t="shared" si="37"/>
        <v>3.8524843452478769E-3</v>
      </c>
      <c r="P165" s="1358">
        <f t="shared" si="38"/>
        <v>3.0536347846350474E-3</v>
      </c>
      <c r="Q165" s="1358">
        <f t="shared" si="39"/>
        <v>8.4449196415987294E-3</v>
      </c>
      <c r="R165" s="1358">
        <f t="shared" si="40"/>
        <v>0</v>
      </c>
      <c r="S165" s="1358">
        <f t="shared" si="41"/>
        <v>7.9229212413320455E-2</v>
      </c>
      <c r="T165" s="1358">
        <f t="shared" si="32"/>
        <v>1.3196432978099002</v>
      </c>
      <c r="U165" s="595">
        <f>IF('TAR_Tab 2_Volumina'!C168="storage",1,0)</f>
        <v>0</v>
      </c>
      <c r="V165" s="1362">
        <f t="shared" si="44"/>
        <v>1.3196432978099002</v>
      </c>
      <c r="W165" s="1362">
        <f t="shared" si="42"/>
        <v>1.3903537258312417</v>
      </c>
      <c r="X165" s="1355">
        <f t="shared" si="43"/>
        <v>1.39</v>
      </c>
      <c r="Y165" s="1355">
        <f>X165+'TAR_Tab 13_Overige tarieven'!$T$15+'TAR_Tab 13_Overige tarieven'!$T$16</f>
        <v>1.5429999999999999</v>
      </c>
      <c r="Z165" s="960"/>
    </row>
    <row r="166" spans="1:26">
      <c r="A166" s="155">
        <v>300406</v>
      </c>
      <c r="B166" s="156" t="s">
        <v>123</v>
      </c>
      <c r="C166" s="839">
        <v>1.4056861685528979</v>
      </c>
      <c r="D166" s="1356">
        <f t="shared" si="33"/>
        <v>1.3404623303320433</v>
      </c>
      <c r="E166" s="1356">
        <f t="shared" si="34"/>
        <v>1.416389293373316</v>
      </c>
      <c r="F166" s="1357"/>
      <c r="G166" s="1358">
        <f t="shared" si="35"/>
        <v>1.34556982870465</v>
      </c>
      <c r="H166" s="1358">
        <f t="shared" si="36"/>
        <v>1.4872087580419819</v>
      </c>
      <c r="I166" s="833">
        <v>1.4238771351394903</v>
      </c>
      <c r="J166" s="1359" t="b">
        <f t="shared" si="30"/>
        <v>1</v>
      </c>
      <c r="K166" s="1583"/>
      <c r="L166" s="17"/>
      <c r="M166" s="1361">
        <f t="shared" si="31"/>
        <v>1.4238771351394903</v>
      </c>
      <c r="N166" s="1350"/>
      <c r="O166" s="1358">
        <f t="shared" si="37"/>
        <v>4.4776996480247111E-3</v>
      </c>
      <c r="P166" s="1358">
        <f t="shared" si="38"/>
        <v>3.5492057007895776E-3</v>
      </c>
      <c r="Q166" s="1358">
        <f t="shared" si="39"/>
        <v>9.8154360454255352E-3</v>
      </c>
      <c r="R166" s="1358">
        <f t="shared" si="40"/>
        <v>0</v>
      </c>
      <c r="S166" s="1358">
        <f t="shared" si="41"/>
        <v>9.2087231184731472E-2</v>
      </c>
      <c r="T166" s="1358">
        <f t="shared" si="32"/>
        <v>1.5338067077184614</v>
      </c>
      <c r="U166" s="595">
        <f>IF('TAR_Tab 2_Volumina'!C169="storage",1,0)</f>
        <v>0</v>
      </c>
      <c r="V166" s="1362">
        <f t="shared" si="44"/>
        <v>1.5338067077184614</v>
      </c>
      <c r="W166" s="1362">
        <f t="shared" si="42"/>
        <v>1.6159926506810578</v>
      </c>
      <c r="X166" s="1355">
        <f t="shared" si="43"/>
        <v>1.6160000000000001</v>
      </c>
      <c r="Y166" s="1355">
        <f>X166+'TAR_Tab 13_Overige tarieven'!$T$15+'TAR_Tab 13_Overige tarieven'!$T$16</f>
        <v>1.7690000000000001</v>
      </c>
      <c r="Z166" s="960"/>
    </row>
    <row r="167" spans="1:26">
      <c r="A167" s="155">
        <v>300407</v>
      </c>
      <c r="B167" s="156" t="s">
        <v>124</v>
      </c>
      <c r="C167" s="839">
        <v>1.334612148794605</v>
      </c>
      <c r="D167" s="1356">
        <f t="shared" si="33"/>
        <v>1.2726861450905353</v>
      </c>
      <c r="E167" s="1356">
        <f t="shared" si="34"/>
        <v>1.3447741043825301</v>
      </c>
      <c r="F167" s="1357"/>
      <c r="G167" s="1358">
        <f t="shared" si="35"/>
        <v>1.2775353991634035</v>
      </c>
      <c r="H167" s="1358">
        <f t="shared" si="36"/>
        <v>1.4120128096016566</v>
      </c>
      <c r="I167" s="833">
        <v>1.3518833474077181</v>
      </c>
      <c r="J167" s="1359" t="b">
        <f t="shared" si="30"/>
        <v>1</v>
      </c>
      <c r="K167" s="1583"/>
      <c r="L167" s="17"/>
      <c r="M167" s="1361">
        <f t="shared" si="31"/>
        <v>1.3518833474077181</v>
      </c>
      <c r="N167" s="1350"/>
      <c r="O167" s="1358">
        <f t="shared" si="37"/>
        <v>4.2512991040234609E-3</v>
      </c>
      <c r="P167" s="1358">
        <f t="shared" si="38"/>
        <v>3.3697514799631376E-3</v>
      </c>
      <c r="Q167" s="1358">
        <f t="shared" si="39"/>
        <v>9.319149953241096E-3</v>
      </c>
      <c r="R167" s="1358">
        <f t="shared" si="40"/>
        <v>0</v>
      </c>
      <c r="S167" s="1358">
        <f t="shared" si="41"/>
        <v>8.7431135225952902E-2</v>
      </c>
      <c r="T167" s="1358">
        <f t="shared" si="32"/>
        <v>1.4562546831708987</v>
      </c>
      <c r="U167" s="595">
        <f>IF('TAR_Tab 2_Volumina'!C170="storage",1,0)</f>
        <v>0</v>
      </c>
      <c r="V167" s="1362">
        <f t="shared" si="44"/>
        <v>1.4562546831708987</v>
      </c>
      <c r="W167" s="1362">
        <f t="shared" si="42"/>
        <v>1.5342851571072964</v>
      </c>
      <c r="X167" s="1355">
        <f t="shared" si="43"/>
        <v>1.534</v>
      </c>
      <c r="Y167" s="1355">
        <f>X167+'TAR_Tab 13_Overige tarieven'!$T$15+'TAR_Tab 13_Overige tarieven'!$T$16</f>
        <v>1.6870000000000001</v>
      </c>
      <c r="Z167" s="960"/>
    </row>
    <row r="168" spans="1:26">
      <c r="A168" s="155">
        <v>300412</v>
      </c>
      <c r="B168" s="156" t="s">
        <v>125</v>
      </c>
      <c r="C168" s="839">
        <v>1.1490299860923967</v>
      </c>
      <c r="D168" s="1356">
        <f t="shared" si="33"/>
        <v>1.0957149947377094</v>
      </c>
      <c r="E168" s="1356">
        <f t="shared" si="34"/>
        <v>1.1577788886843676</v>
      </c>
      <c r="F168" s="1357"/>
      <c r="G168" s="1358">
        <f t="shared" si="35"/>
        <v>1.0998899442501493</v>
      </c>
      <c r="H168" s="1358">
        <f t="shared" si="36"/>
        <v>1.2156678331185859</v>
      </c>
      <c r="I168" s="833">
        <v>1.1638995683303135</v>
      </c>
      <c r="J168" s="1359" t="b">
        <f t="shared" si="30"/>
        <v>1</v>
      </c>
      <c r="K168" s="1583"/>
      <c r="L168" s="17"/>
      <c r="M168" s="1361">
        <f t="shared" si="31"/>
        <v>1.1638995683303135</v>
      </c>
      <c r="N168" s="1350"/>
      <c r="O168" s="1358">
        <f t="shared" si="37"/>
        <v>3.660142128020199E-3</v>
      </c>
      <c r="P168" s="1358">
        <f t="shared" si="38"/>
        <v>2.9011765700274351E-3</v>
      </c>
      <c r="Q168" s="1358">
        <f t="shared" si="39"/>
        <v>8.0232918236483996E-3</v>
      </c>
      <c r="R168" s="1358">
        <f t="shared" si="40"/>
        <v>0</v>
      </c>
      <c r="S168" s="1358">
        <f t="shared" si="41"/>
        <v>7.5273551333586666E-2</v>
      </c>
      <c r="T168" s="1358">
        <f t="shared" si="32"/>
        <v>1.2537577301855964</v>
      </c>
      <c r="U168" s="595">
        <f>IF('TAR_Tab 2_Volumina'!C171="storage",1,0)</f>
        <v>0</v>
      </c>
      <c r="V168" s="1362">
        <f t="shared" si="44"/>
        <v>1.2537577301855964</v>
      </c>
      <c r="W168" s="1362">
        <f t="shared" si="42"/>
        <v>1.3209378127758087</v>
      </c>
      <c r="X168" s="1355">
        <f t="shared" si="43"/>
        <v>1.321</v>
      </c>
      <c r="Y168" s="1355">
        <f>X168+'TAR_Tab 13_Overige tarieven'!$T$15+'TAR_Tab 13_Overige tarieven'!$T$16</f>
        <v>1.474</v>
      </c>
      <c r="Z168" s="960"/>
    </row>
    <row r="169" spans="1:26">
      <c r="A169" s="155">
        <v>300420</v>
      </c>
      <c r="B169" s="156" t="s">
        <v>126</v>
      </c>
      <c r="C169" s="839">
        <v>1.1549528210722544</v>
      </c>
      <c r="D169" s="1356">
        <f t="shared" si="33"/>
        <v>1.1013630101745018</v>
      </c>
      <c r="E169" s="1356">
        <f t="shared" si="34"/>
        <v>1.1637468211002664</v>
      </c>
      <c r="F169" s="1357"/>
      <c r="G169" s="1358">
        <f t="shared" si="35"/>
        <v>1.1055594800452531</v>
      </c>
      <c r="H169" s="1358">
        <f t="shared" si="36"/>
        <v>1.2219341621552797</v>
      </c>
      <c r="I169" s="833">
        <v>1.1698990506412945</v>
      </c>
      <c r="J169" s="1359" t="b">
        <f t="shared" si="30"/>
        <v>1</v>
      </c>
      <c r="K169" s="1583"/>
      <c r="L169" s="17"/>
      <c r="M169" s="1361">
        <f t="shared" si="31"/>
        <v>1.1698990506412945</v>
      </c>
      <c r="N169" s="1350"/>
      <c r="O169" s="1358">
        <f t="shared" si="37"/>
        <v>3.679008840020303E-3</v>
      </c>
      <c r="P169" s="1358">
        <f t="shared" si="38"/>
        <v>2.9161310884296384E-3</v>
      </c>
      <c r="Q169" s="1358">
        <f t="shared" si="39"/>
        <v>8.0646489979971023E-3</v>
      </c>
      <c r="R169" s="1358">
        <f t="shared" si="40"/>
        <v>0</v>
      </c>
      <c r="S169" s="1358">
        <f t="shared" si="41"/>
        <v>7.5661559330151548E-2</v>
      </c>
      <c r="T169" s="1358">
        <f t="shared" si="32"/>
        <v>1.2602203988978931</v>
      </c>
      <c r="U169" s="595">
        <f>IF('TAR_Tab 2_Volumina'!C172="storage",1,0)</f>
        <v>0</v>
      </c>
      <c r="V169" s="1362">
        <f t="shared" si="44"/>
        <v>1.2602203988978931</v>
      </c>
      <c r="W169" s="1362">
        <f t="shared" si="42"/>
        <v>1.3277467705736219</v>
      </c>
      <c r="X169" s="1355">
        <f t="shared" si="43"/>
        <v>1.3280000000000001</v>
      </c>
      <c r="Y169" s="1355">
        <f>X169+'TAR_Tab 13_Overige tarieven'!$T$15+'TAR_Tab 13_Overige tarieven'!$T$16</f>
        <v>1.4810000000000001</v>
      </c>
      <c r="Z169" s="960"/>
    </row>
    <row r="170" spans="1:26">
      <c r="A170" s="155">
        <v>300423</v>
      </c>
      <c r="B170" s="156" t="s">
        <v>1080</v>
      </c>
      <c r="C170" s="839">
        <v>1.290372702820014</v>
      </c>
      <c r="D170" s="1356">
        <f t="shared" si="33"/>
        <v>1.2304994094091655</v>
      </c>
      <c r="E170" s="1356">
        <f t="shared" si="34"/>
        <v>1.3001978120172974</v>
      </c>
      <c r="F170" s="1357"/>
      <c r="G170" s="1358">
        <f t="shared" si="35"/>
        <v>1.2351879214164325</v>
      </c>
      <c r="H170" s="1358">
        <f t="shared" si="36"/>
        <v>1.3652077026181624</v>
      </c>
      <c r="I170" s="833">
        <v>1.3070713993330594</v>
      </c>
      <c r="J170" s="1359" t="b">
        <f t="shared" si="30"/>
        <v>1</v>
      </c>
      <c r="K170" s="1583"/>
      <c r="L170" s="17"/>
      <c r="M170" s="1361">
        <f t="shared" si="31"/>
        <v>1.3070713993330594</v>
      </c>
      <c r="N170" s="1350"/>
      <c r="O170" s="1358">
        <f t="shared" si="37"/>
        <v>4.1103779253843058E-3</v>
      </c>
      <c r="P170" s="1358">
        <f t="shared" si="38"/>
        <v>3.2580516586478074E-3</v>
      </c>
      <c r="Q170" s="1358">
        <f t="shared" si="39"/>
        <v>9.0102407085156707E-3</v>
      </c>
      <c r="R170" s="1358">
        <f t="shared" si="40"/>
        <v>0</v>
      </c>
      <c r="S170" s="1358">
        <f t="shared" si="41"/>
        <v>8.4532986136856794E-2</v>
      </c>
      <c r="T170" s="1358">
        <f t="shared" si="32"/>
        <v>1.4079830557624642</v>
      </c>
      <c r="U170" s="595">
        <f>IF('TAR_Tab 2_Volumina'!C173="storage",1,0)</f>
        <v>0</v>
      </c>
      <c r="V170" s="1362">
        <f t="shared" si="44"/>
        <v>1.4079830557624642</v>
      </c>
      <c r="W170" s="1362">
        <f t="shared" si="42"/>
        <v>1.4834269917753169</v>
      </c>
      <c r="X170" s="1355">
        <f t="shared" si="43"/>
        <v>1.4830000000000001</v>
      </c>
      <c r="Y170" s="1355">
        <f>X170+'TAR_Tab 13_Overige tarieven'!$T$15+'TAR_Tab 13_Overige tarieven'!$T$16</f>
        <v>1.6360000000000001</v>
      </c>
      <c r="Z170" s="960"/>
    </row>
    <row r="171" spans="1:26">
      <c r="A171" s="155">
        <v>300428</v>
      </c>
      <c r="B171" s="156" t="s">
        <v>421</v>
      </c>
      <c r="C171" s="839">
        <v>1.0882803571221804</v>
      </c>
      <c r="D171" s="1356">
        <f t="shared" si="33"/>
        <v>1.0377841485517112</v>
      </c>
      <c r="E171" s="1356">
        <f t="shared" si="34"/>
        <v>1.0965667020848537</v>
      </c>
      <c r="F171" s="1357"/>
      <c r="G171" s="1358">
        <f t="shared" si="35"/>
        <v>1.0417383669806111</v>
      </c>
      <c r="H171" s="1358">
        <f t="shared" si="36"/>
        <v>1.1513950371890964</v>
      </c>
      <c r="I171" s="833">
        <v>1.1023637791947152</v>
      </c>
      <c r="J171" s="1359" t="b">
        <f t="shared" si="30"/>
        <v>1</v>
      </c>
      <c r="K171" s="1583"/>
      <c r="L171" s="17"/>
      <c r="M171" s="1361">
        <f t="shared" si="31"/>
        <v>1.1023637791947152</v>
      </c>
      <c r="N171" s="1350"/>
      <c r="O171" s="1358">
        <f t="shared" si="37"/>
        <v>3.4666290962048533E-3</v>
      </c>
      <c r="P171" s="1358">
        <f t="shared" si="38"/>
        <v>2.7477903204608562E-3</v>
      </c>
      <c r="Q171" s="1358">
        <f t="shared" si="39"/>
        <v>7.5990974968632545E-3</v>
      </c>
      <c r="R171" s="1358">
        <f t="shared" si="40"/>
        <v>0</v>
      </c>
      <c r="S171" s="1358">
        <f t="shared" si="41"/>
        <v>7.1293811579068028E-2</v>
      </c>
      <c r="T171" s="1358">
        <f t="shared" si="32"/>
        <v>1.1874711076873121</v>
      </c>
      <c r="U171" s="595">
        <f>IF('TAR_Tab 2_Volumina'!C174="storage",1,0)</f>
        <v>0</v>
      </c>
      <c r="V171" s="1362">
        <f t="shared" si="44"/>
        <v>1.1874711076873121</v>
      </c>
      <c r="W171" s="1362">
        <f t="shared" si="42"/>
        <v>1.2510993551287977</v>
      </c>
      <c r="X171" s="1355">
        <f t="shared" si="43"/>
        <v>1.2509999999999999</v>
      </c>
      <c r="Y171" s="1355">
        <f>X171+'TAR_Tab 13_Overige tarieven'!$T$15+'TAR_Tab 13_Overige tarieven'!$T$16</f>
        <v>1.4039999999999999</v>
      </c>
      <c r="Z171" s="960"/>
    </row>
    <row r="172" spans="1:26">
      <c r="A172" s="155">
        <v>300436</v>
      </c>
      <c r="B172" s="156" t="s">
        <v>127</v>
      </c>
      <c r="C172" s="839">
        <v>1.4233080780911693</v>
      </c>
      <c r="D172" s="1356">
        <f t="shared" si="33"/>
        <v>1.3572665832677391</v>
      </c>
      <c r="E172" s="1356">
        <f t="shared" si="34"/>
        <v>1.4341453790183043</v>
      </c>
      <c r="F172" s="1357"/>
      <c r="G172" s="1358">
        <f t="shared" si="35"/>
        <v>1.362438110067389</v>
      </c>
      <c r="H172" s="1358">
        <f t="shared" si="36"/>
        <v>1.5058526479692196</v>
      </c>
      <c r="I172" s="833">
        <v>1.4417270895819332</v>
      </c>
      <c r="J172" s="1359" t="b">
        <f t="shared" si="30"/>
        <v>1</v>
      </c>
      <c r="K172" s="1583"/>
      <c r="L172" s="17"/>
      <c r="M172" s="1361">
        <f t="shared" si="31"/>
        <v>1.4417270895819332</v>
      </c>
      <c r="N172" s="1350"/>
      <c r="O172" s="1358">
        <f t="shared" si="37"/>
        <v>4.5338328162255991E-3</v>
      </c>
      <c r="P172" s="1358">
        <f t="shared" si="38"/>
        <v>3.5936991184465344E-3</v>
      </c>
      <c r="Q172" s="1358">
        <f t="shared" si="39"/>
        <v>9.9384839418484201E-3</v>
      </c>
      <c r="R172" s="1358">
        <f t="shared" si="40"/>
        <v>0</v>
      </c>
      <c r="S172" s="1358">
        <f t="shared" si="41"/>
        <v>9.3241651633527517E-2</v>
      </c>
      <c r="T172" s="1358">
        <f t="shared" ref="T172:T223" si="45">M172+O172+P172+Q172+R172+S172</f>
        <v>1.5530347570919811</v>
      </c>
      <c r="U172" s="595">
        <f>IF('TAR_Tab 2_Volumina'!C175="storage",1,0)</f>
        <v>0</v>
      </c>
      <c r="V172" s="1362">
        <f t="shared" si="44"/>
        <v>1.5530347570919811</v>
      </c>
      <c r="W172" s="1362">
        <f t="shared" si="42"/>
        <v>1.6362509963501548</v>
      </c>
      <c r="X172" s="1355">
        <f t="shared" si="43"/>
        <v>1.6359999999999999</v>
      </c>
      <c r="Y172" s="1355">
        <f>X172+'TAR_Tab 13_Overige tarieven'!$T$15+'TAR_Tab 13_Overige tarieven'!$T$16</f>
        <v>1.7889999999999999</v>
      </c>
      <c r="Z172" s="960"/>
    </row>
    <row r="173" spans="1:26">
      <c r="A173" s="155">
        <v>300437</v>
      </c>
      <c r="B173" s="156" t="s">
        <v>128</v>
      </c>
      <c r="C173" s="839">
        <v>0.33883527982647926</v>
      </c>
      <c r="D173" s="1356">
        <f t="shared" si="33"/>
        <v>0.32311332284253064</v>
      </c>
      <c r="E173" s="1356">
        <f t="shared" si="34"/>
        <v>0.34141522716798123</v>
      </c>
      <c r="F173" s="1357"/>
      <c r="G173" s="1358">
        <f t="shared" si="35"/>
        <v>0.32434446580958215</v>
      </c>
      <c r="H173" s="1358">
        <f t="shared" si="36"/>
        <v>0.35848598852638031</v>
      </c>
      <c r="I173" s="833">
        <v>0.34322014281480018</v>
      </c>
      <c r="J173" s="1359" t="b">
        <f t="shared" ref="J173:J224" si="46">IF(I173&gt;0,AND(I173&gt;=G173,I173&lt;=H173),"")</f>
        <v>1</v>
      </c>
      <c r="K173" s="1583"/>
      <c r="L173" s="17"/>
      <c r="M173" s="1361">
        <f t="shared" ref="M173:M224" si="47">IF(I173&gt;0,I173,E173)</f>
        <v>0.34322014281480018</v>
      </c>
      <c r="N173" s="1350"/>
      <c r="O173" s="1358">
        <f t="shared" si="37"/>
        <v>1.0793323909413473E-3</v>
      </c>
      <c r="P173" s="1358">
        <f t="shared" si="38"/>
        <v>8.5552247272006703E-4</v>
      </c>
      <c r="Q173" s="1358">
        <f t="shared" si="39"/>
        <v>2.3659733541338589E-3</v>
      </c>
      <c r="R173" s="1358">
        <f t="shared" si="40"/>
        <v>0</v>
      </c>
      <c r="S173" s="1358">
        <f t="shared" si="41"/>
        <v>2.2197275213318705E-2</v>
      </c>
      <c r="T173" s="1358">
        <f t="shared" si="45"/>
        <v>0.36971824624591415</v>
      </c>
      <c r="U173" s="595">
        <f>IF('TAR_Tab 2_Volumina'!C176="storage",1,0)</f>
        <v>0</v>
      </c>
      <c r="V173" s="1362">
        <f t="shared" si="44"/>
        <v>0.36971824624591415</v>
      </c>
      <c r="W173" s="1362">
        <f t="shared" si="42"/>
        <v>0.38952885376594287</v>
      </c>
      <c r="X173" s="1355">
        <f t="shared" si="43"/>
        <v>0.39</v>
      </c>
      <c r="Y173" s="1355">
        <f>X173+'TAR_Tab 13_Overige tarieven'!$T$15+'TAR_Tab 13_Overige tarieven'!$T$16</f>
        <v>0.54300000000000004</v>
      </c>
      <c r="Z173" s="960"/>
    </row>
    <row r="174" spans="1:26">
      <c r="A174" s="155">
        <v>300438</v>
      </c>
      <c r="B174" s="156" t="s">
        <v>129</v>
      </c>
      <c r="C174" s="839">
        <v>0.70679164092968738</v>
      </c>
      <c r="D174" s="1356">
        <f t="shared" si="33"/>
        <v>0.67399650879054984</v>
      </c>
      <c r="E174" s="1356">
        <f t="shared" si="34"/>
        <v>0.71217326829725713</v>
      </c>
      <c r="F174" s="1357"/>
      <c r="G174" s="1358">
        <f t="shared" si="35"/>
        <v>0.67656460488239423</v>
      </c>
      <c r="H174" s="1358">
        <f t="shared" si="36"/>
        <v>0.74778193171212004</v>
      </c>
      <c r="I174" s="833">
        <v>0.71593822244373251</v>
      </c>
      <c r="J174" s="1359" t="b">
        <f t="shared" si="46"/>
        <v>1</v>
      </c>
      <c r="K174" s="1583"/>
      <c r="L174" s="17"/>
      <c r="M174" s="1361">
        <f t="shared" si="47"/>
        <v>0.71593822244373251</v>
      </c>
      <c r="N174" s="1350"/>
      <c r="O174" s="1358">
        <f t="shared" si="37"/>
        <v>2.2514276320124253E-3</v>
      </c>
      <c r="P174" s="1358">
        <f t="shared" si="38"/>
        <v>1.7845725293295909E-3</v>
      </c>
      <c r="Q174" s="1358">
        <f t="shared" si="39"/>
        <v>4.9352894722785702E-3</v>
      </c>
      <c r="R174" s="1358">
        <f t="shared" si="40"/>
        <v>0</v>
      </c>
      <c r="S174" s="1358">
        <f t="shared" si="41"/>
        <v>4.6302287590075659E-2</v>
      </c>
      <c r="T174" s="1358">
        <f t="shared" si="45"/>
        <v>0.77121179966742892</v>
      </c>
      <c r="U174" s="595">
        <f>IF('TAR_Tab 2_Volumina'!C177="storage",1,0)</f>
        <v>0</v>
      </c>
      <c r="V174" s="1362">
        <f t="shared" si="44"/>
        <v>0.77121179966742892</v>
      </c>
      <c r="W174" s="1362">
        <f t="shared" si="42"/>
        <v>0.81253563053907152</v>
      </c>
      <c r="X174" s="1355">
        <f t="shared" si="43"/>
        <v>0.81299999999999994</v>
      </c>
      <c r="Y174" s="1355">
        <f>X174+'TAR_Tab 13_Overige tarieven'!$T$15+'TAR_Tab 13_Overige tarieven'!$T$16</f>
        <v>0.96599999999999997</v>
      </c>
      <c r="Z174" s="960"/>
    </row>
    <row r="175" spans="1:26">
      <c r="A175" s="155">
        <v>300443</v>
      </c>
      <c r="B175" s="156" t="s">
        <v>309</v>
      </c>
      <c r="C175" s="839">
        <v>1.290372702820014</v>
      </c>
      <c r="D175" s="1356">
        <f t="shared" si="33"/>
        <v>1.2304994094091655</v>
      </c>
      <c r="E175" s="1356">
        <f t="shared" si="34"/>
        <v>1.3001978120172974</v>
      </c>
      <c r="F175" s="1357"/>
      <c r="G175" s="1358">
        <f t="shared" si="35"/>
        <v>1.2351879214164325</v>
      </c>
      <c r="H175" s="1358">
        <f t="shared" si="36"/>
        <v>1.3652077026181624</v>
      </c>
      <c r="I175" s="833">
        <v>1.3070713993330594</v>
      </c>
      <c r="J175" s="1359" t="b">
        <f t="shared" si="46"/>
        <v>1</v>
      </c>
      <c r="K175" s="1583"/>
      <c r="L175" s="17"/>
      <c r="M175" s="1361">
        <f t="shared" si="47"/>
        <v>1.3070713993330594</v>
      </c>
      <c r="N175" s="1350"/>
      <c r="O175" s="1358">
        <f t="shared" si="37"/>
        <v>4.1103779253843058E-3</v>
      </c>
      <c r="P175" s="1358">
        <f t="shared" si="38"/>
        <v>3.2580516586478074E-3</v>
      </c>
      <c r="Q175" s="1358">
        <f t="shared" si="39"/>
        <v>9.0102407085156707E-3</v>
      </c>
      <c r="R175" s="1358">
        <f t="shared" si="40"/>
        <v>0</v>
      </c>
      <c r="S175" s="1358">
        <f t="shared" si="41"/>
        <v>8.4532986136856794E-2</v>
      </c>
      <c r="T175" s="1358">
        <f t="shared" si="45"/>
        <v>1.4079830557624642</v>
      </c>
      <c r="U175" s="595">
        <f>IF('TAR_Tab 2_Volumina'!C178="storage",1,0)</f>
        <v>0</v>
      </c>
      <c r="V175" s="1362">
        <f t="shared" si="44"/>
        <v>1.4079830557624642</v>
      </c>
      <c r="W175" s="1362">
        <f t="shared" si="42"/>
        <v>1.4834269917753169</v>
      </c>
      <c r="X175" s="1355">
        <f t="shared" si="43"/>
        <v>1.4830000000000001</v>
      </c>
      <c r="Y175" s="1355">
        <f>X175+'TAR_Tab 13_Overige tarieven'!$T$15+'TAR_Tab 13_Overige tarieven'!$T$16</f>
        <v>1.6360000000000001</v>
      </c>
      <c r="Z175" s="960"/>
    </row>
    <row r="176" spans="1:26">
      <c r="A176" s="155">
        <v>300444</v>
      </c>
      <c r="B176" s="156" t="s">
        <v>130</v>
      </c>
      <c r="C176" s="839">
        <v>1.0177404773722174</v>
      </c>
      <c r="D176" s="1356">
        <f t="shared" si="33"/>
        <v>0.97051731922214657</v>
      </c>
      <c r="E176" s="1356">
        <f t="shared" si="34"/>
        <v>1.0254897201319444</v>
      </c>
      <c r="F176" s="1357"/>
      <c r="G176" s="1358">
        <f t="shared" si="35"/>
        <v>0.97421523412534716</v>
      </c>
      <c r="H176" s="1358">
        <f t="shared" si="36"/>
        <v>1.0767642061385416</v>
      </c>
      <c r="I176" s="833">
        <v>1.0309110437702351</v>
      </c>
      <c r="J176" s="1359" t="b">
        <f t="shared" si="46"/>
        <v>1</v>
      </c>
      <c r="K176" s="1583"/>
      <c r="L176" s="17"/>
      <c r="M176" s="1361">
        <f t="shared" si="47"/>
        <v>1.0309110437702351</v>
      </c>
      <c r="N176" s="1350"/>
      <c r="O176" s="1358">
        <f t="shared" si="37"/>
        <v>3.241930012017892E-3</v>
      </c>
      <c r="P176" s="1358">
        <f t="shared" si="38"/>
        <v>2.5696847454452633E-3</v>
      </c>
      <c r="Q176" s="1358">
        <f t="shared" si="39"/>
        <v>7.1065411255854839E-3</v>
      </c>
      <c r="R176" s="1358">
        <f t="shared" si="40"/>
        <v>0</v>
      </c>
      <c r="S176" s="1358">
        <f t="shared" si="41"/>
        <v>6.6672707409731857E-2</v>
      </c>
      <c r="T176" s="1358">
        <f t="shared" si="45"/>
        <v>1.1105019070630155</v>
      </c>
      <c r="U176" s="595">
        <f>IF('TAR_Tab 2_Volumina'!C179="storage",1,0)</f>
        <v>0</v>
      </c>
      <c r="V176" s="1362">
        <f t="shared" si="44"/>
        <v>1.1105019070630155</v>
      </c>
      <c r="W176" s="1362">
        <f t="shared" si="42"/>
        <v>1.1700059149242774</v>
      </c>
      <c r="X176" s="1355">
        <f t="shared" si="43"/>
        <v>1.17</v>
      </c>
      <c r="Y176" s="1355">
        <f>X176+'TAR_Tab 13_Overige tarieven'!$T$15+'TAR_Tab 13_Overige tarieven'!$T$16</f>
        <v>1.323</v>
      </c>
      <c r="Z176" s="960"/>
    </row>
    <row r="177" spans="1:26">
      <c r="A177" s="155">
        <v>300447</v>
      </c>
      <c r="B177" s="156" t="s">
        <v>422</v>
      </c>
      <c r="C177" s="839">
        <v>0.56272643817789914</v>
      </c>
      <c r="D177" s="1356">
        <f t="shared" si="33"/>
        <v>0.53661593144644459</v>
      </c>
      <c r="E177" s="1356">
        <f t="shared" si="34"/>
        <v>0.56701112948546728</v>
      </c>
      <c r="F177" s="1357"/>
      <c r="G177" s="1358">
        <f t="shared" si="35"/>
        <v>0.53866057301119386</v>
      </c>
      <c r="H177" s="1358">
        <f t="shared" si="36"/>
        <v>0.59536168595974071</v>
      </c>
      <c r="I177" s="833">
        <v>0.57000867376027275</v>
      </c>
      <c r="J177" s="1359" t="b">
        <f t="shared" si="46"/>
        <v>1</v>
      </c>
      <c r="K177" s="1583"/>
      <c r="L177" s="17"/>
      <c r="M177" s="1361">
        <f t="shared" si="47"/>
        <v>0.57000867376027275</v>
      </c>
      <c r="N177" s="1350"/>
      <c r="O177" s="1358">
        <f t="shared" si="37"/>
        <v>1.7925195755161606E-3</v>
      </c>
      <c r="P177" s="1358">
        <f t="shared" si="38"/>
        <v>1.4208234576442407E-3</v>
      </c>
      <c r="Q177" s="1358">
        <f t="shared" si="39"/>
        <v>3.9293303786942842E-3</v>
      </c>
      <c r="R177" s="1358">
        <f t="shared" si="40"/>
        <v>0</v>
      </c>
      <c r="S177" s="1358">
        <f t="shared" si="41"/>
        <v>3.6864501312974716E-2</v>
      </c>
      <c r="T177" s="1358">
        <f t="shared" si="45"/>
        <v>0.61401584848510216</v>
      </c>
      <c r="U177" s="595">
        <f>IF('TAR_Tab 2_Volumina'!C180="storage",1,0)</f>
        <v>0</v>
      </c>
      <c r="V177" s="1362">
        <f t="shared" si="44"/>
        <v>0.61401584848510216</v>
      </c>
      <c r="W177" s="1362">
        <f t="shared" si="42"/>
        <v>0.64691665094461892</v>
      </c>
      <c r="X177" s="1355">
        <f t="shared" si="43"/>
        <v>0.64700000000000002</v>
      </c>
      <c r="Y177" s="1355">
        <f>X177+'TAR_Tab 13_Overige tarieven'!$T$15+'TAR_Tab 13_Overige tarieven'!$T$16</f>
        <v>0.8</v>
      </c>
      <c r="Z177" s="960"/>
    </row>
    <row r="178" spans="1:26">
      <c r="A178" s="155">
        <v>300450</v>
      </c>
      <c r="B178" s="156" t="s">
        <v>423</v>
      </c>
      <c r="C178" s="839">
        <v>1.4942735791757715</v>
      </c>
      <c r="D178" s="1356">
        <f t="shared" si="33"/>
        <v>1.4249392851020157</v>
      </c>
      <c r="E178" s="1356">
        <f t="shared" si="34"/>
        <v>1.5056512230564365</v>
      </c>
      <c r="F178" s="1357"/>
      <c r="G178" s="1358">
        <f t="shared" si="35"/>
        <v>1.4303686619036147</v>
      </c>
      <c r="H178" s="1358">
        <f t="shared" si="36"/>
        <v>1.5809337842092583</v>
      </c>
      <c r="I178" s="833">
        <v>1.5136109543012575</v>
      </c>
      <c r="J178" s="1359" t="b">
        <f t="shared" si="46"/>
        <v>1</v>
      </c>
      <c r="K178" s="1583"/>
      <c r="L178" s="17"/>
      <c r="M178" s="1361">
        <f t="shared" si="47"/>
        <v>1.5136109543012575</v>
      </c>
      <c r="N178" s="1350"/>
      <c r="O178" s="1358">
        <f t="shared" si="37"/>
        <v>4.7598876827649392E-3</v>
      </c>
      <c r="P178" s="1358">
        <f t="shared" si="38"/>
        <v>3.7728793413466083E-3</v>
      </c>
      <c r="Q178" s="1358">
        <f t="shared" si="39"/>
        <v>1.0434012284454629E-2</v>
      </c>
      <c r="R178" s="1358">
        <f t="shared" si="40"/>
        <v>0</v>
      </c>
      <c r="S178" s="1358">
        <f t="shared" si="41"/>
        <v>9.7890638477614936E-2</v>
      </c>
      <c r="T178" s="1358">
        <f t="shared" si="45"/>
        <v>1.6304683720874387</v>
      </c>
      <c r="U178" s="595">
        <f>IF('TAR_Tab 2_Volumina'!C181="storage",1,0)</f>
        <v>0</v>
      </c>
      <c r="V178" s="1362">
        <f t="shared" si="44"/>
        <v>1.6304683720874387</v>
      </c>
      <c r="W178" s="1362">
        <f t="shared" si="42"/>
        <v>1.717833735634468</v>
      </c>
      <c r="X178" s="1355">
        <f t="shared" si="43"/>
        <v>1.718</v>
      </c>
      <c r="Y178" s="1355">
        <f>X178+'TAR_Tab 13_Overige tarieven'!$T$15+'TAR_Tab 13_Overige tarieven'!$T$16</f>
        <v>1.871</v>
      </c>
      <c r="Z178" s="960"/>
    </row>
    <row r="179" spans="1:26">
      <c r="A179" s="155">
        <v>300451</v>
      </c>
      <c r="B179" s="156" t="s">
        <v>1081</v>
      </c>
      <c r="C179" s="839">
        <v>1.3183590976139412</v>
      </c>
      <c r="D179" s="1356">
        <f t="shared" si="33"/>
        <v>1.2571872354846543</v>
      </c>
      <c r="E179" s="1356">
        <f t="shared" si="34"/>
        <v>1.3283972998069826</v>
      </c>
      <c r="F179" s="1357"/>
      <c r="G179" s="1358">
        <f t="shared" si="35"/>
        <v>1.2619774348166335</v>
      </c>
      <c r="H179" s="1358">
        <f t="shared" si="36"/>
        <v>1.3948171647973318</v>
      </c>
      <c r="I179" s="833">
        <v>1.3354199657012429</v>
      </c>
      <c r="J179" s="1359" t="b">
        <f t="shared" si="46"/>
        <v>1</v>
      </c>
      <c r="K179" s="1583"/>
      <c r="L179" s="17"/>
      <c r="M179" s="1361">
        <f t="shared" si="47"/>
        <v>1.3354199657012429</v>
      </c>
      <c r="N179" s="1350"/>
      <c r="O179" s="1358">
        <f t="shared" si="37"/>
        <v>4.1995263234561554E-3</v>
      </c>
      <c r="P179" s="1358">
        <f t="shared" si="38"/>
        <v>3.3287142817633279E-3</v>
      </c>
      <c r="Q179" s="1358">
        <f t="shared" si="39"/>
        <v>9.2056603365857203E-3</v>
      </c>
      <c r="R179" s="1358">
        <f t="shared" si="40"/>
        <v>0</v>
      </c>
      <c r="S179" s="1358">
        <f t="shared" si="41"/>
        <v>8.6366389399313764E-2</v>
      </c>
      <c r="T179" s="1358">
        <f t="shared" si="45"/>
        <v>1.438520256042362</v>
      </c>
      <c r="U179" s="595">
        <f>IF('TAR_Tab 2_Volumina'!C182="storage",1,0)</f>
        <v>0</v>
      </c>
      <c r="V179" s="1362">
        <f t="shared" si="44"/>
        <v>1.438520256042362</v>
      </c>
      <c r="W179" s="1362">
        <f t="shared" si="42"/>
        <v>1.5156004664226508</v>
      </c>
      <c r="X179" s="1355">
        <f t="shared" si="43"/>
        <v>1.516</v>
      </c>
      <c r="Y179" s="1355">
        <f>X179+'TAR_Tab 13_Overige tarieven'!$T$15+'TAR_Tab 13_Overige tarieven'!$T$16</f>
        <v>1.669</v>
      </c>
      <c r="Z179" s="960"/>
    </row>
    <row r="180" spans="1:26">
      <c r="A180" s="155">
        <v>300452</v>
      </c>
      <c r="B180" s="156" t="s">
        <v>424</v>
      </c>
      <c r="C180" s="839">
        <v>0.33883527982647926</v>
      </c>
      <c r="D180" s="1356">
        <f t="shared" si="33"/>
        <v>0.32311332284253064</v>
      </c>
      <c r="E180" s="1356">
        <f t="shared" si="34"/>
        <v>0.34141522716798123</v>
      </c>
      <c r="F180" s="1357"/>
      <c r="G180" s="1358">
        <f t="shared" si="35"/>
        <v>0.32434446580958215</v>
      </c>
      <c r="H180" s="1358">
        <f t="shared" si="36"/>
        <v>0.35848598852638031</v>
      </c>
      <c r="I180" s="833">
        <v>0.34322014281480018</v>
      </c>
      <c r="J180" s="1359" t="b">
        <f t="shared" si="46"/>
        <v>1</v>
      </c>
      <c r="K180" s="1583"/>
      <c r="L180" s="17"/>
      <c r="M180" s="1361">
        <f t="shared" si="47"/>
        <v>0.34322014281480018</v>
      </c>
      <c r="N180" s="1350"/>
      <c r="O180" s="1358">
        <f t="shared" si="37"/>
        <v>1.0793323909413473E-3</v>
      </c>
      <c r="P180" s="1358">
        <f t="shared" si="38"/>
        <v>8.5552247272006703E-4</v>
      </c>
      <c r="Q180" s="1358">
        <f t="shared" si="39"/>
        <v>2.3659733541338589E-3</v>
      </c>
      <c r="R180" s="1358">
        <f t="shared" si="40"/>
        <v>0</v>
      </c>
      <c r="S180" s="1358">
        <f t="shared" si="41"/>
        <v>2.2197275213318705E-2</v>
      </c>
      <c r="T180" s="1358">
        <f t="shared" si="45"/>
        <v>0.36971824624591415</v>
      </c>
      <c r="U180" s="595">
        <f>IF('TAR_Tab 2_Volumina'!C183="storage",1,0)</f>
        <v>0</v>
      </c>
      <c r="V180" s="1362">
        <f t="shared" si="44"/>
        <v>0.36971824624591415</v>
      </c>
      <c r="W180" s="1362">
        <f t="shared" si="42"/>
        <v>0.38952885376594287</v>
      </c>
      <c r="X180" s="1355">
        <f t="shared" si="43"/>
        <v>0.39</v>
      </c>
      <c r="Y180" s="1355">
        <f>X180+'TAR_Tab 13_Overige tarieven'!$T$15+'TAR_Tab 13_Overige tarieven'!$T$16</f>
        <v>0.54300000000000004</v>
      </c>
      <c r="Z180" s="960"/>
    </row>
    <row r="181" spans="1:26">
      <c r="A181" s="155">
        <v>300453</v>
      </c>
      <c r="B181" s="156" t="s">
        <v>131</v>
      </c>
      <c r="C181" s="839">
        <v>1.3550008155517392</v>
      </c>
      <c r="D181" s="1356">
        <f t="shared" si="33"/>
        <v>1.2921287777101385</v>
      </c>
      <c r="E181" s="1356">
        <f t="shared" si="34"/>
        <v>1.3653180137892011</v>
      </c>
      <c r="F181" s="1357"/>
      <c r="G181" s="1358">
        <f t="shared" si="35"/>
        <v>1.297052113099741</v>
      </c>
      <c r="H181" s="1358">
        <f t="shared" si="36"/>
        <v>1.4335839144786613</v>
      </c>
      <c r="I181" s="833">
        <v>1.3725358636385268</v>
      </c>
      <c r="J181" s="1359" t="b">
        <f t="shared" si="46"/>
        <v>1</v>
      </c>
      <c r="K181" s="1583"/>
      <c r="L181" s="17"/>
      <c r="M181" s="1361">
        <f t="shared" si="47"/>
        <v>1.3725358636385268</v>
      </c>
      <c r="N181" s="1350"/>
      <c r="O181" s="1358">
        <f t="shared" si="37"/>
        <v>4.316245553668119E-3</v>
      </c>
      <c r="P181" s="1358">
        <f t="shared" si="38"/>
        <v>3.4212306606684691E-3</v>
      </c>
      <c r="Q181" s="1358">
        <f t="shared" si="39"/>
        <v>9.4615171893163898E-3</v>
      </c>
      <c r="R181" s="1358">
        <f t="shared" si="40"/>
        <v>0</v>
      </c>
      <c r="S181" s="1358">
        <f t="shared" si="41"/>
        <v>8.8766807377543833E-2</v>
      </c>
      <c r="T181" s="1358">
        <f t="shared" si="45"/>
        <v>1.4785016644197235</v>
      </c>
      <c r="U181" s="595">
        <f>IF('TAR_Tab 2_Volumina'!C184="storage",1,0)</f>
        <v>0</v>
      </c>
      <c r="V181" s="1362">
        <f t="shared" si="44"/>
        <v>1.4785016644197235</v>
      </c>
      <c r="W181" s="1362">
        <f t="shared" si="42"/>
        <v>1.5577241980353527</v>
      </c>
      <c r="X181" s="1355">
        <f t="shared" si="43"/>
        <v>1.5580000000000001</v>
      </c>
      <c r="Y181" s="1355">
        <f>X181+'TAR_Tab 13_Overige tarieven'!$T$15+'TAR_Tab 13_Overige tarieven'!$T$16</f>
        <v>1.7110000000000001</v>
      </c>
      <c r="Z181" s="960"/>
    </row>
    <row r="182" spans="1:26">
      <c r="A182" s="155">
        <v>300455</v>
      </c>
      <c r="B182" s="156" t="s">
        <v>132</v>
      </c>
      <c r="C182" s="839">
        <v>1.1026344454168449</v>
      </c>
      <c r="D182" s="1356">
        <f t="shared" si="33"/>
        <v>1.0514722071495033</v>
      </c>
      <c r="E182" s="1356">
        <f t="shared" si="34"/>
        <v>1.1110300847598273</v>
      </c>
      <c r="F182" s="1357"/>
      <c r="G182" s="1358">
        <f t="shared" si="35"/>
        <v>1.0554785805218359</v>
      </c>
      <c r="H182" s="1358">
        <f t="shared" si="36"/>
        <v>1.1665815889978188</v>
      </c>
      <c r="I182" s="833">
        <v>1.1169036235609628</v>
      </c>
      <c r="J182" s="1359" t="b">
        <f t="shared" si="46"/>
        <v>1</v>
      </c>
      <c r="K182" s="1583"/>
      <c r="L182" s="17"/>
      <c r="M182" s="1361">
        <f t="shared" si="47"/>
        <v>1.1169036235609628</v>
      </c>
      <c r="N182" s="1350"/>
      <c r="O182" s="1358">
        <f t="shared" si="37"/>
        <v>3.5123528840193849E-3</v>
      </c>
      <c r="P182" s="1358">
        <f t="shared" si="38"/>
        <v>2.7840328425435107E-3</v>
      </c>
      <c r="Q182" s="1358">
        <f t="shared" si="39"/>
        <v>7.6993272912502285E-3</v>
      </c>
      <c r="R182" s="1358">
        <f t="shared" si="40"/>
        <v>0</v>
      </c>
      <c r="S182" s="1358">
        <f t="shared" si="41"/>
        <v>7.2234155360495142E-2</v>
      </c>
      <c r="T182" s="1358">
        <f t="shared" si="45"/>
        <v>1.2031334919392709</v>
      </c>
      <c r="U182" s="595">
        <f>IF('TAR_Tab 2_Volumina'!C185="storage",1,0)</f>
        <v>0</v>
      </c>
      <c r="V182" s="1362">
        <f t="shared" si="44"/>
        <v>1.2031334919392709</v>
      </c>
      <c r="W182" s="1362">
        <f t="shared" si="42"/>
        <v>1.2676009766929368</v>
      </c>
      <c r="X182" s="1355">
        <f t="shared" si="43"/>
        <v>1.268</v>
      </c>
      <c r="Y182" s="1355">
        <f>X182+'TAR_Tab 13_Overige tarieven'!$T$15+'TAR_Tab 13_Overige tarieven'!$T$16</f>
        <v>1.421</v>
      </c>
      <c r="Z182" s="960"/>
    </row>
    <row r="183" spans="1:26">
      <c r="A183" s="155">
        <v>300464</v>
      </c>
      <c r="B183" s="156" t="s">
        <v>1082</v>
      </c>
      <c r="C183" s="839">
        <v>1.3403484078091703</v>
      </c>
      <c r="D183" s="1356">
        <f t="shared" si="33"/>
        <v>1.2781562416868248</v>
      </c>
      <c r="E183" s="1356">
        <f t="shared" si="34"/>
        <v>1.3505540402131648</v>
      </c>
      <c r="F183" s="1357"/>
      <c r="G183" s="1358">
        <f t="shared" si="35"/>
        <v>1.2830263382025064</v>
      </c>
      <c r="H183" s="1358">
        <f t="shared" si="36"/>
        <v>1.4180817422238232</v>
      </c>
      <c r="I183" s="833">
        <v>1.3576938392762452</v>
      </c>
      <c r="J183" s="1359" t="b">
        <f t="shared" si="46"/>
        <v>1</v>
      </c>
      <c r="K183" s="1583"/>
      <c r="L183" s="17"/>
      <c r="M183" s="1361">
        <f t="shared" si="47"/>
        <v>1.3576938392762452</v>
      </c>
      <c r="N183" s="1350"/>
      <c r="O183" s="1358">
        <f t="shared" si="37"/>
        <v>4.2695714933697554E-3</v>
      </c>
      <c r="P183" s="1358">
        <f t="shared" si="38"/>
        <v>3.3842349142112391E-3</v>
      </c>
      <c r="Q183" s="1358">
        <f t="shared" si="39"/>
        <v>9.3592043300693376E-3</v>
      </c>
      <c r="R183" s="1358">
        <f t="shared" si="40"/>
        <v>0</v>
      </c>
      <c r="S183" s="1358">
        <f t="shared" si="41"/>
        <v>8.780692053410144E-2</v>
      </c>
      <c r="T183" s="1358">
        <f t="shared" si="45"/>
        <v>1.4625137705479971</v>
      </c>
      <c r="U183" s="595">
        <f>IF('TAR_Tab 2_Volumina'!C186="storage",1,0)</f>
        <v>0</v>
      </c>
      <c r="V183" s="1362">
        <f t="shared" si="44"/>
        <v>1.4625137705479971</v>
      </c>
      <c r="W183" s="1362">
        <f t="shared" si="42"/>
        <v>1.5408796250741286</v>
      </c>
      <c r="X183" s="1355">
        <f t="shared" si="43"/>
        <v>1.5409999999999999</v>
      </c>
      <c r="Y183" s="1355">
        <f>X183+'TAR_Tab 13_Overige tarieven'!$T$15+'TAR_Tab 13_Overige tarieven'!$T$16</f>
        <v>1.694</v>
      </c>
      <c r="Z183" s="960"/>
    </row>
    <row r="184" spans="1:26">
      <c r="A184" s="155">
        <v>300465</v>
      </c>
      <c r="B184" s="156" t="s">
        <v>133</v>
      </c>
      <c r="C184" s="839">
        <v>1.3403484078091703</v>
      </c>
      <c r="D184" s="1356">
        <f t="shared" si="33"/>
        <v>1.2781562416868248</v>
      </c>
      <c r="E184" s="1356">
        <f t="shared" si="34"/>
        <v>1.3505540402131648</v>
      </c>
      <c r="F184" s="1357"/>
      <c r="G184" s="1358">
        <f t="shared" si="35"/>
        <v>1.2830263382025064</v>
      </c>
      <c r="H184" s="1358">
        <f t="shared" si="36"/>
        <v>1.4180817422238232</v>
      </c>
      <c r="I184" s="833">
        <v>1.3576938392762452</v>
      </c>
      <c r="J184" s="1359" t="b">
        <f t="shared" si="46"/>
        <v>1</v>
      </c>
      <c r="K184" s="1583"/>
      <c r="L184" s="17"/>
      <c r="M184" s="1361">
        <f t="shared" si="47"/>
        <v>1.3576938392762452</v>
      </c>
      <c r="N184" s="1350"/>
      <c r="O184" s="1358">
        <f t="shared" si="37"/>
        <v>4.2695714933697554E-3</v>
      </c>
      <c r="P184" s="1358">
        <f t="shared" si="38"/>
        <v>3.3842349142112391E-3</v>
      </c>
      <c r="Q184" s="1358">
        <f t="shared" si="39"/>
        <v>9.3592043300693376E-3</v>
      </c>
      <c r="R184" s="1358">
        <f t="shared" si="40"/>
        <v>0</v>
      </c>
      <c r="S184" s="1358">
        <f t="shared" si="41"/>
        <v>8.780692053410144E-2</v>
      </c>
      <c r="T184" s="1358">
        <f t="shared" si="45"/>
        <v>1.4625137705479971</v>
      </c>
      <c r="U184" s="595">
        <f>IF('TAR_Tab 2_Volumina'!C187="storage",1,0)</f>
        <v>0</v>
      </c>
      <c r="V184" s="1362">
        <f t="shared" si="44"/>
        <v>1.4625137705479971</v>
      </c>
      <c r="W184" s="1362">
        <f t="shared" si="42"/>
        <v>1.5408796250741286</v>
      </c>
      <c r="X184" s="1355">
        <f t="shared" si="43"/>
        <v>1.5409999999999999</v>
      </c>
      <c r="Y184" s="1355">
        <f>X184+'TAR_Tab 13_Overige tarieven'!$T$15+'TAR_Tab 13_Overige tarieven'!$T$16</f>
        <v>1.694</v>
      </c>
      <c r="Z184" s="960"/>
    </row>
    <row r="185" spans="1:26">
      <c r="A185" s="155">
        <v>300467</v>
      </c>
      <c r="B185" s="156" t="s">
        <v>134</v>
      </c>
      <c r="C185" s="839">
        <v>1.4056861685528979</v>
      </c>
      <c r="D185" s="1356">
        <f t="shared" si="33"/>
        <v>1.3404623303320433</v>
      </c>
      <c r="E185" s="1356">
        <f t="shared" si="34"/>
        <v>1.416389293373316</v>
      </c>
      <c r="F185" s="1357"/>
      <c r="G185" s="1358">
        <f t="shared" si="35"/>
        <v>1.34556982870465</v>
      </c>
      <c r="H185" s="1358">
        <f t="shared" si="36"/>
        <v>1.4872087580419819</v>
      </c>
      <c r="I185" s="833">
        <v>1.4238771351394903</v>
      </c>
      <c r="J185" s="1359" t="b">
        <f t="shared" si="46"/>
        <v>1</v>
      </c>
      <c r="K185" s="1583"/>
      <c r="L185" s="17"/>
      <c r="M185" s="1361">
        <f t="shared" si="47"/>
        <v>1.4238771351394903</v>
      </c>
      <c r="N185" s="1350"/>
      <c r="O185" s="1358">
        <f t="shared" si="37"/>
        <v>4.4776996480247111E-3</v>
      </c>
      <c r="P185" s="1358">
        <f t="shared" si="38"/>
        <v>3.5492057007895776E-3</v>
      </c>
      <c r="Q185" s="1358">
        <f t="shared" si="39"/>
        <v>9.8154360454255352E-3</v>
      </c>
      <c r="R185" s="1358">
        <f t="shared" si="40"/>
        <v>0</v>
      </c>
      <c r="S185" s="1358">
        <f t="shared" si="41"/>
        <v>9.2087231184731472E-2</v>
      </c>
      <c r="T185" s="1358">
        <f t="shared" si="45"/>
        <v>1.5338067077184614</v>
      </c>
      <c r="U185" s="595">
        <f>IF('TAR_Tab 2_Volumina'!C188="storage",1,0)</f>
        <v>0</v>
      </c>
      <c r="V185" s="1362">
        <f t="shared" si="44"/>
        <v>1.5338067077184614</v>
      </c>
      <c r="W185" s="1362">
        <f t="shared" si="42"/>
        <v>1.6159926506810578</v>
      </c>
      <c r="X185" s="1355">
        <f t="shared" si="43"/>
        <v>1.6160000000000001</v>
      </c>
      <c r="Y185" s="1355">
        <f>X185+'TAR_Tab 13_Overige tarieven'!$T$15+'TAR_Tab 13_Overige tarieven'!$T$16</f>
        <v>1.7690000000000001</v>
      </c>
      <c r="Z185" s="960"/>
    </row>
    <row r="186" spans="1:26">
      <c r="A186" s="155">
        <v>300469</v>
      </c>
      <c r="B186" s="156" t="s">
        <v>135</v>
      </c>
      <c r="C186" s="839">
        <v>1.1549528210722544</v>
      </c>
      <c r="D186" s="1356">
        <f t="shared" si="33"/>
        <v>1.1013630101745018</v>
      </c>
      <c r="E186" s="1356">
        <f t="shared" si="34"/>
        <v>1.1637468211002664</v>
      </c>
      <c r="F186" s="1357"/>
      <c r="G186" s="1358">
        <f t="shared" si="35"/>
        <v>1.1055594800452531</v>
      </c>
      <c r="H186" s="1358">
        <f t="shared" si="36"/>
        <v>1.2219341621552797</v>
      </c>
      <c r="I186" s="833">
        <v>1.1698990506412945</v>
      </c>
      <c r="J186" s="1359" t="b">
        <f t="shared" si="46"/>
        <v>1</v>
      </c>
      <c r="K186" s="1583"/>
      <c r="L186" s="17"/>
      <c r="M186" s="1361">
        <f t="shared" si="47"/>
        <v>1.1698990506412945</v>
      </c>
      <c r="N186" s="1350"/>
      <c r="O186" s="1358">
        <f t="shared" si="37"/>
        <v>3.679008840020303E-3</v>
      </c>
      <c r="P186" s="1358">
        <f t="shared" si="38"/>
        <v>2.9161310884296384E-3</v>
      </c>
      <c r="Q186" s="1358">
        <f t="shared" si="39"/>
        <v>8.0646489979971023E-3</v>
      </c>
      <c r="R186" s="1358">
        <f t="shared" si="40"/>
        <v>0</v>
      </c>
      <c r="S186" s="1358">
        <f t="shared" si="41"/>
        <v>7.5661559330151548E-2</v>
      </c>
      <c r="T186" s="1358">
        <f t="shared" si="45"/>
        <v>1.2602203988978931</v>
      </c>
      <c r="U186" s="595">
        <f>IF('TAR_Tab 2_Volumina'!C189="storage",1,0)</f>
        <v>0</v>
      </c>
      <c r="V186" s="1362">
        <f t="shared" si="44"/>
        <v>1.2602203988978931</v>
      </c>
      <c r="W186" s="1362">
        <f t="shared" si="42"/>
        <v>1.3277467705736219</v>
      </c>
      <c r="X186" s="1355">
        <f t="shared" si="43"/>
        <v>1.3280000000000001</v>
      </c>
      <c r="Y186" s="1355">
        <f>X186+'TAR_Tab 13_Overige tarieven'!$T$15+'TAR_Tab 13_Overige tarieven'!$T$16</f>
        <v>1.4810000000000001</v>
      </c>
      <c r="Z186" s="960"/>
    </row>
    <row r="187" spans="1:26">
      <c r="A187" s="155">
        <v>300486</v>
      </c>
      <c r="B187" s="156" t="s">
        <v>136</v>
      </c>
      <c r="C187" s="839">
        <v>0.59770943167030854</v>
      </c>
      <c r="D187" s="1356">
        <f t="shared" si="33"/>
        <v>0.56997571404080627</v>
      </c>
      <c r="E187" s="1356">
        <f t="shared" si="34"/>
        <v>0.60226048922257458</v>
      </c>
      <c r="F187" s="1357"/>
      <c r="G187" s="1358">
        <f t="shared" si="35"/>
        <v>0.57214746476144585</v>
      </c>
      <c r="H187" s="1358">
        <f t="shared" si="36"/>
        <v>0.63237351368370331</v>
      </c>
      <c r="I187" s="833">
        <v>0.60544438172050297</v>
      </c>
      <c r="J187" s="1359" t="b">
        <f t="shared" si="46"/>
        <v>1</v>
      </c>
      <c r="K187" s="1583"/>
      <c r="L187" s="17"/>
      <c r="M187" s="1361">
        <f t="shared" si="47"/>
        <v>0.60544438172050297</v>
      </c>
      <c r="N187" s="1350"/>
      <c r="O187" s="1358">
        <f t="shared" si="37"/>
        <v>1.9039550731059754E-3</v>
      </c>
      <c r="P187" s="1358">
        <f t="shared" si="38"/>
        <v>1.5091517365386433E-3</v>
      </c>
      <c r="Q187" s="1358">
        <f t="shared" si="39"/>
        <v>4.1736049137818514E-3</v>
      </c>
      <c r="R187" s="1358">
        <f t="shared" si="40"/>
        <v>0</v>
      </c>
      <c r="S187" s="1358">
        <f t="shared" si="41"/>
        <v>3.9156255391045974E-2</v>
      </c>
      <c r="T187" s="1358">
        <f t="shared" si="45"/>
        <v>0.65218734883497531</v>
      </c>
      <c r="U187" s="595">
        <f>IF('TAR_Tab 2_Volumina'!C190="storage",1,0)</f>
        <v>0</v>
      </c>
      <c r="V187" s="1362">
        <f t="shared" si="44"/>
        <v>0.65218734883497531</v>
      </c>
      <c r="W187" s="1362">
        <f t="shared" si="42"/>
        <v>0.687133494253787</v>
      </c>
      <c r="X187" s="1355">
        <f t="shared" si="43"/>
        <v>0.68700000000000006</v>
      </c>
      <c r="Y187" s="1355">
        <f>X187+'TAR_Tab 13_Overige tarieven'!$T$15+'TAR_Tab 13_Overige tarieven'!$T$16</f>
        <v>0.84000000000000008</v>
      </c>
      <c r="Z187" s="960"/>
    </row>
    <row r="188" spans="1:26">
      <c r="A188" s="155">
        <v>300487</v>
      </c>
      <c r="B188" s="156" t="s">
        <v>137</v>
      </c>
      <c r="C188" s="839">
        <v>1.6252099262473607</v>
      </c>
      <c r="D188" s="1356">
        <f t="shared" si="33"/>
        <v>1.5498001856694832</v>
      </c>
      <c r="E188" s="1356">
        <f t="shared" si="34"/>
        <v>1.637584540929609</v>
      </c>
      <c r="F188" s="1357"/>
      <c r="G188" s="1358">
        <f t="shared" si="35"/>
        <v>1.5557053138831285</v>
      </c>
      <c r="H188" s="1358">
        <f t="shared" si="36"/>
        <v>1.7194637679760896</v>
      </c>
      <c r="I188" s="833">
        <v>1.6462417469524044</v>
      </c>
      <c r="J188" s="1359" t="b">
        <f t="shared" si="46"/>
        <v>1</v>
      </c>
      <c r="K188" s="1583"/>
      <c r="L188" s="17"/>
      <c r="M188" s="1361">
        <f t="shared" si="47"/>
        <v>1.6462417469524044</v>
      </c>
      <c r="N188" s="1350"/>
      <c r="O188" s="1358">
        <f t="shared" si="37"/>
        <v>5.1769748308868159E-3</v>
      </c>
      <c r="P188" s="1358">
        <f t="shared" si="38"/>
        <v>4.1034794709227992E-3</v>
      </c>
      <c r="Q188" s="1358">
        <f t="shared" si="39"/>
        <v>1.1348296972925234E-2</v>
      </c>
      <c r="R188" s="1358">
        <f t="shared" si="40"/>
        <v>0</v>
      </c>
      <c r="S188" s="1358">
        <f t="shared" si="41"/>
        <v>0.10646834659839591</v>
      </c>
      <c r="T188" s="1358">
        <f t="shared" si="45"/>
        <v>1.7733388448255352</v>
      </c>
      <c r="U188" s="595">
        <f>IF('TAR_Tab 2_Volumina'!C191="storage",1,0)</f>
        <v>0</v>
      </c>
      <c r="V188" s="1362">
        <f t="shared" si="44"/>
        <v>1.7733388448255352</v>
      </c>
      <c r="W188" s="1362">
        <f t="shared" si="42"/>
        <v>1.8683596348773543</v>
      </c>
      <c r="X188" s="1355">
        <f t="shared" si="43"/>
        <v>1.8680000000000001</v>
      </c>
      <c r="Y188" s="1355">
        <f>X188+'TAR_Tab 13_Overige tarieven'!$T$15+'TAR_Tab 13_Overige tarieven'!$T$16</f>
        <v>2.0210000000000004</v>
      </c>
      <c r="Z188" s="960"/>
    </row>
    <row r="189" spans="1:26">
      <c r="A189" s="155">
        <v>300489</v>
      </c>
      <c r="B189" s="156" t="s">
        <v>1083</v>
      </c>
      <c r="C189" s="839">
        <v>0.31559199406708227</v>
      </c>
      <c r="D189" s="1356">
        <f t="shared" si="33"/>
        <v>0.30094852554236967</v>
      </c>
      <c r="E189" s="1356">
        <f t="shared" si="34"/>
        <v>0.31799496322221171</v>
      </c>
      <c r="F189" s="1357"/>
      <c r="G189" s="1358">
        <f t="shared" si="35"/>
        <v>0.3020952150611011</v>
      </c>
      <c r="H189" s="1358">
        <f t="shared" si="36"/>
        <v>0.33389471138332233</v>
      </c>
      <c r="I189" s="833">
        <v>0.31967606599401921</v>
      </c>
      <c r="J189" s="1359" t="b">
        <f t="shared" si="46"/>
        <v>1</v>
      </c>
      <c r="K189" s="1583"/>
      <c r="L189" s="17"/>
      <c r="M189" s="1361">
        <f t="shared" si="47"/>
        <v>0.31967606599401921</v>
      </c>
      <c r="N189" s="1350"/>
      <c r="O189" s="1358">
        <f t="shared" si="37"/>
        <v>1.0052927832450344E-3</v>
      </c>
      <c r="P189" s="1358">
        <f t="shared" si="38"/>
        <v>7.9683568745614233E-4</v>
      </c>
      <c r="Q189" s="1358">
        <f t="shared" si="39"/>
        <v>2.2036732689791646E-3</v>
      </c>
      <c r="R189" s="1358">
        <f t="shared" si="40"/>
        <v>0</v>
      </c>
      <c r="S189" s="1358">
        <f t="shared" si="41"/>
        <v>2.0674595487856343E-2</v>
      </c>
      <c r="T189" s="1358">
        <f t="shared" si="45"/>
        <v>0.34435646322155589</v>
      </c>
      <c r="U189" s="595">
        <f>IF('TAR_Tab 2_Volumina'!C192="storage",1,0)</f>
        <v>0</v>
      </c>
      <c r="V189" s="1362">
        <f t="shared" si="44"/>
        <v>0.34435646322155589</v>
      </c>
      <c r="W189" s="1362">
        <f t="shared" si="42"/>
        <v>0.3628081106832014</v>
      </c>
      <c r="X189" s="1355">
        <f t="shared" si="43"/>
        <v>0.36299999999999999</v>
      </c>
      <c r="Y189" s="1355">
        <f>X189+'TAR_Tab 13_Overige tarieven'!$T$15+'TAR_Tab 13_Overige tarieven'!$T$16</f>
        <v>0.51600000000000001</v>
      </c>
      <c r="Z189" s="960"/>
    </row>
    <row r="190" spans="1:26">
      <c r="A190" s="155">
        <v>300491</v>
      </c>
      <c r="B190" s="156" t="s">
        <v>1084</v>
      </c>
      <c r="C190" s="839">
        <v>1.3403484078091703</v>
      </c>
      <c r="D190" s="1356">
        <f t="shared" si="33"/>
        <v>1.2781562416868248</v>
      </c>
      <c r="E190" s="1356">
        <f t="shared" si="34"/>
        <v>1.3505540402131648</v>
      </c>
      <c r="F190" s="1357"/>
      <c r="G190" s="1358">
        <f t="shared" si="35"/>
        <v>1.2830263382025064</v>
      </c>
      <c r="H190" s="1358">
        <f t="shared" si="36"/>
        <v>1.4180817422238232</v>
      </c>
      <c r="I190" s="833">
        <v>1.3576938392762452</v>
      </c>
      <c r="J190" s="1359" t="b">
        <f t="shared" si="46"/>
        <v>1</v>
      </c>
      <c r="K190" s="1583"/>
      <c r="L190" s="17"/>
      <c r="M190" s="1361">
        <f t="shared" si="47"/>
        <v>1.3576938392762452</v>
      </c>
      <c r="N190" s="1350"/>
      <c r="O190" s="1358">
        <f t="shared" si="37"/>
        <v>4.2695714933697554E-3</v>
      </c>
      <c r="P190" s="1358">
        <f t="shared" si="38"/>
        <v>3.3842349142112391E-3</v>
      </c>
      <c r="Q190" s="1358">
        <f t="shared" si="39"/>
        <v>9.3592043300693376E-3</v>
      </c>
      <c r="R190" s="1358">
        <f t="shared" si="40"/>
        <v>0</v>
      </c>
      <c r="S190" s="1358">
        <f t="shared" si="41"/>
        <v>8.780692053410144E-2</v>
      </c>
      <c r="T190" s="1358">
        <f t="shared" si="45"/>
        <v>1.4625137705479971</v>
      </c>
      <c r="U190" s="595">
        <f>IF('TAR_Tab 2_Volumina'!C193="storage",1,0)</f>
        <v>0</v>
      </c>
      <c r="V190" s="1362">
        <f t="shared" si="44"/>
        <v>1.4625137705479971</v>
      </c>
      <c r="W190" s="1362">
        <f t="shared" si="42"/>
        <v>1.5408796250741286</v>
      </c>
      <c r="X190" s="1355">
        <f t="shared" si="43"/>
        <v>1.5409999999999999</v>
      </c>
      <c r="Y190" s="1355">
        <f>X190+'TAR_Tab 13_Overige tarieven'!$T$15+'TAR_Tab 13_Overige tarieven'!$T$16</f>
        <v>1.694</v>
      </c>
      <c r="Z190" s="960"/>
    </row>
    <row r="191" spans="1:26">
      <c r="A191" s="155">
        <v>300492</v>
      </c>
      <c r="B191" s="156" t="s">
        <v>1085</v>
      </c>
      <c r="C191" s="839">
        <v>1.5854075690154608</v>
      </c>
      <c r="D191" s="1356">
        <f t="shared" si="33"/>
        <v>1.5118446578131435</v>
      </c>
      <c r="E191" s="1356">
        <f t="shared" si="34"/>
        <v>1.5974791220278071</v>
      </c>
      <c r="F191" s="1357"/>
      <c r="G191" s="1358">
        <f t="shared" si="35"/>
        <v>1.5176051659264167</v>
      </c>
      <c r="H191" s="1358">
        <f t="shared" si="36"/>
        <v>1.6773530781291974</v>
      </c>
      <c r="I191" s="833">
        <v>1.6059243079286571</v>
      </c>
      <c r="J191" s="1359" t="b">
        <f t="shared" si="46"/>
        <v>1</v>
      </c>
      <c r="K191" s="1583"/>
      <c r="L191" s="17"/>
      <c r="M191" s="1361">
        <f t="shared" si="47"/>
        <v>1.6059243079286571</v>
      </c>
      <c r="N191" s="1350"/>
      <c r="O191" s="1358">
        <f t="shared" si="37"/>
        <v>5.0501876397235808E-3</v>
      </c>
      <c r="P191" s="1358">
        <f t="shared" si="38"/>
        <v>4.0029828192855764E-3</v>
      </c>
      <c r="Q191" s="1358">
        <f t="shared" si="39"/>
        <v>1.1070370433839285E-2</v>
      </c>
      <c r="R191" s="1358">
        <f t="shared" si="40"/>
        <v>0</v>
      </c>
      <c r="S191" s="1358">
        <f t="shared" si="41"/>
        <v>0.1038608734979922</v>
      </c>
      <c r="T191" s="1358">
        <f t="shared" si="45"/>
        <v>1.7299087223194978</v>
      </c>
      <c r="U191" s="595">
        <f>IF('TAR_Tab 2_Volumina'!C194="storage",1,0)</f>
        <v>0</v>
      </c>
      <c r="V191" s="1362">
        <f t="shared" si="44"/>
        <v>1.7299087223194978</v>
      </c>
      <c r="W191" s="1362">
        <f t="shared" si="42"/>
        <v>1.8226023967359648</v>
      </c>
      <c r="X191" s="1355">
        <f t="shared" si="43"/>
        <v>1.823</v>
      </c>
      <c r="Y191" s="1355">
        <f>X191+'TAR_Tab 13_Overige tarieven'!$T$15+'TAR_Tab 13_Overige tarieven'!$T$16</f>
        <v>1.976</v>
      </c>
      <c r="Z191" s="960"/>
    </row>
    <row r="192" spans="1:26">
      <c r="A192" s="155">
        <v>300495</v>
      </c>
      <c r="B192" s="156" t="s">
        <v>276</v>
      </c>
      <c r="C192" s="839">
        <v>1.4233080780911693</v>
      </c>
      <c r="D192" s="1356">
        <f t="shared" si="33"/>
        <v>1.3572665832677391</v>
      </c>
      <c r="E192" s="1356">
        <f t="shared" si="34"/>
        <v>1.4341453790183043</v>
      </c>
      <c r="F192" s="1357"/>
      <c r="G192" s="1358">
        <f t="shared" si="35"/>
        <v>1.362438110067389</v>
      </c>
      <c r="H192" s="1358">
        <f t="shared" si="36"/>
        <v>1.5058526479692196</v>
      </c>
      <c r="I192" s="833">
        <v>1.4417270895819332</v>
      </c>
      <c r="J192" s="1359" t="b">
        <f t="shared" si="46"/>
        <v>1</v>
      </c>
      <c r="K192" s="1583"/>
      <c r="L192" s="17"/>
      <c r="M192" s="1361">
        <f t="shared" si="47"/>
        <v>1.4417270895819332</v>
      </c>
      <c r="N192" s="1350"/>
      <c r="O192" s="1358">
        <f t="shared" si="37"/>
        <v>4.5338328162255991E-3</v>
      </c>
      <c r="P192" s="1358">
        <f t="shared" si="38"/>
        <v>3.5936991184465344E-3</v>
      </c>
      <c r="Q192" s="1358">
        <f t="shared" si="39"/>
        <v>9.9384839418484201E-3</v>
      </c>
      <c r="R192" s="1358">
        <f t="shared" si="40"/>
        <v>0</v>
      </c>
      <c r="S192" s="1358">
        <f t="shared" si="41"/>
        <v>9.3241651633527517E-2</v>
      </c>
      <c r="T192" s="1358">
        <f t="shared" si="45"/>
        <v>1.5530347570919811</v>
      </c>
      <c r="U192" s="595">
        <f>IF('TAR_Tab 2_Volumina'!C195="storage",1,0)</f>
        <v>0</v>
      </c>
      <c r="V192" s="1362">
        <f t="shared" si="44"/>
        <v>1.5530347570919811</v>
      </c>
      <c r="W192" s="1362">
        <f t="shared" si="42"/>
        <v>1.6362509963501548</v>
      </c>
      <c r="X192" s="1355">
        <f t="shared" si="43"/>
        <v>1.6359999999999999</v>
      </c>
      <c r="Y192" s="1355">
        <f>X192+'TAR_Tab 13_Overige tarieven'!$T$15+'TAR_Tab 13_Overige tarieven'!$T$16</f>
        <v>1.7889999999999999</v>
      </c>
      <c r="Z192" s="960"/>
    </row>
    <row r="193" spans="1:26">
      <c r="A193" s="155">
        <v>300500</v>
      </c>
      <c r="B193" s="156" t="s">
        <v>310</v>
      </c>
      <c r="C193" s="839">
        <v>1.0177404773722174</v>
      </c>
      <c r="D193" s="1356">
        <f t="shared" si="33"/>
        <v>0.97051731922214657</v>
      </c>
      <c r="E193" s="1356">
        <f t="shared" si="34"/>
        <v>1.0254897201319444</v>
      </c>
      <c r="F193" s="1357"/>
      <c r="G193" s="1358">
        <f t="shared" si="35"/>
        <v>0.97421523412534716</v>
      </c>
      <c r="H193" s="1358">
        <f t="shared" si="36"/>
        <v>1.0767642061385416</v>
      </c>
      <c r="I193" s="833">
        <v>1.0309110437702351</v>
      </c>
      <c r="J193" s="1359" t="b">
        <f t="shared" si="46"/>
        <v>1</v>
      </c>
      <c r="K193" s="1583"/>
      <c r="L193" s="17"/>
      <c r="M193" s="1361">
        <f t="shared" si="47"/>
        <v>1.0309110437702351</v>
      </c>
      <c r="N193" s="1350"/>
      <c r="O193" s="1358">
        <f t="shared" si="37"/>
        <v>3.241930012017892E-3</v>
      </c>
      <c r="P193" s="1358">
        <f t="shared" si="38"/>
        <v>2.5696847454452633E-3</v>
      </c>
      <c r="Q193" s="1358">
        <f t="shared" si="39"/>
        <v>7.1065411255854839E-3</v>
      </c>
      <c r="R193" s="1358">
        <f t="shared" si="40"/>
        <v>0</v>
      </c>
      <c r="S193" s="1358">
        <f t="shared" si="41"/>
        <v>6.6672707409731857E-2</v>
      </c>
      <c r="T193" s="1358">
        <f t="shared" si="45"/>
        <v>1.1105019070630155</v>
      </c>
      <c r="U193" s="595">
        <f>IF('TAR_Tab 2_Volumina'!C196="storage",1,0)</f>
        <v>0</v>
      </c>
      <c r="V193" s="1362">
        <f t="shared" si="44"/>
        <v>1.1105019070630155</v>
      </c>
      <c r="W193" s="1362">
        <f t="shared" si="42"/>
        <v>1.1700059149242774</v>
      </c>
      <c r="X193" s="1355">
        <f t="shared" si="43"/>
        <v>1.17</v>
      </c>
      <c r="Y193" s="1355">
        <f>X193+'TAR_Tab 13_Overige tarieven'!$T$15+'TAR_Tab 13_Overige tarieven'!$T$16</f>
        <v>1.323</v>
      </c>
      <c r="Z193" s="960"/>
    </row>
    <row r="194" spans="1:26">
      <c r="A194" s="155">
        <v>300501</v>
      </c>
      <c r="B194" s="156" t="s">
        <v>277</v>
      </c>
      <c r="C194" s="839">
        <v>0.96852916268984779</v>
      </c>
      <c r="D194" s="1356">
        <f t="shared" si="33"/>
        <v>0.92358940954103885</v>
      </c>
      <c r="E194" s="1356">
        <f t="shared" si="34"/>
        <v>0.97590370243591085</v>
      </c>
      <c r="F194" s="1357"/>
      <c r="G194" s="1358">
        <f t="shared" si="35"/>
        <v>0.92710851731411525</v>
      </c>
      <c r="H194" s="1358">
        <f t="shared" si="36"/>
        <v>1.0246988875577063</v>
      </c>
      <c r="I194" s="833">
        <v>0.98106288609894199</v>
      </c>
      <c r="J194" s="1359" t="b">
        <f t="shared" si="46"/>
        <v>1</v>
      </c>
      <c r="K194" s="1583"/>
      <c r="L194" s="17"/>
      <c r="M194" s="1361">
        <f t="shared" si="47"/>
        <v>0.98106288609894199</v>
      </c>
      <c r="N194" s="1350"/>
      <c r="O194" s="1358">
        <f t="shared" si="37"/>
        <v>3.08517134755801E-3</v>
      </c>
      <c r="P194" s="1358">
        <f t="shared" si="38"/>
        <v>2.4454314928193063E-3</v>
      </c>
      <c r="Q194" s="1358">
        <f t="shared" si="39"/>
        <v>6.7629149857100562E-3</v>
      </c>
      <c r="R194" s="1358">
        <f t="shared" si="40"/>
        <v>0</v>
      </c>
      <c r="S194" s="1358">
        <f t="shared" si="41"/>
        <v>6.3448848618601242E-2</v>
      </c>
      <c r="T194" s="1358">
        <f t="shared" si="45"/>
        <v>1.0568052525436307</v>
      </c>
      <c r="U194" s="595">
        <f>IF('TAR_Tab 2_Volumina'!C197="storage",1,0)</f>
        <v>0</v>
      </c>
      <c r="V194" s="1362">
        <f t="shared" si="44"/>
        <v>1.0568052525436307</v>
      </c>
      <c r="W194" s="1362">
        <f t="shared" si="42"/>
        <v>1.1134320333309695</v>
      </c>
      <c r="X194" s="1355">
        <f t="shared" si="43"/>
        <v>1.113</v>
      </c>
      <c r="Y194" s="1355">
        <f>X194+'TAR_Tab 13_Overige tarieven'!$T$15+'TAR_Tab 13_Overige tarieven'!$T$16</f>
        <v>1.266</v>
      </c>
      <c r="Z194" s="960"/>
    </row>
    <row r="195" spans="1:26">
      <c r="A195" s="155">
        <v>300507</v>
      </c>
      <c r="B195" s="156" t="s">
        <v>138</v>
      </c>
      <c r="C195" s="839">
        <v>1.527104285639981</v>
      </c>
      <c r="D195" s="1356">
        <f t="shared" si="33"/>
        <v>1.456246646786286</v>
      </c>
      <c r="E195" s="1356">
        <f t="shared" si="34"/>
        <v>1.5387319078992416</v>
      </c>
      <c r="F195" s="1357"/>
      <c r="G195" s="1358">
        <f t="shared" si="35"/>
        <v>1.4617953125042795</v>
      </c>
      <c r="H195" s="1358">
        <f t="shared" si="36"/>
        <v>1.6156685032942038</v>
      </c>
      <c r="I195" s="833">
        <v>1.546866522514601</v>
      </c>
      <c r="J195" s="1359" t="b">
        <f t="shared" si="46"/>
        <v>1</v>
      </c>
      <c r="K195" s="1583"/>
      <c r="L195" s="17"/>
      <c r="M195" s="1361">
        <f t="shared" si="47"/>
        <v>1.546866522514601</v>
      </c>
      <c r="N195" s="1350"/>
      <c r="O195" s="1358">
        <f t="shared" si="37"/>
        <v>4.8644672440268464E-3</v>
      </c>
      <c r="P195" s="1358">
        <f t="shared" si="38"/>
        <v>3.855773328034745E-3</v>
      </c>
      <c r="Q195" s="1358">
        <f t="shared" si="39"/>
        <v>1.066325811957395E-2</v>
      </c>
      <c r="R195" s="1358">
        <f t="shared" si="40"/>
        <v>0</v>
      </c>
      <c r="S195" s="1358">
        <f t="shared" si="41"/>
        <v>0.10004139511431152</v>
      </c>
      <c r="T195" s="1358">
        <f t="shared" si="45"/>
        <v>1.666291416320548</v>
      </c>
      <c r="U195" s="595">
        <f>IF('TAR_Tab 2_Volumina'!C198="storage",1,0)</f>
        <v>0</v>
      </c>
      <c r="V195" s="1362">
        <f t="shared" si="44"/>
        <v>1.666291416320548</v>
      </c>
      <c r="W195" s="1362">
        <f t="shared" si="42"/>
        <v>1.7555762855362338</v>
      </c>
      <c r="X195" s="1355">
        <f t="shared" si="43"/>
        <v>1.756</v>
      </c>
      <c r="Y195" s="1355">
        <f>X195+'TAR_Tab 13_Overige tarieven'!$T$15+'TAR_Tab 13_Overige tarieven'!$T$16</f>
        <v>1.909</v>
      </c>
      <c r="Z195" s="960"/>
    </row>
    <row r="196" spans="1:26">
      <c r="A196" s="155">
        <v>300516</v>
      </c>
      <c r="B196" s="156" t="s">
        <v>1086</v>
      </c>
      <c r="C196" s="839">
        <v>1.0398709657018614</v>
      </c>
      <c r="D196" s="1356">
        <f t="shared" si="33"/>
        <v>0.9916209528932951</v>
      </c>
      <c r="E196" s="1356">
        <f t="shared" si="34"/>
        <v>1.04778871362599</v>
      </c>
      <c r="F196" s="1357"/>
      <c r="G196" s="1358">
        <f t="shared" si="35"/>
        <v>0.99539927794469052</v>
      </c>
      <c r="H196" s="1358">
        <f t="shared" si="36"/>
        <v>1.1001781493072895</v>
      </c>
      <c r="I196" s="833">
        <v>1.0533279224640697</v>
      </c>
      <c r="J196" s="1359" t="b">
        <f t="shared" si="46"/>
        <v>1</v>
      </c>
      <c r="K196" s="1583"/>
      <c r="L196" s="17"/>
      <c r="M196" s="1361">
        <f t="shared" si="47"/>
        <v>1.0533279224640697</v>
      </c>
      <c r="N196" s="1350"/>
      <c r="O196" s="1358">
        <f t="shared" si="37"/>
        <v>3.3124248934652037E-3</v>
      </c>
      <c r="P196" s="1358">
        <f t="shared" si="38"/>
        <v>2.6255618374292368E-3</v>
      </c>
      <c r="Q196" s="1358">
        <f t="shared" si="39"/>
        <v>7.2610709187307613E-3</v>
      </c>
      <c r="R196" s="1358">
        <f t="shared" si="40"/>
        <v>0</v>
      </c>
      <c r="S196" s="1358">
        <f t="shared" si="41"/>
        <v>6.8122487197449982E-2</v>
      </c>
      <c r="T196" s="1358">
        <f t="shared" si="45"/>
        <v>1.1346494673111451</v>
      </c>
      <c r="U196" s="595">
        <f>IF('TAR_Tab 2_Volumina'!C199="storage",1,0)</f>
        <v>0</v>
      </c>
      <c r="V196" s="1362">
        <f t="shared" si="44"/>
        <v>1.1346494673111451</v>
      </c>
      <c r="W196" s="1362">
        <f t="shared" si="42"/>
        <v>1.1954473735490745</v>
      </c>
      <c r="X196" s="1355">
        <f t="shared" si="43"/>
        <v>1.1950000000000001</v>
      </c>
      <c r="Y196" s="1355">
        <f>X196+'TAR_Tab 13_Overige tarieven'!$T$15+'TAR_Tab 13_Overige tarieven'!$T$16</f>
        <v>1.3480000000000001</v>
      </c>
      <c r="Z196" s="960"/>
    </row>
    <row r="197" spans="1:26">
      <c r="A197" s="155">
        <v>300524</v>
      </c>
      <c r="B197" s="156" t="s">
        <v>139</v>
      </c>
      <c r="C197" s="839">
        <v>1.5900623181904912</v>
      </c>
      <c r="D197" s="1356">
        <f t="shared" si="33"/>
        <v>1.5162834266264524</v>
      </c>
      <c r="E197" s="1356">
        <f t="shared" si="34"/>
        <v>1.6021693132257744</v>
      </c>
      <c r="F197" s="1357"/>
      <c r="G197" s="1358">
        <f t="shared" si="35"/>
        <v>1.5220608475644857</v>
      </c>
      <c r="H197" s="1358">
        <f t="shared" si="36"/>
        <v>1.6822777788870631</v>
      </c>
      <c r="I197" s="833">
        <v>1.6106392941527574</v>
      </c>
      <c r="J197" s="1359" t="b">
        <f t="shared" si="46"/>
        <v>1</v>
      </c>
      <c r="K197" s="1583"/>
      <c r="L197" s="17"/>
      <c r="M197" s="1361">
        <f t="shared" si="47"/>
        <v>1.6106392941527574</v>
      </c>
      <c r="N197" s="1350"/>
      <c r="O197" s="1358">
        <f t="shared" si="37"/>
        <v>5.0650149669100846E-3</v>
      </c>
      <c r="P197" s="1358">
        <f t="shared" si="38"/>
        <v>4.0147355580386164E-3</v>
      </c>
      <c r="Q197" s="1358">
        <f t="shared" si="39"/>
        <v>1.1102872989428947E-2</v>
      </c>
      <c r="R197" s="1358">
        <f t="shared" si="40"/>
        <v>0</v>
      </c>
      <c r="S197" s="1358">
        <f t="shared" si="41"/>
        <v>0.10416580853468622</v>
      </c>
      <c r="T197" s="1358">
        <f t="shared" si="45"/>
        <v>1.7349877262018212</v>
      </c>
      <c r="U197" s="595">
        <f>IF('TAR_Tab 2_Volumina'!C200="storage",1,0)</f>
        <v>0</v>
      </c>
      <c r="V197" s="1362">
        <f t="shared" si="44"/>
        <v>1.7349877262018212</v>
      </c>
      <c r="W197" s="1362">
        <f t="shared" si="42"/>
        <v>1.8279535488109377</v>
      </c>
      <c r="X197" s="1355">
        <f t="shared" si="43"/>
        <v>1.8280000000000001</v>
      </c>
      <c r="Y197" s="1355">
        <f>X197+'TAR_Tab 13_Overige tarieven'!$T$15+'TAR_Tab 13_Overige tarieven'!$T$16</f>
        <v>1.9810000000000001</v>
      </c>
      <c r="Z197" s="960"/>
    </row>
    <row r="198" spans="1:26">
      <c r="A198" s="155">
        <v>300527</v>
      </c>
      <c r="B198" s="156" t="s">
        <v>278</v>
      </c>
      <c r="C198" s="839">
        <v>1.4960189999756759</v>
      </c>
      <c r="D198" s="1356">
        <f t="shared" si="33"/>
        <v>1.4266037183768046</v>
      </c>
      <c r="E198" s="1356">
        <f t="shared" si="34"/>
        <v>1.5074099337763127</v>
      </c>
      <c r="F198" s="1357"/>
      <c r="G198" s="1358">
        <f t="shared" si="35"/>
        <v>1.4320394370874969</v>
      </c>
      <c r="H198" s="1358">
        <f t="shared" si="36"/>
        <v>1.5827804304651285</v>
      </c>
      <c r="I198" s="833">
        <v>1.5153789625692333</v>
      </c>
      <c r="J198" s="1359" t="b">
        <f t="shared" si="46"/>
        <v>1</v>
      </c>
      <c r="K198" s="1583"/>
      <c r="L198" s="17"/>
      <c r="M198" s="1361">
        <f t="shared" si="47"/>
        <v>1.5153789625692333</v>
      </c>
      <c r="N198" s="1350"/>
      <c r="O198" s="1358">
        <f t="shared" si="37"/>
        <v>4.7654475796154805E-3</v>
      </c>
      <c r="P198" s="1358">
        <f t="shared" si="38"/>
        <v>3.7772863402855497E-3</v>
      </c>
      <c r="Q198" s="1358">
        <f t="shared" si="39"/>
        <v>1.0446199973724883E-2</v>
      </c>
      <c r="R198" s="1358">
        <f t="shared" si="40"/>
        <v>0</v>
      </c>
      <c r="S198" s="1358">
        <f t="shared" si="41"/>
        <v>9.8004981900998628E-2</v>
      </c>
      <c r="T198" s="1358">
        <f t="shared" si="45"/>
        <v>1.632372878363858</v>
      </c>
      <c r="U198" s="595">
        <f>IF('TAR_Tab 2_Volumina'!C201="storage",1,0)</f>
        <v>0</v>
      </c>
      <c r="V198" s="1362">
        <f t="shared" si="44"/>
        <v>1.632372878363858</v>
      </c>
      <c r="W198" s="1362">
        <f t="shared" si="42"/>
        <v>1.7198402910435571</v>
      </c>
      <c r="X198" s="1355">
        <f t="shared" si="43"/>
        <v>1.72</v>
      </c>
      <c r="Y198" s="1355">
        <f>X198+'TAR_Tab 13_Overige tarieven'!$T$15+'TAR_Tab 13_Overige tarieven'!$T$16</f>
        <v>1.873</v>
      </c>
      <c r="Z198" s="960"/>
    </row>
    <row r="199" spans="1:26">
      <c r="A199" s="155">
        <v>300530</v>
      </c>
      <c r="B199" s="156" t="s">
        <v>140</v>
      </c>
      <c r="C199" s="839">
        <v>0.31559199406708227</v>
      </c>
      <c r="D199" s="1356">
        <f t="shared" si="33"/>
        <v>0.30094852554236967</v>
      </c>
      <c r="E199" s="1356">
        <f t="shared" si="34"/>
        <v>0.31799496322221171</v>
      </c>
      <c r="F199" s="1357"/>
      <c r="G199" s="1358">
        <f t="shared" si="35"/>
        <v>0.3020952150611011</v>
      </c>
      <c r="H199" s="1358">
        <f t="shared" si="36"/>
        <v>0.33389471138332233</v>
      </c>
      <c r="I199" s="833">
        <v>0.31967606599401921</v>
      </c>
      <c r="J199" s="1359" t="b">
        <f t="shared" si="46"/>
        <v>1</v>
      </c>
      <c r="K199" s="1583"/>
      <c r="L199" s="17"/>
      <c r="M199" s="1361">
        <f t="shared" si="47"/>
        <v>0.31967606599401921</v>
      </c>
      <c r="N199" s="1350"/>
      <c r="O199" s="1358">
        <f t="shared" si="37"/>
        <v>1.0052927832450344E-3</v>
      </c>
      <c r="P199" s="1358">
        <f t="shared" si="38"/>
        <v>7.9683568745614233E-4</v>
      </c>
      <c r="Q199" s="1358">
        <f t="shared" si="39"/>
        <v>2.2036732689791646E-3</v>
      </c>
      <c r="R199" s="1358">
        <f t="shared" si="40"/>
        <v>0</v>
      </c>
      <c r="S199" s="1358">
        <f t="shared" si="41"/>
        <v>2.0674595487856343E-2</v>
      </c>
      <c r="T199" s="1358">
        <f t="shared" si="45"/>
        <v>0.34435646322155589</v>
      </c>
      <c r="U199" s="595">
        <f>IF('TAR_Tab 2_Volumina'!C202="storage",1,0)</f>
        <v>0</v>
      </c>
      <c r="V199" s="1362">
        <f t="shared" si="44"/>
        <v>0.34435646322155589</v>
      </c>
      <c r="W199" s="1362">
        <f t="shared" si="42"/>
        <v>0.3628081106832014</v>
      </c>
      <c r="X199" s="1355">
        <f t="shared" si="43"/>
        <v>0.36299999999999999</v>
      </c>
      <c r="Y199" s="1355">
        <f>X199+'TAR_Tab 13_Overige tarieven'!$T$15+'TAR_Tab 13_Overige tarieven'!$T$16</f>
        <v>0.51600000000000001</v>
      </c>
      <c r="Z199" s="960"/>
    </row>
    <row r="200" spans="1:26">
      <c r="A200" s="155">
        <v>300533</v>
      </c>
      <c r="B200" s="156" t="s">
        <v>141</v>
      </c>
      <c r="C200" s="839">
        <v>1.7071700824295768</v>
      </c>
      <c r="D200" s="1356">
        <f t="shared" si="33"/>
        <v>1.6279573906048443</v>
      </c>
      <c r="E200" s="1356">
        <f t="shared" si="34"/>
        <v>1.7201687551708313</v>
      </c>
      <c r="F200" s="1357"/>
      <c r="G200" s="1358">
        <f t="shared" si="35"/>
        <v>1.6341603174122896</v>
      </c>
      <c r="H200" s="1358">
        <f t="shared" si="36"/>
        <v>1.8061771929293731</v>
      </c>
      <c r="I200" s="833">
        <v>1.729262548459229</v>
      </c>
      <c r="J200" s="1359" t="b">
        <f t="shared" si="46"/>
        <v>1</v>
      </c>
      <c r="K200" s="1583"/>
      <c r="L200" s="17"/>
      <c r="M200" s="1361">
        <f t="shared" si="47"/>
        <v>1.729262548459229</v>
      </c>
      <c r="N200" s="1350"/>
      <c r="O200" s="1358">
        <f t="shared" si="37"/>
        <v>5.4380522823829526E-3</v>
      </c>
      <c r="P200" s="1358">
        <f t="shared" si="38"/>
        <v>4.3104200100468268E-3</v>
      </c>
      <c r="Q200" s="1358">
        <f t="shared" si="39"/>
        <v>1.1920597312273247E-2</v>
      </c>
      <c r="R200" s="1358">
        <f t="shared" si="40"/>
        <v>0</v>
      </c>
      <c r="S200" s="1358">
        <f t="shared" si="41"/>
        <v>0.11183759900987712</v>
      </c>
      <c r="T200" s="1358">
        <f t="shared" si="45"/>
        <v>1.8627692170738093</v>
      </c>
      <c r="U200" s="595">
        <f>IF('TAR_Tab 2_Volumina'!C203="storage",1,0)</f>
        <v>0</v>
      </c>
      <c r="V200" s="1362">
        <f t="shared" si="44"/>
        <v>1.8627692170738093</v>
      </c>
      <c r="W200" s="1362">
        <f t="shared" si="42"/>
        <v>1.9625819534874054</v>
      </c>
      <c r="X200" s="1355">
        <f t="shared" si="43"/>
        <v>1.9630000000000001</v>
      </c>
      <c r="Y200" s="1355">
        <f>X200+'TAR_Tab 13_Overige tarieven'!$T$15+'TAR_Tab 13_Overige tarieven'!$T$16</f>
        <v>2.1160000000000001</v>
      </c>
      <c r="Z200" s="960"/>
    </row>
    <row r="201" spans="1:26">
      <c r="A201" s="155">
        <v>300534</v>
      </c>
      <c r="B201" s="156" t="s">
        <v>1087</v>
      </c>
      <c r="C201" s="839">
        <v>1.290372702820014</v>
      </c>
      <c r="D201" s="1356">
        <f t="shared" ref="D201:D264" si="48">C201*$D$7</f>
        <v>1.2304994094091655</v>
      </c>
      <c r="E201" s="1356">
        <f t="shared" ref="E201:E264" si="49">D201*$E$7</f>
        <v>1.3001978120172974</v>
      </c>
      <c r="F201" s="1357"/>
      <c r="G201" s="1358">
        <f t="shared" ref="G201:G264" si="50">E201*$G$7</f>
        <v>1.2351879214164325</v>
      </c>
      <c r="H201" s="1358">
        <f t="shared" ref="H201:H264" si="51">E201*$H$7</f>
        <v>1.3652077026181624</v>
      </c>
      <c r="I201" s="833">
        <v>1.3070713993330594</v>
      </c>
      <c r="J201" s="1359" t="b">
        <f t="shared" si="46"/>
        <v>1</v>
      </c>
      <c r="K201" s="1583"/>
      <c r="L201" s="17"/>
      <c r="M201" s="1361">
        <f t="shared" si="47"/>
        <v>1.3070713993330594</v>
      </c>
      <c r="N201" s="1350"/>
      <c r="O201" s="1358">
        <f t="shared" ref="O201:O264" si="52">$O$7*M201</f>
        <v>4.1103779253843058E-3</v>
      </c>
      <c r="P201" s="1358">
        <f t="shared" ref="P201:P264" si="53">$P$7*M201</f>
        <v>3.2580516586478074E-3</v>
      </c>
      <c r="Q201" s="1358">
        <f t="shared" ref="Q201:Q264" si="54">$Q$7*M201</f>
        <v>9.0102407085156707E-3</v>
      </c>
      <c r="R201" s="1358">
        <f t="shared" ref="R201:R264" si="55">$R$7*M201</f>
        <v>0</v>
      </c>
      <c r="S201" s="1358">
        <f t="shared" ref="S201:S264" si="56">$S$7*M201</f>
        <v>8.4532986136856794E-2</v>
      </c>
      <c r="T201" s="1358">
        <f t="shared" si="45"/>
        <v>1.4079830557624642</v>
      </c>
      <c r="U201" s="595">
        <f>IF('TAR_Tab 2_Volumina'!C204="storage",1,0)</f>
        <v>0</v>
      </c>
      <c r="V201" s="1362">
        <f t="shared" si="44"/>
        <v>1.4079830557624642</v>
      </c>
      <c r="W201" s="1362">
        <f t="shared" si="42"/>
        <v>1.4834269917753169</v>
      </c>
      <c r="X201" s="1355">
        <f t="shared" si="43"/>
        <v>1.4830000000000001</v>
      </c>
      <c r="Y201" s="1355">
        <f>X201+'TAR_Tab 13_Overige tarieven'!$T$15+'TAR_Tab 13_Overige tarieven'!$T$16</f>
        <v>1.6360000000000001</v>
      </c>
      <c r="Z201" s="960"/>
    </row>
    <row r="202" spans="1:26">
      <c r="A202" s="155">
        <v>300535</v>
      </c>
      <c r="B202" s="156" t="s">
        <v>279</v>
      </c>
      <c r="C202" s="839">
        <v>1.353601060098931</v>
      </c>
      <c r="D202" s="1356">
        <f t="shared" si="48"/>
        <v>1.2907939709103406</v>
      </c>
      <c r="E202" s="1356">
        <f t="shared" si="49"/>
        <v>1.363907600369014</v>
      </c>
      <c r="F202" s="1357"/>
      <c r="G202" s="1358">
        <f t="shared" si="50"/>
        <v>1.2957122203505633</v>
      </c>
      <c r="H202" s="1358">
        <f t="shared" si="51"/>
        <v>1.4321029803874648</v>
      </c>
      <c r="I202" s="833">
        <v>1.3711179939684481</v>
      </c>
      <c r="J202" s="1359" t="b">
        <f t="shared" si="46"/>
        <v>1</v>
      </c>
      <c r="K202" s="1583"/>
      <c r="L202" s="17"/>
      <c r="M202" s="1361">
        <f t="shared" si="47"/>
        <v>1.3711179939684481</v>
      </c>
      <c r="N202" s="1350"/>
      <c r="O202" s="1358">
        <f t="shared" si="52"/>
        <v>4.3117867458356343E-3</v>
      </c>
      <c r="P202" s="1358">
        <f t="shared" si="53"/>
        <v>3.4176964293841619E-3</v>
      </c>
      <c r="Q202" s="1358">
        <f t="shared" si="54"/>
        <v>9.4517431654740566E-3</v>
      </c>
      <c r="R202" s="1358">
        <f t="shared" si="55"/>
        <v>0</v>
      </c>
      <c r="S202" s="1358">
        <f t="shared" si="56"/>
        <v>8.867510867062868E-2</v>
      </c>
      <c r="T202" s="1358">
        <f t="shared" si="45"/>
        <v>1.4769743289797708</v>
      </c>
      <c r="U202" s="595">
        <f>IF('TAR_Tab 2_Volumina'!C205="storage",1,0)</f>
        <v>0</v>
      </c>
      <c r="V202" s="1362">
        <f t="shared" si="44"/>
        <v>1.4769743289797708</v>
      </c>
      <c r="W202" s="1362">
        <f t="shared" ref="W202:W265" si="57">IF(U202=0,V202*(1+$W$7),V202)</f>
        <v>1.5561150234022858</v>
      </c>
      <c r="X202" s="1355">
        <f t="shared" ref="X202:X265" si="58">ROUND(W202,3)</f>
        <v>1.556</v>
      </c>
      <c r="Y202" s="1355">
        <f>X202+'TAR_Tab 13_Overige tarieven'!$T$15+'TAR_Tab 13_Overige tarieven'!$T$16</f>
        <v>1.7090000000000001</v>
      </c>
      <c r="Z202" s="960"/>
    </row>
    <row r="203" spans="1:26">
      <c r="A203" s="155">
        <v>300541</v>
      </c>
      <c r="B203" s="156" t="s">
        <v>1088</v>
      </c>
      <c r="C203" s="839">
        <v>0.8062025571153193</v>
      </c>
      <c r="D203" s="1356">
        <f t="shared" si="48"/>
        <v>0.76879475846516854</v>
      </c>
      <c r="E203" s="1356">
        <f t="shared" si="49"/>
        <v>0.8123411154880098</v>
      </c>
      <c r="F203" s="1357"/>
      <c r="G203" s="1358">
        <f t="shared" si="50"/>
        <v>0.77172405971360925</v>
      </c>
      <c r="H203" s="1358">
        <f t="shared" si="51"/>
        <v>0.85295817126241036</v>
      </c>
      <c r="I203" s="833">
        <v>0.81663561401422013</v>
      </c>
      <c r="J203" s="1359" t="b">
        <f t="shared" si="46"/>
        <v>1</v>
      </c>
      <c r="K203" s="1583"/>
      <c r="L203" s="17"/>
      <c r="M203" s="1361">
        <f t="shared" si="47"/>
        <v>0.81663561401422013</v>
      </c>
      <c r="N203" s="1350"/>
      <c r="O203" s="1358">
        <f t="shared" si="52"/>
        <v>2.5680930687026543E-3</v>
      </c>
      <c r="P203" s="1358">
        <f t="shared" si="53"/>
        <v>2.0355743520266054E-3</v>
      </c>
      <c r="Q203" s="1358">
        <f t="shared" si="54"/>
        <v>5.6294426281296656E-3</v>
      </c>
      <c r="R203" s="1358">
        <f t="shared" si="55"/>
        <v>0</v>
      </c>
      <c r="S203" s="1358">
        <f t="shared" si="56"/>
        <v>5.2814748355408822E-2</v>
      </c>
      <c r="T203" s="1358">
        <f t="shared" si="45"/>
        <v>0.87968347241848788</v>
      </c>
      <c r="U203" s="595">
        <f>IF('TAR_Tab 2_Volumina'!C206="storage",1,0)</f>
        <v>0</v>
      </c>
      <c r="V203" s="1362">
        <f t="shared" ref="V203:V266" si="59">IF(U203=1,T203*$V$7,T203)</f>
        <v>0.87968347241848788</v>
      </c>
      <c r="W203" s="1362">
        <f t="shared" si="57"/>
        <v>0.92681953938540529</v>
      </c>
      <c r="X203" s="1355">
        <f t="shared" si="58"/>
        <v>0.92700000000000005</v>
      </c>
      <c r="Y203" s="1355">
        <f>X203+'TAR_Tab 13_Overige tarieven'!$T$15+'TAR_Tab 13_Overige tarieven'!$T$16</f>
        <v>1.08</v>
      </c>
      <c r="Z203" s="960"/>
    </row>
    <row r="204" spans="1:26">
      <c r="A204" s="155">
        <v>300542</v>
      </c>
      <c r="B204" s="156" t="s">
        <v>280</v>
      </c>
      <c r="C204" s="839">
        <v>0.24577075644162161</v>
      </c>
      <c r="D204" s="1356">
        <f t="shared" si="48"/>
        <v>0.23436699334273037</v>
      </c>
      <c r="E204" s="1356">
        <f t="shared" si="49"/>
        <v>0.24764209525269584</v>
      </c>
      <c r="F204" s="1357"/>
      <c r="G204" s="1358">
        <f t="shared" si="50"/>
        <v>0.23525999049006105</v>
      </c>
      <c r="H204" s="1358">
        <f t="shared" si="51"/>
        <v>0.26002420001533066</v>
      </c>
      <c r="I204" s="833">
        <v>0.24895127263251055</v>
      </c>
      <c r="J204" s="1359" t="b">
        <f t="shared" si="46"/>
        <v>1</v>
      </c>
      <c r="K204" s="1583"/>
      <c r="L204" s="17"/>
      <c r="M204" s="1361">
        <f t="shared" si="47"/>
        <v>0.24895127263251055</v>
      </c>
      <c r="N204" s="1350"/>
      <c r="O204" s="1358">
        <f t="shared" si="52"/>
        <v>7.8288287544746045E-4</v>
      </c>
      <c r="P204" s="1358">
        <f t="shared" si="53"/>
        <v>6.2054460616053561E-4</v>
      </c>
      <c r="Q204" s="1358">
        <f t="shared" si="54"/>
        <v>1.7161349351342168E-3</v>
      </c>
      <c r="R204" s="1358">
        <f t="shared" si="55"/>
        <v>0</v>
      </c>
      <c r="S204" s="1358">
        <f t="shared" si="56"/>
        <v>1.6100569937445647E-2</v>
      </c>
      <c r="T204" s="1358">
        <f t="shared" si="45"/>
        <v>0.26817140498669839</v>
      </c>
      <c r="U204" s="595">
        <f>IF('TAR_Tab 2_Volumina'!C207="storage",1,0)</f>
        <v>0</v>
      </c>
      <c r="V204" s="1362">
        <f t="shared" si="59"/>
        <v>0.26817140498669839</v>
      </c>
      <c r="W204" s="1362">
        <f t="shared" si="57"/>
        <v>0.28254082955859933</v>
      </c>
      <c r="X204" s="1355">
        <f t="shared" si="58"/>
        <v>0.28299999999999997</v>
      </c>
      <c r="Y204" s="1355">
        <f>X204+'TAR_Tab 13_Overige tarieven'!$T$15+'TAR_Tab 13_Overige tarieven'!$T$16</f>
        <v>0.43599999999999994</v>
      </c>
      <c r="Z204" s="960"/>
    </row>
    <row r="205" spans="1:26">
      <c r="A205" s="155">
        <v>300544</v>
      </c>
      <c r="B205" s="156" t="s">
        <v>142</v>
      </c>
      <c r="C205" s="839">
        <v>0.3228430542299493</v>
      </c>
      <c r="D205" s="1356">
        <f t="shared" si="48"/>
        <v>0.30786313651367964</v>
      </c>
      <c r="E205" s="1356">
        <f t="shared" si="49"/>
        <v>0.32530123414530365</v>
      </c>
      <c r="F205" s="1357"/>
      <c r="G205" s="1358">
        <f t="shared" si="50"/>
        <v>0.30903617243803844</v>
      </c>
      <c r="H205" s="1358">
        <f t="shared" si="51"/>
        <v>0.34156629585256887</v>
      </c>
      <c r="I205" s="833">
        <v>0.3270209620329807</v>
      </c>
      <c r="J205" s="1359" t="b">
        <f t="shared" si="46"/>
        <v>1</v>
      </c>
      <c r="K205" s="1583"/>
      <c r="L205" s="17"/>
      <c r="M205" s="1361">
        <f t="shared" si="47"/>
        <v>0.3270209620329807</v>
      </c>
      <c r="N205" s="1350"/>
      <c r="O205" s="1358">
        <f t="shared" si="52"/>
        <v>1.0283904491860034E-3</v>
      </c>
      <c r="P205" s="1358">
        <f t="shared" si="53"/>
        <v>8.1514383093976887E-4</v>
      </c>
      <c r="Q205" s="1358">
        <f t="shared" si="54"/>
        <v>2.2543049952366855E-3</v>
      </c>
      <c r="R205" s="1358">
        <f t="shared" si="55"/>
        <v>0</v>
      </c>
      <c r="S205" s="1358">
        <f t="shared" si="56"/>
        <v>2.1149616206200417E-2</v>
      </c>
      <c r="T205" s="1358">
        <f t="shared" si="45"/>
        <v>0.35226841751454363</v>
      </c>
      <c r="U205" s="595">
        <f>IF('TAR_Tab 2_Volumina'!C208="storage",1,0)</f>
        <v>0</v>
      </c>
      <c r="V205" s="1362">
        <f t="shared" si="59"/>
        <v>0.35226841751454363</v>
      </c>
      <c r="W205" s="1362">
        <f t="shared" si="57"/>
        <v>0.37114401111032325</v>
      </c>
      <c r="X205" s="1355">
        <f t="shared" si="58"/>
        <v>0.371</v>
      </c>
      <c r="Y205" s="1355">
        <f>X205+'TAR_Tab 13_Overige tarieven'!$T$15+'TAR_Tab 13_Overige tarieven'!$T$16</f>
        <v>0.52400000000000002</v>
      </c>
      <c r="Z205" s="960"/>
    </row>
    <row r="206" spans="1:26">
      <c r="A206" s="155">
        <v>300546</v>
      </c>
      <c r="B206" s="156" t="s">
        <v>143</v>
      </c>
      <c r="C206" s="839">
        <v>0.80992635645534383</v>
      </c>
      <c r="D206" s="1356">
        <f t="shared" si="48"/>
        <v>0.7723457735158159</v>
      </c>
      <c r="E206" s="1356">
        <f t="shared" si="49"/>
        <v>0.81609326844638397</v>
      </c>
      <c r="F206" s="1357"/>
      <c r="G206" s="1358">
        <f t="shared" si="50"/>
        <v>0.77528860502406471</v>
      </c>
      <c r="H206" s="1358">
        <f t="shared" si="51"/>
        <v>0.85689793186870322</v>
      </c>
      <c r="I206" s="833">
        <v>0.82040760299350057</v>
      </c>
      <c r="J206" s="1359" t="b">
        <f t="shared" si="46"/>
        <v>1</v>
      </c>
      <c r="K206" s="1583"/>
      <c r="L206" s="17"/>
      <c r="M206" s="1361">
        <f t="shared" si="47"/>
        <v>0.82040760299350057</v>
      </c>
      <c r="N206" s="1350"/>
      <c r="O206" s="1358">
        <f t="shared" si="52"/>
        <v>2.5799549304518581E-3</v>
      </c>
      <c r="P206" s="1358">
        <f t="shared" si="53"/>
        <v>2.0449765430290375E-3</v>
      </c>
      <c r="Q206" s="1358">
        <f t="shared" si="54"/>
        <v>5.6554446726013955E-3</v>
      </c>
      <c r="R206" s="1358">
        <f t="shared" si="55"/>
        <v>0</v>
      </c>
      <c r="S206" s="1358">
        <f t="shared" si="56"/>
        <v>5.3058696384764063E-2</v>
      </c>
      <c r="T206" s="1358">
        <f t="shared" si="45"/>
        <v>0.88374667552434683</v>
      </c>
      <c r="U206" s="595">
        <f>IF('TAR_Tab 2_Volumina'!C209="storage",1,0)</f>
        <v>0</v>
      </c>
      <c r="V206" s="1362">
        <f t="shared" si="59"/>
        <v>0.88374667552434683</v>
      </c>
      <c r="W206" s="1362">
        <f t="shared" si="57"/>
        <v>0.93110046104538402</v>
      </c>
      <c r="X206" s="1355">
        <f t="shared" si="58"/>
        <v>0.93100000000000005</v>
      </c>
      <c r="Y206" s="1355">
        <f>X206+'TAR_Tab 13_Overige tarieven'!$T$15+'TAR_Tab 13_Overige tarieven'!$T$16</f>
        <v>1.0840000000000001</v>
      </c>
      <c r="Z206" s="960"/>
    </row>
    <row r="207" spans="1:26">
      <c r="A207" s="155">
        <v>300549</v>
      </c>
      <c r="B207" s="156" t="s">
        <v>144</v>
      </c>
      <c r="C207" s="839">
        <v>1.290372702820014</v>
      </c>
      <c r="D207" s="1356">
        <f t="shared" si="48"/>
        <v>1.2304994094091655</v>
      </c>
      <c r="E207" s="1356">
        <f t="shared" si="49"/>
        <v>1.3001978120172974</v>
      </c>
      <c r="F207" s="1357"/>
      <c r="G207" s="1358">
        <f t="shared" si="50"/>
        <v>1.2351879214164325</v>
      </c>
      <c r="H207" s="1358">
        <f t="shared" si="51"/>
        <v>1.3652077026181624</v>
      </c>
      <c r="I207" s="833">
        <v>1.3070713993330594</v>
      </c>
      <c r="J207" s="1359" t="b">
        <f t="shared" si="46"/>
        <v>1</v>
      </c>
      <c r="K207" s="1583"/>
      <c r="L207" s="17"/>
      <c r="M207" s="1361">
        <f t="shared" si="47"/>
        <v>1.3070713993330594</v>
      </c>
      <c r="N207" s="1350"/>
      <c r="O207" s="1358">
        <f t="shared" si="52"/>
        <v>4.1103779253843058E-3</v>
      </c>
      <c r="P207" s="1358">
        <f t="shared" si="53"/>
        <v>3.2580516586478074E-3</v>
      </c>
      <c r="Q207" s="1358">
        <f t="shared" si="54"/>
        <v>9.0102407085156707E-3</v>
      </c>
      <c r="R207" s="1358">
        <f t="shared" si="55"/>
        <v>0</v>
      </c>
      <c r="S207" s="1358">
        <f t="shared" si="56"/>
        <v>8.4532986136856794E-2</v>
      </c>
      <c r="T207" s="1358">
        <f t="shared" si="45"/>
        <v>1.4079830557624642</v>
      </c>
      <c r="U207" s="595">
        <f>IF('TAR_Tab 2_Volumina'!C210="storage",1,0)</f>
        <v>0</v>
      </c>
      <c r="V207" s="1362">
        <f t="shared" si="59"/>
        <v>1.4079830557624642</v>
      </c>
      <c r="W207" s="1362">
        <f t="shared" si="57"/>
        <v>1.4834269917753169</v>
      </c>
      <c r="X207" s="1355">
        <f t="shared" si="58"/>
        <v>1.4830000000000001</v>
      </c>
      <c r="Y207" s="1355">
        <f>X207+'TAR_Tab 13_Overige tarieven'!$T$15+'TAR_Tab 13_Overige tarieven'!$T$16</f>
        <v>1.6360000000000001</v>
      </c>
      <c r="Z207" s="960"/>
    </row>
    <row r="208" spans="1:26">
      <c r="A208" s="155">
        <v>300552</v>
      </c>
      <c r="B208" s="156" t="s">
        <v>1089</v>
      </c>
      <c r="C208" s="839">
        <v>1.0277686178467813</v>
      </c>
      <c r="D208" s="1356">
        <f t="shared" si="48"/>
        <v>0.98008015397869064</v>
      </c>
      <c r="E208" s="1356">
        <f t="shared" si="49"/>
        <v>1.0355942165112735</v>
      </c>
      <c r="F208" s="1357"/>
      <c r="G208" s="1358">
        <f t="shared" si="50"/>
        <v>0.98381450568570972</v>
      </c>
      <c r="H208" s="1358">
        <f t="shared" si="51"/>
        <v>1.0873739273368372</v>
      </c>
      <c r="I208" s="833">
        <v>1.0410689582814077</v>
      </c>
      <c r="J208" s="1359" t="b">
        <f t="shared" si="46"/>
        <v>1</v>
      </c>
      <c r="K208" s="1583"/>
      <c r="L208" s="17"/>
      <c r="M208" s="1361">
        <f t="shared" si="47"/>
        <v>1.0410689582814077</v>
      </c>
      <c r="N208" s="1350"/>
      <c r="O208" s="1358">
        <f t="shared" si="52"/>
        <v>3.2738738427802892E-3</v>
      </c>
      <c r="P208" s="1358">
        <f t="shared" si="53"/>
        <v>2.5950047166713305E-3</v>
      </c>
      <c r="Q208" s="1358">
        <f t="shared" si="54"/>
        <v>7.1765642741976332E-3</v>
      </c>
      <c r="R208" s="1358">
        <f t="shared" si="55"/>
        <v>0</v>
      </c>
      <c r="S208" s="1358">
        <f t="shared" si="56"/>
        <v>6.7329656102045429E-2</v>
      </c>
      <c r="T208" s="1358">
        <f t="shared" si="45"/>
        <v>1.1214440572171023</v>
      </c>
      <c r="U208" s="595">
        <f>IF('TAR_Tab 2_Volumina'!C211="storage",1,0)</f>
        <v>0</v>
      </c>
      <c r="V208" s="1362">
        <f t="shared" si="59"/>
        <v>1.1214440572171023</v>
      </c>
      <c r="W208" s="1362">
        <f t="shared" si="57"/>
        <v>1.1815343781541425</v>
      </c>
      <c r="X208" s="1355">
        <f t="shared" si="58"/>
        <v>1.1819999999999999</v>
      </c>
      <c r="Y208" s="1355">
        <f>X208+'TAR_Tab 13_Overige tarieven'!$T$15+'TAR_Tab 13_Overige tarieven'!$T$16</f>
        <v>1.335</v>
      </c>
      <c r="Z208" s="960"/>
    </row>
    <row r="209" spans="1:26">
      <c r="A209" s="155">
        <v>300553</v>
      </c>
      <c r="B209" s="156" t="s">
        <v>145</v>
      </c>
      <c r="C209" s="839">
        <v>0.3228430542299493</v>
      </c>
      <c r="D209" s="1356">
        <f t="shared" si="48"/>
        <v>0.30786313651367964</v>
      </c>
      <c r="E209" s="1356">
        <f t="shared" si="49"/>
        <v>0.32530123414530365</v>
      </c>
      <c r="F209" s="1357"/>
      <c r="G209" s="1358">
        <f t="shared" si="50"/>
        <v>0.30903617243803844</v>
      </c>
      <c r="H209" s="1358">
        <f t="shared" si="51"/>
        <v>0.34156629585256887</v>
      </c>
      <c r="I209" s="833">
        <v>0.3270209620329807</v>
      </c>
      <c r="J209" s="1359" t="b">
        <f t="shared" si="46"/>
        <v>1</v>
      </c>
      <c r="K209" s="1583"/>
      <c r="L209" s="17"/>
      <c r="M209" s="1361">
        <f t="shared" si="47"/>
        <v>0.3270209620329807</v>
      </c>
      <c r="N209" s="1350"/>
      <c r="O209" s="1358">
        <f t="shared" si="52"/>
        <v>1.0283904491860034E-3</v>
      </c>
      <c r="P209" s="1358">
        <f t="shared" si="53"/>
        <v>8.1514383093976887E-4</v>
      </c>
      <c r="Q209" s="1358">
        <f t="shared" si="54"/>
        <v>2.2543049952366855E-3</v>
      </c>
      <c r="R209" s="1358">
        <f t="shared" si="55"/>
        <v>0</v>
      </c>
      <c r="S209" s="1358">
        <f t="shared" si="56"/>
        <v>2.1149616206200417E-2</v>
      </c>
      <c r="T209" s="1358">
        <f t="shared" si="45"/>
        <v>0.35226841751454363</v>
      </c>
      <c r="U209" s="595">
        <f>IF('TAR_Tab 2_Volumina'!C212="storage",1,0)</f>
        <v>0</v>
      </c>
      <c r="V209" s="1362">
        <f t="shared" si="59"/>
        <v>0.35226841751454363</v>
      </c>
      <c r="W209" s="1362">
        <f t="shared" si="57"/>
        <v>0.37114401111032325</v>
      </c>
      <c r="X209" s="1355">
        <f t="shared" si="58"/>
        <v>0.371</v>
      </c>
      <c r="Y209" s="1355">
        <f>X209+'TAR_Tab 13_Overige tarieven'!$T$15+'TAR_Tab 13_Overige tarieven'!$T$16</f>
        <v>0.52400000000000002</v>
      </c>
      <c r="Z209" s="960"/>
    </row>
    <row r="210" spans="1:26">
      <c r="A210" s="155">
        <v>300555</v>
      </c>
      <c r="B210" s="156" t="s">
        <v>168</v>
      </c>
      <c r="C210" s="839">
        <v>1.1549528210722544</v>
      </c>
      <c r="D210" s="1356">
        <f t="shared" si="48"/>
        <v>1.1013630101745018</v>
      </c>
      <c r="E210" s="1356">
        <f t="shared" si="49"/>
        <v>1.1637468211002664</v>
      </c>
      <c r="F210" s="1357"/>
      <c r="G210" s="1358">
        <f t="shared" si="50"/>
        <v>1.1055594800452531</v>
      </c>
      <c r="H210" s="1358">
        <f t="shared" si="51"/>
        <v>1.2219341621552797</v>
      </c>
      <c r="I210" s="833">
        <v>1.1698990506412945</v>
      </c>
      <c r="J210" s="1359" t="b">
        <f t="shared" si="46"/>
        <v>1</v>
      </c>
      <c r="K210" s="1583"/>
      <c r="L210" s="17"/>
      <c r="M210" s="1361">
        <f t="shared" si="47"/>
        <v>1.1698990506412945</v>
      </c>
      <c r="N210" s="1350"/>
      <c r="O210" s="1358">
        <f t="shared" si="52"/>
        <v>3.679008840020303E-3</v>
      </c>
      <c r="P210" s="1358">
        <f t="shared" si="53"/>
        <v>2.9161310884296384E-3</v>
      </c>
      <c r="Q210" s="1358">
        <f t="shared" si="54"/>
        <v>8.0646489979971023E-3</v>
      </c>
      <c r="R210" s="1358">
        <f t="shared" si="55"/>
        <v>0</v>
      </c>
      <c r="S210" s="1358">
        <f t="shared" si="56"/>
        <v>7.5661559330151548E-2</v>
      </c>
      <c r="T210" s="1358">
        <f t="shared" si="45"/>
        <v>1.2602203988978931</v>
      </c>
      <c r="U210" s="595">
        <f>IF('TAR_Tab 2_Volumina'!C213="storage",1,0)</f>
        <v>0</v>
      </c>
      <c r="V210" s="1362">
        <f t="shared" si="59"/>
        <v>1.2602203988978931</v>
      </c>
      <c r="W210" s="1362">
        <f t="shared" si="57"/>
        <v>1.3277467705736219</v>
      </c>
      <c r="X210" s="1355">
        <f t="shared" si="58"/>
        <v>1.3280000000000001</v>
      </c>
      <c r="Y210" s="1355">
        <f>X210+'TAR_Tab 13_Overige tarieven'!$T$15+'TAR_Tab 13_Overige tarieven'!$T$16</f>
        <v>1.4810000000000001</v>
      </c>
      <c r="Z210" s="960"/>
    </row>
    <row r="211" spans="1:26">
      <c r="A211" s="155">
        <v>300556</v>
      </c>
      <c r="B211" s="156" t="s">
        <v>169</v>
      </c>
      <c r="C211" s="839">
        <v>1.2472664262092286</v>
      </c>
      <c r="D211" s="1356">
        <f t="shared" si="48"/>
        <v>1.1893932640331204</v>
      </c>
      <c r="E211" s="1356">
        <f t="shared" si="49"/>
        <v>1.256763317153085</v>
      </c>
      <c r="F211" s="1357"/>
      <c r="G211" s="1358">
        <f t="shared" si="50"/>
        <v>1.1939251512954308</v>
      </c>
      <c r="H211" s="1358">
        <f t="shared" si="51"/>
        <v>1.3196014830107392</v>
      </c>
      <c r="I211" s="833">
        <v>1.263407284952335</v>
      </c>
      <c r="J211" s="1359" t="b">
        <f t="shared" si="46"/>
        <v>1</v>
      </c>
      <c r="K211" s="1583"/>
      <c r="L211" s="17"/>
      <c r="M211" s="1361">
        <f t="shared" si="47"/>
        <v>1.263407284952335</v>
      </c>
      <c r="N211" s="1350"/>
      <c r="O211" s="1358">
        <f t="shared" si="52"/>
        <v>3.9730663661431166E-3</v>
      </c>
      <c r="P211" s="1358">
        <f t="shared" si="53"/>
        <v>3.1492129675448613E-3</v>
      </c>
      <c r="Q211" s="1358">
        <f t="shared" si="54"/>
        <v>8.7092440061968587E-3</v>
      </c>
      <c r="R211" s="1358">
        <f t="shared" si="55"/>
        <v>0</v>
      </c>
      <c r="S211" s="1358">
        <f t="shared" si="56"/>
        <v>8.1709071561488322E-2</v>
      </c>
      <c r="T211" s="1358">
        <f t="shared" si="45"/>
        <v>1.360947879853708</v>
      </c>
      <c r="U211" s="595">
        <f>IF('TAR_Tab 2_Volumina'!C214="storage",1,0)</f>
        <v>0</v>
      </c>
      <c r="V211" s="1362">
        <f t="shared" si="59"/>
        <v>1.360947879853708</v>
      </c>
      <c r="W211" s="1362">
        <f t="shared" si="57"/>
        <v>1.4338715307061036</v>
      </c>
      <c r="X211" s="1355">
        <f t="shared" si="58"/>
        <v>1.4339999999999999</v>
      </c>
      <c r="Y211" s="1355">
        <f>X211+'TAR_Tab 13_Overige tarieven'!$T$15+'TAR_Tab 13_Overige tarieven'!$T$16</f>
        <v>1.587</v>
      </c>
      <c r="Z211" s="960"/>
    </row>
    <row r="212" spans="1:26">
      <c r="A212" s="155">
        <v>300558</v>
      </c>
      <c r="B212" s="156" t="s">
        <v>170</v>
      </c>
      <c r="C212" s="839">
        <v>0.74848366734493843</v>
      </c>
      <c r="D212" s="1356">
        <f t="shared" si="48"/>
        <v>0.71375402518013331</v>
      </c>
      <c r="E212" s="1356">
        <f t="shared" si="49"/>
        <v>0.75418274463321</v>
      </c>
      <c r="F212" s="1357"/>
      <c r="G212" s="1358">
        <f t="shared" si="50"/>
        <v>0.71647360740154942</v>
      </c>
      <c r="H212" s="1358">
        <f t="shared" si="51"/>
        <v>0.79189188186487058</v>
      </c>
      <c r="I212" s="833">
        <v>0.75816978483537301</v>
      </c>
      <c r="J212" s="1359" t="b">
        <f t="shared" si="46"/>
        <v>1</v>
      </c>
      <c r="K212" s="1583"/>
      <c r="L212" s="17"/>
      <c r="M212" s="1361">
        <f t="shared" si="47"/>
        <v>0.75816978483537301</v>
      </c>
      <c r="N212" s="1350"/>
      <c r="O212" s="1358">
        <f t="shared" si="52"/>
        <v>2.3842342115899932E-3</v>
      </c>
      <c r="P212" s="1358">
        <f t="shared" si="53"/>
        <v>1.8898403914889038E-3</v>
      </c>
      <c r="Q212" s="1358">
        <f t="shared" si="54"/>
        <v>5.226410938817842E-3</v>
      </c>
      <c r="R212" s="1358">
        <f t="shared" si="55"/>
        <v>0</v>
      </c>
      <c r="S212" s="1358">
        <f t="shared" si="56"/>
        <v>4.9033553900402656E-2</v>
      </c>
      <c r="T212" s="1358">
        <f t="shared" si="45"/>
        <v>0.8167038242776723</v>
      </c>
      <c r="U212" s="595">
        <f>IF('TAR_Tab 2_Volumina'!C215="storage",1,0)</f>
        <v>0</v>
      </c>
      <c r="V212" s="1362">
        <f t="shared" si="59"/>
        <v>0.8167038242776723</v>
      </c>
      <c r="W212" s="1362">
        <f t="shared" si="57"/>
        <v>0.86046525365573423</v>
      </c>
      <c r="X212" s="1355">
        <f t="shared" si="58"/>
        <v>0.86</v>
      </c>
      <c r="Y212" s="1355">
        <f>X212+'TAR_Tab 13_Overige tarieven'!$T$15+'TAR_Tab 13_Overige tarieven'!$T$16</f>
        <v>1.0130000000000001</v>
      </c>
      <c r="Z212" s="960"/>
    </row>
    <row r="213" spans="1:26">
      <c r="A213" s="155">
        <v>300563</v>
      </c>
      <c r="B213" s="156" t="s">
        <v>311</v>
      </c>
      <c r="C213" s="839">
        <v>0.74331578997214331</v>
      </c>
      <c r="D213" s="1356">
        <f t="shared" si="48"/>
        <v>0.70882593731743582</v>
      </c>
      <c r="E213" s="1356">
        <f t="shared" si="49"/>
        <v>0.74897551819529973</v>
      </c>
      <c r="F213" s="1357"/>
      <c r="G213" s="1358">
        <f t="shared" si="50"/>
        <v>0.7115267422855347</v>
      </c>
      <c r="H213" s="1358">
        <f t="shared" si="51"/>
        <v>0.78642429410506476</v>
      </c>
      <c r="I213" s="833">
        <v>0.75293503002811524</v>
      </c>
      <c r="J213" s="1359" t="b">
        <f t="shared" si="46"/>
        <v>1</v>
      </c>
      <c r="K213" s="1583"/>
      <c r="L213" s="17"/>
      <c r="M213" s="1361">
        <f t="shared" si="47"/>
        <v>0.75293503002811524</v>
      </c>
      <c r="N213" s="1350"/>
      <c r="O213" s="1358">
        <f t="shared" si="52"/>
        <v>2.3677723560130669E-3</v>
      </c>
      <c r="P213" s="1358">
        <f t="shared" si="53"/>
        <v>1.8767920594765109E-3</v>
      </c>
      <c r="Q213" s="1358">
        <f t="shared" si="54"/>
        <v>5.1903253807622386E-3</v>
      </c>
      <c r="R213" s="1358">
        <f t="shared" si="55"/>
        <v>0</v>
      </c>
      <c r="S213" s="1358">
        <f t="shared" si="56"/>
        <v>4.8695003568892406E-2</v>
      </c>
      <c r="T213" s="1358">
        <f t="shared" si="45"/>
        <v>0.81106492339325953</v>
      </c>
      <c r="U213" s="595">
        <f>IF('TAR_Tab 2_Volumina'!C216="storage",1,0)</f>
        <v>0</v>
      </c>
      <c r="V213" s="1362">
        <f t="shared" si="59"/>
        <v>0.81106492339325953</v>
      </c>
      <c r="W213" s="1362">
        <f t="shared" si="57"/>
        <v>0.85452420362558756</v>
      </c>
      <c r="X213" s="1355">
        <f t="shared" si="58"/>
        <v>0.85499999999999998</v>
      </c>
      <c r="Y213" s="1355">
        <f>X213+'TAR_Tab 13_Overige tarieven'!$T$15+'TAR_Tab 13_Overige tarieven'!$T$16</f>
        <v>1.008</v>
      </c>
      <c r="Z213" s="960"/>
    </row>
    <row r="214" spans="1:26">
      <c r="A214" s="155">
        <v>300564</v>
      </c>
      <c r="B214" s="156" t="s">
        <v>312</v>
      </c>
      <c r="C214" s="839">
        <v>1.9170242551472805</v>
      </c>
      <c r="D214" s="1356">
        <f t="shared" si="48"/>
        <v>1.8280743297084467</v>
      </c>
      <c r="E214" s="1356">
        <f t="shared" si="49"/>
        <v>1.9316207919459125</v>
      </c>
      <c r="F214" s="1357"/>
      <c r="G214" s="1358">
        <f t="shared" si="50"/>
        <v>1.8350397523486168</v>
      </c>
      <c r="H214" s="1358">
        <f t="shared" si="51"/>
        <v>2.0282018315432082</v>
      </c>
      <c r="I214" s="833">
        <v>1.9418324413208499</v>
      </c>
      <c r="J214" s="1359" t="b">
        <f t="shared" si="46"/>
        <v>1</v>
      </c>
      <c r="K214" s="1583"/>
      <c r="L214" s="17"/>
      <c r="M214" s="1361">
        <f t="shared" si="47"/>
        <v>1.9418324413208499</v>
      </c>
      <c r="N214" s="1350"/>
      <c r="O214" s="1358">
        <f t="shared" si="52"/>
        <v>6.1065257840337006E-3</v>
      </c>
      <c r="P214" s="1358">
        <f t="shared" si="53"/>
        <v>4.8402791228464607E-3</v>
      </c>
      <c r="Q214" s="1358">
        <f t="shared" si="54"/>
        <v>1.3385938764196904E-2</v>
      </c>
      <c r="R214" s="1358">
        <f t="shared" si="55"/>
        <v>0</v>
      </c>
      <c r="S214" s="1358">
        <f t="shared" si="56"/>
        <v>0.1255852548881661</v>
      </c>
      <c r="T214" s="1358">
        <f t="shared" si="45"/>
        <v>2.091750439880093</v>
      </c>
      <c r="U214" s="595">
        <f>IF('TAR_Tab 2_Volumina'!C217="storage",1,0)</f>
        <v>0</v>
      </c>
      <c r="V214" s="1362">
        <f t="shared" si="59"/>
        <v>2.091750439880093</v>
      </c>
      <c r="W214" s="1362">
        <f t="shared" si="57"/>
        <v>2.2038326738922858</v>
      </c>
      <c r="X214" s="1355">
        <f t="shared" si="58"/>
        <v>2.2040000000000002</v>
      </c>
      <c r="Y214" s="1355">
        <f>X214+'TAR_Tab 13_Overige tarieven'!$T$15+'TAR_Tab 13_Overige tarieven'!$T$16</f>
        <v>2.3570000000000002</v>
      </c>
      <c r="Z214" s="960"/>
    </row>
    <row r="215" spans="1:26">
      <c r="A215" s="155">
        <v>300569</v>
      </c>
      <c r="B215" s="156" t="s">
        <v>313</v>
      </c>
      <c r="C215" s="839">
        <v>2.0295581197645767</v>
      </c>
      <c r="D215" s="1356">
        <f t="shared" si="48"/>
        <v>1.9353866230075003</v>
      </c>
      <c r="E215" s="1356">
        <f t="shared" si="49"/>
        <v>2.0450115078479896</v>
      </c>
      <c r="F215" s="1357"/>
      <c r="G215" s="1358">
        <f t="shared" si="50"/>
        <v>1.9427609324555899</v>
      </c>
      <c r="H215" s="1358">
        <f t="shared" si="51"/>
        <v>2.1472620832403893</v>
      </c>
      <c r="I215" s="833">
        <v>2.0558226052294888</v>
      </c>
      <c r="J215" s="1359" t="b">
        <f t="shared" si="46"/>
        <v>1</v>
      </c>
      <c r="K215" s="1583"/>
      <c r="L215" s="17"/>
      <c r="M215" s="1361">
        <f t="shared" si="47"/>
        <v>2.0558226052294888</v>
      </c>
      <c r="N215" s="1350"/>
      <c r="O215" s="1358">
        <f t="shared" si="52"/>
        <v>6.464993312035679E-3</v>
      </c>
      <c r="P215" s="1358">
        <f t="shared" si="53"/>
        <v>5.1244149724883224E-3</v>
      </c>
      <c r="Q215" s="1358">
        <f t="shared" si="54"/>
        <v>1.4171725076822262E-2</v>
      </c>
      <c r="R215" s="1358">
        <f t="shared" si="55"/>
        <v>0</v>
      </c>
      <c r="S215" s="1358">
        <f t="shared" si="56"/>
        <v>0.1329574068228988</v>
      </c>
      <c r="T215" s="1358">
        <f t="shared" si="45"/>
        <v>2.2145411454137336</v>
      </c>
      <c r="U215" s="595">
        <f>IF('TAR_Tab 2_Volumina'!C218="storage",1,0)</f>
        <v>0</v>
      </c>
      <c r="V215" s="1362">
        <f t="shared" si="59"/>
        <v>2.2145411454137336</v>
      </c>
      <c r="W215" s="1362">
        <f t="shared" si="57"/>
        <v>2.333202872050741</v>
      </c>
      <c r="X215" s="1355">
        <f t="shared" si="58"/>
        <v>2.3330000000000002</v>
      </c>
      <c r="Y215" s="1355">
        <f>X215+'TAR_Tab 13_Overige tarieven'!$T$15+'TAR_Tab 13_Overige tarieven'!$T$16</f>
        <v>2.4860000000000002</v>
      </c>
      <c r="Z215" s="960"/>
    </row>
    <row r="216" spans="1:26">
      <c r="A216" s="155">
        <v>300571</v>
      </c>
      <c r="B216" s="156" t="s">
        <v>314</v>
      </c>
      <c r="C216" s="839">
        <v>1.1865412742981627</v>
      </c>
      <c r="D216" s="1356">
        <f t="shared" si="48"/>
        <v>1.1314857591707279</v>
      </c>
      <c r="E216" s="1356">
        <f t="shared" si="49"/>
        <v>1.1955757939850606</v>
      </c>
      <c r="F216" s="1357"/>
      <c r="G216" s="1358">
        <f t="shared" si="50"/>
        <v>1.1357970042858077</v>
      </c>
      <c r="H216" s="1358">
        <f t="shared" si="51"/>
        <v>1.2553545836843136</v>
      </c>
      <c r="I216" s="833">
        <v>1.2018962896331939</v>
      </c>
      <c r="J216" s="1359" t="b">
        <f t="shared" si="46"/>
        <v>1</v>
      </c>
      <c r="K216" s="1583"/>
      <c r="L216" s="17"/>
      <c r="M216" s="1361">
        <f t="shared" si="47"/>
        <v>1.2018962896331939</v>
      </c>
      <c r="N216" s="1350"/>
      <c r="O216" s="1358">
        <f t="shared" si="52"/>
        <v>3.7796313040208609E-3</v>
      </c>
      <c r="P216" s="1358">
        <f t="shared" si="53"/>
        <v>2.9958885199080579E-3</v>
      </c>
      <c r="Q216" s="1358">
        <f t="shared" si="54"/>
        <v>8.2852205945235253E-3</v>
      </c>
      <c r="R216" s="1358">
        <f t="shared" si="55"/>
        <v>0</v>
      </c>
      <c r="S216" s="1358">
        <f t="shared" si="56"/>
        <v>7.7730935311830951E-2</v>
      </c>
      <c r="T216" s="1358">
        <f t="shared" si="45"/>
        <v>1.2946879653634773</v>
      </c>
      <c r="U216" s="595">
        <f>IF('TAR_Tab 2_Volumina'!C219="storage",1,0)</f>
        <v>0</v>
      </c>
      <c r="V216" s="1362">
        <f t="shared" si="59"/>
        <v>1.2946879653634773</v>
      </c>
      <c r="W216" s="1362">
        <f t="shared" si="57"/>
        <v>1.3640612121619611</v>
      </c>
      <c r="X216" s="1355">
        <f t="shared" si="58"/>
        <v>1.3640000000000001</v>
      </c>
      <c r="Y216" s="1355">
        <f>X216+'TAR_Tab 13_Overige tarieven'!$T$15+'TAR_Tab 13_Overige tarieven'!$T$16</f>
        <v>1.5170000000000001</v>
      </c>
      <c r="Z216" s="960"/>
    </row>
    <row r="217" spans="1:26">
      <c r="A217" s="155">
        <v>300572</v>
      </c>
      <c r="B217" s="156" t="s">
        <v>172</v>
      </c>
      <c r="C217" s="839">
        <v>1.3043659002169778</v>
      </c>
      <c r="D217" s="1356">
        <f t="shared" si="48"/>
        <v>1.2438433224469101</v>
      </c>
      <c r="E217" s="1356">
        <f t="shared" si="49"/>
        <v>1.3142975559121401</v>
      </c>
      <c r="F217" s="1357"/>
      <c r="G217" s="1358">
        <f t="shared" si="50"/>
        <v>1.248582678116533</v>
      </c>
      <c r="H217" s="1358">
        <f t="shared" si="51"/>
        <v>1.3800124337077473</v>
      </c>
      <c r="I217" s="833">
        <v>1.3212456825171512</v>
      </c>
      <c r="J217" s="1359" t="b">
        <f t="shared" si="46"/>
        <v>1</v>
      </c>
      <c r="K217" s="1583"/>
      <c r="L217" s="17"/>
      <c r="M217" s="1361">
        <f t="shared" si="47"/>
        <v>1.3212456825171512</v>
      </c>
      <c r="N217" s="1350"/>
      <c r="O217" s="1358">
        <f t="shared" si="52"/>
        <v>4.154952124420231E-3</v>
      </c>
      <c r="P217" s="1358">
        <f t="shared" si="53"/>
        <v>3.2933829702055679E-3</v>
      </c>
      <c r="Q217" s="1358">
        <f t="shared" si="54"/>
        <v>9.1079505225506972E-3</v>
      </c>
      <c r="R217" s="1358">
        <f t="shared" si="55"/>
        <v>0</v>
      </c>
      <c r="S217" s="1358">
        <f t="shared" si="56"/>
        <v>8.5449687768085286E-2</v>
      </c>
      <c r="T217" s="1358">
        <f t="shared" si="45"/>
        <v>1.4232516559024129</v>
      </c>
      <c r="U217" s="595">
        <f>IF('TAR_Tab 2_Volumina'!C220="storage",1,0)</f>
        <v>0</v>
      </c>
      <c r="V217" s="1362">
        <f t="shared" si="59"/>
        <v>1.4232516559024129</v>
      </c>
      <c r="W217" s="1362">
        <f t="shared" si="57"/>
        <v>1.4995137290989837</v>
      </c>
      <c r="X217" s="1355">
        <f t="shared" si="58"/>
        <v>1.5</v>
      </c>
      <c r="Y217" s="1355">
        <f>X217+'TAR_Tab 13_Overige tarieven'!$T$15+'TAR_Tab 13_Overige tarieven'!$T$16</f>
        <v>1.653</v>
      </c>
      <c r="Z217" s="960"/>
    </row>
    <row r="218" spans="1:26">
      <c r="A218" s="155">
        <v>300573</v>
      </c>
      <c r="B218" s="156" t="s">
        <v>173</v>
      </c>
      <c r="C218" s="839">
        <v>1.2111657353429914</v>
      </c>
      <c r="D218" s="1356">
        <f t="shared" si="48"/>
        <v>1.1549676452230766</v>
      </c>
      <c r="E218" s="1356">
        <f t="shared" si="49"/>
        <v>1.2203877497112019</v>
      </c>
      <c r="F218" s="1357"/>
      <c r="G218" s="1358">
        <f t="shared" si="50"/>
        <v>1.1593683622256417</v>
      </c>
      <c r="H218" s="1358">
        <f t="shared" si="51"/>
        <v>1.2814071371967621</v>
      </c>
      <c r="I218" s="833">
        <v>1.2268394155109705</v>
      </c>
      <c r="J218" s="1359" t="b">
        <f t="shared" si="46"/>
        <v>1</v>
      </c>
      <c r="K218" s="1583"/>
      <c r="L218" s="17"/>
      <c r="M218" s="1361">
        <f t="shared" si="47"/>
        <v>1.2268394155109705</v>
      </c>
      <c r="N218" s="1350"/>
      <c r="O218" s="1358">
        <f t="shared" si="52"/>
        <v>3.8580705339285835E-3</v>
      </c>
      <c r="P218" s="1358">
        <f t="shared" si="53"/>
        <v>3.0580626235411244E-3</v>
      </c>
      <c r="Q218" s="1358">
        <f t="shared" si="54"/>
        <v>8.4571649644303633E-3</v>
      </c>
      <c r="R218" s="1358">
        <f t="shared" si="55"/>
        <v>0</v>
      </c>
      <c r="S218" s="1358">
        <f t="shared" si="56"/>
        <v>7.9344096547790857E-2</v>
      </c>
      <c r="T218" s="1358">
        <f t="shared" si="45"/>
        <v>1.3215568101806614</v>
      </c>
      <c r="U218" s="595">
        <f>IF('TAR_Tab 2_Volumina'!C221="storage",1,0)</f>
        <v>0</v>
      </c>
      <c r="V218" s="1362">
        <f t="shared" si="59"/>
        <v>1.3215568101806614</v>
      </c>
      <c r="W218" s="1362">
        <f t="shared" si="57"/>
        <v>1.3923697699080975</v>
      </c>
      <c r="X218" s="1355">
        <f t="shared" si="58"/>
        <v>1.3919999999999999</v>
      </c>
      <c r="Y218" s="1355">
        <f>X218+'TAR_Tab 13_Overige tarieven'!$T$15+'TAR_Tab 13_Overige tarieven'!$T$16</f>
        <v>1.5449999999999999</v>
      </c>
      <c r="Z218" s="960"/>
    </row>
    <row r="219" spans="1:26">
      <c r="A219" s="155">
        <v>300582</v>
      </c>
      <c r="B219" s="156" t="s">
        <v>174</v>
      </c>
      <c r="C219" s="839">
        <v>2.0295581197645767</v>
      </c>
      <c r="D219" s="1356">
        <f t="shared" si="48"/>
        <v>1.9353866230075003</v>
      </c>
      <c r="E219" s="1356">
        <f t="shared" si="49"/>
        <v>2.0450115078479896</v>
      </c>
      <c r="F219" s="1357"/>
      <c r="G219" s="1358">
        <f t="shared" si="50"/>
        <v>1.9427609324555899</v>
      </c>
      <c r="H219" s="1358">
        <f t="shared" si="51"/>
        <v>2.1472620832403893</v>
      </c>
      <c r="I219" s="833">
        <v>2.0558226052294888</v>
      </c>
      <c r="J219" s="1359" t="b">
        <f t="shared" si="46"/>
        <v>1</v>
      </c>
      <c r="K219" s="1583"/>
      <c r="L219" s="17"/>
      <c r="M219" s="1361">
        <f t="shared" si="47"/>
        <v>2.0558226052294888</v>
      </c>
      <c r="N219" s="1350"/>
      <c r="O219" s="1358">
        <f t="shared" si="52"/>
        <v>6.464993312035679E-3</v>
      </c>
      <c r="P219" s="1358">
        <f t="shared" si="53"/>
        <v>5.1244149724883224E-3</v>
      </c>
      <c r="Q219" s="1358">
        <f t="shared" si="54"/>
        <v>1.4171725076822262E-2</v>
      </c>
      <c r="R219" s="1358">
        <f t="shared" si="55"/>
        <v>0</v>
      </c>
      <c r="S219" s="1358">
        <f t="shared" si="56"/>
        <v>0.1329574068228988</v>
      </c>
      <c r="T219" s="1358">
        <f t="shared" si="45"/>
        <v>2.2145411454137336</v>
      </c>
      <c r="U219" s="595">
        <f>IF('TAR_Tab 2_Volumina'!C222="storage",1,0)</f>
        <v>0</v>
      </c>
      <c r="V219" s="1362">
        <f t="shared" si="59"/>
        <v>2.2145411454137336</v>
      </c>
      <c r="W219" s="1362">
        <f t="shared" si="57"/>
        <v>2.333202872050741</v>
      </c>
      <c r="X219" s="1355">
        <f t="shared" si="58"/>
        <v>2.3330000000000002</v>
      </c>
      <c r="Y219" s="1355">
        <f>X219+'TAR_Tab 13_Overige tarieven'!$T$15+'TAR_Tab 13_Overige tarieven'!$T$16</f>
        <v>2.4860000000000002</v>
      </c>
      <c r="Z219" s="960"/>
    </row>
    <row r="220" spans="1:26">
      <c r="A220" s="155">
        <v>300585</v>
      </c>
      <c r="B220" s="156" t="s">
        <v>315</v>
      </c>
      <c r="C220" s="839">
        <v>2.0167253106415521</v>
      </c>
      <c r="D220" s="1356">
        <f t="shared" si="48"/>
        <v>1.9231492562277841</v>
      </c>
      <c r="E220" s="1356">
        <f t="shared" si="49"/>
        <v>2.0320809876135426</v>
      </c>
      <c r="F220" s="1357"/>
      <c r="G220" s="1358">
        <f t="shared" si="50"/>
        <v>1.9304769382328655</v>
      </c>
      <c r="H220" s="1358">
        <f t="shared" si="51"/>
        <v>2.13368503699422</v>
      </c>
      <c r="I220" s="833">
        <v>2.0428237268890301</v>
      </c>
      <c r="J220" s="1359" t="b">
        <f t="shared" si="46"/>
        <v>1</v>
      </c>
      <c r="K220" s="1583"/>
      <c r="L220" s="17"/>
      <c r="M220" s="1361">
        <f t="shared" si="47"/>
        <v>2.0428237268890301</v>
      </c>
      <c r="N220" s="1350"/>
      <c r="O220" s="1358">
        <f t="shared" si="52"/>
        <v>6.4241154360354536E-3</v>
      </c>
      <c r="P220" s="1358">
        <f t="shared" si="53"/>
        <v>5.092013515950216E-3</v>
      </c>
      <c r="Q220" s="1358">
        <f t="shared" si="54"/>
        <v>1.4082117865733407E-2</v>
      </c>
      <c r="R220" s="1358">
        <f t="shared" si="55"/>
        <v>0</v>
      </c>
      <c r="S220" s="1358">
        <f t="shared" si="56"/>
        <v>0.13211672283034157</v>
      </c>
      <c r="T220" s="1358">
        <f t="shared" si="45"/>
        <v>2.2005386965370906</v>
      </c>
      <c r="U220" s="595">
        <f>IF('TAR_Tab 2_Volumina'!C223="storage",1,0)</f>
        <v>0</v>
      </c>
      <c r="V220" s="1362">
        <f t="shared" si="59"/>
        <v>2.2005386965370906</v>
      </c>
      <c r="W220" s="1362">
        <f t="shared" si="57"/>
        <v>2.3184501301554783</v>
      </c>
      <c r="X220" s="1355">
        <f t="shared" si="58"/>
        <v>2.3180000000000001</v>
      </c>
      <c r="Y220" s="1355">
        <f>X220+'TAR_Tab 13_Overige tarieven'!$T$15+'TAR_Tab 13_Overige tarieven'!$T$16</f>
        <v>2.4710000000000001</v>
      </c>
      <c r="Z220" s="960"/>
    </row>
    <row r="221" spans="1:26">
      <c r="A221" s="155">
        <v>300587</v>
      </c>
      <c r="B221" s="156" t="s">
        <v>175</v>
      </c>
      <c r="C221" s="839">
        <v>1.145068297057555</v>
      </c>
      <c r="D221" s="1356">
        <f t="shared" si="48"/>
        <v>1.0919371280740844</v>
      </c>
      <c r="E221" s="1356">
        <f t="shared" si="49"/>
        <v>1.1537870347000598</v>
      </c>
      <c r="F221" s="1357"/>
      <c r="G221" s="1358">
        <f t="shared" si="50"/>
        <v>1.0960976829650568</v>
      </c>
      <c r="H221" s="1358">
        <f t="shared" si="51"/>
        <v>1.2114763864350628</v>
      </c>
      <c r="I221" s="833">
        <v>1.159886611128742</v>
      </c>
      <c r="J221" s="1359" t="b">
        <f t="shared" si="46"/>
        <v>1</v>
      </c>
      <c r="K221" s="1583"/>
      <c r="L221" s="17"/>
      <c r="M221" s="1361">
        <f t="shared" si="47"/>
        <v>1.159886611128742</v>
      </c>
      <c r="N221" s="1350"/>
      <c r="O221" s="1358">
        <f t="shared" si="52"/>
        <v>3.6475224878802126E-3</v>
      </c>
      <c r="P221" s="1358">
        <f t="shared" si="53"/>
        <v>2.8911737332479493E-3</v>
      </c>
      <c r="Q221" s="1358">
        <f t="shared" si="54"/>
        <v>7.995628675057145E-3</v>
      </c>
      <c r="R221" s="1358">
        <f t="shared" si="55"/>
        <v>0</v>
      </c>
      <c r="S221" s="1358">
        <f t="shared" si="56"/>
        <v>7.5014019026735379E-2</v>
      </c>
      <c r="T221" s="1358">
        <f t="shared" si="45"/>
        <v>1.2494349550516628</v>
      </c>
      <c r="U221" s="595">
        <f>IF('TAR_Tab 2_Volumina'!C224="storage",1,0)</f>
        <v>0</v>
      </c>
      <c r="V221" s="1362">
        <f t="shared" si="59"/>
        <v>1.2494349550516628</v>
      </c>
      <c r="W221" s="1362">
        <f t="shared" si="57"/>
        <v>1.316383410443474</v>
      </c>
      <c r="X221" s="1355">
        <f t="shared" si="58"/>
        <v>1.3160000000000001</v>
      </c>
      <c r="Y221" s="1355">
        <f>X221+'TAR_Tab 13_Overige tarieven'!$T$15+'TAR_Tab 13_Overige tarieven'!$T$16</f>
        <v>1.4690000000000001</v>
      </c>
      <c r="Z221" s="960"/>
    </row>
    <row r="222" spans="1:26">
      <c r="A222" s="155">
        <v>300591</v>
      </c>
      <c r="B222" s="156" t="s">
        <v>316</v>
      </c>
      <c r="C222" s="839">
        <v>1.2052969184010451</v>
      </c>
      <c r="D222" s="1356">
        <f t="shared" si="48"/>
        <v>1.1493711413872367</v>
      </c>
      <c r="E222" s="1356">
        <f t="shared" si="49"/>
        <v>1.2144742466354066</v>
      </c>
      <c r="F222" s="1357"/>
      <c r="G222" s="1358">
        <f t="shared" si="50"/>
        <v>1.1537505343036363</v>
      </c>
      <c r="H222" s="1358">
        <f t="shared" si="51"/>
        <v>1.2751979589671769</v>
      </c>
      <c r="I222" s="833">
        <v>1.2208946502846334</v>
      </c>
      <c r="J222" s="1359" t="b">
        <f t="shared" si="46"/>
        <v>1</v>
      </c>
      <c r="K222" s="1583"/>
      <c r="L222" s="17"/>
      <c r="M222" s="1361">
        <f t="shared" si="47"/>
        <v>1.2208946502846334</v>
      </c>
      <c r="N222" s="1350"/>
      <c r="O222" s="1358">
        <f t="shared" si="52"/>
        <v>3.8393758920211895E-3</v>
      </c>
      <c r="P222" s="1358">
        <f t="shared" si="53"/>
        <v>3.0432444948483672E-3</v>
      </c>
      <c r="Q222" s="1358">
        <f t="shared" si="54"/>
        <v>8.4161849799610812E-3</v>
      </c>
      <c r="R222" s="1358">
        <f t="shared" si="55"/>
        <v>0</v>
      </c>
      <c r="S222" s="1358">
        <f t="shared" si="56"/>
        <v>7.8959627300953045E-2</v>
      </c>
      <c r="T222" s="1358">
        <f t="shared" si="45"/>
        <v>1.315153082952417</v>
      </c>
      <c r="U222" s="595">
        <f>IF('TAR_Tab 2_Volumina'!C225="storage",1,0)</f>
        <v>0</v>
      </c>
      <c r="V222" s="1362">
        <f t="shared" si="59"/>
        <v>1.315153082952417</v>
      </c>
      <c r="W222" s="1362">
        <f t="shared" si="57"/>
        <v>1.3856229118550365</v>
      </c>
      <c r="X222" s="1355">
        <f t="shared" si="58"/>
        <v>1.3859999999999999</v>
      </c>
      <c r="Y222" s="1355">
        <f>X222+'TAR_Tab 13_Overige tarieven'!$T$15+'TAR_Tab 13_Overige tarieven'!$T$16</f>
        <v>1.5389999999999999</v>
      </c>
      <c r="Z222" s="960"/>
    </row>
    <row r="223" spans="1:26">
      <c r="A223" s="155">
        <v>300592</v>
      </c>
      <c r="B223" s="156" t="s">
        <v>317</v>
      </c>
      <c r="C223" s="839">
        <v>1.6810979951162817</v>
      </c>
      <c r="D223" s="1356">
        <f t="shared" si="48"/>
        <v>1.6030950481428863</v>
      </c>
      <c r="E223" s="1356">
        <f t="shared" si="49"/>
        <v>1.6938981507126105</v>
      </c>
      <c r="F223" s="1357"/>
      <c r="G223" s="1358">
        <f t="shared" si="50"/>
        <v>1.6092032431769798</v>
      </c>
      <c r="H223" s="1358">
        <f t="shared" si="51"/>
        <v>1.7785930582482412</v>
      </c>
      <c r="I223" s="833">
        <v>1.702853062600107</v>
      </c>
      <c r="J223" s="1359" t="b">
        <f t="shared" si="46"/>
        <v>1</v>
      </c>
      <c r="K223" s="1583"/>
      <c r="L223" s="17"/>
      <c r="M223" s="1361">
        <f t="shared" si="47"/>
        <v>1.702853062600107</v>
      </c>
      <c r="N223" s="1350"/>
      <c r="O223" s="1358">
        <f t="shared" si="52"/>
        <v>5.3550017560295539E-3</v>
      </c>
      <c r="P223" s="1358">
        <f t="shared" si="53"/>
        <v>4.2445908064920306E-3</v>
      </c>
      <c r="Q223" s="1358">
        <f t="shared" si="54"/>
        <v>1.1738544652640232E-2</v>
      </c>
      <c r="R223" s="1358">
        <f t="shared" si="55"/>
        <v>0</v>
      </c>
      <c r="S223" s="1358">
        <f t="shared" si="56"/>
        <v>0.1101296030249984</v>
      </c>
      <c r="T223" s="1358">
        <f t="shared" si="45"/>
        <v>1.8343208028402671</v>
      </c>
      <c r="U223" s="595">
        <f>IF('TAR_Tab 2_Volumina'!C226="storage",1,0)</f>
        <v>0</v>
      </c>
      <c r="V223" s="1362">
        <f t="shared" si="59"/>
        <v>1.8343208028402671</v>
      </c>
      <c r="W223" s="1362">
        <f t="shared" si="57"/>
        <v>1.9326091882793834</v>
      </c>
      <c r="X223" s="1355">
        <f t="shared" si="58"/>
        <v>1.9330000000000001</v>
      </c>
      <c r="Y223" s="1355">
        <f>X223+'TAR_Tab 13_Overige tarieven'!$T$15+'TAR_Tab 13_Overige tarieven'!$T$16</f>
        <v>2.0860000000000003</v>
      </c>
      <c r="Z223" s="960"/>
    </row>
    <row r="224" spans="1:26">
      <c r="A224" s="155">
        <v>300595</v>
      </c>
      <c r="B224" s="156" t="s">
        <v>1090</v>
      </c>
      <c r="C224" s="839">
        <v>1.7284806749551433</v>
      </c>
      <c r="D224" s="1356">
        <f t="shared" si="48"/>
        <v>1.6482791716372247</v>
      </c>
      <c r="E224" s="1356">
        <f t="shared" si="49"/>
        <v>1.7416416100398007</v>
      </c>
      <c r="F224" s="1357"/>
      <c r="G224" s="1358">
        <f t="shared" si="50"/>
        <v>1.6545595295378106</v>
      </c>
      <c r="H224" s="1358">
        <f t="shared" si="51"/>
        <v>1.8287236905417907</v>
      </c>
      <c r="I224" s="833">
        <v>1.7508489210879548</v>
      </c>
      <c r="J224" s="1359" t="b">
        <f t="shared" si="46"/>
        <v>1</v>
      </c>
      <c r="K224" s="1583"/>
      <c r="L224" s="17"/>
      <c r="M224" s="1361">
        <f t="shared" si="47"/>
        <v>1.7508489210879548</v>
      </c>
      <c r="N224" s="1350"/>
      <c r="O224" s="1358">
        <f t="shared" si="52"/>
        <v>5.5059354520303862E-3</v>
      </c>
      <c r="P224" s="1358">
        <f t="shared" si="53"/>
        <v>4.3642269537096561E-3</v>
      </c>
      <c r="Q224" s="1358">
        <f t="shared" si="54"/>
        <v>1.2069402047429855E-2</v>
      </c>
      <c r="R224" s="1358">
        <f t="shared" si="55"/>
        <v>0</v>
      </c>
      <c r="S224" s="1358">
        <f t="shared" si="56"/>
        <v>0.11323366699751743</v>
      </c>
      <c r="T224" s="1358">
        <f t="shared" ref="T224:T262" si="60">M224+O224+P224+Q224+R224+S224</f>
        <v>1.886022152538642</v>
      </c>
      <c r="U224" s="595">
        <f>IF('TAR_Tab 2_Volumina'!C227="storage",1,0)</f>
        <v>0</v>
      </c>
      <c r="V224" s="1362">
        <f t="shared" si="59"/>
        <v>1.886022152538642</v>
      </c>
      <c r="W224" s="1362">
        <f t="shared" si="57"/>
        <v>1.9870808506618909</v>
      </c>
      <c r="X224" s="1355">
        <f t="shared" si="58"/>
        <v>1.9870000000000001</v>
      </c>
      <c r="Y224" s="1355">
        <f>X224+'TAR_Tab 13_Overige tarieven'!$T$15+'TAR_Tab 13_Overige tarieven'!$T$16</f>
        <v>2.14</v>
      </c>
      <c r="Z224" s="960"/>
    </row>
    <row r="225" spans="1:26">
      <c r="A225" s="155">
        <v>300596</v>
      </c>
      <c r="B225" s="156" t="s">
        <v>318</v>
      </c>
      <c r="C225" s="839">
        <v>1.9170242551472805</v>
      </c>
      <c r="D225" s="1356">
        <f t="shared" si="48"/>
        <v>1.8280743297084467</v>
      </c>
      <c r="E225" s="1356">
        <f t="shared" si="49"/>
        <v>1.9316207919459125</v>
      </c>
      <c r="F225" s="1357"/>
      <c r="G225" s="1358">
        <f t="shared" si="50"/>
        <v>1.8350397523486168</v>
      </c>
      <c r="H225" s="1358">
        <f t="shared" si="51"/>
        <v>2.0282018315432082</v>
      </c>
      <c r="I225" s="833">
        <v>1.9418324413208499</v>
      </c>
      <c r="J225" s="1359" t="b">
        <f t="shared" ref="J225:J262" si="61">IF(I225&gt;0,AND(I225&gt;=G225,I225&lt;=H225),"")</f>
        <v>1</v>
      </c>
      <c r="K225" s="1583"/>
      <c r="L225" s="17"/>
      <c r="M225" s="1361">
        <f t="shared" ref="M225:M262" si="62">IF(I225&gt;0,I225,E225)</f>
        <v>1.9418324413208499</v>
      </c>
      <c r="N225" s="1350"/>
      <c r="O225" s="1358">
        <f t="shared" si="52"/>
        <v>6.1065257840337006E-3</v>
      </c>
      <c r="P225" s="1358">
        <f t="shared" si="53"/>
        <v>4.8402791228464607E-3</v>
      </c>
      <c r="Q225" s="1358">
        <f t="shared" si="54"/>
        <v>1.3385938764196904E-2</v>
      </c>
      <c r="R225" s="1358">
        <f t="shared" si="55"/>
        <v>0</v>
      </c>
      <c r="S225" s="1358">
        <f t="shared" si="56"/>
        <v>0.1255852548881661</v>
      </c>
      <c r="T225" s="1358">
        <f t="shared" si="60"/>
        <v>2.091750439880093</v>
      </c>
      <c r="U225" s="595">
        <f>IF('TAR_Tab 2_Volumina'!C228="storage",1,0)</f>
        <v>0</v>
      </c>
      <c r="V225" s="1362">
        <f t="shared" si="59"/>
        <v>2.091750439880093</v>
      </c>
      <c r="W225" s="1362">
        <f t="shared" si="57"/>
        <v>2.2038326738922858</v>
      </c>
      <c r="X225" s="1355">
        <f t="shared" si="58"/>
        <v>2.2040000000000002</v>
      </c>
      <c r="Y225" s="1355">
        <f>X225+'TAR_Tab 13_Overige tarieven'!$T$15+'TAR_Tab 13_Overige tarieven'!$T$16</f>
        <v>2.3570000000000002</v>
      </c>
      <c r="Z225" s="960"/>
    </row>
    <row r="226" spans="1:26">
      <c r="A226" s="155">
        <v>300599</v>
      </c>
      <c r="B226" s="156" t="s">
        <v>176</v>
      </c>
      <c r="C226" s="839">
        <v>1.8079045795819289</v>
      </c>
      <c r="D226" s="1356">
        <f t="shared" si="48"/>
        <v>1.7240178070893273</v>
      </c>
      <c r="E226" s="1356">
        <f t="shared" si="49"/>
        <v>1.8216702612906641</v>
      </c>
      <c r="F226" s="1357"/>
      <c r="G226" s="1358">
        <f t="shared" si="50"/>
        <v>1.7305867482261308</v>
      </c>
      <c r="H226" s="1358">
        <f t="shared" si="51"/>
        <v>1.9127537743551974</v>
      </c>
      <c r="I226" s="833">
        <v>1.8313006494406647</v>
      </c>
      <c r="J226" s="1359" t="b">
        <f t="shared" si="61"/>
        <v>1</v>
      </c>
      <c r="K226" s="1583"/>
      <c r="L226" s="17"/>
      <c r="M226" s="1361">
        <f t="shared" si="62"/>
        <v>1.8313006494406647</v>
      </c>
      <c r="N226" s="1350"/>
      <c r="O226" s="1358">
        <f t="shared" si="52"/>
        <v>5.7589338792385161E-3</v>
      </c>
      <c r="P226" s="1358">
        <f t="shared" si="53"/>
        <v>4.5647637316809098E-3</v>
      </c>
      <c r="Q226" s="1358">
        <f t="shared" si="54"/>
        <v>1.2623992591025186E-2</v>
      </c>
      <c r="R226" s="1358">
        <f t="shared" si="55"/>
        <v>0</v>
      </c>
      <c r="S226" s="1358">
        <f t="shared" si="56"/>
        <v>0.11843676825196761</v>
      </c>
      <c r="T226" s="1358">
        <f t="shared" si="60"/>
        <v>1.9726851078945771</v>
      </c>
      <c r="U226" s="595">
        <f>IF('TAR_Tab 2_Volumina'!C229="storage",1,0)</f>
        <v>0</v>
      </c>
      <c r="V226" s="1362">
        <f t="shared" si="59"/>
        <v>1.9726851078945771</v>
      </c>
      <c r="W226" s="1362">
        <f t="shared" si="57"/>
        <v>2.0783874659196968</v>
      </c>
      <c r="X226" s="1355">
        <f t="shared" si="58"/>
        <v>2.0779999999999998</v>
      </c>
      <c r="Y226" s="1355">
        <f>X226+'TAR_Tab 13_Overige tarieven'!$T$15+'TAR_Tab 13_Overige tarieven'!$T$16</f>
        <v>2.2309999999999999</v>
      </c>
      <c r="Z226" s="960"/>
    </row>
    <row r="227" spans="1:26">
      <c r="A227" s="155">
        <v>300600</v>
      </c>
      <c r="B227" s="156" t="s">
        <v>319</v>
      </c>
      <c r="C227" s="839">
        <v>2.0927350262163924</v>
      </c>
      <c r="D227" s="1356">
        <f t="shared" si="48"/>
        <v>1.9956321209999519</v>
      </c>
      <c r="E227" s="1356">
        <f t="shared" si="49"/>
        <v>2.1086694536175767</v>
      </c>
      <c r="F227" s="1357"/>
      <c r="G227" s="1358">
        <f t="shared" si="50"/>
        <v>2.0032359809366977</v>
      </c>
      <c r="H227" s="1358">
        <f t="shared" si="51"/>
        <v>2.2141029262984557</v>
      </c>
      <c r="I227" s="833">
        <v>2.1198170832132859</v>
      </c>
      <c r="J227" s="1359" t="b">
        <f t="shared" si="61"/>
        <v>1</v>
      </c>
      <c r="K227" s="1583"/>
      <c r="L227" s="17"/>
      <c r="M227" s="1361">
        <f t="shared" si="62"/>
        <v>2.1198170832132859</v>
      </c>
      <c r="N227" s="1350"/>
      <c r="O227" s="1358">
        <f t="shared" si="52"/>
        <v>6.6662382400367887E-3</v>
      </c>
      <c r="P227" s="1358">
        <f t="shared" si="53"/>
        <v>5.2839298354451572E-3</v>
      </c>
      <c r="Q227" s="1358">
        <f t="shared" si="54"/>
        <v>1.4612868269875094E-2</v>
      </c>
      <c r="R227" s="1358">
        <f t="shared" si="55"/>
        <v>0</v>
      </c>
      <c r="S227" s="1358">
        <f t="shared" si="56"/>
        <v>0.1370961587862575</v>
      </c>
      <c r="T227" s="1358">
        <f t="shared" si="60"/>
        <v>2.2834762783449003</v>
      </c>
      <c r="U227" s="595">
        <f>IF('TAR_Tab 2_Volumina'!C230="storage",1,0)</f>
        <v>0</v>
      </c>
      <c r="V227" s="1362">
        <f t="shared" si="59"/>
        <v>2.2834762783449003</v>
      </c>
      <c r="W227" s="1362">
        <f t="shared" si="57"/>
        <v>2.4058317552274175</v>
      </c>
      <c r="X227" s="1355">
        <f t="shared" si="58"/>
        <v>2.4060000000000001</v>
      </c>
      <c r="Y227" s="1355">
        <f>X227+'TAR_Tab 13_Overige tarieven'!$T$15+'TAR_Tab 13_Overige tarieven'!$T$16</f>
        <v>2.5590000000000002</v>
      </c>
      <c r="Z227" s="960"/>
    </row>
    <row r="228" spans="1:26">
      <c r="A228" s="155">
        <v>300601</v>
      </c>
      <c r="B228" s="156" t="s">
        <v>320</v>
      </c>
      <c r="C228" s="839">
        <v>2.0295581197645767</v>
      </c>
      <c r="D228" s="1356">
        <f t="shared" si="48"/>
        <v>1.9353866230075003</v>
      </c>
      <c r="E228" s="1356">
        <f t="shared" si="49"/>
        <v>2.0450115078479896</v>
      </c>
      <c r="F228" s="1357"/>
      <c r="G228" s="1358">
        <f t="shared" si="50"/>
        <v>1.9427609324555899</v>
      </c>
      <c r="H228" s="1358">
        <f t="shared" si="51"/>
        <v>2.1472620832403893</v>
      </c>
      <c r="I228" s="833">
        <v>2.0558226052294888</v>
      </c>
      <c r="J228" s="1359" t="b">
        <f t="shared" si="61"/>
        <v>1</v>
      </c>
      <c r="K228" s="1583"/>
      <c r="L228" s="17"/>
      <c r="M228" s="1361">
        <f t="shared" si="62"/>
        <v>2.0558226052294888</v>
      </c>
      <c r="N228" s="1350"/>
      <c r="O228" s="1358">
        <f t="shared" si="52"/>
        <v>6.464993312035679E-3</v>
      </c>
      <c r="P228" s="1358">
        <f t="shared" si="53"/>
        <v>5.1244149724883224E-3</v>
      </c>
      <c r="Q228" s="1358">
        <f t="shared" si="54"/>
        <v>1.4171725076822262E-2</v>
      </c>
      <c r="R228" s="1358">
        <f t="shared" si="55"/>
        <v>0</v>
      </c>
      <c r="S228" s="1358">
        <f t="shared" si="56"/>
        <v>0.1329574068228988</v>
      </c>
      <c r="T228" s="1358">
        <f t="shared" si="60"/>
        <v>2.2145411454137336</v>
      </c>
      <c r="U228" s="595">
        <f>IF('TAR_Tab 2_Volumina'!C231="storage",1,0)</f>
        <v>0</v>
      </c>
      <c r="V228" s="1362">
        <f t="shared" si="59"/>
        <v>2.2145411454137336</v>
      </c>
      <c r="W228" s="1362">
        <f t="shared" si="57"/>
        <v>2.333202872050741</v>
      </c>
      <c r="X228" s="1355">
        <f t="shared" si="58"/>
        <v>2.3330000000000002</v>
      </c>
      <c r="Y228" s="1355">
        <f>X228+'TAR_Tab 13_Overige tarieven'!$T$15+'TAR_Tab 13_Overige tarieven'!$T$16</f>
        <v>2.4860000000000002</v>
      </c>
      <c r="Z228" s="960"/>
    </row>
    <row r="229" spans="1:26">
      <c r="A229" s="155">
        <v>300603</v>
      </c>
      <c r="B229" s="156" t="s">
        <v>177</v>
      </c>
      <c r="C229" s="839">
        <v>2.0927350262163924</v>
      </c>
      <c r="D229" s="1356">
        <f t="shared" si="48"/>
        <v>1.9956321209999519</v>
      </c>
      <c r="E229" s="1356">
        <f t="shared" si="49"/>
        <v>2.1086694536175767</v>
      </c>
      <c r="F229" s="1357"/>
      <c r="G229" s="1358">
        <f t="shared" si="50"/>
        <v>2.0032359809366977</v>
      </c>
      <c r="H229" s="1358">
        <f t="shared" si="51"/>
        <v>2.2141029262984557</v>
      </c>
      <c r="I229" s="833">
        <v>2.1198170832132859</v>
      </c>
      <c r="J229" s="1359" t="b">
        <f t="shared" si="61"/>
        <v>1</v>
      </c>
      <c r="K229" s="1583"/>
      <c r="L229" s="17"/>
      <c r="M229" s="1361">
        <f t="shared" si="62"/>
        <v>2.1198170832132859</v>
      </c>
      <c r="N229" s="1350"/>
      <c r="O229" s="1358">
        <f t="shared" si="52"/>
        <v>6.6662382400367887E-3</v>
      </c>
      <c r="P229" s="1358">
        <f t="shared" si="53"/>
        <v>5.2839298354451572E-3</v>
      </c>
      <c r="Q229" s="1358">
        <f t="shared" si="54"/>
        <v>1.4612868269875094E-2</v>
      </c>
      <c r="R229" s="1358">
        <f t="shared" si="55"/>
        <v>0</v>
      </c>
      <c r="S229" s="1358">
        <f t="shared" si="56"/>
        <v>0.1370961587862575</v>
      </c>
      <c r="T229" s="1358">
        <f t="shared" si="60"/>
        <v>2.2834762783449003</v>
      </c>
      <c r="U229" s="595">
        <f>IF('TAR_Tab 2_Volumina'!C232="storage",1,0)</f>
        <v>0</v>
      </c>
      <c r="V229" s="1362">
        <f t="shared" si="59"/>
        <v>2.2834762783449003</v>
      </c>
      <c r="W229" s="1362">
        <f t="shared" si="57"/>
        <v>2.4058317552274175</v>
      </c>
      <c r="X229" s="1355">
        <f t="shared" si="58"/>
        <v>2.4060000000000001</v>
      </c>
      <c r="Y229" s="1355">
        <f>X229+'TAR_Tab 13_Overige tarieven'!$T$15+'TAR_Tab 13_Overige tarieven'!$T$16</f>
        <v>2.5590000000000002</v>
      </c>
      <c r="Z229" s="960"/>
    </row>
    <row r="230" spans="1:26">
      <c r="A230" s="155">
        <v>300606</v>
      </c>
      <c r="B230" s="156" t="s">
        <v>178</v>
      </c>
      <c r="C230" s="839">
        <v>1.4023182819957243</v>
      </c>
      <c r="D230" s="1356">
        <f t="shared" si="48"/>
        <v>1.3372507137111227</v>
      </c>
      <c r="E230" s="1356">
        <f t="shared" si="49"/>
        <v>1.4129957631760406</v>
      </c>
      <c r="F230" s="1357"/>
      <c r="G230" s="1358">
        <f t="shared" si="50"/>
        <v>1.3423459750172384</v>
      </c>
      <c r="H230" s="1358">
        <f t="shared" si="51"/>
        <v>1.4836455513348428</v>
      </c>
      <c r="I230" s="833">
        <v>1.4204656648057958</v>
      </c>
      <c r="J230" s="1359" t="b">
        <f t="shared" si="61"/>
        <v>1</v>
      </c>
      <c r="K230" s="1583"/>
      <c r="L230" s="17"/>
      <c r="M230" s="1361">
        <f t="shared" si="62"/>
        <v>1.4204656648057958</v>
      </c>
      <c r="N230" s="1350"/>
      <c r="O230" s="1358">
        <f t="shared" si="52"/>
        <v>4.4669715176717129E-3</v>
      </c>
      <c r="P230" s="1358">
        <f t="shared" si="53"/>
        <v>3.5407021511098947E-3</v>
      </c>
      <c r="Q230" s="1358">
        <f t="shared" si="54"/>
        <v>9.7919192207958847E-3</v>
      </c>
      <c r="R230" s="1358">
        <f t="shared" si="55"/>
        <v>0</v>
      </c>
      <c r="S230" s="1358">
        <f t="shared" si="56"/>
        <v>9.1866599186684814E-2</v>
      </c>
      <c r="T230" s="1358">
        <f t="shared" si="60"/>
        <v>1.5301318568820579</v>
      </c>
      <c r="U230" s="595">
        <f>IF('TAR_Tab 2_Volumina'!C233="storage",1,0)</f>
        <v>0</v>
      </c>
      <c r="V230" s="1362">
        <f t="shared" si="59"/>
        <v>1.5301318568820579</v>
      </c>
      <c r="W230" s="1362">
        <f t="shared" si="57"/>
        <v>1.6121208903646547</v>
      </c>
      <c r="X230" s="1355">
        <f t="shared" si="58"/>
        <v>1.6120000000000001</v>
      </c>
      <c r="Y230" s="1355">
        <f>X230+'TAR_Tab 13_Overige tarieven'!$T$15+'TAR_Tab 13_Overige tarieven'!$T$16</f>
        <v>1.7650000000000001</v>
      </c>
      <c r="Z230" s="960"/>
    </row>
    <row r="231" spans="1:26">
      <c r="A231" s="155">
        <v>300611</v>
      </c>
      <c r="B231" s="156" t="s">
        <v>425</v>
      </c>
      <c r="C231" s="839">
        <v>1.119001701677383</v>
      </c>
      <c r="D231" s="1356">
        <f t="shared" si="48"/>
        <v>1.0670800227195525</v>
      </c>
      <c r="E231" s="1356">
        <f t="shared" si="49"/>
        <v>1.1275219639914407</v>
      </c>
      <c r="F231" s="1357"/>
      <c r="G231" s="1358">
        <f t="shared" si="50"/>
        <v>1.0711458657918687</v>
      </c>
      <c r="H231" s="1358">
        <f t="shared" si="51"/>
        <v>1.1838980621910127</v>
      </c>
      <c r="I231" s="833">
        <v>1.133482688273779</v>
      </c>
      <c r="J231" s="1359" t="b">
        <f t="shared" si="61"/>
        <v>1</v>
      </c>
      <c r="K231" s="1583"/>
      <c r="L231" s="17"/>
      <c r="M231" s="1361">
        <f t="shared" si="62"/>
        <v>1.133482688273779</v>
      </c>
      <c r="N231" s="1350"/>
      <c r="O231" s="1358">
        <f t="shared" si="52"/>
        <v>3.5644894556357857E-3</v>
      </c>
      <c r="P231" s="1358">
        <f t="shared" si="53"/>
        <v>2.8253583962309231E-3</v>
      </c>
      <c r="Q231" s="1358">
        <f t="shared" si="54"/>
        <v>7.8136143637550313E-3</v>
      </c>
      <c r="R231" s="1358">
        <f t="shared" si="55"/>
        <v>0</v>
      </c>
      <c r="S231" s="1358">
        <f t="shared" si="56"/>
        <v>7.3306382821248739E-2</v>
      </c>
      <c r="T231" s="1358">
        <f t="shared" si="60"/>
        <v>1.2209925333106495</v>
      </c>
      <c r="U231" s="595">
        <f>IF('TAR_Tab 2_Volumina'!C234="storage",1,0)</f>
        <v>0</v>
      </c>
      <c r="V231" s="1362">
        <f t="shared" si="59"/>
        <v>1.2209925333106495</v>
      </c>
      <c r="W231" s="1362">
        <f t="shared" si="57"/>
        <v>1.2864169588236227</v>
      </c>
      <c r="X231" s="1355">
        <f t="shared" si="58"/>
        <v>1.286</v>
      </c>
      <c r="Y231" s="1355">
        <f>X231+'TAR_Tab 13_Overige tarieven'!$T$15+'TAR_Tab 13_Overige tarieven'!$T$16</f>
        <v>1.4390000000000001</v>
      </c>
      <c r="Z231" s="960"/>
    </row>
    <row r="232" spans="1:26">
      <c r="A232" s="155">
        <v>300617</v>
      </c>
      <c r="B232" s="156" t="s">
        <v>1091</v>
      </c>
      <c r="C232" s="839">
        <v>1.9190670715835991</v>
      </c>
      <c r="D232" s="1356">
        <f t="shared" si="48"/>
        <v>1.8300223594621201</v>
      </c>
      <c r="E232" s="1356">
        <f t="shared" si="49"/>
        <v>1.9336791627213092</v>
      </c>
      <c r="F232" s="1357"/>
      <c r="G232" s="1358">
        <f t="shared" si="50"/>
        <v>1.8369952045852438</v>
      </c>
      <c r="H232" s="1358">
        <f t="shared" si="51"/>
        <v>2.0303631208573747</v>
      </c>
      <c r="I232" s="833">
        <v>1.9439016938183369</v>
      </c>
      <c r="J232" s="1359" t="b">
        <f t="shared" si="61"/>
        <v>1</v>
      </c>
      <c r="K232" s="1583"/>
      <c r="L232" s="17"/>
      <c r="M232" s="1361">
        <f t="shared" si="62"/>
        <v>1.9439016938183369</v>
      </c>
      <c r="N232" s="1350"/>
      <c r="O232" s="1358">
        <f t="shared" si="52"/>
        <v>6.1130330106412573E-3</v>
      </c>
      <c r="P232" s="1358">
        <f t="shared" si="53"/>
        <v>4.8454370136357767E-3</v>
      </c>
      <c r="Q232" s="1358">
        <f t="shared" si="54"/>
        <v>1.3400203067660791E-2</v>
      </c>
      <c r="R232" s="1358">
        <f t="shared" si="55"/>
        <v>0</v>
      </c>
      <c r="S232" s="1358">
        <f t="shared" si="56"/>
        <v>0.12571908085419442</v>
      </c>
      <c r="T232" s="1358">
        <f t="shared" si="60"/>
        <v>2.0939794477644691</v>
      </c>
      <c r="U232" s="595">
        <f>IF('TAR_Tab 2_Volumina'!C235="storage",1,0)</f>
        <v>0</v>
      </c>
      <c r="V232" s="1362">
        <f t="shared" si="59"/>
        <v>2.0939794477644691</v>
      </c>
      <c r="W232" s="1362">
        <f t="shared" si="57"/>
        <v>2.2061811186743663</v>
      </c>
      <c r="X232" s="1355">
        <f t="shared" si="58"/>
        <v>2.206</v>
      </c>
      <c r="Y232" s="1355">
        <f>X232+'TAR_Tab 13_Overige tarieven'!$T$15+'TAR_Tab 13_Overige tarieven'!$T$16</f>
        <v>2.359</v>
      </c>
      <c r="Z232" s="960"/>
    </row>
    <row r="233" spans="1:26">
      <c r="A233" s="155">
        <v>300620</v>
      </c>
      <c r="B233" s="156" t="s">
        <v>321</v>
      </c>
      <c r="C233" s="839">
        <v>1.4857959366698035</v>
      </c>
      <c r="D233" s="1356">
        <f t="shared" si="48"/>
        <v>1.4168550052083246</v>
      </c>
      <c r="E233" s="1356">
        <f t="shared" si="49"/>
        <v>1.4971090303912977</v>
      </c>
      <c r="F233" s="1357"/>
      <c r="G233" s="1358">
        <f t="shared" si="50"/>
        <v>1.4222535788717328</v>
      </c>
      <c r="H233" s="1358">
        <f t="shared" si="51"/>
        <v>1.5719644819108627</v>
      </c>
      <c r="I233" s="833">
        <v>1.5050236027329049</v>
      </c>
      <c r="J233" s="1359" t="b">
        <f t="shared" si="61"/>
        <v>1</v>
      </c>
      <c r="K233" s="1583"/>
      <c r="L233" s="17"/>
      <c r="M233" s="1361">
        <f t="shared" si="62"/>
        <v>1.5050236027329049</v>
      </c>
      <c r="N233" s="1350"/>
      <c r="O233" s="1358">
        <f t="shared" si="52"/>
        <v>4.7328828379323753E-3</v>
      </c>
      <c r="P233" s="1358">
        <f t="shared" si="53"/>
        <v>3.7514742099705113E-3</v>
      </c>
      <c r="Q233" s="1358">
        <f t="shared" si="54"/>
        <v>1.0374815744220495E-2</v>
      </c>
      <c r="R233" s="1358">
        <f t="shared" si="55"/>
        <v>0</v>
      </c>
      <c r="S233" s="1358">
        <f t="shared" si="56"/>
        <v>9.7335263712739609E-2</v>
      </c>
      <c r="T233" s="1358">
        <f t="shared" si="60"/>
        <v>1.6212180392377677</v>
      </c>
      <c r="U233" s="595">
        <f>IF('TAR_Tab 2_Volumina'!C236="storage",1,0)</f>
        <v>0</v>
      </c>
      <c r="V233" s="1362">
        <f t="shared" si="59"/>
        <v>1.6212180392377677</v>
      </c>
      <c r="W233" s="1362">
        <f t="shared" si="57"/>
        <v>1.7080877423315324</v>
      </c>
      <c r="X233" s="1355">
        <f t="shared" si="58"/>
        <v>1.708</v>
      </c>
      <c r="Y233" s="1355">
        <f>X233+'TAR_Tab 13_Overige tarieven'!$T$15+'TAR_Tab 13_Overige tarieven'!$T$16</f>
        <v>1.861</v>
      </c>
      <c r="Z233" s="960"/>
    </row>
    <row r="234" spans="1:26">
      <c r="A234" s="155">
        <v>300622</v>
      </c>
      <c r="B234" s="156" t="s">
        <v>179</v>
      </c>
      <c r="C234" s="839">
        <v>1.856885409805874</v>
      </c>
      <c r="D234" s="1356">
        <f t="shared" si="48"/>
        <v>1.7707259267908815</v>
      </c>
      <c r="E234" s="1356">
        <f t="shared" si="49"/>
        <v>1.87102403958184</v>
      </c>
      <c r="F234" s="1357"/>
      <c r="G234" s="1358">
        <f t="shared" si="50"/>
        <v>1.777472837602748</v>
      </c>
      <c r="H234" s="1358">
        <f t="shared" si="51"/>
        <v>1.9645752415609321</v>
      </c>
      <c r="I234" s="833">
        <v>1.8809153399571279</v>
      </c>
      <c r="J234" s="1359" t="b">
        <f t="shared" si="61"/>
        <v>1</v>
      </c>
      <c r="K234" s="1583"/>
      <c r="L234" s="17"/>
      <c r="M234" s="1361">
        <f t="shared" si="62"/>
        <v>1.8809153399571279</v>
      </c>
      <c r="N234" s="1350"/>
      <c r="O234" s="1358">
        <f t="shared" si="52"/>
        <v>5.9149583540894718E-3</v>
      </c>
      <c r="P234" s="1358">
        <f t="shared" si="53"/>
        <v>4.6884350359516188E-3</v>
      </c>
      <c r="Q234" s="1358">
        <f t="shared" si="54"/>
        <v>1.2966009335068356E-2</v>
      </c>
      <c r="R234" s="1358">
        <f t="shared" si="55"/>
        <v>0</v>
      </c>
      <c r="S234" s="1358">
        <f t="shared" si="56"/>
        <v>0.12164552788648542</v>
      </c>
      <c r="T234" s="1358">
        <f t="shared" si="60"/>
        <v>2.0261302705687223</v>
      </c>
      <c r="U234" s="595">
        <f>IF('TAR_Tab 2_Volumina'!C237="storage",1,0)</f>
        <v>0</v>
      </c>
      <c r="V234" s="1362">
        <f t="shared" si="59"/>
        <v>2.0261302705687223</v>
      </c>
      <c r="W234" s="1362">
        <f t="shared" si="57"/>
        <v>2.1346963799838057</v>
      </c>
      <c r="X234" s="1355">
        <f t="shared" si="58"/>
        <v>2.1349999999999998</v>
      </c>
      <c r="Y234" s="1355">
        <f>X234+'TAR_Tab 13_Overige tarieven'!$T$15+'TAR_Tab 13_Overige tarieven'!$T$16</f>
        <v>2.2879999999999998</v>
      </c>
      <c r="Z234" s="960"/>
    </row>
    <row r="235" spans="1:26">
      <c r="A235" s="155">
        <v>300634</v>
      </c>
      <c r="B235" s="156" t="s">
        <v>180</v>
      </c>
      <c r="C235" s="839">
        <v>1.8953071935544687</v>
      </c>
      <c r="D235" s="1356">
        <f t="shared" si="48"/>
        <v>1.8073649397735414</v>
      </c>
      <c r="E235" s="1356">
        <f t="shared" si="49"/>
        <v>1.9097383730876167</v>
      </c>
      <c r="F235" s="1357"/>
      <c r="G235" s="1358">
        <f t="shared" si="50"/>
        <v>1.8142514544332358</v>
      </c>
      <c r="H235" s="1358">
        <f t="shared" si="51"/>
        <v>2.0052252917419975</v>
      </c>
      <c r="I235" s="833">
        <v>1.9198343395139192</v>
      </c>
      <c r="J235" s="1359" t="b">
        <f t="shared" si="61"/>
        <v>1</v>
      </c>
      <c r="K235" s="1583"/>
      <c r="L235" s="17"/>
      <c r="M235" s="1361">
        <f t="shared" si="62"/>
        <v>1.9198343395139192</v>
      </c>
      <c r="N235" s="1350"/>
      <c r="O235" s="1358">
        <f t="shared" si="52"/>
        <v>6.0373478400333183E-3</v>
      </c>
      <c r="P235" s="1358">
        <f t="shared" si="53"/>
        <v>4.7854458887050472E-3</v>
      </c>
      <c r="Q235" s="1358">
        <f t="shared" si="54"/>
        <v>1.323429579158499E-2</v>
      </c>
      <c r="R235" s="1358">
        <f t="shared" si="55"/>
        <v>0</v>
      </c>
      <c r="S235" s="1358">
        <f t="shared" si="56"/>
        <v>0.12416255890076151</v>
      </c>
      <c r="T235" s="1358">
        <f t="shared" si="60"/>
        <v>2.0680539879350039</v>
      </c>
      <c r="U235" s="595">
        <f>IF('TAR_Tab 2_Volumina'!C238="storage",1,0)</f>
        <v>0</v>
      </c>
      <c r="V235" s="1362">
        <f t="shared" si="59"/>
        <v>2.0680539879350039</v>
      </c>
      <c r="W235" s="1362">
        <f t="shared" si="57"/>
        <v>2.1788664953003023</v>
      </c>
      <c r="X235" s="1355">
        <f t="shared" si="58"/>
        <v>2.1789999999999998</v>
      </c>
      <c r="Y235" s="1355">
        <f>X235+'TAR_Tab 13_Overige tarieven'!$T$15+'TAR_Tab 13_Overige tarieven'!$T$16</f>
        <v>2.3319999999999999</v>
      </c>
      <c r="Z235" s="960"/>
    </row>
    <row r="236" spans="1:26">
      <c r="A236" s="155">
        <v>300637</v>
      </c>
      <c r="B236" s="156" t="s">
        <v>181</v>
      </c>
      <c r="C236" s="839">
        <v>1.8834615235947534</v>
      </c>
      <c r="D236" s="1356">
        <f t="shared" si="48"/>
        <v>1.7960689088999569</v>
      </c>
      <c r="E236" s="1356">
        <f t="shared" si="49"/>
        <v>1.8978025082558192</v>
      </c>
      <c r="F236" s="1357"/>
      <c r="G236" s="1358">
        <f t="shared" si="50"/>
        <v>1.8029123828430282</v>
      </c>
      <c r="H236" s="1358">
        <f t="shared" si="51"/>
        <v>1.9926926336686102</v>
      </c>
      <c r="I236" s="833">
        <v>1.9078353748919574</v>
      </c>
      <c r="J236" s="1359" t="b">
        <f t="shared" si="61"/>
        <v>1</v>
      </c>
      <c r="K236" s="1583"/>
      <c r="L236" s="17"/>
      <c r="M236" s="1361">
        <f t="shared" si="62"/>
        <v>1.9078353748919574</v>
      </c>
      <c r="N236" s="1350"/>
      <c r="O236" s="1358">
        <f t="shared" si="52"/>
        <v>5.9996144160331102E-3</v>
      </c>
      <c r="P236" s="1358">
        <f t="shared" si="53"/>
        <v>4.7555368519006415E-3</v>
      </c>
      <c r="Q236" s="1358">
        <f t="shared" si="54"/>
        <v>1.3151581442887585E-2</v>
      </c>
      <c r="R236" s="1358">
        <f t="shared" si="55"/>
        <v>0</v>
      </c>
      <c r="S236" s="1358">
        <f t="shared" si="56"/>
        <v>0.12338654290763176</v>
      </c>
      <c r="T236" s="1358">
        <f t="shared" si="60"/>
        <v>2.0551286505104103</v>
      </c>
      <c r="U236" s="595">
        <f>IF('TAR_Tab 2_Volumina'!C239="storage",1,0)</f>
        <v>0</v>
      </c>
      <c r="V236" s="1362">
        <f t="shared" si="59"/>
        <v>2.0551286505104103</v>
      </c>
      <c r="W236" s="1362">
        <f t="shared" si="57"/>
        <v>2.1652485797046754</v>
      </c>
      <c r="X236" s="1355">
        <f t="shared" si="58"/>
        <v>2.165</v>
      </c>
      <c r="Y236" s="1355">
        <f>X236+'TAR_Tab 13_Overige tarieven'!$T$15+'TAR_Tab 13_Overige tarieven'!$T$16</f>
        <v>2.3180000000000001</v>
      </c>
      <c r="Z236" s="960"/>
    </row>
    <row r="237" spans="1:26">
      <c r="A237" s="155">
        <v>300638</v>
      </c>
      <c r="B237" s="156" t="s">
        <v>426</v>
      </c>
      <c r="C237" s="839">
        <v>1.3043659002169778</v>
      </c>
      <c r="D237" s="1356">
        <f t="shared" si="48"/>
        <v>1.2438433224469101</v>
      </c>
      <c r="E237" s="1356">
        <f t="shared" si="49"/>
        <v>1.3142975559121401</v>
      </c>
      <c r="F237" s="1357"/>
      <c r="G237" s="1358">
        <f t="shared" si="50"/>
        <v>1.248582678116533</v>
      </c>
      <c r="H237" s="1358">
        <f t="shared" si="51"/>
        <v>1.3800124337077473</v>
      </c>
      <c r="I237" s="833">
        <v>1.3212456825171512</v>
      </c>
      <c r="J237" s="1359" t="b">
        <f t="shared" si="61"/>
        <v>1</v>
      </c>
      <c r="K237" s="1583"/>
      <c r="L237" s="17"/>
      <c r="M237" s="1361">
        <f t="shared" si="62"/>
        <v>1.3212456825171512</v>
      </c>
      <c r="N237" s="1350"/>
      <c r="O237" s="1358">
        <f t="shared" si="52"/>
        <v>4.154952124420231E-3</v>
      </c>
      <c r="P237" s="1358">
        <f t="shared" si="53"/>
        <v>3.2933829702055679E-3</v>
      </c>
      <c r="Q237" s="1358">
        <f t="shared" si="54"/>
        <v>9.1079505225506972E-3</v>
      </c>
      <c r="R237" s="1358">
        <f t="shared" si="55"/>
        <v>0</v>
      </c>
      <c r="S237" s="1358">
        <f t="shared" si="56"/>
        <v>8.5449687768085286E-2</v>
      </c>
      <c r="T237" s="1358">
        <f t="shared" si="60"/>
        <v>1.4232516559024129</v>
      </c>
      <c r="U237" s="595">
        <f>IF('TAR_Tab 2_Volumina'!C240="storage",1,0)</f>
        <v>0</v>
      </c>
      <c r="V237" s="1362">
        <f t="shared" si="59"/>
        <v>1.4232516559024129</v>
      </c>
      <c r="W237" s="1362">
        <f t="shared" si="57"/>
        <v>1.4995137290989837</v>
      </c>
      <c r="X237" s="1355">
        <f t="shared" si="58"/>
        <v>1.5</v>
      </c>
      <c r="Y237" s="1355">
        <f>X237+'TAR_Tab 13_Overige tarieven'!$T$15+'TAR_Tab 13_Overige tarieven'!$T$16</f>
        <v>1.653</v>
      </c>
      <c r="Z237" s="960"/>
    </row>
    <row r="238" spans="1:26">
      <c r="A238" s="155">
        <v>300639</v>
      </c>
      <c r="B238" s="156" t="s">
        <v>182</v>
      </c>
      <c r="C238" s="839">
        <v>1.9663812133127616</v>
      </c>
      <c r="D238" s="1356">
        <f t="shared" si="48"/>
        <v>1.8751411250150494</v>
      </c>
      <c r="E238" s="1356">
        <f t="shared" si="49"/>
        <v>1.9813535620784026</v>
      </c>
      <c r="F238" s="1357"/>
      <c r="G238" s="1358">
        <f t="shared" si="50"/>
        <v>1.8822858839744825</v>
      </c>
      <c r="H238" s="1358">
        <f t="shared" si="51"/>
        <v>2.0804212401823228</v>
      </c>
      <c r="I238" s="833">
        <v>1.9918281272456917</v>
      </c>
      <c r="J238" s="1359" t="b">
        <f t="shared" si="61"/>
        <v>1</v>
      </c>
      <c r="K238" s="1583"/>
      <c r="L238" s="17"/>
      <c r="M238" s="1361">
        <f t="shared" si="62"/>
        <v>1.9918281272456917</v>
      </c>
      <c r="N238" s="1350"/>
      <c r="O238" s="1358">
        <f t="shared" si="52"/>
        <v>6.2637483840345684E-3</v>
      </c>
      <c r="P238" s="1358">
        <f t="shared" si="53"/>
        <v>4.9649001095314884E-3</v>
      </c>
      <c r="Q238" s="1358">
        <f t="shared" si="54"/>
        <v>1.373058188376943E-2</v>
      </c>
      <c r="R238" s="1358">
        <f t="shared" si="55"/>
        <v>0</v>
      </c>
      <c r="S238" s="1358">
        <f t="shared" si="56"/>
        <v>0.12881865485954011</v>
      </c>
      <c r="T238" s="1358">
        <f t="shared" si="60"/>
        <v>2.1456060124825673</v>
      </c>
      <c r="U238" s="595">
        <f>IF('TAR_Tab 2_Volumina'!C241="storage",1,0)</f>
        <v>0</v>
      </c>
      <c r="V238" s="1362">
        <f t="shared" si="59"/>
        <v>2.1456060124825673</v>
      </c>
      <c r="W238" s="1362">
        <f t="shared" si="57"/>
        <v>2.2605739888740644</v>
      </c>
      <c r="X238" s="1355">
        <f t="shared" si="58"/>
        <v>2.2610000000000001</v>
      </c>
      <c r="Y238" s="1355">
        <f>X238+'TAR_Tab 13_Overige tarieven'!$T$15+'TAR_Tab 13_Overige tarieven'!$T$16</f>
        <v>2.4140000000000001</v>
      </c>
      <c r="Z238" s="960"/>
    </row>
    <row r="239" spans="1:26">
      <c r="A239" s="155">
        <v>300640</v>
      </c>
      <c r="B239" s="156" t="s">
        <v>183</v>
      </c>
      <c r="C239" s="839">
        <v>1.856885409805874</v>
      </c>
      <c r="D239" s="1356">
        <f t="shared" si="48"/>
        <v>1.7707259267908815</v>
      </c>
      <c r="E239" s="1356">
        <f t="shared" si="49"/>
        <v>1.87102403958184</v>
      </c>
      <c r="F239" s="1357"/>
      <c r="G239" s="1358">
        <f t="shared" si="50"/>
        <v>1.777472837602748</v>
      </c>
      <c r="H239" s="1358">
        <f t="shared" si="51"/>
        <v>1.9645752415609321</v>
      </c>
      <c r="I239" s="833">
        <v>1.8809153399571279</v>
      </c>
      <c r="J239" s="1359" t="b">
        <f t="shared" si="61"/>
        <v>1</v>
      </c>
      <c r="K239" s="1583"/>
      <c r="L239" s="17"/>
      <c r="M239" s="1361">
        <f t="shared" si="62"/>
        <v>1.8809153399571279</v>
      </c>
      <c r="N239" s="1350"/>
      <c r="O239" s="1358">
        <f t="shared" si="52"/>
        <v>5.9149583540894718E-3</v>
      </c>
      <c r="P239" s="1358">
        <f t="shared" si="53"/>
        <v>4.6884350359516188E-3</v>
      </c>
      <c r="Q239" s="1358">
        <f t="shared" si="54"/>
        <v>1.2966009335068356E-2</v>
      </c>
      <c r="R239" s="1358">
        <f t="shared" si="55"/>
        <v>0</v>
      </c>
      <c r="S239" s="1358">
        <f t="shared" si="56"/>
        <v>0.12164552788648542</v>
      </c>
      <c r="T239" s="1358">
        <f t="shared" si="60"/>
        <v>2.0261302705687223</v>
      </c>
      <c r="U239" s="595">
        <f>IF('TAR_Tab 2_Volumina'!C242="storage",1,0)</f>
        <v>0</v>
      </c>
      <c r="V239" s="1362">
        <f t="shared" si="59"/>
        <v>2.0261302705687223</v>
      </c>
      <c r="W239" s="1362">
        <f t="shared" si="57"/>
        <v>2.1346963799838057</v>
      </c>
      <c r="X239" s="1355">
        <f t="shared" si="58"/>
        <v>2.1349999999999998</v>
      </c>
      <c r="Y239" s="1355">
        <f>X239+'TAR_Tab 13_Overige tarieven'!$T$15+'TAR_Tab 13_Overige tarieven'!$T$16</f>
        <v>2.2879999999999998</v>
      </c>
      <c r="Z239" s="960"/>
    </row>
    <row r="240" spans="1:26">
      <c r="A240" s="155">
        <v>300642</v>
      </c>
      <c r="B240" s="156" t="s">
        <v>184</v>
      </c>
      <c r="C240" s="839">
        <v>1.1865412742981627</v>
      </c>
      <c r="D240" s="1356">
        <f t="shared" si="48"/>
        <v>1.1314857591707279</v>
      </c>
      <c r="E240" s="1356">
        <f t="shared" si="49"/>
        <v>1.1955757939850606</v>
      </c>
      <c r="F240" s="1357"/>
      <c r="G240" s="1358">
        <f t="shared" si="50"/>
        <v>1.1357970042858077</v>
      </c>
      <c r="H240" s="1358">
        <f t="shared" si="51"/>
        <v>1.2553545836843136</v>
      </c>
      <c r="I240" s="833">
        <v>1.2018962896331939</v>
      </c>
      <c r="J240" s="1359" t="b">
        <f t="shared" si="61"/>
        <v>1</v>
      </c>
      <c r="K240" s="1583"/>
      <c r="L240" s="17"/>
      <c r="M240" s="1361">
        <f t="shared" si="62"/>
        <v>1.2018962896331939</v>
      </c>
      <c r="N240" s="1350"/>
      <c r="O240" s="1358">
        <f t="shared" si="52"/>
        <v>3.7796313040208609E-3</v>
      </c>
      <c r="P240" s="1358">
        <f t="shared" si="53"/>
        <v>2.9958885199080579E-3</v>
      </c>
      <c r="Q240" s="1358">
        <f t="shared" si="54"/>
        <v>8.2852205945235253E-3</v>
      </c>
      <c r="R240" s="1358">
        <f t="shared" si="55"/>
        <v>0</v>
      </c>
      <c r="S240" s="1358">
        <f t="shared" si="56"/>
        <v>7.7730935311830951E-2</v>
      </c>
      <c r="T240" s="1358">
        <f t="shared" si="60"/>
        <v>1.2946879653634773</v>
      </c>
      <c r="U240" s="595">
        <f>IF('TAR_Tab 2_Volumina'!C243="storage",1,0)</f>
        <v>0</v>
      </c>
      <c r="V240" s="1362">
        <f t="shared" si="59"/>
        <v>1.2946879653634773</v>
      </c>
      <c r="W240" s="1362">
        <f t="shared" si="57"/>
        <v>1.3640612121619611</v>
      </c>
      <c r="X240" s="1355">
        <f t="shared" si="58"/>
        <v>1.3640000000000001</v>
      </c>
      <c r="Y240" s="1355">
        <f>X240+'TAR_Tab 13_Overige tarieven'!$T$15+'TAR_Tab 13_Overige tarieven'!$T$16</f>
        <v>1.5170000000000001</v>
      </c>
      <c r="Z240" s="960"/>
    </row>
    <row r="241" spans="1:26">
      <c r="A241" s="155">
        <v>300644</v>
      </c>
      <c r="B241" s="156" t="s">
        <v>427</v>
      </c>
      <c r="C241" s="839">
        <v>1.8810855357918406</v>
      </c>
      <c r="D241" s="1356">
        <f t="shared" si="48"/>
        <v>1.7938031669310992</v>
      </c>
      <c r="E241" s="1356">
        <f t="shared" si="49"/>
        <v>1.8954084292924502</v>
      </c>
      <c r="F241" s="1357"/>
      <c r="G241" s="1358">
        <f t="shared" si="50"/>
        <v>1.8006380078278277</v>
      </c>
      <c r="H241" s="1358">
        <f t="shared" si="51"/>
        <v>1.9901788507570728</v>
      </c>
      <c r="I241" s="833">
        <v>1.9054286394615159</v>
      </c>
      <c r="J241" s="1359" t="b">
        <f t="shared" si="61"/>
        <v>1</v>
      </c>
      <c r="K241" s="1583"/>
      <c r="L241" s="17"/>
      <c r="M241" s="1361">
        <f t="shared" si="62"/>
        <v>1.9054286394615159</v>
      </c>
      <c r="N241" s="1350"/>
      <c r="O241" s="1358">
        <f t="shared" si="52"/>
        <v>5.9920458989723173E-3</v>
      </c>
      <c r="P241" s="1358">
        <f t="shared" si="53"/>
        <v>4.7495377394075689E-3</v>
      </c>
      <c r="Q241" s="1358">
        <f t="shared" si="54"/>
        <v>1.3134990715280006E-2</v>
      </c>
      <c r="R241" s="1358">
        <f t="shared" si="55"/>
        <v>0</v>
      </c>
      <c r="S241" s="1358">
        <f t="shared" si="56"/>
        <v>0.12323089071228849</v>
      </c>
      <c r="T241" s="1358">
        <f t="shared" si="60"/>
        <v>2.0525361045274644</v>
      </c>
      <c r="U241" s="595">
        <f>IF('TAR_Tab 2_Volumina'!C244="storage",1,0)</f>
        <v>0</v>
      </c>
      <c r="V241" s="1362">
        <f t="shared" si="59"/>
        <v>2.0525361045274644</v>
      </c>
      <c r="W241" s="1362">
        <f t="shared" si="57"/>
        <v>2.1625171173672699</v>
      </c>
      <c r="X241" s="1355">
        <f t="shared" si="58"/>
        <v>2.1629999999999998</v>
      </c>
      <c r="Y241" s="1355">
        <f>X241+'TAR_Tab 13_Overige tarieven'!$T$15+'TAR_Tab 13_Overige tarieven'!$T$16</f>
        <v>2.3159999999999998</v>
      </c>
      <c r="Z241" s="960"/>
    </row>
    <row r="242" spans="1:26">
      <c r="A242" s="155">
        <v>300645</v>
      </c>
      <c r="B242" s="156" t="s">
        <v>185</v>
      </c>
      <c r="C242" s="839">
        <v>1.9260636702820808</v>
      </c>
      <c r="D242" s="1356">
        <f t="shared" si="48"/>
        <v>1.8366943159809923</v>
      </c>
      <c r="E242" s="1356">
        <f t="shared" si="49"/>
        <v>1.9407290346687307</v>
      </c>
      <c r="F242" s="1357"/>
      <c r="G242" s="1358">
        <f t="shared" si="50"/>
        <v>1.8436925829352941</v>
      </c>
      <c r="H242" s="1358">
        <f t="shared" si="51"/>
        <v>2.0377654864021673</v>
      </c>
      <c r="I242" s="833">
        <v>1.950988835410383</v>
      </c>
      <c r="J242" s="1359" t="b">
        <f t="shared" si="61"/>
        <v>1</v>
      </c>
      <c r="K242" s="1583"/>
      <c r="L242" s="17"/>
      <c r="M242" s="1361">
        <f t="shared" si="62"/>
        <v>1.950988835410383</v>
      </c>
      <c r="N242" s="1350"/>
      <c r="O242" s="1358">
        <f t="shared" si="52"/>
        <v>6.1353201101592208E-3</v>
      </c>
      <c r="P242" s="1358">
        <f t="shared" si="53"/>
        <v>4.8631026694146576E-3</v>
      </c>
      <c r="Q242" s="1358">
        <f t="shared" si="54"/>
        <v>1.3449057974678305E-2</v>
      </c>
      <c r="R242" s="1358">
        <f t="shared" si="55"/>
        <v>0</v>
      </c>
      <c r="S242" s="1358">
        <f t="shared" si="56"/>
        <v>0.12617743166980866</v>
      </c>
      <c r="T242" s="1358">
        <f t="shared" si="60"/>
        <v>2.1016137478344437</v>
      </c>
      <c r="U242" s="595">
        <f>IF('TAR_Tab 2_Volumina'!C245="storage",1,0)</f>
        <v>0</v>
      </c>
      <c r="V242" s="1362">
        <f t="shared" si="59"/>
        <v>2.1016137478344437</v>
      </c>
      <c r="W242" s="1362">
        <f t="shared" si="57"/>
        <v>2.2142244873362</v>
      </c>
      <c r="X242" s="1355">
        <f t="shared" si="58"/>
        <v>2.214</v>
      </c>
      <c r="Y242" s="1355">
        <f>X242+'TAR_Tab 13_Overige tarieven'!$T$15+'TAR_Tab 13_Overige tarieven'!$T$16</f>
        <v>2.367</v>
      </c>
      <c r="Z242" s="960"/>
    </row>
    <row r="243" spans="1:26">
      <c r="A243" s="155">
        <v>300648</v>
      </c>
      <c r="B243" s="156" t="s">
        <v>186</v>
      </c>
      <c r="C243" s="839">
        <v>1.856885409805874</v>
      </c>
      <c r="D243" s="1356">
        <f t="shared" si="48"/>
        <v>1.7707259267908815</v>
      </c>
      <c r="E243" s="1356">
        <f t="shared" si="49"/>
        <v>1.87102403958184</v>
      </c>
      <c r="F243" s="1357"/>
      <c r="G243" s="1358">
        <f t="shared" si="50"/>
        <v>1.777472837602748</v>
      </c>
      <c r="H243" s="1358">
        <f t="shared" si="51"/>
        <v>1.9645752415609321</v>
      </c>
      <c r="I243" s="833">
        <v>1.8809153399571279</v>
      </c>
      <c r="J243" s="1359" t="b">
        <f t="shared" si="61"/>
        <v>1</v>
      </c>
      <c r="K243" s="1583"/>
      <c r="L243" s="17"/>
      <c r="M243" s="1361">
        <f t="shared" si="62"/>
        <v>1.8809153399571279</v>
      </c>
      <c r="N243" s="1350"/>
      <c r="O243" s="1358">
        <f t="shared" si="52"/>
        <v>5.9149583540894718E-3</v>
      </c>
      <c r="P243" s="1358">
        <f t="shared" si="53"/>
        <v>4.6884350359516188E-3</v>
      </c>
      <c r="Q243" s="1358">
        <f t="shared" si="54"/>
        <v>1.2966009335068356E-2</v>
      </c>
      <c r="R243" s="1358">
        <f t="shared" si="55"/>
        <v>0</v>
      </c>
      <c r="S243" s="1358">
        <f t="shared" si="56"/>
        <v>0.12164552788648542</v>
      </c>
      <c r="T243" s="1358">
        <f t="shared" si="60"/>
        <v>2.0261302705687223</v>
      </c>
      <c r="U243" s="595">
        <f>IF('TAR_Tab 2_Volumina'!C246="storage",1,0)</f>
        <v>0</v>
      </c>
      <c r="V243" s="1362">
        <f t="shared" si="59"/>
        <v>2.0261302705687223</v>
      </c>
      <c r="W243" s="1362">
        <f t="shared" si="57"/>
        <v>2.1346963799838057</v>
      </c>
      <c r="X243" s="1355">
        <f t="shared" si="58"/>
        <v>2.1349999999999998</v>
      </c>
      <c r="Y243" s="1355">
        <f>X243+'TAR_Tab 13_Overige tarieven'!$T$15+'TAR_Tab 13_Overige tarieven'!$T$16</f>
        <v>2.2879999999999998</v>
      </c>
      <c r="Z243" s="960"/>
    </row>
    <row r="244" spans="1:26">
      <c r="A244" s="155">
        <v>300649</v>
      </c>
      <c r="B244" s="156" t="s">
        <v>187</v>
      </c>
      <c r="C244" s="839">
        <v>1.3043659002169778</v>
      </c>
      <c r="D244" s="1356">
        <f t="shared" si="48"/>
        <v>1.2438433224469101</v>
      </c>
      <c r="E244" s="1356">
        <f t="shared" si="49"/>
        <v>1.3142975559121401</v>
      </c>
      <c r="F244" s="1357"/>
      <c r="G244" s="1358">
        <f t="shared" si="50"/>
        <v>1.248582678116533</v>
      </c>
      <c r="H244" s="1358">
        <f t="shared" si="51"/>
        <v>1.3800124337077473</v>
      </c>
      <c r="I244" s="833">
        <v>1.3212456825171512</v>
      </c>
      <c r="J244" s="1359" t="b">
        <f t="shared" si="61"/>
        <v>1</v>
      </c>
      <c r="K244" s="1583"/>
      <c r="L244" s="17"/>
      <c r="M244" s="1361">
        <f t="shared" si="62"/>
        <v>1.3212456825171512</v>
      </c>
      <c r="N244" s="1350"/>
      <c r="O244" s="1358">
        <f t="shared" si="52"/>
        <v>4.154952124420231E-3</v>
      </c>
      <c r="P244" s="1358">
        <f t="shared" si="53"/>
        <v>3.2933829702055679E-3</v>
      </c>
      <c r="Q244" s="1358">
        <f t="shared" si="54"/>
        <v>9.1079505225506972E-3</v>
      </c>
      <c r="R244" s="1358">
        <f t="shared" si="55"/>
        <v>0</v>
      </c>
      <c r="S244" s="1358">
        <f t="shared" si="56"/>
        <v>8.5449687768085286E-2</v>
      </c>
      <c r="T244" s="1358">
        <f t="shared" si="60"/>
        <v>1.4232516559024129</v>
      </c>
      <c r="U244" s="595">
        <f>IF('TAR_Tab 2_Volumina'!C247="storage",1,0)</f>
        <v>0</v>
      </c>
      <c r="V244" s="1362">
        <f t="shared" si="59"/>
        <v>1.4232516559024129</v>
      </c>
      <c r="W244" s="1362">
        <f t="shared" si="57"/>
        <v>1.4995137290989837</v>
      </c>
      <c r="X244" s="1355">
        <f t="shared" si="58"/>
        <v>1.5</v>
      </c>
      <c r="Y244" s="1355">
        <f>X244+'TAR_Tab 13_Overige tarieven'!$T$15+'TAR_Tab 13_Overige tarieven'!$T$16</f>
        <v>1.653</v>
      </c>
      <c r="Z244" s="960"/>
    </row>
    <row r="245" spans="1:26">
      <c r="A245" s="155">
        <v>300650</v>
      </c>
      <c r="B245" s="156" t="s">
        <v>188</v>
      </c>
      <c r="C245" s="839">
        <v>1.6860336909328295</v>
      </c>
      <c r="D245" s="1356">
        <f t="shared" si="48"/>
        <v>1.6078017276735461</v>
      </c>
      <c r="E245" s="1356">
        <f t="shared" si="49"/>
        <v>1.698871427725859</v>
      </c>
      <c r="F245" s="1357"/>
      <c r="G245" s="1358">
        <f t="shared" si="50"/>
        <v>1.613927856339566</v>
      </c>
      <c r="H245" s="1358">
        <f t="shared" si="51"/>
        <v>1.7838149991121519</v>
      </c>
      <c r="I245" s="833">
        <v>1.7078526311925906</v>
      </c>
      <c r="J245" s="1359" t="b">
        <f t="shared" si="61"/>
        <v>1</v>
      </c>
      <c r="K245" s="1583"/>
      <c r="L245" s="17"/>
      <c r="M245" s="1361">
        <f t="shared" si="62"/>
        <v>1.7078526311925906</v>
      </c>
      <c r="N245" s="1350"/>
      <c r="O245" s="1358">
        <f t="shared" si="52"/>
        <v>5.3707240160296389E-3</v>
      </c>
      <c r="P245" s="1358">
        <f t="shared" si="53"/>
        <v>4.2570529051605315E-3</v>
      </c>
      <c r="Q245" s="1358">
        <f t="shared" si="54"/>
        <v>1.177300896459748E-2</v>
      </c>
      <c r="R245" s="1358">
        <f t="shared" si="55"/>
        <v>0</v>
      </c>
      <c r="S245" s="1358">
        <f t="shared" si="56"/>
        <v>0.11045294302213576</v>
      </c>
      <c r="T245" s="1358">
        <f t="shared" si="60"/>
        <v>1.8397063601005139</v>
      </c>
      <c r="U245" s="595">
        <f>IF('TAR_Tab 2_Volumina'!C248="storage",1,0)</f>
        <v>0</v>
      </c>
      <c r="V245" s="1362">
        <f t="shared" si="59"/>
        <v>1.8397063601005139</v>
      </c>
      <c r="W245" s="1362">
        <f t="shared" si="57"/>
        <v>1.9382833197775606</v>
      </c>
      <c r="X245" s="1355">
        <f t="shared" si="58"/>
        <v>1.9379999999999999</v>
      </c>
      <c r="Y245" s="1355">
        <f>X245+'TAR_Tab 13_Overige tarieven'!$T$15+'TAR_Tab 13_Overige tarieven'!$T$16</f>
        <v>2.0910000000000002</v>
      </c>
      <c r="Z245" s="960"/>
    </row>
    <row r="246" spans="1:26">
      <c r="A246" s="155">
        <v>300651</v>
      </c>
      <c r="B246" s="156" t="s">
        <v>189</v>
      </c>
      <c r="C246" s="839">
        <v>1.8953071935544687</v>
      </c>
      <c r="D246" s="1356">
        <f t="shared" si="48"/>
        <v>1.8073649397735414</v>
      </c>
      <c r="E246" s="1356">
        <f t="shared" si="49"/>
        <v>1.9097383730876167</v>
      </c>
      <c r="F246" s="1357"/>
      <c r="G246" s="1358">
        <f t="shared" si="50"/>
        <v>1.8142514544332358</v>
      </c>
      <c r="H246" s="1358">
        <f t="shared" si="51"/>
        <v>2.0052252917419975</v>
      </c>
      <c r="I246" s="833">
        <v>1.9198343395139192</v>
      </c>
      <c r="J246" s="1359" t="b">
        <f t="shared" si="61"/>
        <v>1</v>
      </c>
      <c r="K246" s="1583"/>
      <c r="L246" s="17"/>
      <c r="M246" s="1361">
        <f t="shared" si="62"/>
        <v>1.9198343395139192</v>
      </c>
      <c r="N246" s="1350"/>
      <c r="O246" s="1358">
        <f t="shared" si="52"/>
        <v>6.0373478400333183E-3</v>
      </c>
      <c r="P246" s="1358">
        <f t="shared" si="53"/>
        <v>4.7854458887050472E-3</v>
      </c>
      <c r="Q246" s="1358">
        <f t="shared" si="54"/>
        <v>1.323429579158499E-2</v>
      </c>
      <c r="R246" s="1358">
        <f t="shared" si="55"/>
        <v>0</v>
      </c>
      <c r="S246" s="1358">
        <f t="shared" si="56"/>
        <v>0.12416255890076151</v>
      </c>
      <c r="T246" s="1358">
        <f t="shared" si="60"/>
        <v>2.0680539879350039</v>
      </c>
      <c r="U246" s="595">
        <f>IF('TAR_Tab 2_Volumina'!C249="storage",1,0)</f>
        <v>0</v>
      </c>
      <c r="V246" s="1362">
        <f t="shared" si="59"/>
        <v>2.0680539879350039</v>
      </c>
      <c r="W246" s="1362">
        <f t="shared" si="57"/>
        <v>2.1788664953003023</v>
      </c>
      <c r="X246" s="1355">
        <f t="shared" si="58"/>
        <v>2.1789999999999998</v>
      </c>
      <c r="Y246" s="1355">
        <f>X246+'TAR_Tab 13_Overige tarieven'!$T$15+'TAR_Tab 13_Overige tarieven'!$T$16</f>
        <v>2.3319999999999999</v>
      </c>
      <c r="Z246" s="960"/>
    </row>
    <row r="247" spans="1:26">
      <c r="A247" s="155">
        <v>300652</v>
      </c>
      <c r="B247" s="156" t="s">
        <v>190</v>
      </c>
      <c r="C247" s="839">
        <v>1.6810979951162817</v>
      </c>
      <c r="D247" s="1356">
        <f t="shared" si="48"/>
        <v>1.6030950481428863</v>
      </c>
      <c r="E247" s="1356">
        <f t="shared" si="49"/>
        <v>1.6938981507126105</v>
      </c>
      <c r="F247" s="1357"/>
      <c r="G247" s="1358">
        <f t="shared" si="50"/>
        <v>1.6092032431769798</v>
      </c>
      <c r="H247" s="1358">
        <f t="shared" si="51"/>
        <v>1.7785930582482412</v>
      </c>
      <c r="I247" s="833">
        <v>1.702853062600107</v>
      </c>
      <c r="J247" s="1359" t="b">
        <f t="shared" si="61"/>
        <v>1</v>
      </c>
      <c r="K247" s="1583"/>
      <c r="L247" s="17"/>
      <c r="M247" s="1361">
        <f t="shared" si="62"/>
        <v>1.702853062600107</v>
      </c>
      <c r="N247" s="1350"/>
      <c r="O247" s="1358">
        <f t="shared" si="52"/>
        <v>5.3550017560295539E-3</v>
      </c>
      <c r="P247" s="1358">
        <f t="shared" si="53"/>
        <v>4.2445908064920306E-3</v>
      </c>
      <c r="Q247" s="1358">
        <f t="shared" si="54"/>
        <v>1.1738544652640232E-2</v>
      </c>
      <c r="R247" s="1358">
        <f t="shared" si="55"/>
        <v>0</v>
      </c>
      <c r="S247" s="1358">
        <f t="shared" si="56"/>
        <v>0.1101296030249984</v>
      </c>
      <c r="T247" s="1358">
        <f t="shared" si="60"/>
        <v>1.8343208028402671</v>
      </c>
      <c r="U247" s="595">
        <f>IF('TAR_Tab 2_Volumina'!C250="storage",1,0)</f>
        <v>0</v>
      </c>
      <c r="V247" s="1362">
        <f t="shared" si="59"/>
        <v>1.8343208028402671</v>
      </c>
      <c r="W247" s="1362">
        <f t="shared" si="57"/>
        <v>1.9326091882793834</v>
      </c>
      <c r="X247" s="1355">
        <f t="shared" si="58"/>
        <v>1.9330000000000001</v>
      </c>
      <c r="Y247" s="1355">
        <f>X247+'TAR_Tab 13_Overige tarieven'!$T$15+'TAR_Tab 13_Overige tarieven'!$T$16</f>
        <v>2.0860000000000003</v>
      </c>
      <c r="Z247" s="960"/>
    </row>
    <row r="248" spans="1:26">
      <c r="A248" s="155">
        <v>300655</v>
      </c>
      <c r="B248" s="156" t="s">
        <v>322</v>
      </c>
      <c r="C248" s="839">
        <v>1.2052969184010451</v>
      </c>
      <c r="D248" s="1356">
        <f t="shared" si="48"/>
        <v>1.1493711413872367</v>
      </c>
      <c r="E248" s="1356">
        <f t="shared" si="49"/>
        <v>1.2144742466354066</v>
      </c>
      <c r="F248" s="1357"/>
      <c r="G248" s="1358">
        <f t="shared" si="50"/>
        <v>1.1537505343036363</v>
      </c>
      <c r="H248" s="1358">
        <f t="shared" si="51"/>
        <v>1.2751979589671769</v>
      </c>
      <c r="I248" s="833">
        <v>1.2208946502846334</v>
      </c>
      <c r="J248" s="1359" t="b">
        <f t="shared" si="61"/>
        <v>1</v>
      </c>
      <c r="K248" s="1583"/>
      <c r="L248" s="17"/>
      <c r="M248" s="1361">
        <f t="shared" si="62"/>
        <v>1.2208946502846334</v>
      </c>
      <c r="N248" s="1350"/>
      <c r="O248" s="1358">
        <f t="shared" si="52"/>
        <v>3.8393758920211895E-3</v>
      </c>
      <c r="P248" s="1358">
        <f t="shared" si="53"/>
        <v>3.0432444948483672E-3</v>
      </c>
      <c r="Q248" s="1358">
        <f t="shared" si="54"/>
        <v>8.4161849799610812E-3</v>
      </c>
      <c r="R248" s="1358">
        <f t="shared" si="55"/>
        <v>0</v>
      </c>
      <c r="S248" s="1358">
        <f t="shared" si="56"/>
        <v>7.8959627300953045E-2</v>
      </c>
      <c r="T248" s="1358">
        <f t="shared" si="60"/>
        <v>1.315153082952417</v>
      </c>
      <c r="U248" s="595">
        <f>IF('TAR_Tab 2_Volumina'!C251="storage",1,0)</f>
        <v>0</v>
      </c>
      <c r="V248" s="1362">
        <f t="shared" si="59"/>
        <v>1.315153082952417</v>
      </c>
      <c r="W248" s="1362">
        <f t="shared" si="57"/>
        <v>1.3856229118550365</v>
      </c>
      <c r="X248" s="1355">
        <f t="shared" si="58"/>
        <v>1.3859999999999999</v>
      </c>
      <c r="Y248" s="1355">
        <f>X248+'TAR_Tab 13_Overige tarieven'!$T$15+'TAR_Tab 13_Overige tarieven'!$T$16</f>
        <v>1.5389999999999999</v>
      </c>
      <c r="Z248" s="960"/>
    </row>
    <row r="249" spans="1:26">
      <c r="A249" s="155">
        <v>300662</v>
      </c>
      <c r="B249" s="156" t="s">
        <v>323</v>
      </c>
      <c r="C249" s="839">
        <v>1.1865412742981627</v>
      </c>
      <c r="D249" s="1356">
        <f t="shared" si="48"/>
        <v>1.1314857591707279</v>
      </c>
      <c r="E249" s="1356">
        <f t="shared" si="49"/>
        <v>1.1955757939850606</v>
      </c>
      <c r="F249" s="1357"/>
      <c r="G249" s="1358">
        <f t="shared" si="50"/>
        <v>1.1357970042858077</v>
      </c>
      <c r="H249" s="1358">
        <f t="shared" si="51"/>
        <v>1.2553545836843136</v>
      </c>
      <c r="I249" s="833">
        <v>1.2018962896331939</v>
      </c>
      <c r="J249" s="1359" t="b">
        <f t="shared" si="61"/>
        <v>1</v>
      </c>
      <c r="K249" s="1583"/>
      <c r="L249" s="17"/>
      <c r="M249" s="1361">
        <f t="shared" si="62"/>
        <v>1.2018962896331939</v>
      </c>
      <c r="N249" s="1350"/>
      <c r="O249" s="1358">
        <f t="shared" si="52"/>
        <v>3.7796313040208609E-3</v>
      </c>
      <c r="P249" s="1358">
        <f t="shared" si="53"/>
        <v>2.9958885199080579E-3</v>
      </c>
      <c r="Q249" s="1358">
        <f t="shared" si="54"/>
        <v>8.2852205945235253E-3</v>
      </c>
      <c r="R249" s="1358">
        <f t="shared" si="55"/>
        <v>0</v>
      </c>
      <c r="S249" s="1358">
        <f t="shared" si="56"/>
        <v>7.7730935311830951E-2</v>
      </c>
      <c r="T249" s="1358">
        <f t="shared" si="60"/>
        <v>1.2946879653634773</v>
      </c>
      <c r="U249" s="595">
        <f>IF('TAR_Tab 2_Volumina'!C252="storage",1,0)</f>
        <v>0</v>
      </c>
      <c r="V249" s="1362">
        <f t="shared" si="59"/>
        <v>1.2946879653634773</v>
      </c>
      <c r="W249" s="1362">
        <f t="shared" si="57"/>
        <v>1.3640612121619611</v>
      </c>
      <c r="X249" s="1355">
        <f t="shared" si="58"/>
        <v>1.3640000000000001</v>
      </c>
      <c r="Y249" s="1355">
        <f>X249+'TAR_Tab 13_Overige tarieven'!$T$15+'TAR_Tab 13_Overige tarieven'!$T$16</f>
        <v>1.5170000000000001</v>
      </c>
      <c r="Z249" s="960"/>
    </row>
    <row r="250" spans="1:26">
      <c r="A250" s="155">
        <v>300663</v>
      </c>
      <c r="B250" s="156" t="s">
        <v>1092</v>
      </c>
      <c r="C250" s="839">
        <v>1.145068297057555</v>
      </c>
      <c r="D250" s="1356">
        <f t="shared" si="48"/>
        <v>1.0919371280740844</v>
      </c>
      <c r="E250" s="1356">
        <f t="shared" si="49"/>
        <v>1.1537870347000598</v>
      </c>
      <c r="F250" s="1357"/>
      <c r="G250" s="1358">
        <f t="shared" si="50"/>
        <v>1.0960976829650568</v>
      </c>
      <c r="H250" s="1358">
        <f t="shared" si="51"/>
        <v>1.2114763864350628</v>
      </c>
      <c r="I250" s="833">
        <v>1.159886611128742</v>
      </c>
      <c r="J250" s="1359" t="b">
        <f t="shared" si="61"/>
        <v>1</v>
      </c>
      <c r="K250" s="1583"/>
      <c r="L250" s="17"/>
      <c r="M250" s="1361">
        <f t="shared" si="62"/>
        <v>1.159886611128742</v>
      </c>
      <c r="N250" s="1350"/>
      <c r="O250" s="1358">
        <f t="shared" si="52"/>
        <v>3.6475224878802126E-3</v>
      </c>
      <c r="P250" s="1358">
        <f t="shared" si="53"/>
        <v>2.8911737332479493E-3</v>
      </c>
      <c r="Q250" s="1358">
        <f t="shared" si="54"/>
        <v>7.995628675057145E-3</v>
      </c>
      <c r="R250" s="1358">
        <f t="shared" si="55"/>
        <v>0</v>
      </c>
      <c r="S250" s="1358">
        <f t="shared" si="56"/>
        <v>7.5014019026735379E-2</v>
      </c>
      <c r="T250" s="1358">
        <f t="shared" si="60"/>
        <v>1.2494349550516628</v>
      </c>
      <c r="U250" s="595">
        <f>IF('TAR_Tab 2_Volumina'!C253="storage",1,0)</f>
        <v>0</v>
      </c>
      <c r="V250" s="1362">
        <f t="shared" si="59"/>
        <v>1.2494349550516628</v>
      </c>
      <c r="W250" s="1362">
        <f t="shared" si="57"/>
        <v>1.316383410443474</v>
      </c>
      <c r="X250" s="1355">
        <f t="shared" si="58"/>
        <v>1.3160000000000001</v>
      </c>
      <c r="Y250" s="1355">
        <f>X250+'TAR_Tab 13_Overige tarieven'!$T$15+'TAR_Tab 13_Overige tarieven'!$T$16</f>
        <v>1.4690000000000001</v>
      </c>
      <c r="Z250" s="960"/>
    </row>
    <row r="251" spans="1:26">
      <c r="A251" s="155">
        <v>300664</v>
      </c>
      <c r="B251" s="156" t="s">
        <v>191</v>
      </c>
      <c r="C251" s="839">
        <v>1.8391059436009494</v>
      </c>
      <c r="D251" s="1356">
        <f t="shared" si="48"/>
        <v>1.7537714278178653</v>
      </c>
      <c r="E251" s="1356">
        <f t="shared" si="49"/>
        <v>1.8531091976079217</v>
      </c>
      <c r="F251" s="1357"/>
      <c r="G251" s="1358">
        <f t="shared" si="50"/>
        <v>1.7604537377275256</v>
      </c>
      <c r="H251" s="1358">
        <f t="shared" si="51"/>
        <v>1.9457646574883178</v>
      </c>
      <c r="I251" s="833">
        <v>1.8629057899092398</v>
      </c>
      <c r="J251" s="1359" t="b">
        <f t="shared" si="61"/>
        <v>1</v>
      </c>
      <c r="K251" s="1583"/>
      <c r="L251" s="17"/>
      <c r="M251" s="1361">
        <f t="shared" si="62"/>
        <v>1.8629057899092398</v>
      </c>
      <c r="N251" s="1350"/>
      <c r="O251" s="1358">
        <f t="shared" si="52"/>
        <v>5.8583233018645398E-3</v>
      </c>
      <c r="P251" s="1358">
        <f t="shared" si="53"/>
        <v>4.643543804734287E-3</v>
      </c>
      <c r="Q251" s="1358">
        <f t="shared" si="54"/>
        <v>1.2841861273174927E-2</v>
      </c>
      <c r="R251" s="1358">
        <f t="shared" si="55"/>
        <v>0</v>
      </c>
      <c r="S251" s="1358">
        <f t="shared" si="56"/>
        <v>0.120480785818603</v>
      </c>
      <c r="T251" s="1358">
        <f t="shared" si="60"/>
        <v>2.0067303041076165</v>
      </c>
      <c r="U251" s="595">
        <f>IF('TAR_Tab 2_Volumina'!C254="storage",1,0)</f>
        <v>0</v>
      </c>
      <c r="V251" s="1362">
        <f t="shared" si="59"/>
        <v>2.0067303041076165</v>
      </c>
      <c r="W251" s="1362">
        <f t="shared" si="57"/>
        <v>2.1142569053962679</v>
      </c>
      <c r="X251" s="1355">
        <f t="shared" si="58"/>
        <v>2.1139999999999999</v>
      </c>
      <c r="Y251" s="1355">
        <f>X251+'TAR_Tab 13_Overige tarieven'!$T$15+'TAR_Tab 13_Overige tarieven'!$T$16</f>
        <v>2.2669999999999999</v>
      </c>
      <c r="Z251" s="960"/>
    </row>
    <row r="252" spans="1:26">
      <c r="A252" s="155">
        <v>300665</v>
      </c>
      <c r="B252" s="156" t="s">
        <v>1093</v>
      </c>
      <c r="C252" s="839">
        <v>1.2294023427332432</v>
      </c>
      <c r="D252" s="1356">
        <f t="shared" si="48"/>
        <v>1.1723580740304207</v>
      </c>
      <c r="E252" s="1356">
        <f t="shared" si="49"/>
        <v>1.2387632136183389</v>
      </c>
      <c r="F252" s="1357"/>
      <c r="G252" s="1358">
        <f t="shared" si="50"/>
        <v>1.1768250529374218</v>
      </c>
      <c r="H252" s="1358">
        <f t="shared" si="51"/>
        <v>1.3007013742992559</v>
      </c>
      <c r="I252" s="833">
        <v>1.2453120226023722</v>
      </c>
      <c r="J252" s="1359" t="b">
        <f t="shared" si="61"/>
        <v>1</v>
      </c>
      <c r="K252" s="1583"/>
      <c r="L252" s="17"/>
      <c r="M252" s="1361">
        <f t="shared" si="62"/>
        <v>1.2453120226023722</v>
      </c>
      <c r="N252" s="1350"/>
      <c r="O252" s="1358">
        <f t="shared" si="52"/>
        <v>3.9161617724420561E-3</v>
      </c>
      <c r="P252" s="1358">
        <f t="shared" si="53"/>
        <v>3.1041080868604199E-3</v>
      </c>
      <c r="Q252" s="1358">
        <f t="shared" si="54"/>
        <v>8.5845050902201951E-3</v>
      </c>
      <c r="R252" s="1358">
        <f t="shared" si="55"/>
        <v>0</v>
      </c>
      <c r="S252" s="1358">
        <f t="shared" si="56"/>
        <v>8.0538786172218296E-2</v>
      </c>
      <c r="T252" s="1358">
        <f t="shared" si="60"/>
        <v>1.3414555837241131</v>
      </c>
      <c r="U252" s="595">
        <f>IF('TAR_Tab 2_Volumina'!C255="storage",1,0)</f>
        <v>0</v>
      </c>
      <c r="V252" s="1362">
        <f t="shared" si="59"/>
        <v>1.3414555837241131</v>
      </c>
      <c r="W252" s="1362">
        <f t="shared" si="57"/>
        <v>1.413334779150766</v>
      </c>
      <c r="X252" s="1355">
        <f t="shared" si="58"/>
        <v>1.413</v>
      </c>
      <c r="Y252" s="1355">
        <f>X252+'TAR_Tab 13_Overige tarieven'!$T$15+'TAR_Tab 13_Overige tarieven'!$T$16</f>
        <v>1.5660000000000001</v>
      </c>
      <c r="Z252" s="960"/>
    </row>
    <row r="253" spans="1:26">
      <c r="A253" s="155">
        <v>300669</v>
      </c>
      <c r="B253" s="156" t="s">
        <v>324</v>
      </c>
      <c r="C253" s="839">
        <v>1.9663812133127616</v>
      </c>
      <c r="D253" s="1356">
        <f t="shared" si="48"/>
        <v>1.8751411250150494</v>
      </c>
      <c r="E253" s="1356">
        <f t="shared" si="49"/>
        <v>1.9813535620784026</v>
      </c>
      <c r="F253" s="1357"/>
      <c r="G253" s="1358">
        <f t="shared" si="50"/>
        <v>1.8822858839744825</v>
      </c>
      <c r="H253" s="1358">
        <f t="shared" si="51"/>
        <v>2.0804212401823228</v>
      </c>
      <c r="I253" s="833">
        <v>1.9918281272456917</v>
      </c>
      <c r="J253" s="1359" t="b">
        <f t="shared" si="61"/>
        <v>1</v>
      </c>
      <c r="K253" s="1583"/>
      <c r="L253" s="17"/>
      <c r="M253" s="1361">
        <f t="shared" si="62"/>
        <v>1.9918281272456917</v>
      </c>
      <c r="N253" s="1350"/>
      <c r="O253" s="1358">
        <f t="shared" si="52"/>
        <v>6.2637483840345684E-3</v>
      </c>
      <c r="P253" s="1358">
        <f t="shared" si="53"/>
        <v>4.9649001095314884E-3</v>
      </c>
      <c r="Q253" s="1358">
        <f t="shared" si="54"/>
        <v>1.373058188376943E-2</v>
      </c>
      <c r="R253" s="1358">
        <f t="shared" si="55"/>
        <v>0</v>
      </c>
      <c r="S253" s="1358">
        <f t="shared" si="56"/>
        <v>0.12881865485954011</v>
      </c>
      <c r="T253" s="1358">
        <f t="shared" si="60"/>
        <v>2.1456060124825673</v>
      </c>
      <c r="U253" s="595">
        <f>IF('TAR_Tab 2_Volumina'!C256="storage",1,0)</f>
        <v>0</v>
      </c>
      <c r="V253" s="1362">
        <f t="shared" si="59"/>
        <v>2.1456060124825673</v>
      </c>
      <c r="W253" s="1362">
        <f t="shared" si="57"/>
        <v>2.2605739888740644</v>
      </c>
      <c r="X253" s="1355">
        <f t="shared" si="58"/>
        <v>2.2610000000000001</v>
      </c>
      <c r="Y253" s="1355">
        <f>X253+'TAR_Tab 13_Overige tarieven'!$T$15+'TAR_Tab 13_Overige tarieven'!$T$16</f>
        <v>2.4140000000000001</v>
      </c>
      <c r="Z253" s="960"/>
    </row>
    <row r="254" spans="1:26">
      <c r="A254" s="155">
        <v>300670</v>
      </c>
      <c r="B254" s="156" t="s">
        <v>192</v>
      </c>
      <c r="C254" s="839">
        <v>1.2832809123025051</v>
      </c>
      <c r="D254" s="1356">
        <f t="shared" si="48"/>
        <v>1.2237366779716687</v>
      </c>
      <c r="E254" s="1356">
        <f t="shared" si="49"/>
        <v>1.2930520234447407</v>
      </c>
      <c r="F254" s="1357"/>
      <c r="G254" s="1358">
        <f t="shared" si="50"/>
        <v>1.2283994222725036</v>
      </c>
      <c r="H254" s="1358">
        <f t="shared" si="51"/>
        <v>1.3577046246169777</v>
      </c>
      <c r="I254" s="833">
        <v>1.299887834045883</v>
      </c>
      <c r="J254" s="1359" t="b">
        <f t="shared" si="61"/>
        <v>1</v>
      </c>
      <c r="K254" s="1583"/>
      <c r="L254" s="17"/>
      <c r="M254" s="1361">
        <f t="shared" si="62"/>
        <v>1.299887834045883</v>
      </c>
      <c r="N254" s="1350"/>
      <c r="O254" s="1358">
        <f t="shared" si="52"/>
        <v>4.0877876000225593E-3</v>
      </c>
      <c r="P254" s="1358">
        <f t="shared" si="53"/>
        <v>3.2401456538107098E-3</v>
      </c>
      <c r="Q254" s="1358">
        <f t="shared" si="54"/>
        <v>8.9607211088856709E-3</v>
      </c>
      <c r="R254" s="1358">
        <f t="shared" si="55"/>
        <v>0</v>
      </c>
      <c r="S254" s="1358">
        <f t="shared" si="56"/>
        <v>8.4068399255723958E-2</v>
      </c>
      <c r="T254" s="1358">
        <f t="shared" si="60"/>
        <v>1.4002448876643259</v>
      </c>
      <c r="U254" s="595">
        <f>IF('TAR_Tab 2_Volumina'!C257="storage",1,0)</f>
        <v>0</v>
      </c>
      <c r="V254" s="1362">
        <f t="shared" si="59"/>
        <v>1.4002448876643259</v>
      </c>
      <c r="W254" s="1362">
        <f t="shared" si="57"/>
        <v>1.4752741895262467</v>
      </c>
      <c r="X254" s="1355">
        <f t="shared" si="58"/>
        <v>1.4750000000000001</v>
      </c>
      <c r="Y254" s="1355">
        <f>X254+'TAR_Tab 13_Overige tarieven'!$T$15+'TAR_Tab 13_Overige tarieven'!$T$16</f>
        <v>1.6280000000000001</v>
      </c>
      <c r="Z254" s="960"/>
    </row>
    <row r="255" spans="1:26">
      <c r="A255" s="155">
        <v>300674</v>
      </c>
      <c r="B255" s="156" t="s">
        <v>193</v>
      </c>
      <c r="C255" s="839">
        <v>1.4023182819957243</v>
      </c>
      <c r="D255" s="1356">
        <f t="shared" si="48"/>
        <v>1.3372507137111227</v>
      </c>
      <c r="E255" s="1356">
        <f t="shared" si="49"/>
        <v>1.4129957631760406</v>
      </c>
      <c r="F255" s="1357"/>
      <c r="G255" s="1358">
        <f t="shared" si="50"/>
        <v>1.3423459750172384</v>
      </c>
      <c r="H255" s="1358">
        <f t="shared" si="51"/>
        <v>1.4836455513348428</v>
      </c>
      <c r="I255" s="833">
        <v>1.4204656648057958</v>
      </c>
      <c r="J255" s="1359" t="b">
        <f t="shared" si="61"/>
        <v>1</v>
      </c>
      <c r="K255" s="1583"/>
      <c r="L255" s="17"/>
      <c r="M255" s="1361">
        <f t="shared" si="62"/>
        <v>1.4204656648057958</v>
      </c>
      <c r="N255" s="1350"/>
      <c r="O255" s="1358">
        <f t="shared" si="52"/>
        <v>4.4669715176717129E-3</v>
      </c>
      <c r="P255" s="1358">
        <f t="shared" si="53"/>
        <v>3.5407021511098947E-3</v>
      </c>
      <c r="Q255" s="1358">
        <f t="shared" si="54"/>
        <v>9.7919192207958847E-3</v>
      </c>
      <c r="R255" s="1358">
        <f t="shared" si="55"/>
        <v>0</v>
      </c>
      <c r="S255" s="1358">
        <f t="shared" si="56"/>
        <v>9.1866599186684814E-2</v>
      </c>
      <c r="T255" s="1358">
        <f t="shared" si="60"/>
        <v>1.5301318568820579</v>
      </c>
      <c r="U255" s="595">
        <f>IF('TAR_Tab 2_Volumina'!C258="storage",1,0)</f>
        <v>0</v>
      </c>
      <c r="V255" s="1362">
        <f t="shared" si="59"/>
        <v>1.5301318568820579</v>
      </c>
      <c r="W255" s="1362">
        <f t="shared" si="57"/>
        <v>1.6121208903646547</v>
      </c>
      <c r="X255" s="1355">
        <f t="shared" si="58"/>
        <v>1.6120000000000001</v>
      </c>
      <c r="Y255" s="1355">
        <f>X255+'TAR_Tab 13_Overige tarieven'!$T$15+'TAR_Tab 13_Overige tarieven'!$T$16</f>
        <v>1.7650000000000001</v>
      </c>
      <c r="Z255" s="960"/>
    </row>
    <row r="256" spans="1:26">
      <c r="A256" s="155">
        <v>300675</v>
      </c>
      <c r="B256" s="156" t="s">
        <v>194</v>
      </c>
      <c r="C256" s="839">
        <v>1.4023182819957243</v>
      </c>
      <c r="D256" s="1356">
        <f t="shared" si="48"/>
        <v>1.3372507137111227</v>
      </c>
      <c r="E256" s="1356">
        <f t="shared" si="49"/>
        <v>1.4129957631760406</v>
      </c>
      <c r="F256" s="1357"/>
      <c r="G256" s="1358">
        <f t="shared" si="50"/>
        <v>1.3423459750172384</v>
      </c>
      <c r="H256" s="1358">
        <f t="shared" si="51"/>
        <v>1.4836455513348428</v>
      </c>
      <c r="I256" s="833">
        <v>1.4204656648057958</v>
      </c>
      <c r="J256" s="1359" t="b">
        <f t="shared" si="61"/>
        <v>1</v>
      </c>
      <c r="K256" s="1583"/>
      <c r="L256" s="17"/>
      <c r="M256" s="1361">
        <f t="shared" si="62"/>
        <v>1.4204656648057958</v>
      </c>
      <c r="N256" s="1350"/>
      <c r="O256" s="1358">
        <f t="shared" si="52"/>
        <v>4.4669715176717129E-3</v>
      </c>
      <c r="P256" s="1358">
        <f t="shared" si="53"/>
        <v>3.5407021511098947E-3</v>
      </c>
      <c r="Q256" s="1358">
        <f t="shared" si="54"/>
        <v>9.7919192207958847E-3</v>
      </c>
      <c r="R256" s="1358">
        <f t="shared" si="55"/>
        <v>0</v>
      </c>
      <c r="S256" s="1358">
        <f t="shared" si="56"/>
        <v>9.1866599186684814E-2</v>
      </c>
      <c r="T256" s="1358">
        <f t="shared" si="60"/>
        <v>1.5301318568820579</v>
      </c>
      <c r="U256" s="595">
        <f>IF('TAR_Tab 2_Volumina'!C259="storage",1,0)</f>
        <v>0</v>
      </c>
      <c r="V256" s="1362">
        <f t="shared" si="59"/>
        <v>1.5301318568820579</v>
      </c>
      <c r="W256" s="1362">
        <f t="shared" si="57"/>
        <v>1.6121208903646547</v>
      </c>
      <c r="X256" s="1355">
        <f t="shared" si="58"/>
        <v>1.6120000000000001</v>
      </c>
      <c r="Y256" s="1355">
        <f>X256+'TAR_Tab 13_Overige tarieven'!$T$15+'TAR_Tab 13_Overige tarieven'!$T$16</f>
        <v>1.7650000000000001</v>
      </c>
      <c r="Z256" s="960"/>
    </row>
    <row r="257" spans="1:26">
      <c r="A257" s="155">
        <v>300678</v>
      </c>
      <c r="B257" s="156" t="s">
        <v>325</v>
      </c>
      <c r="C257" s="839">
        <v>1.1865412742981627</v>
      </c>
      <c r="D257" s="1356">
        <f t="shared" si="48"/>
        <v>1.1314857591707279</v>
      </c>
      <c r="E257" s="1356">
        <f t="shared" si="49"/>
        <v>1.1955757939850606</v>
      </c>
      <c r="F257" s="1357"/>
      <c r="G257" s="1358">
        <f t="shared" si="50"/>
        <v>1.1357970042858077</v>
      </c>
      <c r="H257" s="1358">
        <f t="shared" si="51"/>
        <v>1.2553545836843136</v>
      </c>
      <c r="I257" s="833">
        <v>1.2018962896331939</v>
      </c>
      <c r="J257" s="1359" t="b">
        <f t="shared" si="61"/>
        <v>1</v>
      </c>
      <c r="K257" s="1583"/>
      <c r="L257" s="17"/>
      <c r="M257" s="1361">
        <f t="shared" si="62"/>
        <v>1.2018962896331939</v>
      </c>
      <c r="N257" s="1350"/>
      <c r="O257" s="1358">
        <f t="shared" si="52"/>
        <v>3.7796313040208609E-3</v>
      </c>
      <c r="P257" s="1358">
        <f t="shared" si="53"/>
        <v>2.9958885199080579E-3</v>
      </c>
      <c r="Q257" s="1358">
        <f t="shared" si="54"/>
        <v>8.2852205945235253E-3</v>
      </c>
      <c r="R257" s="1358">
        <f t="shared" si="55"/>
        <v>0</v>
      </c>
      <c r="S257" s="1358">
        <f t="shared" si="56"/>
        <v>7.7730935311830951E-2</v>
      </c>
      <c r="T257" s="1358">
        <f t="shared" si="60"/>
        <v>1.2946879653634773</v>
      </c>
      <c r="U257" s="595">
        <f>IF('TAR_Tab 2_Volumina'!C260="storage",1,0)</f>
        <v>0</v>
      </c>
      <c r="V257" s="1362">
        <f t="shared" si="59"/>
        <v>1.2946879653634773</v>
      </c>
      <c r="W257" s="1362">
        <f t="shared" si="57"/>
        <v>1.3640612121619611</v>
      </c>
      <c r="X257" s="1355">
        <f t="shared" si="58"/>
        <v>1.3640000000000001</v>
      </c>
      <c r="Y257" s="1355">
        <f>X257+'TAR_Tab 13_Overige tarieven'!$T$15+'TAR_Tab 13_Overige tarieven'!$T$16</f>
        <v>1.5170000000000001</v>
      </c>
      <c r="Z257" s="960"/>
    </row>
    <row r="258" spans="1:26">
      <c r="A258" s="155">
        <v>300680</v>
      </c>
      <c r="B258" s="156" t="s">
        <v>195</v>
      </c>
      <c r="C258" s="839">
        <v>1.1981324376529048</v>
      </c>
      <c r="D258" s="1356">
        <f t="shared" si="48"/>
        <v>1.1425390925458101</v>
      </c>
      <c r="E258" s="1356">
        <f t="shared" si="49"/>
        <v>1.2072552143568918</v>
      </c>
      <c r="F258" s="1357"/>
      <c r="G258" s="1358">
        <f t="shared" si="50"/>
        <v>1.146892453639047</v>
      </c>
      <c r="H258" s="1358">
        <f t="shared" si="51"/>
        <v>1.2676179750747365</v>
      </c>
      <c r="I258" s="833">
        <v>1.2136374540834884</v>
      </c>
      <c r="J258" s="1359" t="b">
        <f t="shared" si="61"/>
        <v>1</v>
      </c>
      <c r="K258" s="1583"/>
      <c r="L258" s="17"/>
      <c r="M258" s="1361">
        <f t="shared" si="62"/>
        <v>1.2136374540834884</v>
      </c>
      <c r="N258" s="1350"/>
      <c r="O258" s="1358">
        <f t="shared" si="52"/>
        <v>3.8165540178063681E-3</v>
      </c>
      <c r="P258" s="1358">
        <f t="shared" si="53"/>
        <v>3.0251549550326098E-3</v>
      </c>
      <c r="Q258" s="1358">
        <f t="shared" si="54"/>
        <v>8.366157808779303E-3</v>
      </c>
      <c r="R258" s="1358">
        <f t="shared" si="55"/>
        <v>0</v>
      </c>
      <c r="S258" s="1358">
        <f t="shared" si="56"/>
        <v>7.8490278445047496E-2</v>
      </c>
      <c r="T258" s="1358">
        <f t="shared" si="60"/>
        <v>1.3073355993101541</v>
      </c>
      <c r="U258" s="595">
        <f>IF('TAR_Tab 2_Volumina'!C261="storage",1,0)</f>
        <v>0</v>
      </c>
      <c r="V258" s="1362">
        <f t="shared" si="59"/>
        <v>1.3073355993101541</v>
      </c>
      <c r="W258" s="1362">
        <f t="shared" si="57"/>
        <v>1.3773865440981712</v>
      </c>
      <c r="X258" s="1355">
        <f t="shared" si="58"/>
        <v>1.377</v>
      </c>
      <c r="Y258" s="1355">
        <f>X258+'TAR_Tab 13_Overige tarieven'!$T$15+'TAR_Tab 13_Overige tarieven'!$T$16</f>
        <v>1.53</v>
      </c>
      <c r="Z258" s="960"/>
    </row>
    <row r="259" spans="1:26">
      <c r="A259" s="155">
        <v>300681</v>
      </c>
      <c r="B259" s="156" t="s">
        <v>196</v>
      </c>
      <c r="C259" s="839">
        <v>1.3043659002169778</v>
      </c>
      <c r="D259" s="1356">
        <f t="shared" si="48"/>
        <v>1.2438433224469101</v>
      </c>
      <c r="E259" s="1356">
        <f t="shared" si="49"/>
        <v>1.3142975559121401</v>
      </c>
      <c r="F259" s="1357"/>
      <c r="G259" s="1358">
        <f t="shared" si="50"/>
        <v>1.248582678116533</v>
      </c>
      <c r="H259" s="1358">
        <f t="shared" si="51"/>
        <v>1.3800124337077473</v>
      </c>
      <c r="I259" s="833">
        <v>1.3212456825171512</v>
      </c>
      <c r="J259" s="1359" t="b">
        <f t="shared" si="61"/>
        <v>1</v>
      </c>
      <c r="K259" s="1583"/>
      <c r="L259" s="17"/>
      <c r="M259" s="1361">
        <f t="shared" si="62"/>
        <v>1.3212456825171512</v>
      </c>
      <c r="N259" s="1350"/>
      <c r="O259" s="1358">
        <f t="shared" si="52"/>
        <v>4.154952124420231E-3</v>
      </c>
      <c r="P259" s="1358">
        <f t="shared" si="53"/>
        <v>3.2933829702055679E-3</v>
      </c>
      <c r="Q259" s="1358">
        <f t="shared" si="54"/>
        <v>9.1079505225506972E-3</v>
      </c>
      <c r="R259" s="1358">
        <f t="shared" si="55"/>
        <v>0</v>
      </c>
      <c r="S259" s="1358">
        <f t="shared" si="56"/>
        <v>8.5449687768085286E-2</v>
      </c>
      <c r="T259" s="1358">
        <f t="shared" si="60"/>
        <v>1.4232516559024129</v>
      </c>
      <c r="U259" s="595">
        <f>IF('TAR_Tab 2_Volumina'!C262="storage",1,0)</f>
        <v>0</v>
      </c>
      <c r="V259" s="1362">
        <f t="shared" si="59"/>
        <v>1.4232516559024129</v>
      </c>
      <c r="W259" s="1362">
        <f t="shared" si="57"/>
        <v>1.4995137290989837</v>
      </c>
      <c r="X259" s="1355">
        <f t="shared" si="58"/>
        <v>1.5</v>
      </c>
      <c r="Y259" s="1355">
        <f>X259+'TAR_Tab 13_Overige tarieven'!$T$15+'TAR_Tab 13_Overige tarieven'!$T$16</f>
        <v>1.653</v>
      </c>
      <c r="Z259" s="960"/>
    </row>
    <row r="260" spans="1:26">
      <c r="A260" s="155">
        <v>300683</v>
      </c>
      <c r="B260" s="156" t="s">
        <v>281</v>
      </c>
      <c r="C260" s="839">
        <v>1.856885409805874</v>
      </c>
      <c r="D260" s="1356">
        <f t="shared" si="48"/>
        <v>1.7707259267908815</v>
      </c>
      <c r="E260" s="1356">
        <f t="shared" si="49"/>
        <v>1.87102403958184</v>
      </c>
      <c r="F260" s="1357"/>
      <c r="G260" s="1358">
        <f t="shared" si="50"/>
        <v>1.777472837602748</v>
      </c>
      <c r="H260" s="1358">
        <f t="shared" si="51"/>
        <v>1.9645752415609321</v>
      </c>
      <c r="I260" s="833">
        <v>1.8809153399571279</v>
      </c>
      <c r="J260" s="1359" t="b">
        <f t="shared" si="61"/>
        <v>1</v>
      </c>
      <c r="K260" s="1583"/>
      <c r="L260" s="17"/>
      <c r="M260" s="1361">
        <f t="shared" si="62"/>
        <v>1.8809153399571279</v>
      </c>
      <c r="N260" s="1350"/>
      <c r="O260" s="1358">
        <f t="shared" si="52"/>
        <v>5.9149583540894718E-3</v>
      </c>
      <c r="P260" s="1358">
        <f t="shared" si="53"/>
        <v>4.6884350359516188E-3</v>
      </c>
      <c r="Q260" s="1358">
        <f t="shared" si="54"/>
        <v>1.2966009335068356E-2</v>
      </c>
      <c r="R260" s="1358">
        <f t="shared" si="55"/>
        <v>0</v>
      </c>
      <c r="S260" s="1358">
        <f t="shared" si="56"/>
        <v>0.12164552788648542</v>
      </c>
      <c r="T260" s="1358">
        <f t="shared" si="60"/>
        <v>2.0261302705687223</v>
      </c>
      <c r="U260" s="595">
        <f>IF('TAR_Tab 2_Volumina'!C263="storage",1,0)</f>
        <v>0</v>
      </c>
      <c r="V260" s="1362">
        <f t="shared" si="59"/>
        <v>2.0261302705687223</v>
      </c>
      <c r="W260" s="1362">
        <f t="shared" si="57"/>
        <v>2.1346963799838057</v>
      </c>
      <c r="X260" s="1355">
        <f t="shared" si="58"/>
        <v>2.1349999999999998</v>
      </c>
      <c r="Y260" s="1355">
        <f>X260+'TAR_Tab 13_Overige tarieven'!$T$15+'TAR_Tab 13_Overige tarieven'!$T$16</f>
        <v>2.2879999999999998</v>
      </c>
      <c r="Z260" s="960"/>
    </row>
    <row r="261" spans="1:26">
      <c r="A261" s="155">
        <v>300684</v>
      </c>
      <c r="B261" s="156" t="s">
        <v>282</v>
      </c>
      <c r="C261" s="839">
        <v>1.2334003991323756</v>
      </c>
      <c r="D261" s="1356">
        <f t="shared" si="48"/>
        <v>1.1761706206126334</v>
      </c>
      <c r="E261" s="1356">
        <f t="shared" si="49"/>
        <v>1.2427917118740082</v>
      </c>
      <c r="F261" s="1357"/>
      <c r="G261" s="1358">
        <f t="shared" si="50"/>
        <v>1.1806521262803078</v>
      </c>
      <c r="H261" s="1358">
        <f t="shared" si="51"/>
        <v>1.3049312974677085</v>
      </c>
      <c r="I261" s="833">
        <v>1.249361817797827</v>
      </c>
      <c r="J261" s="1359" t="b">
        <f t="shared" si="61"/>
        <v>1</v>
      </c>
      <c r="K261" s="1583"/>
      <c r="L261" s="17"/>
      <c r="M261" s="1361">
        <f t="shared" si="62"/>
        <v>1.249361817797827</v>
      </c>
      <c r="N261" s="1350"/>
      <c r="O261" s="1358">
        <f t="shared" si="52"/>
        <v>3.9288972578808918E-3</v>
      </c>
      <c r="P261" s="1358">
        <f t="shared" si="53"/>
        <v>3.1142027473054939E-3</v>
      </c>
      <c r="Q261" s="1358">
        <f t="shared" si="54"/>
        <v>8.6124221799444879E-3</v>
      </c>
      <c r="R261" s="1358">
        <f t="shared" si="55"/>
        <v>0</v>
      </c>
      <c r="S261" s="1358">
        <f t="shared" si="56"/>
        <v>8.0800700923997867E-2</v>
      </c>
      <c r="T261" s="1358">
        <f t="shared" si="60"/>
        <v>1.3458180409069556</v>
      </c>
      <c r="U261" s="595">
        <f>IF('TAR_Tab 2_Volumina'!C264="storage",1,0)</f>
        <v>0</v>
      </c>
      <c r="V261" s="1362">
        <f t="shared" si="59"/>
        <v>1.3458180409069556</v>
      </c>
      <c r="W261" s="1362">
        <f t="shared" si="57"/>
        <v>1.4179309898146708</v>
      </c>
      <c r="X261" s="1355">
        <f t="shared" si="58"/>
        <v>1.4179999999999999</v>
      </c>
      <c r="Y261" s="1355">
        <f>X261+'TAR_Tab 13_Overige tarieven'!$T$15+'TAR_Tab 13_Overige tarieven'!$T$16</f>
        <v>1.571</v>
      </c>
      <c r="Z261" s="960"/>
    </row>
    <row r="262" spans="1:26">
      <c r="A262" s="155">
        <v>300685</v>
      </c>
      <c r="B262" s="156" t="s">
        <v>326</v>
      </c>
      <c r="C262" s="839">
        <v>1.4023182819957243</v>
      </c>
      <c r="D262" s="1356">
        <f t="shared" si="48"/>
        <v>1.3372507137111227</v>
      </c>
      <c r="E262" s="1356">
        <f t="shared" si="49"/>
        <v>1.4129957631760406</v>
      </c>
      <c r="F262" s="1357"/>
      <c r="G262" s="1358">
        <f t="shared" si="50"/>
        <v>1.3423459750172384</v>
      </c>
      <c r="H262" s="1358">
        <f t="shared" si="51"/>
        <v>1.4836455513348428</v>
      </c>
      <c r="I262" s="833">
        <v>1.4204656648057958</v>
      </c>
      <c r="J262" s="1359" t="b">
        <f t="shared" si="61"/>
        <v>1</v>
      </c>
      <c r="K262" s="1583"/>
      <c r="L262" s="17"/>
      <c r="M262" s="1361">
        <f t="shared" si="62"/>
        <v>1.4204656648057958</v>
      </c>
      <c r="N262" s="1350"/>
      <c r="O262" s="1358">
        <f t="shared" si="52"/>
        <v>4.4669715176717129E-3</v>
      </c>
      <c r="P262" s="1358">
        <f t="shared" si="53"/>
        <v>3.5407021511098947E-3</v>
      </c>
      <c r="Q262" s="1358">
        <f t="shared" si="54"/>
        <v>9.7919192207958847E-3</v>
      </c>
      <c r="R262" s="1358">
        <f t="shared" si="55"/>
        <v>0</v>
      </c>
      <c r="S262" s="1358">
        <f t="shared" si="56"/>
        <v>9.1866599186684814E-2</v>
      </c>
      <c r="T262" s="1358">
        <f t="shared" si="60"/>
        <v>1.5301318568820579</v>
      </c>
      <c r="U262" s="595">
        <f>IF('TAR_Tab 2_Volumina'!C265="storage",1,0)</f>
        <v>0</v>
      </c>
      <c r="V262" s="1362">
        <f t="shared" si="59"/>
        <v>1.5301318568820579</v>
      </c>
      <c r="W262" s="1362">
        <f t="shared" si="57"/>
        <v>1.6121208903646547</v>
      </c>
      <c r="X262" s="1355">
        <f t="shared" si="58"/>
        <v>1.6120000000000001</v>
      </c>
      <c r="Y262" s="1355">
        <f>X262+'TAR_Tab 13_Overige tarieven'!$T$15+'TAR_Tab 13_Overige tarieven'!$T$16</f>
        <v>1.7650000000000001</v>
      </c>
      <c r="Z262" s="960"/>
    </row>
    <row r="263" spans="1:26">
      <c r="A263" s="155">
        <v>300686</v>
      </c>
      <c r="B263" s="156" t="s">
        <v>283</v>
      </c>
      <c r="C263" s="839">
        <v>1.2294023427332432</v>
      </c>
      <c r="D263" s="1356">
        <f t="shared" si="48"/>
        <v>1.1723580740304207</v>
      </c>
      <c r="E263" s="1356">
        <f t="shared" si="49"/>
        <v>1.2387632136183389</v>
      </c>
      <c r="F263" s="1357"/>
      <c r="G263" s="1358">
        <f t="shared" si="50"/>
        <v>1.1768250529374218</v>
      </c>
      <c r="H263" s="1358">
        <f t="shared" si="51"/>
        <v>1.3007013742992559</v>
      </c>
      <c r="I263" s="833">
        <v>1.2453120226023722</v>
      </c>
      <c r="J263" s="1359" t="b">
        <f t="shared" ref="J263:J311" si="63">IF(I263&gt;0,AND(I263&gt;=G263,I263&lt;=H263),"")</f>
        <v>1</v>
      </c>
      <c r="K263" s="1583"/>
      <c r="L263" s="17"/>
      <c r="M263" s="1361">
        <f t="shared" ref="M263:M311" si="64">IF(I263&gt;0,I263,E263)</f>
        <v>1.2453120226023722</v>
      </c>
      <c r="N263" s="1350"/>
      <c r="O263" s="1358">
        <f t="shared" si="52"/>
        <v>3.9161617724420561E-3</v>
      </c>
      <c r="P263" s="1358">
        <f t="shared" si="53"/>
        <v>3.1041080868604199E-3</v>
      </c>
      <c r="Q263" s="1358">
        <f t="shared" si="54"/>
        <v>8.5845050902201951E-3</v>
      </c>
      <c r="R263" s="1358">
        <f t="shared" si="55"/>
        <v>0</v>
      </c>
      <c r="S263" s="1358">
        <f t="shared" si="56"/>
        <v>8.0538786172218296E-2</v>
      </c>
      <c r="T263" s="1358">
        <f t="shared" ref="T263:T311" si="65">M263+O263+P263+Q263+R263+S263</f>
        <v>1.3414555837241131</v>
      </c>
      <c r="U263" s="595">
        <f>IF('TAR_Tab 2_Volumina'!C266="storage",1,0)</f>
        <v>0</v>
      </c>
      <c r="V263" s="1362">
        <f t="shared" si="59"/>
        <v>1.3414555837241131</v>
      </c>
      <c r="W263" s="1362">
        <f t="shared" si="57"/>
        <v>1.413334779150766</v>
      </c>
      <c r="X263" s="1355">
        <f t="shared" si="58"/>
        <v>1.413</v>
      </c>
      <c r="Y263" s="1355">
        <f>X263+'TAR_Tab 13_Overige tarieven'!$T$15+'TAR_Tab 13_Overige tarieven'!$T$16</f>
        <v>1.5660000000000001</v>
      </c>
      <c r="Z263" s="960"/>
    </row>
    <row r="264" spans="1:26">
      <c r="A264" s="155">
        <v>300687</v>
      </c>
      <c r="B264" s="156" t="s">
        <v>1094</v>
      </c>
      <c r="C264" s="839">
        <v>1.145068297057555</v>
      </c>
      <c r="D264" s="1356">
        <f t="shared" si="48"/>
        <v>1.0919371280740844</v>
      </c>
      <c r="E264" s="1356">
        <f t="shared" si="49"/>
        <v>1.1537870347000598</v>
      </c>
      <c r="F264" s="1357"/>
      <c r="G264" s="1358">
        <f t="shared" si="50"/>
        <v>1.0960976829650568</v>
      </c>
      <c r="H264" s="1358">
        <f t="shared" si="51"/>
        <v>1.2114763864350628</v>
      </c>
      <c r="I264" s="833">
        <v>1.159886611128742</v>
      </c>
      <c r="J264" s="1359" t="b">
        <f t="shared" si="63"/>
        <v>1</v>
      </c>
      <c r="K264" s="1583"/>
      <c r="L264" s="17"/>
      <c r="M264" s="1361">
        <f t="shared" si="64"/>
        <v>1.159886611128742</v>
      </c>
      <c r="N264" s="1350"/>
      <c r="O264" s="1358">
        <f t="shared" si="52"/>
        <v>3.6475224878802126E-3</v>
      </c>
      <c r="P264" s="1358">
        <f t="shared" si="53"/>
        <v>2.8911737332479493E-3</v>
      </c>
      <c r="Q264" s="1358">
        <f t="shared" si="54"/>
        <v>7.995628675057145E-3</v>
      </c>
      <c r="R264" s="1358">
        <f t="shared" si="55"/>
        <v>0</v>
      </c>
      <c r="S264" s="1358">
        <f t="shared" si="56"/>
        <v>7.5014019026735379E-2</v>
      </c>
      <c r="T264" s="1358">
        <f t="shared" si="65"/>
        <v>1.2494349550516628</v>
      </c>
      <c r="U264" s="595">
        <f>IF('TAR_Tab 2_Volumina'!C267="storage",1,0)</f>
        <v>0</v>
      </c>
      <c r="V264" s="1362">
        <f t="shared" si="59"/>
        <v>1.2494349550516628</v>
      </c>
      <c r="W264" s="1362">
        <f t="shared" si="57"/>
        <v>1.316383410443474</v>
      </c>
      <c r="X264" s="1355">
        <f t="shared" si="58"/>
        <v>1.3160000000000001</v>
      </c>
      <c r="Y264" s="1355">
        <f>X264+'TAR_Tab 13_Overige tarieven'!$T$15+'TAR_Tab 13_Overige tarieven'!$T$16</f>
        <v>1.4690000000000001</v>
      </c>
      <c r="Z264" s="960"/>
    </row>
    <row r="265" spans="1:26">
      <c r="A265" s="155">
        <v>300691</v>
      </c>
      <c r="B265" s="156" t="s">
        <v>327</v>
      </c>
      <c r="C265" s="839">
        <v>2.0295581197645767</v>
      </c>
      <c r="D265" s="1356">
        <f t="shared" ref="D265:D328" si="66">C265*$D$7</f>
        <v>1.9353866230075003</v>
      </c>
      <c r="E265" s="1356">
        <f t="shared" ref="E265:E328" si="67">D265*$E$7</f>
        <v>2.0450115078479896</v>
      </c>
      <c r="F265" s="1357"/>
      <c r="G265" s="1358">
        <f t="shared" ref="G265:G328" si="68">E265*$G$7</f>
        <v>1.9427609324555899</v>
      </c>
      <c r="H265" s="1358">
        <f t="shared" ref="H265:H328" si="69">E265*$H$7</f>
        <v>2.1472620832403893</v>
      </c>
      <c r="I265" s="833">
        <v>2.0558226052294888</v>
      </c>
      <c r="J265" s="1359" t="b">
        <f t="shared" si="63"/>
        <v>1</v>
      </c>
      <c r="K265" s="1583"/>
      <c r="L265" s="17"/>
      <c r="M265" s="1361">
        <f t="shared" si="64"/>
        <v>2.0558226052294888</v>
      </c>
      <c r="N265" s="1350"/>
      <c r="O265" s="1358">
        <f t="shared" ref="O265:O328" si="70">$O$7*M265</f>
        <v>6.464993312035679E-3</v>
      </c>
      <c r="P265" s="1358">
        <f t="shared" ref="P265:P328" si="71">$P$7*M265</f>
        <v>5.1244149724883224E-3</v>
      </c>
      <c r="Q265" s="1358">
        <f t="shared" ref="Q265:Q328" si="72">$Q$7*M265</f>
        <v>1.4171725076822262E-2</v>
      </c>
      <c r="R265" s="1358">
        <f t="shared" ref="R265:R328" si="73">$R$7*M265</f>
        <v>0</v>
      </c>
      <c r="S265" s="1358">
        <f t="shared" ref="S265:S328" si="74">$S$7*M265</f>
        <v>0.1329574068228988</v>
      </c>
      <c r="T265" s="1358">
        <f t="shared" si="65"/>
        <v>2.2145411454137336</v>
      </c>
      <c r="U265" s="595">
        <f>IF('TAR_Tab 2_Volumina'!C268="storage",1,0)</f>
        <v>0</v>
      </c>
      <c r="V265" s="1362">
        <f t="shared" si="59"/>
        <v>2.2145411454137336</v>
      </c>
      <c r="W265" s="1362">
        <f t="shared" si="57"/>
        <v>2.333202872050741</v>
      </c>
      <c r="X265" s="1355">
        <f t="shared" si="58"/>
        <v>2.3330000000000002</v>
      </c>
      <c r="Y265" s="1355">
        <f>X265+'TAR_Tab 13_Overige tarieven'!$T$15+'TAR_Tab 13_Overige tarieven'!$T$16</f>
        <v>2.4860000000000002</v>
      </c>
      <c r="Z265" s="960"/>
    </row>
    <row r="266" spans="1:26">
      <c r="A266" s="155">
        <v>300692</v>
      </c>
      <c r="B266" s="156" t="s">
        <v>328</v>
      </c>
      <c r="C266" s="839">
        <v>1.911190549149254</v>
      </c>
      <c r="D266" s="1356">
        <f t="shared" si="66"/>
        <v>1.8225113076687287</v>
      </c>
      <c r="E266" s="1356">
        <f t="shared" si="67"/>
        <v>1.9257426671545173</v>
      </c>
      <c r="F266" s="1357"/>
      <c r="G266" s="1358">
        <f t="shared" si="68"/>
        <v>1.8294555337967913</v>
      </c>
      <c r="H266" s="1358">
        <f t="shared" si="69"/>
        <v>2.022029800512243</v>
      </c>
      <c r="I266" s="833">
        <v>1.9359232414087051</v>
      </c>
      <c r="J266" s="1359" t="b">
        <f t="shared" si="63"/>
        <v>1</v>
      </c>
      <c r="K266" s="1583"/>
      <c r="L266" s="17"/>
      <c r="M266" s="1361">
        <f t="shared" si="64"/>
        <v>1.9359232414087051</v>
      </c>
      <c r="N266" s="1350"/>
      <c r="O266" s="1358">
        <f t="shared" si="70"/>
        <v>6.0879429851996378E-3</v>
      </c>
      <c r="P266" s="1358">
        <f t="shared" si="71"/>
        <v>4.8255496454936023E-3</v>
      </c>
      <c r="Q266" s="1358">
        <f t="shared" si="72"/>
        <v>1.3345203947697719E-2</v>
      </c>
      <c r="R266" s="1358">
        <f t="shared" si="73"/>
        <v>0</v>
      </c>
      <c r="S266" s="1358">
        <f t="shared" si="74"/>
        <v>0.12520308577750533</v>
      </c>
      <c r="T266" s="1358">
        <f t="shared" si="65"/>
        <v>2.0853850237646014</v>
      </c>
      <c r="U266" s="595">
        <f>IF('TAR_Tab 2_Volumina'!C269="storage",1,0)</f>
        <v>0</v>
      </c>
      <c r="V266" s="1362">
        <f t="shared" si="59"/>
        <v>2.0853850237646014</v>
      </c>
      <c r="W266" s="1362">
        <f t="shared" ref="W266:W329" si="75">IF(U266=0,V266*(1+$W$7),V266)</f>
        <v>2.1971261797757862</v>
      </c>
      <c r="X266" s="1355">
        <f t="shared" ref="X266:X329" si="76">ROUND(W266,3)</f>
        <v>2.1970000000000001</v>
      </c>
      <c r="Y266" s="1355">
        <f>X266+'TAR_Tab 13_Overige tarieven'!$T$15+'TAR_Tab 13_Overige tarieven'!$T$16</f>
        <v>2.35</v>
      </c>
      <c r="Z266" s="960"/>
    </row>
    <row r="267" spans="1:26">
      <c r="A267" s="155">
        <v>300693</v>
      </c>
      <c r="B267" s="156" t="s">
        <v>198</v>
      </c>
      <c r="C267" s="839">
        <v>1.2294023427332432</v>
      </c>
      <c r="D267" s="1356">
        <f t="shared" si="66"/>
        <v>1.1723580740304207</v>
      </c>
      <c r="E267" s="1356">
        <f t="shared" si="67"/>
        <v>1.2387632136183389</v>
      </c>
      <c r="F267" s="1357"/>
      <c r="G267" s="1358">
        <f t="shared" si="68"/>
        <v>1.1768250529374218</v>
      </c>
      <c r="H267" s="1358">
        <f t="shared" si="69"/>
        <v>1.3007013742992559</v>
      </c>
      <c r="I267" s="833">
        <v>1.2453120226023722</v>
      </c>
      <c r="J267" s="1359" t="b">
        <f t="shared" si="63"/>
        <v>1</v>
      </c>
      <c r="K267" s="1583"/>
      <c r="L267" s="17"/>
      <c r="M267" s="1361">
        <f t="shared" si="64"/>
        <v>1.2453120226023722</v>
      </c>
      <c r="N267" s="1350"/>
      <c r="O267" s="1358">
        <f t="shared" si="70"/>
        <v>3.9161617724420561E-3</v>
      </c>
      <c r="P267" s="1358">
        <f t="shared" si="71"/>
        <v>3.1041080868604199E-3</v>
      </c>
      <c r="Q267" s="1358">
        <f t="shared" si="72"/>
        <v>8.5845050902201951E-3</v>
      </c>
      <c r="R267" s="1358">
        <f t="shared" si="73"/>
        <v>0</v>
      </c>
      <c r="S267" s="1358">
        <f t="shared" si="74"/>
        <v>8.0538786172218296E-2</v>
      </c>
      <c r="T267" s="1358">
        <f t="shared" si="65"/>
        <v>1.3414555837241131</v>
      </c>
      <c r="U267" s="595">
        <f>IF('TAR_Tab 2_Volumina'!C270="storage",1,0)</f>
        <v>0</v>
      </c>
      <c r="V267" s="1362">
        <f t="shared" ref="V267:V330" si="77">IF(U267=1,T267*$V$7,T267)</f>
        <v>1.3414555837241131</v>
      </c>
      <c r="W267" s="1362">
        <f t="shared" si="75"/>
        <v>1.413334779150766</v>
      </c>
      <c r="X267" s="1355">
        <f t="shared" si="76"/>
        <v>1.413</v>
      </c>
      <c r="Y267" s="1355">
        <f>X267+'TAR_Tab 13_Overige tarieven'!$T$15+'TAR_Tab 13_Overige tarieven'!$T$16</f>
        <v>1.5660000000000001</v>
      </c>
      <c r="Z267" s="960"/>
    </row>
    <row r="268" spans="1:26">
      <c r="A268" s="155">
        <v>300694</v>
      </c>
      <c r="B268" s="156" t="s">
        <v>199</v>
      </c>
      <c r="C268" s="839">
        <v>1.1981324376529048</v>
      </c>
      <c r="D268" s="1356">
        <f t="shared" si="66"/>
        <v>1.1425390925458101</v>
      </c>
      <c r="E268" s="1356">
        <f t="shared" si="67"/>
        <v>1.2072552143568918</v>
      </c>
      <c r="F268" s="1357"/>
      <c r="G268" s="1358">
        <f t="shared" si="68"/>
        <v>1.146892453639047</v>
      </c>
      <c r="H268" s="1358">
        <f t="shared" si="69"/>
        <v>1.2676179750747365</v>
      </c>
      <c r="I268" s="833">
        <v>1.2136374540834884</v>
      </c>
      <c r="J268" s="1359" t="b">
        <f t="shared" si="63"/>
        <v>1</v>
      </c>
      <c r="K268" s="1583"/>
      <c r="L268" s="17"/>
      <c r="M268" s="1361">
        <f t="shared" si="64"/>
        <v>1.2136374540834884</v>
      </c>
      <c r="N268" s="1350"/>
      <c r="O268" s="1358">
        <f t="shared" si="70"/>
        <v>3.8165540178063681E-3</v>
      </c>
      <c r="P268" s="1358">
        <f t="shared" si="71"/>
        <v>3.0251549550326098E-3</v>
      </c>
      <c r="Q268" s="1358">
        <f t="shared" si="72"/>
        <v>8.366157808779303E-3</v>
      </c>
      <c r="R268" s="1358">
        <f t="shared" si="73"/>
        <v>0</v>
      </c>
      <c r="S268" s="1358">
        <f t="shared" si="74"/>
        <v>7.8490278445047496E-2</v>
      </c>
      <c r="T268" s="1358">
        <f t="shared" si="65"/>
        <v>1.3073355993101541</v>
      </c>
      <c r="U268" s="595">
        <f>IF('TAR_Tab 2_Volumina'!C271="storage",1,0)</f>
        <v>0</v>
      </c>
      <c r="V268" s="1362">
        <f t="shared" si="77"/>
        <v>1.3073355993101541</v>
      </c>
      <c r="W268" s="1362">
        <f t="shared" si="75"/>
        <v>1.3773865440981712</v>
      </c>
      <c r="X268" s="1355">
        <f t="shared" si="76"/>
        <v>1.377</v>
      </c>
      <c r="Y268" s="1355">
        <f>X268+'TAR_Tab 13_Overige tarieven'!$T$15+'TAR_Tab 13_Overige tarieven'!$T$16</f>
        <v>1.53</v>
      </c>
      <c r="Z268" s="960"/>
    </row>
    <row r="269" spans="1:26">
      <c r="A269" s="155">
        <v>300696</v>
      </c>
      <c r="B269" s="156" t="s">
        <v>200</v>
      </c>
      <c r="C269" s="839">
        <v>1.9620461778742735</v>
      </c>
      <c r="D269" s="1356">
        <f t="shared" si="66"/>
        <v>1.8710072352209073</v>
      </c>
      <c r="E269" s="1356">
        <f t="shared" si="67"/>
        <v>1.9769855189697554</v>
      </c>
      <c r="F269" s="1357"/>
      <c r="G269" s="1358">
        <f t="shared" si="68"/>
        <v>1.8781362430212676</v>
      </c>
      <c r="H269" s="1358">
        <f t="shared" si="69"/>
        <v>2.0758347949182432</v>
      </c>
      <c r="I269" s="833">
        <v>1.987436992169477</v>
      </c>
      <c r="J269" s="1359" t="b">
        <f t="shared" si="63"/>
        <v>1</v>
      </c>
      <c r="K269" s="1583"/>
      <c r="L269" s="17"/>
      <c r="M269" s="1361">
        <f t="shared" si="64"/>
        <v>1.987436992169477</v>
      </c>
      <c r="N269" s="1350"/>
      <c r="O269" s="1358">
        <f t="shared" si="70"/>
        <v>6.2499394791087452E-3</v>
      </c>
      <c r="P269" s="1358">
        <f t="shared" si="71"/>
        <v>4.9539546134203284E-3</v>
      </c>
      <c r="Q269" s="1358">
        <f t="shared" si="72"/>
        <v>1.3700311782196946E-2</v>
      </c>
      <c r="R269" s="1358">
        <f t="shared" si="73"/>
        <v>0</v>
      </c>
      <c r="S269" s="1358">
        <f t="shared" si="74"/>
        <v>0.12853466443582481</v>
      </c>
      <c r="T269" s="1358">
        <f t="shared" si="65"/>
        <v>2.1408758624800277</v>
      </c>
      <c r="U269" s="595">
        <f>IF('TAR_Tab 2_Volumina'!C272="storage",1,0)</f>
        <v>0</v>
      </c>
      <c r="V269" s="1362">
        <f t="shared" si="77"/>
        <v>2.1408758624800277</v>
      </c>
      <c r="W269" s="1362">
        <f t="shared" si="75"/>
        <v>2.2555903833113446</v>
      </c>
      <c r="X269" s="1355">
        <f t="shared" si="76"/>
        <v>2.2559999999999998</v>
      </c>
      <c r="Y269" s="1355">
        <f>X269+'TAR_Tab 13_Overige tarieven'!$T$15+'TAR_Tab 13_Overige tarieven'!$T$16</f>
        <v>2.4089999999999998</v>
      </c>
      <c r="Z269" s="960"/>
    </row>
    <row r="270" spans="1:26">
      <c r="A270" s="155">
        <v>300703</v>
      </c>
      <c r="B270" s="156" t="s">
        <v>201</v>
      </c>
      <c r="C270" s="839">
        <v>1.9070729023862021</v>
      </c>
      <c r="D270" s="1356">
        <f t="shared" si="66"/>
        <v>1.8185847197154823</v>
      </c>
      <c r="E270" s="1356">
        <f t="shared" si="67"/>
        <v>1.9215936679543015</v>
      </c>
      <c r="F270" s="1357"/>
      <c r="G270" s="1358">
        <f t="shared" si="68"/>
        <v>1.8255139845565864</v>
      </c>
      <c r="H270" s="1358">
        <f t="shared" si="69"/>
        <v>2.0176733513520166</v>
      </c>
      <c r="I270" s="833">
        <v>1.9317523082319727</v>
      </c>
      <c r="J270" s="1359" t="b">
        <f t="shared" si="63"/>
        <v>1</v>
      </c>
      <c r="K270" s="1583"/>
      <c r="L270" s="17"/>
      <c r="M270" s="1361">
        <f t="shared" si="64"/>
        <v>1.9317523082319727</v>
      </c>
      <c r="N270" s="1350"/>
      <c r="O270" s="1358">
        <f t="shared" si="70"/>
        <v>6.0748265543247512E-3</v>
      </c>
      <c r="P270" s="1358">
        <f t="shared" si="71"/>
        <v>4.8151530323005546E-3</v>
      </c>
      <c r="Q270" s="1358">
        <f t="shared" si="72"/>
        <v>1.3316451798487915E-2</v>
      </c>
      <c r="R270" s="1358">
        <f t="shared" si="73"/>
        <v>0</v>
      </c>
      <c r="S270" s="1358">
        <f t="shared" si="74"/>
        <v>0.12493333659885572</v>
      </c>
      <c r="T270" s="1358">
        <f t="shared" si="65"/>
        <v>2.0808920762159415</v>
      </c>
      <c r="U270" s="595">
        <f>IF('TAR_Tab 2_Volumina'!C273="storage",1,0)</f>
        <v>0</v>
      </c>
      <c r="V270" s="1362">
        <f t="shared" si="77"/>
        <v>2.0808920762159415</v>
      </c>
      <c r="W270" s="1362">
        <f t="shared" si="75"/>
        <v>2.1923924866826519</v>
      </c>
      <c r="X270" s="1355">
        <f t="shared" si="76"/>
        <v>2.1920000000000002</v>
      </c>
      <c r="Y270" s="1355">
        <f>X270+'TAR_Tab 13_Overige tarieven'!$T$15+'TAR_Tab 13_Overige tarieven'!$T$16</f>
        <v>2.3450000000000002</v>
      </c>
      <c r="Z270" s="960"/>
    </row>
    <row r="271" spans="1:26">
      <c r="A271" s="155">
        <v>300705</v>
      </c>
      <c r="B271" s="156" t="s">
        <v>1095</v>
      </c>
      <c r="C271" s="839">
        <v>1.2014159479393158</v>
      </c>
      <c r="D271" s="1356">
        <f t="shared" si="66"/>
        <v>1.1456702479549317</v>
      </c>
      <c r="E271" s="1356">
        <f t="shared" si="67"/>
        <v>1.2105637258286532</v>
      </c>
      <c r="F271" s="1357"/>
      <c r="G271" s="1358">
        <f t="shared" si="68"/>
        <v>1.1500355395372206</v>
      </c>
      <c r="H271" s="1358">
        <f t="shared" si="69"/>
        <v>1.2710919121200859</v>
      </c>
      <c r="I271" s="833">
        <v>1.2169634562341882</v>
      </c>
      <c r="J271" s="1359" t="b">
        <f t="shared" si="63"/>
        <v>1</v>
      </c>
      <c r="K271" s="1583"/>
      <c r="L271" s="17"/>
      <c r="M271" s="1361">
        <f t="shared" si="64"/>
        <v>1.2169634562341882</v>
      </c>
      <c r="N271" s="1350"/>
      <c r="O271" s="1358">
        <f t="shared" si="70"/>
        <v>3.8270133743702047E-3</v>
      </c>
      <c r="P271" s="1358">
        <f t="shared" si="71"/>
        <v>3.0334454637448985E-3</v>
      </c>
      <c r="Q271" s="1358">
        <f t="shared" si="72"/>
        <v>8.3890854621501421E-3</v>
      </c>
      <c r="R271" s="1358">
        <f t="shared" si="73"/>
        <v>0</v>
      </c>
      <c r="S271" s="1358">
        <f t="shared" si="74"/>
        <v>7.8705382909761312E-2</v>
      </c>
      <c r="T271" s="1358">
        <f t="shared" si="65"/>
        <v>1.3109183834442149</v>
      </c>
      <c r="U271" s="595">
        <f>IF('TAR_Tab 2_Volumina'!C274="storage",1,0)</f>
        <v>0</v>
      </c>
      <c r="V271" s="1362">
        <f t="shared" si="77"/>
        <v>1.3109183834442149</v>
      </c>
      <c r="W271" s="1362">
        <f t="shared" si="75"/>
        <v>1.3811613045034319</v>
      </c>
      <c r="X271" s="1355">
        <f t="shared" si="76"/>
        <v>1.381</v>
      </c>
      <c r="Y271" s="1355">
        <f>X271+'TAR_Tab 13_Overige tarieven'!$T$15+'TAR_Tab 13_Overige tarieven'!$T$16</f>
        <v>1.534</v>
      </c>
      <c r="Z271" s="960"/>
    </row>
    <row r="272" spans="1:26">
      <c r="A272" s="155">
        <v>300706</v>
      </c>
      <c r="B272" s="156" t="s">
        <v>202</v>
      </c>
      <c r="C272" s="839">
        <v>1.2014159479393158</v>
      </c>
      <c r="D272" s="1356">
        <f t="shared" si="66"/>
        <v>1.1456702479549317</v>
      </c>
      <c r="E272" s="1356">
        <f t="shared" si="67"/>
        <v>1.2105637258286532</v>
      </c>
      <c r="F272" s="1357"/>
      <c r="G272" s="1358">
        <f t="shared" si="68"/>
        <v>1.1500355395372206</v>
      </c>
      <c r="H272" s="1358">
        <f t="shared" si="69"/>
        <v>1.2710919121200859</v>
      </c>
      <c r="I272" s="833">
        <v>1.2169634562341882</v>
      </c>
      <c r="J272" s="1359" t="b">
        <f t="shared" si="63"/>
        <v>1</v>
      </c>
      <c r="K272" s="1583"/>
      <c r="L272" s="17"/>
      <c r="M272" s="1361">
        <f t="shared" si="64"/>
        <v>1.2169634562341882</v>
      </c>
      <c r="N272" s="1350"/>
      <c r="O272" s="1358">
        <f t="shared" si="70"/>
        <v>3.8270133743702047E-3</v>
      </c>
      <c r="P272" s="1358">
        <f t="shared" si="71"/>
        <v>3.0334454637448985E-3</v>
      </c>
      <c r="Q272" s="1358">
        <f t="shared" si="72"/>
        <v>8.3890854621501421E-3</v>
      </c>
      <c r="R272" s="1358">
        <f t="shared" si="73"/>
        <v>0</v>
      </c>
      <c r="S272" s="1358">
        <f t="shared" si="74"/>
        <v>7.8705382909761312E-2</v>
      </c>
      <c r="T272" s="1358">
        <f t="shared" si="65"/>
        <v>1.3109183834442149</v>
      </c>
      <c r="U272" s="595">
        <f>IF('TAR_Tab 2_Volumina'!C275="storage",1,0)</f>
        <v>0</v>
      </c>
      <c r="V272" s="1362">
        <f t="shared" si="77"/>
        <v>1.3109183834442149</v>
      </c>
      <c r="W272" s="1362">
        <f t="shared" si="75"/>
        <v>1.3811613045034319</v>
      </c>
      <c r="X272" s="1355">
        <f t="shared" si="76"/>
        <v>1.381</v>
      </c>
      <c r="Y272" s="1355">
        <f>X272+'TAR_Tab 13_Overige tarieven'!$T$15+'TAR_Tab 13_Overige tarieven'!$T$16</f>
        <v>1.534</v>
      </c>
      <c r="Z272" s="960"/>
    </row>
    <row r="273" spans="1:26">
      <c r="A273" s="155">
        <v>300710</v>
      </c>
      <c r="B273" s="156" t="s">
        <v>203</v>
      </c>
      <c r="C273" s="839">
        <v>1.0049076682491922</v>
      </c>
      <c r="D273" s="1356">
        <f t="shared" si="66"/>
        <v>0.95827995244242969</v>
      </c>
      <c r="E273" s="1356">
        <f t="shared" si="67"/>
        <v>1.0125591998974968</v>
      </c>
      <c r="F273" s="1357"/>
      <c r="G273" s="1358">
        <f t="shared" si="68"/>
        <v>0.96193123990262186</v>
      </c>
      <c r="H273" s="1358">
        <f t="shared" si="69"/>
        <v>1.0631871598923717</v>
      </c>
      <c r="I273" s="833">
        <v>1.017912165429776</v>
      </c>
      <c r="J273" s="1359" t="b">
        <f t="shared" si="63"/>
        <v>1</v>
      </c>
      <c r="K273" s="1583"/>
      <c r="L273" s="17"/>
      <c r="M273" s="1361">
        <f t="shared" si="64"/>
        <v>1.017912165429776</v>
      </c>
      <c r="N273" s="1350"/>
      <c r="O273" s="1358">
        <f t="shared" si="70"/>
        <v>3.2010521360176657E-3</v>
      </c>
      <c r="P273" s="1358">
        <f t="shared" si="71"/>
        <v>2.5372832889071556E-3</v>
      </c>
      <c r="Q273" s="1358">
        <f t="shared" si="72"/>
        <v>7.0169339144966255E-3</v>
      </c>
      <c r="R273" s="1358">
        <f t="shared" si="73"/>
        <v>0</v>
      </c>
      <c r="S273" s="1358">
        <f t="shared" si="74"/>
        <v>6.5832023417174604E-2</v>
      </c>
      <c r="T273" s="1358">
        <f t="shared" si="65"/>
        <v>1.0964994581863721</v>
      </c>
      <c r="U273" s="595">
        <f>IF('TAR_Tab 2_Volumina'!C276="storage",1,0)</f>
        <v>0</v>
      </c>
      <c r="V273" s="1362">
        <f t="shared" si="77"/>
        <v>1.0964994581863721</v>
      </c>
      <c r="W273" s="1362">
        <f t="shared" si="75"/>
        <v>1.1552531730290148</v>
      </c>
      <c r="X273" s="1355">
        <f t="shared" si="76"/>
        <v>1.155</v>
      </c>
      <c r="Y273" s="1355">
        <f>X273+'TAR_Tab 13_Overige tarieven'!$T$15+'TAR_Tab 13_Overige tarieven'!$T$16</f>
        <v>1.3080000000000001</v>
      </c>
      <c r="Z273" s="960"/>
    </row>
    <row r="274" spans="1:26">
      <c r="A274" s="155">
        <v>300711</v>
      </c>
      <c r="B274" s="156" t="s">
        <v>204</v>
      </c>
      <c r="C274" s="839">
        <v>1.2294023427332432</v>
      </c>
      <c r="D274" s="1356">
        <f t="shared" si="66"/>
        <v>1.1723580740304207</v>
      </c>
      <c r="E274" s="1356">
        <f t="shared" si="67"/>
        <v>1.2387632136183389</v>
      </c>
      <c r="F274" s="1357"/>
      <c r="G274" s="1358">
        <f t="shared" si="68"/>
        <v>1.1768250529374218</v>
      </c>
      <c r="H274" s="1358">
        <f t="shared" si="69"/>
        <v>1.3007013742992559</v>
      </c>
      <c r="I274" s="833">
        <v>1.2453120226023722</v>
      </c>
      <c r="J274" s="1359" t="b">
        <f t="shared" si="63"/>
        <v>1</v>
      </c>
      <c r="K274" s="1583"/>
      <c r="L274" s="17"/>
      <c r="M274" s="1361">
        <f t="shared" si="64"/>
        <v>1.2453120226023722</v>
      </c>
      <c r="N274" s="1350"/>
      <c r="O274" s="1358">
        <f t="shared" si="70"/>
        <v>3.9161617724420561E-3</v>
      </c>
      <c r="P274" s="1358">
        <f t="shared" si="71"/>
        <v>3.1041080868604199E-3</v>
      </c>
      <c r="Q274" s="1358">
        <f t="shared" si="72"/>
        <v>8.5845050902201951E-3</v>
      </c>
      <c r="R274" s="1358">
        <f t="shared" si="73"/>
        <v>0</v>
      </c>
      <c r="S274" s="1358">
        <f t="shared" si="74"/>
        <v>8.0538786172218296E-2</v>
      </c>
      <c r="T274" s="1358">
        <f t="shared" si="65"/>
        <v>1.3414555837241131</v>
      </c>
      <c r="U274" s="595">
        <f>IF('TAR_Tab 2_Volumina'!C277="storage",1,0)</f>
        <v>0</v>
      </c>
      <c r="V274" s="1362">
        <f t="shared" si="77"/>
        <v>1.3414555837241131</v>
      </c>
      <c r="W274" s="1362">
        <f t="shared" si="75"/>
        <v>1.413334779150766</v>
      </c>
      <c r="X274" s="1355">
        <f t="shared" si="76"/>
        <v>1.413</v>
      </c>
      <c r="Y274" s="1355">
        <f>X274+'TAR_Tab 13_Overige tarieven'!$T$15+'TAR_Tab 13_Overige tarieven'!$T$16</f>
        <v>1.5660000000000001</v>
      </c>
      <c r="Z274" s="960"/>
    </row>
    <row r="275" spans="1:26">
      <c r="A275" s="155">
        <v>300712</v>
      </c>
      <c r="B275" s="156" t="s">
        <v>205</v>
      </c>
      <c r="C275" s="839">
        <v>1.5952245032538672</v>
      </c>
      <c r="D275" s="1356">
        <f t="shared" si="66"/>
        <v>1.5212060863028878</v>
      </c>
      <c r="E275" s="1356">
        <f t="shared" si="67"/>
        <v>1.6073708040120889</v>
      </c>
      <c r="F275" s="1357"/>
      <c r="G275" s="1358">
        <f t="shared" si="68"/>
        <v>1.5270022638114844</v>
      </c>
      <c r="H275" s="1358">
        <f t="shared" si="69"/>
        <v>1.6877393442126933</v>
      </c>
      <c r="I275" s="833">
        <v>1.6158682829864932</v>
      </c>
      <c r="J275" s="1359" t="b">
        <f t="shared" si="63"/>
        <v>1</v>
      </c>
      <c r="K275" s="1583"/>
      <c r="L275" s="17"/>
      <c r="M275" s="1361">
        <f t="shared" si="64"/>
        <v>1.6158682829864932</v>
      </c>
      <c r="N275" s="1350"/>
      <c r="O275" s="1358">
        <f t="shared" si="70"/>
        <v>5.0814586900955472E-3</v>
      </c>
      <c r="P275" s="1358">
        <f t="shared" si="71"/>
        <v>4.0277695175847412E-3</v>
      </c>
      <c r="Q275" s="1358">
        <f t="shared" si="72"/>
        <v>1.1138918799993036E-2</v>
      </c>
      <c r="R275" s="1358">
        <f t="shared" si="73"/>
        <v>0</v>
      </c>
      <c r="S275" s="1358">
        <f t="shared" si="74"/>
        <v>0.10450398596004914</v>
      </c>
      <c r="T275" s="1358">
        <f t="shared" si="65"/>
        <v>1.7406204159542158</v>
      </c>
      <c r="U275" s="595">
        <f>IF('TAR_Tab 2_Volumina'!C278="storage",1,0)</f>
        <v>0</v>
      </c>
      <c r="V275" s="1362">
        <f t="shared" si="77"/>
        <v>1.7406204159542158</v>
      </c>
      <c r="W275" s="1362">
        <f t="shared" si="75"/>
        <v>1.8338880548980678</v>
      </c>
      <c r="X275" s="1355">
        <f t="shared" si="76"/>
        <v>1.8340000000000001</v>
      </c>
      <c r="Y275" s="1355">
        <f>X275+'TAR_Tab 13_Overige tarieven'!$T$15+'TAR_Tab 13_Overige tarieven'!$T$16</f>
        <v>1.9870000000000001</v>
      </c>
      <c r="Z275" s="960"/>
    </row>
    <row r="276" spans="1:26">
      <c r="A276" s="155">
        <v>300713</v>
      </c>
      <c r="B276" s="156" t="s">
        <v>206</v>
      </c>
      <c r="C276" s="839">
        <v>1.2334003991323756</v>
      </c>
      <c r="D276" s="1356">
        <f t="shared" si="66"/>
        <v>1.1761706206126334</v>
      </c>
      <c r="E276" s="1356">
        <f t="shared" si="67"/>
        <v>1.2427917118740082</v>
      </c>
      <c r="F276" s="1357"/>
      <c r="G276" s="1358">
        <f t="shared" si="68"/>
        <v>1.1806521262803078</v>
      </c>
      <c r="H276" s="1358">
        <f t="shared" si="69"/>
        <v>1.3049312974677085</v>
      </c>
      <c r="I276" s="833">
        <v>1.249361817797827</v>
      </c>
      <c r="J276" s="1359" t="b">
        <f t="shared" si="63"/>
        <v>1</v>
      </c>
      <c r="K276" s="1583"/>
      <c r="L276" s="17"/>
      <c r="M276" s="1361">
        <f t="shared" si="64"/>
        <v>1.249361817797827</v>
      </c>
      <c r="N276" s="1350"/>
      <c r="O276" s="1358">
        <f t="shared" si="70"/>
        <v>3.9288972578808918E-3</v>
      </c>
      <c r="P276" s="1358">
        <f t="shared" si="71"/>
        <v>3.1142027473054939E-3</v>
      </c>
      <c r="Q276" s="1358">
        <f t="shared" si="72"/>
        <v>8.6124221799444879E-3</v>
      </c>
      <c r="R276" s="1358">
        <f t="shared" si="73"/>
        <v>0</v>
      </c>
      <c r="S276" s="1358">
        <f t="shared" si="74"/>
        <v>8.0800700923997867E-2</v>
      </c>
      <c r="T276" s="1358">
        <f t="shared" si="65"/>
        <v>1.3458180409069556</v>
      </c>
      <c r="U276" s="595">
        <f>IF('TAR_Tab 2_Volumina'!C279="storage",1,0)</f>
        <v>0</v>
      </c>
      <c r="V276" s="1362">
        <f t="shared" si="77"/>
        <v>1.3458180409069556</v>
      </c>
      <c r="W276" s="1362">
        <f t="shared" si="75"/>
        <v>1.4179309898146708</v>
      </c>
      <c r="X276" s="1355">
        <f t="shared" si="76"/>
        <v>1.4179999999999999</v>
      </c>
      <c r="Y276" s="1355">
        <f>X276+'TAR_Tab 13_Overige tarieven'!$T$15+'TAR_Tab 13_Overige tarieven'!$T$16</f>
        <v>1.571</v>
      </c>
      <c r="Z276" s="960"/>
    </row>
    <row r="277" spans="1:26">
      <c r="A277" s="155">
        <v>300716</v>
      </c>
      <c r="B277" s="156" t="s">
        <v>1096</v>
      </c>
      <c r="C277" s="839">
        <v>1.2148895346830162</v>
      </c>
      <c r="D277" s="1356">
        <f t="shared" si="66"/>
        <v>1.1585186602737243</v>
      </c>
      <c r="E277" s="1356">
        <f t="shared" si="67"/>
        <v>1.2241399026695763</v>
      </c>
      <c r="F277" s="1357"/>
      <c r="G277" s="1358">
        <f t="shared" si="68"/>
        <v>1.1629329075360975</v>
      </c>
      <c r="H277" s="1358">
        <f t="shared" si="69"/>
        <v>1.2853468978030551</v>
      </c>
      <c r="I277" s="833">
        <v>1.2306114044902512</v>
      </c>
      <c r="J277" s="1359" t="b">
        <f t="shared" si="63"/>
        <v>1</v>
      </c>
      <c r="K277" s="1583"/>
      <c r="L277" s="17"/>
      <c r="M277" s="1361">
        <f t="shared" si="64"/>
        <v>1.2306114044902512</v>
      </c>
      <c r="N277" s="1350"/>
      <c r="O277" s="1358">
        <f t="shared" si="70"/>
        <v>3.8699323956777882E-3</v>
      </c>
      <c r="P277" s="1358">
        <f t="shared" si="71"/>
        <v>3.0674648145435574E-3</v>
      </c>
      <c r="Q277" s="1358">
        <f t="shared" si="72"/>
        <v>8.4831670089020959E-3</v>
      </c>
      <c r="R277" s="1358">
        <f t="shared" si="73"/>
        <v>0</v>
      </c>
      <c r="S277" s="1358">
        <f t="shared" si="74"/>
        <v>7.9588044577146105E-2</v>
      </c>
      <c r="T277" s="1358">
        <f t="shared" si="65"/>
        <v>1.3256200132865206</v>
      </c>
      <c r="U277" s="595">
        <f>IF('TAR_Tab 2_Volumina'!C280="storage",1,0)</f>
        <v>0</v>
      </c>
      <c r="V277" s="1362">
        <f t="shared" si="77"/>
        <v>1.3256200132865206</v>
      </c>
      <c r="W277" s="1362">
        <f t="shared" si="75"/>
        <v>1.3966506915680763</v>
      </c>
      <c r="X277" s="1355">
        <f t="shared" si="76"/>
        <v>1.397</v>
      </c>
      <c r="Y277" s="1355">
        <f>X277+'TAR_Tab 13_Overige tarieven'!$T$15+'TAR_Tab 13_Overige tarieven'!$T$16</f>
        <v>1.55</v>
      </c>
      <c r="Z277" s="960"/>
    </row>
    <row r="278" spans="1:26">
      <c r="A278" s="155">
        <v>300719</v>
      </c>
      <c r="B278" s="156" t="s">
        <v>207</v>
      </c>
      <c r="C278" s="839">
        <v>1.0049076682491922</v>
      </c>
      <c r="D278" s="1356">
        <f t="shared" si="66"/>
        <v>0.95827995244242969</v>
      </c>
      <c r="E278" s="1356">
        <f t="shared" si="67"/>
        <v>1.0125591998974968</v>
      </c>
      <c r="F278" s="1357"/>
      <c r="G278" s="1358">
        <f t="shared" si="68"/>
        <v>0.96193123990262186</v>
      </c>
      <c r="H278" s="1358">
        <f t="shared" si="69"/>
        <v>1.0631871598923717</v>
      </c>
      <c r="I278" s="833">
        <v>1.017912165429776</v>
      </c>
      <c r="J278" s="1359" t="b">
        <f t="shared" si="63"/>
        <v>1</v>
      </c>
      <c r="K278" s="1583"/>
      <c r="L278" s="17"/>
      <c r="M278" s="1361">
        <f t="shared" si="64"/>
        <v>1.017912165429776</v>
      </c>
      <c r="N278" s="1350"/>
      <c r="O278" s="1358">
        <f t="shared" si="70"/>
        <v>3.2010521360176657E-3</v>
      </c>
      <c r="P278" s="1358">
        <f t="shared" si="71"/>
        <v>2.5372832889071556E-3</v>
      </c>
      <c r="Q278" s="1358">
        <f t="shared" si="72"/>
        <v>7.0169339144966255E-3</v>
      </c>
      <c r="R278" s="1358">
        <f t="shared" si="73"/>
        <v>0</v>
      </c>
      <c r="S278" s="1358">
        <f t="shared" si="74"/>
        <v>6.5832023417174604E-2</v>
      </c>
      <c r="T278" s="1358">
        <f t="shared" si="65"/>
        <v>1.0964994581863721</v>
      </c>
      <c r="U278" s="595">
        <f>IF('TAR_Tab 2_Volumina'!C281="storage",1,0)</f>
        <v>0</v>
      </c>
      <c r="V278" s="1362">
        <f t="shared" si="77"/>
        <v>1.0964994581863721</v>
      </c>
      <c r="W278" s="1362">
        <f t="shared" si="75"/>
        <v>1.1552531730290148</v>
      </c>
      <c r="X278" s="1355">
        <f t="shared" si="76"/>
        <v>1.155</v>
      </c>
      <c r="Y278" s="1355">
        <f>X278+'TAR_Tab 13_Overige tarieven'!$T$15+'TAR_Tab 13_Overige tarieven'!$T$16</f>
        <v>1.3080000000000001</v>
      </c>
      <c r="Z278" s="960"/>
    </row>
    <row r="279" spans="1:26">
      <c r="A279" s="155">
        <v>300720</v>
      </c>
      <c r="B279" s="156" t="s">
        <v>208</v>
      </c>
      <c r="C279" s="839">
        <v>1.9190670715835991</v>
      </c>
      <c r="D279" s="1356">
        <f t="shared" si="66"/>
        <v>1.8300223594621201</v>
      </c>
      <c r="E279" s="1356">
        <f t="shared" si="67"/>
        <v>1.9336791627213092</v>
      </c>
      <c r="F279" s="1357"/>
      <c r="G279" s="1358">
        <f t="shared" si="68"/>
        <v>1.8369952045852438</v>
      </c>
      <c r="H279" s="1358">
        <f t="shared" si="69"/>
        <v>2.0303631208573747</v>
      </c>
      <c r="I279" s="833">
        <v>1.9439016938183369</v>
      </c>
      <c r="J279" s="1359" t="b">
        <f t="shared" si="63"/>
        <v>1</v>
      </c>
      <c r="K279" s="1583"/>
      <c r="L279" s="17"/>
      <c r="M279" s="1361">
        <f t="shared" si="64"/>
        <v>1.9439016938183369</v>
      </c>
      <c r="N279" s="1350"/>
      <c r="O279" s="1358">
        <f t="shared" si="70"/>
        <v>6.1130330106412573E-3</v>
      </c>
      <c r="P279" s="1358">
        <f t="shared" si="71"/>
        <v>4.8454370136357767E-3</v>
      </c>
      <c r="Q279" s="1358">
        <f t="shared" si="72"/>
        <v>1.3400203067660791E-2</v>
      </c>
      <c r="R279" s="1358">
        <f t="shared" si="73"/>
        <v>0</v>
      </c>
      <c r="S279" s="1358">
        <f t="shared" si="74"/>
        <v>0.12571908085419442</v>
      </c>
      <c r="T279" s="1358">
        <f t="shared" si="65"/>
        <v>2.0939794477644691</v>
      </c>
      <c r="U279" s="595">
        <f>IF('TAR_Tab 2_Volumina'!C282="storage",1,0)</f>
        <v>0</v>
      </c>
      <c r="V279" s="1362">
        <f t="shared" si="77"/>
        <v>2.0939794477644691</v>
      </c>
      <c r="W279" s="1362">
        <f t="shared" si="75"/>
        <v>2.2061811186743663</v>
      </c>
      <c r="X279" s="1355">
        <f t="shared" si="76"/>
        <v>2.206</v>
      </c>
      <c r="Y279" s="1355">
        <f>X279+'TAR_Tab 13_Overige tarieven'!$T$15+'TAR_Tab 13_Overige tarieven'!$T$16</f>
        <v>2.359</v>
      </c>
      <c r="Z279" s="960"/>
    </row>
    <row r="280" spans="1:26">
      <c r="A280" s="155">
        <v>300722</v>
      </c>
      <c r="B280" s="156" t="s">
        <v>209</v>
      </c>
      <c r="C280" s="839">
        <v>1.856885409805874</v>
      </c>
      <c r="D280" s="1356">
        <f t="shared" si="66"/>
        <v>1.7707259267908815</v>
      </c>
      <c r="E280" s="1356">
        <f t="shared" si="67"/>
        <v>1.87102403958184</v>
      </c>
      <c r="F280" s="1357"/>
      <c r="G280" s="1358">
        <f t="shared" si="68"/>
        <v>1.777472837602748</v>
      </c>
      <c r="H280" s="1358">
        <f t="shared" si="69"/>
        <v>1.9645752415609321</v>
      </c>
      <c r="I280" s="833">
        <v>1.8809153399571279</v>
      </c>
      <c r="J280" s="1359" t="b">
        <f t="shared" si="63"/>
        <v>1</v>
      </c>
      <c r="K280" s="1583"/>
      <c r="L280" s="17"/>
      <c r="M280" s="1361">
        <f t="shared" si="64"/>
        <v>1.8809153399571279</v>
      </c>
      <c r="N280" s="1350"/>
      <c r="O280" s="1358">
        <f t="shared" si="70"/>
        <v>5.9149583540894718E-3</v>
      </c>
      <c r="P280" s="1358">
        <f t="shared" si="71"/>
        <v>4.6884350359516188E-3</v>
      </c>
      <c r="Q280" s="1358">
        <f t="shared" si="72"/>
        <v>1.2966009335068356E-2</v>
      </c>
      <c r="R280" s="1358">
        <f t="shared" si="73"/>
        <v>0</v>
      </c>
      <c r="S280" s="1358">
        <f t="shared" si="74"/>
        <v>0.12164552788648542</v>
      </c>
      <c r="T280" s="1358">
        <f t="shared" si="65"/>
        <v>2.0261302705687223</v>
      </c>
      <c r="U280" s="595">
        <f>IF('TAR_Tab 2_Volumina'!C283="storage",1,0)</f>
        <v>0</v>
      </c>
      <c r="V280" s="1362">
        <f t="shared" si="77"/>
        <v>2.0261302705687223</v>
      </c>
      <c r="W280" s="1362">
        <f t="shared" si="75"/>
        <v>2.1346963799838057</v>
      </c>
      <c r="X280" s="1355">
        <f t="shared" si="76"/>
        <v>2.1349999999999998</v>
      </c>
      <c r="Y280" s="1355">
        <f>X280+'TAR_Tab 13_Overige tarieven'!$T$15+'TAR_Tab 13_Overige tarieven'!$T$16</f>
        <v>2.2879999999999998</v>
      </c>
      <c r="Z280" s="960"/>
    </row>
    <row r="281" spans="1:26">
      <c r="A281" s="155">
        <v>300725</v>
      </c>
      <c r="B281" s="156" t="s">
        <v>415</v>
      </c>
      <c r="C281" s="839">
        <v>1.856885409805874</v>
      </c>
      <c r="D281" s="1356">
        <f t="shared" si="66"/>
        <v>1.7707259267908815</v>
      </c>
      <c r="E281" s="1356">
        <f t="shared" si="67"/>
        <v>1.87102403958184</v>
      </c>
      <c r="F281" s="1357"/>
      <c r="G281" s="1358">
        <f t="shared" si="68"/>
        <v>1.777472837602748</v>
      </c>
      <c r="H281" s="1358">
        <f t="shared" si="69"/>
        <v>1.9645752415609321</v>
      </c>
      <c r="I281" s="833">
        <v>1.8809153399571279</v>
      </c>
      <c r="J281" s="1359" t="b">
        <f t="shared" si="63"/>
        <v>1</v>
      </c>
      <c r="K281" s="1583"/>
      <c r="L281" s="17"/>
      <c r="M281" s="1361">
        <f t="shared" si="64"/>
        <v>1.8809153399571279</v>
      </c>
      <c r="N281" s="1350"/>
      <c r="O281" s="1358">
        <f t="shared" si="70"/>
        <v>5.9149583540894718E-3</v>
      </c>
      <c r="P281" s="1358">
        <f t="shared" si="71"/>
        <v>4.6884350359516188E-3</v>
      </c>
      <c r="Q281" s="1358">
        <f t="shared" si="72"/>
        <v>1.2966009335068356E-2</v>
      </c>
      <c r="R281" s="1358">
        <f t="shared" si="73"/>
        <v>0</v>
      </c>
      <c r="S281" s="1358">
        <f t="shared" si="74"/>
        <v>0.12164552788648542</v>
      </c>
      <c r="T281" s="1358">
        <f t="shared" si="65"/>
        <v>2.0261302705687223</v>
      </c>
      <c r="U281" s="595">
        <f>IF('TAR_Tab 2_Volumina'!C284="storage",1,0)</f>
        <v>0</v>
      </c>
      <c r="V281" s="1362">
        <f t="shared" si="77"/>
        <v>2.0261302705687223</v>
      </c>
      <c r="W281" s="1362">
        <f t="shared" si="75"/>
        <v>2.1346963799838057</v>
      </c>
      <c r="X281" s="1355">
        <f t="shared" si="76"/>
        <v>2.1349999999999998</v>
      </c>
      <c r="Y281" s="1355">
        <f>X281+'TAR_Tab 13_Overige tarieven'!$T$15+'TAR_Tab 13_Overige tarieven'!$T$16</f>
        <v>2.2879999999999998</v>
      </c>
      <c r="Z281" s="960"/>
    </row>
    <row r="282" spans="1:26">
      <c r="A282" s="155">
        <v>300727</v>
      </c>
      <c r="B282" s="156" t="s">
        <v>329</v>
      </c>
      <c r="C282" s="839">
        <v>1.6258182019709428</v>
      </c>
      <c r="D282" s="1356">
        <f t="shared" si="66"/>
        <v>1.550380237399491</v>
      </c>
      <c r="E282" s="1356">
        <f t="shared" si="67"/>
        <v>1.6381974481642214</v>
      </c>
      <c r="F282" s="1357"/>
      <c r="G282" s="1358">
        <f t="shared" si="68"/>
        <v>1.5562875757560102</v>
      </c>
      <c r="H282" s="1358">
        <f t="shared" si="69"/>
        <v>1.7201073205724327</v>
      </c>
      <c r="I282" s="833">
        <v>1.6468578943642842</v>
      </c>
      <c r="J282" s="1359" t="b">
        <f t="shared" si="63"/>
        <v>1</v>
      </c>
      <c r="K282" s="1583"/>
      <c r="L282" s="17"/>
      <c r="M282" s="1361">
        <f t="shared" si="64"/>
        <v>1.6468578943642842</v>
      </c>
      <c r="N282" s="1350"/>
      <c r="O282" s="1358">
        <f t="shared" si="70"/>
        <v>5.1789124440285812E-3</v>
      </c>
      <c r="P282" s="1358">
        <f t="shared" si="71"/>
        <v>4.1050153014047996E-3</v>
      </c>
      <c r="Q282" s="1358">
        <f t="shared" si="72"/>
        <v>1.1352544358719002E-2</v>
      </c>
      <c r="R282" s="1358">
        <f t="shared" si="73"/>
        <v>0</v>
      </c>
      <c r="S282" s="1358">
        <f t="shared" si="74"/>
        <v>0.10650819505705951</v>
      </c>
      <c r="T282" s="1358">
        <f t="shared" si="65"/>
        <v>1.7740025615254962</v>
      </c>
      <c r="U282" s="595">
        <f>IF('TAR_Tab 2_Volumina'!C285="storage",1,0)</f>
        <v>0</v>
      </c>
      <c r="V282" s="1362">
        <f t="shared" si="77"/>
        <v>1.7740025615254962</v>
      </c>
      <c r="W282" s="1362">
        <f t="shared" si="75"/>
        <v>1.8690589154997914</v>
      </c>
      <c r="X282" s="1355">
        <f t="shared" si="76"/>
        <v>1.869</v>
      </c>
      <c r="Y282" s="1355">
        <f>X282+'TAR_Tab 13_Overige tarieven'!$T$15+'TAR_Tab 13_Overige tarieven'!$T$16</f>
        <v>2.0220000000000002</v>
      </c>
      <c r="Z282" s="960"/>
    </row>
    <row r="283" spans="1:26">
      <c r="A283" s="155">
        <v>300728</v>
      </c>
      <c r="B283" s="156" t="s">
        <v>210</v>
      </c>
      <c r="C283" s="839">
        <v>0.95653784924702101</v>
      </c>
      <c r="D283" s="1356">
        <f t="shared" si="66"/>
        <v>0.91215449304195928</v>
      </c>
      <c r="E283" s="1356">
        <f t="shared" si="67"/>
        <v>0.96382108516765674</v>
      </c>
      <c r="F283" s="1357"/>
      <c r="G283" s="1358">
        <f t="shared" si="68"/>
        <v>0.91563003090927386</v>
      </c>
      <c r="H283" s="1358">
        <f t="shared" si="69"/>
        <v>1.0120121394260395</v>
      </c>
      <c r="I283" s="833">
        <v>0.96891639322343137</v>
      </c>
      <c r="J283" s="1359" t="b">
        <f t="shared" si="63"/>
        <v>1</v>
      </c>
      <c r="K283" s="1583"/>
      <c r="L283" s="17"/>
      <c r="M283" s="1361">
        <f t="shared" si="64"/>
        <v>0.96891639322343137</v>
      </c>
      <c r="N283" s="1350"/>
      <c r="O283" s="1358">
        <f t="shared" si="70"/>
        <v>3.0469739880168161E-3</v>
      </c>
      <c r="P283" s="1358">
        <f t="shared" si="71"/>
        <v>2.4151547219558294E-3</v>
      </c>
      <c r="Q283" s="1358">
        <f t="shared" si="72"/>
        <v>6.6791836573155509E-3</v>
      </c>
      <c r="R283" s="1358">
        <f t="shared" si="73"/>
        <v>0</v>
      </c>
      <c r="S283" s="1358">
        <f t="shared" si="74"/>
        <v>6.2663291445228086E-2</v>
      </c>
      <c r="T283" s="1358">
        <f t="shared" si="65"/>
        <v>1.0437209970359476</v>
      </c>
      <c r="U283" s="595">
        <f>IF('TAR_Tab 2_Volumina'!C286="storage",1,0)</f>
        <v>0</v>
      </c>
      <c r="V283" s="1362">
        <f t="shared" si="77"/>
        <v>1.0437209970359476</v>
      </c>
      <c r="W283" s="1362">
        <f t="shared" si="75"/>
        <v>1.0996466843468717</v>
      </c>
      <c r="X283" s="1355">
        <f t="shared" si="76"/>
        <v>1.1000000000000001</v>
      </c>
      <c r="Y283" s="1355">
        <f>X283+'TAR_Tab 13_Overige tarieven'!$T$15+'TAR_Tab 13_Overige tarieven'!$T$16</f>
        <v>1.2530000000000001</v>
      </c>
      <c r="Z283" s="960"/>
    </row>
    <row r="284" spans="1:26">
      <c r="A284" s="155">
        <v>300729</v>
      </c>
      <c r="B284" s="156" t="s">
        <v>1097</v>
      </c>
      <c r="C284" s="839">
        <v>1.145068297057555</v>
      </c>
      <c r="D284" s="1356">
        <f t="shared" si="66"/>
        <v>1.0919371280740844</v>
      </c>
      <c r="E284" s="1356">
        <f t="shared" si="67"/>
        <v>1.1537870347000598</v>
      </c>
      <c r="F284" s="1357"/>
      <c r="G284" s="1358">
        <f t="shared" si="68"/>
        <v>1.0960976829650568</v>
      </c>
      <c r="H284" s="1358">
        <f t="shared" si="69"/>
        <v>1.2114763864350628</v>
      </c>
      <c r="I284" s="833">
        <v>1.159886611128742</v>
      </c>
      <c r="J284" s="1359" t="b">
        <f t="shared" si="63"/>
        <v>1</v>
      </c>
      <c r="K284" s="1583"/>
      <c r="L284" s="17"/>
      <c r="M284" s="1361">
        <f t="shared" si="64"/>
        <v>1.159886611128742</v>
      </c>
      <c r="N284" s="1350"/>
      <c r="O284" s="1358">
        <f t="shared" si="70"/>
        <v>3.6475224878802126E-3</v>
      </c>
      <c r="P284" s="1358">
        <f t="shared" si="71"/>
        <v>2.8911737332479493E-3</v>
      </c>
      <c r="Q284" s="1358">
        <f t="shared" si="72"/>
        <v>7.995628675057145E-3</v>
      </c>
      <c r="R284" s="1358">
        <f t="shared" si="73"/>
        <v>0</v>
      </c>
      <c r="S284" s="1358">
        <f t="shared" si="74"/>
        <v>7.5014019026735379E-2</v>
      </c>
      <c r="T284" s="1358">
        <f t="shared" si="65"/>
        <v>1.2494349550516628</v>
      </c>
      <c r="U284" s="595">
        <f>IF('TAR_Tab 2_Volumina'!C287="storage",1,0)</f>
        <v>0</v>
      </c>
      <c r="V284" s="1362">
        <f t="shared" si="77"/>
        <v>1.2494349550516628</v>
      </c>
      <c r="W284" s="1362">
        <f t="shared" si="75"/>
        <v>1.316383410443474</v>
      </c>
      <c r="X284" s="1355">
        <f t="shared" si="76"/>
        <v>1.3160000000000001</v>
      </c>
      <c r="Y284" s="1355">
        <f>X284+'TAR_Tab 13_Overige tarieven'!$T$15+'TAR_Tab 13_Overige tarieven'!$T$16</f>
        <v>1.4690000000000001</v>
      </c>
      <c r="Z284" s="960"/>
    </row>
    <row r="285" spans="1:26">
      <c r="A285" s="155">
        <v>300734</v>
      </c>
      <c r="B285" s="156" t="s">
        <v>1098</v>
      </c>
      <c r="C285" s="839">
        <v>2.1189698915402242</v>
      </c>
      <c r="D285" s="1356">
        <f t="shared" si="66"/>
        <v>2.0206496885727576</v>
      </c>
      <c r="E285" s="1356">
        <f t="shared" si="67"/>
        <v>2.135104075504779</v>
      </c>
      <c r="F285" s="1357"/>
      <c r="G285" s="1358">
        <f t="shared" si="68"/>
        <v>2.0283488717295399</v>
      </c>
      <c r="H285" s="1358">
        <f t="shared" si="69"/>
        <v>2.241859279280018</v>
      </c>
      <c r="I285" s="833">
        <v>2.1463914535910806</v>
      </c>
      <c r="J285" s="1359" t="b">
        <f t="shared" si="63"/>
        <v>1</v>
      </c>
      <c r="K285" s="1583"/>
      <c r="L285" s="17"/>
      <c r="M285" s="1361">
        <f t="shared" si="64"/>
        <v>2.1463914535910806</v>
      </c>
      <c r="N285" s="1350"/>
      <c r="O285" s="1358">
        <f t="shared" si="70"/>
        <v>6.7498072825830568E-3</v>
      </c>
      <c r="P285" s="1358">
        <f t="shared" si="71"/>
        <v>5.3501700358895045E-3</v>
      </c>
      <c r="Q285" s="1358">
        <f t="shared" si="72"/>
        <v>1.4796057553875459E-2</v>
      </c>
      <c r="R285" s="1358">
        <f t="shared" si="73"/>
        <v>0</v>
      </c>
      <c r="S285" s="1358">
        <f t="shared" si="74"/>
        <v>0.138814818443173</v>
      </c>
      <c r="T285" s="1358">
        <f t="shared" si="65"/>
        <v>2.3121023069066018</v>
      </c>
      <c r="U285" s="595">
        <f>IF('TAR_Tab 2_Volumina'!C288="storage",1,0)</f>
        <v>0</v>
      </c>
      <c r="V285" s="1362">
        <f t="shared" si="77"/>
        <v>2.3121023069066018</v>
      </c>
      <c r="W285" s="1362">
        <f t="shared" si="75"/>
        <v>2.4359916518696134</v>
      </c>
      <c r="X285" s="1355">
        <f t="shared" si="76"/>
        <v>2.4359999999999999</v>
      </c>
      <c r="Y285" s="1355">
        <f>X285+'TAR_Tab 13_Overige tarieven'!$T$15+'TAR_Tab 13_Overige tarieven'!$T$16</f>
        <v>2.589</v>
      </c>
      <c r="Z285" s="960"/>
    </row>
    <row r="286" spans="1:26">
      <c r="A286" s="155">
        <v>300736</v>
      </c>
      <c r="B286" s="156" t="s">
        <v>1099</v>
      </c>
      <c r="C286" s="839">
        <v>1.2294023427332432</v>
      </c>
      <c r="D286" s="1356">
        <f t="shared" si="66"/>
        <v>1.1723580740304207</v>
      </c>
      <c r="E286" s="1356">
        <f t="shared" si="67"/>
        <v>1.2387632136183389</v>
      </c>
      <c r="F286" s="1357"/>
      <c r="G286" s="1358">
        <f t="shared" si="68"/>
        <v>1.1768250529374218</v>
      </c>
      <c r="H286" s="1358">
        <f t="shared" si="69"/>
        <v>1.3007013742992559</v>
      </c>
      <c r="I286" s="833">
        <v>1.2453120226023722</v>
      </c>
      <c r="J286" s="1359" t="b">
        <f t="shared" si="63"/>
        <v>1</v>
      </c>
      <c r="K286" s="1583"/>
      <c r="L286" s="17"/>
      <c r="M286" s="1361">
        <f t="shared" si="64"/>
        <v>1.2453120226023722</v>
      </c>
      <c r="N286" s="1350"/>
      <c r="O286" s="1358">
        <f t="shared" si="70"/>
        <v>3.9161617724420561E-3</v>
      </c>
      <c r="P286" s="1358">
        <f t="shared" si="71"/>
        <v>3.1041080868604199E-3</v>
      </c>
      <c r="Q286" s="1358">
        <f t="shared" si="72"/>
        <v>8.5845050902201951E-3</v>
      </c>
      <c r="R286" s="1358">
        <f t="shared" si="73"/>
        <v>0</v>
      </c>
      <c r="S286" s="1358">
        <f t="shared" si="74"/>
        <v>8.0538786172218296E-2</v>
      </c>
      <c r="T286" s="1358">
        <f t="shared" si="65"/>
        <v>1.3414555837241131</v>
      </c>
      <c r="U286" s="595">
        <f>IF('TAR_Tab 2_Volumina'!C289="storage",1,0)</f>
        <v>0</v>
      </c>
      <c r="V286" s="1362">
        <f t="shared" si="77"/>
        <v>1.3414555837241131</v>
      </c>
      <c r="W286" s="1362">
        <f t="shared" si="75"/>
        <v>1.413334779150766</v>
      </c>
      <c r="X286" s="1355">
        <f t="shared" si="76"/>
        <v>1.413</v>
      </c>
      <c r="Y286" s="1355">
        <f>X286+'TAR_Tab 13_Overige tarieven'!$T$15+'TAR_Tab 13_Overige tarieven'!$T$16</f>
        <v>1.5660000000000001</v>
      </c>
      <c r="Z286" s="960"/>
    </row>
    <row r="287" spans="1:26">
      <c r="A287" s="155">
        <v>300737</v>
      </c>
      <c r="B287" s="156" t="s">
        <v>330</v>
      </c>
      <c r="C287" s="839">
        <v>1.145068297057555</v>
      </c>
      <c r="D287" s="1356">
        <f t="shared" si="66"/>
        <v>1.0919371280740844</v>
      </c>
      <c r="E287" s="1356">
        <f t="shared" si="67"/>
        <v>1.1537870347000598</v>
      </c>
      <c r="F287" s="1357"/>
      <c r="G287" s="1358">
        <f t="shared" si="68"/>
        <v>1.0960976829650568</v>
      </c>
      <c r="H287" s="1358">
        <f t="shared" si="69"/>
        <v>1.2114763864350628</v>
      </c>
      <c r="I287" s="833">
        <v>1.159886611128742</v>
      </c>
      <c r="J287" s="1359" t="b">
        <f t="shared" si="63"/>
        <v>1</v>
      </c>
      <c r="K287" s="1583"/>
      <c r="L287" s="17"/>
      <c r="M287" s="1361">
        <f t="shared" si="64"/>
        <v>1.159886611128742</v>
      </c>
      <c r="N287" s="1350"/>
      <c r="O287" s="1358">
        <f t="shared" si="70"/>
        <v>3.6475224878802126E-3</v>
      </c>
      <c r="P287" s="1358">
        <f t="shared" si="71"/>
        <v>2.8911737332479493E-3</v>
      </c>
      <c r="Q287" s="1358">
        <f t="shared" si="72"/>
        <v>7.995628675057145E-3</v>
      </c>
      <c r="R287" s="1358">
        <f t="shared" si="73"/>
        <v>0</v>
      </c>
      <c r="S287" s="1358">
        <f t="shared" si="74"/>
        <v>7.5014019026735379E-2</v>
      </c>
      <c r="T287" s="1358">
        <f t="shared" si="65"/>
        <v>1.2494349550516628</v>
      </c>
      <c r="U287" s="595">
        <f>IF('TAR_Tab 2_Volumina'!C290="storage",1,0)</f>
        <v>0</v>
      </c>
      <c r="V287" s="1362">
        <f t="shared" si="77"/>
        <v>1.2494349550516628</v>
      </c>
      <c r="W287" s="1362">
        <f t="shared" si="75"/>
        <v>1.316383410443474</v>
      </c>
      <c r="X287" s="1355">
        <f t="shared" si="76"/>
        <v>1.3160000000000001</v>
      </c>
      <c r="Y287" s="1355">
        <f>X287+'TAR_Tab 13_Overige tarieven'!$T$15+'TAR_Tab 13_Overige tarieven'!$T$16</f>
        <v>1.4690000000000001</v>
      </c>
      <c r="Z287" s="960"/>
    </row>
    <row r="288" spans="1:26">
      <c r="A288" s="155">
        <v>300740</v>
      </c>
      <c r="B288" s="156" t="s">
        <v>1100</v>
      </c>
      <c r="C288" s="839">
        <v>1.2294023427332432</v>
      </c>
      <c r="D288" s="1356">
        <f t="shared" si="66"/>
        <v>1.1723580740304207</v>
      </c>
      <c r="E288" s="1356">
        <f t="shared" si="67"/>
        <v>1.2387632136183389</v>
      </c>
      <c r="F288" s="1357"/>
      <c r="G288" s="1358">
        <f t="shared" si="68"/>
        <v>1.1768250529374218</v>
      </c>
      <c r="H288" s="1358">
        <f t="shared" si="69"/>
        <v>1.3007013742992559</v>
      </c>
      <c r="I288" s="833">
        <v>1.2453120226023722</v>
      </c>
      <c r="J288" s="1359" t="b">
        <f t="shared" si="63"/>
        <v>1</v>
      </c>
      <c r="K288" s="1583"/>
      <c r="L288" s="17"/>
      <c r="M288" s="1361">
        <f t="shared" si="64"/>
        <v>1.2453120226023722</v>
      </c>
      <c r="N288" s="1350"/>
      <c r="O288" s="1358">
        <f t="shared" si="70"/>
        <v>3.9161617724420561E-3</v>
      </c>
      <c r="P288" s="1358">
        <f t="shared" si="71"/>
        <v>3.1041080868604199E-3</v>
      </c>
      <c r="Q288" s="1358">
        <f t="shared" si="72"/>
        <v>8.5845050902201951E-3</v>
      </c>
      <c r="R288" s="1358">
        <f t="shared" si="73"/>
        <v>0</v>
      </c>
      <c r="S288" s="1358">
        <f t="shared" si="74"/>
        <v>8.0538786172218296E-2</v>
      </c>
      <c r="T288" s="1358">
        <f t="shared" si="65"/>
        <v>1.3414555837241131</v>
      </c>
      <c r="U288" s="595">
        <f>IF('TAR_Tab 2_Volumina'!C291="storage",1,0)</f>
        <v>0</v>
      </c>
      <c r="V288" s="1362">
        <f t="shared" si="77"/>
        <v>1.3414555837241131</v>
      </c>
      <c r="W288" s="1362">
        <f t="shared" si="75"/>
        <v>1.413334779150766</v>
      </c>
      <c r="X288" s="1355">
        <f t="shared" si="76"/>
        <v>1.413</v>
      </c>
      <c r="Y288" s="1355">
        <f>X288+'TAR_Tab 13_Overige tarieven'!$T$15+'TAR_Tab 13_Overige tarieven'!$T$16</f>
        <v>1.5660000000000001</v>
      </c>
      <c r="Z288" s="960"/>
    </row>
    <row r="289" spans="1:26">
      <c r="A289" s="155">
        <v>300747</v>
      </c>
      <c r="B289" s="156" t="s">
        <v>430</v>
      </c>
      <c r="C289" s="839">
        <v>1.2294023427332432</v>
      </c>
      <c r="D289" s="1356">
        <f t="shared" si="66"/>
        <v>1.1723580740304207</v>
      </c>
      <c r="E289" s="1356">
        <f t="shared" si="67"/>
        <v>1.2387632136183389</v>
      </c>
      <c r="F289" s="1357"/>
      <c r="G289" s="1358">
        <f t="shared" si="68"/>
        <v>1.1768250529374218</v>
      </c>
      <c r="H289" s="1358">
        <f t="shared" si="69"/>
        <v>1.3007013742992559</v>
      </c>
      <c r="I289" s="833">
        <v>1.2453120226023722</v>
      </c>
      <c r="J289" s="1359" t="b">
        <f t="shared" si="63"/>
        <v>1</v>
      </c>
      <c r="K289" s="1583"/>
      <c r="L289" s="17"/>
      <c r="M289" s="1361">
        <f t="shared" si="64"/>
        <v>1.2453120226023722</v>
      </c>
      <c r="N289" s="1350"/>
      <c r="O289" s="1358">
        <f t="shared" si="70"/>
        <v>3.9161617724420561E-3</v>
      </c>
      <c r="P289" s="1358">
        <f t="shared" si="71"/>
        <v>3.1041080868604199E-3</v>
      </c>
      <c r="Q289" s="1358">
        <f t="shared" si="72"/>
        <v>8.5845050902201951E-3</v>
      </c>
      <c r="R289" s="1358">
        <f t="shared" si="73"/>
        <v>0</v>
      </c>
      <c r="S289" s="1358">
        <f t="shared" si="74"/>
        <v>8.0538786172218296E-2</v>
      </c>
      <c r="T289" s="1358">
        <f t="shared" si="65"/>
        <v>1.3414555837241131</v>
      </c>
      <c r="U289" s="595">
        <f>IF('TAR_Tab 2_Volumina'!C292="storage",1,0)</f>
        <v>0</v>
      </c>
      <c r="V289" s="1362">
        <f t="shared" si="77"/>
        <v>1.3414555837241131</v>
      </c>
      <c r="W289" s="1362">
        <f t="shared" si="75"/>
        <v>1.413334779150766</v>
      </c>
      <c r="X289" s="1355">
        <f t="shared" si="76"/>
        <v>1.413</v>
      </c>
      <c r="Y289" s="1355">
        <f>X289+'TAR_Tab 13_Overige tarieven'!$T$15+'TAR_Tab 13_Overige tarieven'!$T$16</f>
        <v>1.5660000000000001</v>
      </c>
      <c r="Z289" s="960"/>
    </row>
    <row r="290" spans="1:26">
      <c r="A290" s="155">
        <v>300748</v>
      </c>
      <c r="B290" s="156" t="s">
        <v>431</v>
      </c>
      <c r="C290" s="839">
        <v>2.1189698915402242</v>
      </c>
      <c r="D290" s="1356">
        <f t="shared" si="66"/>
        <v>2.0206496885727576</v>
      </c>
      <c r="E290" s="1356">
        <f t="shared" si="67"/>
        <v>2.135104075504779</v>
      </c>
      <c r="F290" s="1357"/>
      <c r="G290" s="1358">
        <f t="shared" si="68"/>
        <v>2.0283488717295399</v>
      </c>
      <c r="H290" s="1358">
        <f t="shared" si="69"/>
        <v>2.241859279280018</v>
      </c>
      <c r="I290" s="833">
        <v>2.1463914535910806</v>
      </c>
      <c r="J290" s="1359" t="b">
        <f t="shared" si="63"/>
        <v>1</v>
      </c>
      <c r="K290" s="1583"/>
      <c r="L290" s="17"/>
      <c r="M290" s="1361">
        <f t="shared" si="64"/>
        <v>2.1463914535910806</v>
      </c>
      <c r="N290" s="1350"/>
      <c r="O290" s="1358">
        <f t="shared" si="70"/>
        <v>6.7498072825830568E-3</v>
      </c>
      <c r="P290" s="1358">
        <f t="shared" si="71"/>
        <v>5.3501700358895045E-3</v>
      </c>
      <c r="Q290" s="1358">
        <f t="shared" si="72"/>
        <v>1.4796057553875459E-2</v>
      </c>
      <c r="R290" s="1358">
        <f t="shared" si="73"/>
        <v>0</v>
      </c>
      <c r="S290" s="1358">
        <f t="shared" si="74"/>
        <v>0.138814818443173</v>
      </c>
      <c r="T290" s="1358">
        <f t="shared" si="65"/>
        <v>2.3121023069066018</v>
      </c>
      <c r="U290" s="595">
        <f>IF('TAR_Tab 2_Volumina'!C293="storage",1,0)</f>
        <v>0</v>
      </c>
      <c r="V290" s="1362">
        <f t="shared" si="77"/>
        <v>2.3121023069066018</v>
      </c>
      <c r="W290" s="1362">
        <f t="shared" si="75"/>
        <v>2.4359916518696134</v>
      </c>
      <c r="X290" s="1355">
        <f t="shared" si="76"/>
        <v>2.4359999999999999</v>
      </c>
      <c r="Y290" s="1355">
        <f>X290+'TAR_Tab 13_Overige tarieven'!$T$15+'TAR_Tab 13_Overige tarieven'!$T$16</f>
        <v>2.589</v>
      </c>
      <c r="Z290" s="960"/>
    </row>
    <row r="291" spans="1:26">
      <c r="A291" s="155">
        <v>300754</v>
      </c>
      <c r="B291" s="156" t="s">
        <v>432</v>
      </c>
      <c r="C291" s="839">
        <v>1.1895026917880913</v>
      </c>
      <c r="D291" s="1356">
        <f t="shared" si="66"/>
        <v>1.1343097668891238</v>
      </c>
      <c r="E291" s="1356">
        <f t="shared" si="67"/>
        <v>1.1985597601930096</v>
      </c>
      <c r="F291" s="1357"/>
      <c r="G291" s="1358">
        <f t="shared" si="68"/>
        <v>1.138631772183359</v>
      </c>
      <c r="H291" s="1358">
        <f t="shared" si="69"/>
        <v>1.2584877482026602</v>
      </c>
      <c r="I291" s="833">
        <v>1.2048960307886838</v>
      </c>
      <c r="J291" s="1359" t="b">
        <f t="shared" si="63"/>
        <v>1</v>
      </c>
      <c r="K291" s="1583"/>
      <c r="L291" s="17"/>
      <c r="M291" s="1361">
        <f t="shared" si="64"/>
        <v>1.2048960307886838</v>
      </c>
      <c r="N291" s="1350"/>
      <c r="O291" s="1358">
        <f t="shared" si="70"/>
        <v>3.7890646600209107E-3</v>
      </c>
      <c r="P291" s="1358">
        <f t="shared" si="71"/>
        <v>3.0033657791091579E-3</v>
      </c>
      <c r="Q291" s="1358">
        <f t="shared" si="72"/>
        <v>8.3058991816978723E-3</v>
      </c>
      <c r="R291" s="1358">
        <f t="shared" si="73"/>
        <v>0</v>
      </c>
      <c r="S291" s="1358">
        <f t="shared" si="74"/>
        <v>7.792493931011335E-2</v>
      </c>
      <c r="T291" s="1358">
        <f t="shared" si="65"/>
        <v>1.2979192997196249</v>
      </c>
      <c r="U291" s="595">
        <f>IF('TAR_Tab 2_Volumina'!C294="storage",1,0)</f>
        <v>0</v>
      </c>
      <c r="V291" s="1362">
        <f t="shared" si="77"/>
        <v>1.2979192997196249</v>
      </c>
      <c r="W291" s="1362">
        <f t="shared" si="75"/>
        <v>1.3674656910608669</v>
      </c>
      <c r="X291" s="1355">
        <f t="shared" si="76"/>
        <v>1.367</v>
      </c>
      <c r="Y291" s="1355">
        <f>X291+'TAR_Tab 13_Overige tarieven'!$T$15+'TAR_Tab 13_Overige tarieven'!$T$16</f>
        <v>1.52</v>
      </c>
      <c r="Z291" s="960"/>
    </row>
    <row r="292" spans="1:26">
      <c r="A292" s="155">
        <v>300755</v>
      </c>
      <c r="B292" s="156" t="s">
        <v>433</v>
      </c>
      <c r="C292" s="839">
        <v>1.1865412742981627</v>
      </c>
      <c r="D292" s="1356">
        <f t="shared" si="66"/>
        <v>1.1314857591707279</v>
      </c>
      <c r="E292" s="1356">
        <f t="shared" si="67"/>
        <v>1.1955757939850606</v>
      </c>
      <c r="F292" s="1357"/>
      <c r="G292" s="1358">
        <f t="shared" si="68"/>
        <v>1.1357970042858077</v>
      </c>
      <c r="H292" s="1358">
        <f t="shared" si="69"/>
        <v>1.2553545836843136</v>
      </c>
      <c r="I292" s="833">
        <v>1.2018962896331939</v>
      </c>
      <c r="J292" s="1359" t="b">
        <f t="shared" si="63"/>
        <v>1</v>
      </c>
      <c r="K292" s="1583"/>
      <c r="L292" s="17"/>
      <c r="M292" s="1361">
        <f t="shared" si="64"/>
        <v>1.2018962896331939</v>
      </c>
      <c r="N292" s="1350"/>
      <c r="O292" s="1358">
        <f t="shared" si="70"/>
        <v>3.7796313040208609E-3</v>
      </c>
      <c r="P292" s="1358">
        <f t="shared" si="71"/>
        <v>2.9958885199080579E-3</v>
      </c>
      <c r="Q292" s="1358">
        <f t="shared" si="72"/>
        <v>8.2852205945235253E-3</v>
      </c>
      <c r="R292" s="1358">
        <f t="shared" si="73"/>
        <v>0</v>
      </c>
      <c r="S292" s="1358">
        <f t="shared" si="74"/>
        <v>7.7730935311830951E-2</v>
      </c>
      <c r="T292" s="1358">
        <f t="shared" si="65"/>
        <v>1.2946879653634773</v>
      </c>
      <c r="U292" s="595">
        <f>IF('TAR_Tab 2_Volumina'!C295="storage",1,0)</f>
        <v>0</v>
      </c>
      <c r="V292" s="1362">
        <f t="shared" si="77"/>
        <v>1.2946879653634773</v>
      </c>
      <c r="W292" s="1362">
        <f t="shared" si="75"/>
        <v>1.3640612121619611</v>
      </c>
      <c r="X292" s="1355">
        <f t="shared" si="76"/>
        <v>1.3640000000000001</v>
      </c>
      <c r="Y292" s="1355">
        <f>X292+'TAR_Tab 13_Overige tarieven'!$T$15+'TAR_Tab 13_Overige tarieven'!$T$16</f>
        <v>1.5170000000000001</v>
      </c>
      <c r="Z292" s="960"/>
    </row>
    <row r="293" spans="1:26">
      <c r="A293" s="155">
        <v>300758</v>
      </c>
      <c r="B293" s="156" t="s">
        <v>434</v>
      </c>
      <c r="C293" s="839">
        <v>1.1865412742981627</v>
      </c>
      <c r="D293" s="1356">
        <f t="shared" si="66"/>
        <v>1.1314857591707279</v>
      </c>
      <c r="E293" s="1356">
        <f t="shared" si="67"/>
        <v>1.1955757939850606</v>
      </c>
      <c r="F293" s="1357"/>
      <c r="G293" s="1358">
        <f t="shared" si="68"/>
        <v>1.1357970042858077</v>
      </c>
      <c r="H293" s="1358">
        <f t="shared" si="69"/>
        <v>1.2553545836843136</v>
      </c>
      <c r="I293" s="833">
        <v>1.2018962896331939</v>
      </c>
      <c r="J293" s="1359" t="b">
        <f t="shared" si="63"/>
        <v>1</v>
      </c>
      <c r="K293" s="1583"/>
      <c r="L293" s="17"/>
      <c r="M293" s="1361">
        <f t="shared" si="64"/>
        <v>1.2018962896331939</v>
      </c>
      <c r="N293" s="1350"/>
      <c r="O293" s="1358">
        <f t="shared" si="70"/>
        <v>3.7796313040208609E-3</v>
      </c>
      <c r="P293" s="1358">
        <f t="shared" si="71"/>
        <v>2.9958885199080579E-3</v>
      </c>
      <c r="Q293" s="1358">
        <f t="shared" si="72"/>
        <v>8.2852205945235253E-3</v>
      </c>
      <c r="R293" s="1358">
        <f t="shared" si="73"/>
        <v>0</v>
      </c>
      <c r="S293" s="1358">
        <f t="shared" si="74"/>
        <v>7.7730935311830951E-2</v>
      </c>
      <c r="T293" s="1358">
        <f t="shared" si="65"/>
        <v>1.2946879653634773</v>
      </c>
      <c r="U293" s="595">
        <f>IF('TAR_Tab 2_Volumina'!C296="storage",1,0)</f>
        <v>0</v>
      </c>
      <c r="V293" s="1362">
        <f t="shared" si="77"/>
        <v>1.2946879653634773</v>
      </c>
      <c r="W293" s="1362">
        <f t="shared" si="75"/>
        <v>1.3640612121619611</v>
      </c>
      <c r="X293" s="1355">
        <f t="shared" si="76"/>
        <v>1.3640000000000001</v>
      </c>
      <c r="Y293" s="1355">
        <f>X293+'TAR_Tab 13_Overige tarieven'!$T$15+'TAR_Tab 13_Overige tarieven'!$T$16</f>
        <v>1.5170000000000001</v>
      </c>
      <c r="Z293" s="960"/>
    </row>
    <row r="294" spans="1:26">
      <c r="A294" s="155">
        <v>300767</v>
      </c>
      <c r="B294" s="156" t="s">
        <v>435</v>
      </c>
      <c r="C294" s="839">
        <v>1.2014159479393158</v>
      </c>
      <c r="D294" s="1356">
        <f t="shared" si="66"/>
        <v>1.1456702479549317</v>
      </c>
      <c r="E294" s="1356">
        <f t="shared" si="67"/>
        <v>1.2105637258286532</v>
      </c>
      <c r="F294" s="1357"/>
      <c r="G294" s="1358">
        <f t="shared" si="68"/>
        <v>1.1500355395372206</v>
      </c>
      <c r="H294" s="1358">
        <f t="shared" si="69"/>
        <v>1.2710919121200859</v>
      </c>
      <c r="I294" s="833">
        <v>1.2169634562341882</v>
      </c>
      <c r="J294" s="1359" t="b">
        <f t="shared" si="63"/>
        <v>1</v>
      </c>
      <c r="K294" s="1583"/>
      <c r="L294" s="17"/>
      <c r="M294" s="1361">
        <f t="shared" si="64"/>
        <v>1.2169634562341882</v>
      </c>
      <c r="N294" s="1350"/>
      <c r="O294" s="1358">
        <f t="shared" si="70"/>
        <v>3.8270133743702047E-3</v>
      </c>
      <c r="P294" s="1358">
        <f t="shared" si="71"/>
        <v>3.0334454637448985E-3</v>
      </c>
      <c r="Q294" s="1358">
        <f t="shared" si="72"/>
        <v>8.3890854621501421E-3</v>
      </c>
      <c r="R294" s="1358">
        <f t="shared" si="73"/>
        <v>0</v>
      </c>
      <c r="S294" s="1358">
        <f t="shared" si="74"/>
        <v>7.8705382909761312E-2</v>
      </c>
      <c r="T294" s="1358">
        <f t="shared" si="65"/>
        <v>1.3109183834442149</v>
      </c>
      <c r="U294" s="595">
        <f>IF('TAR_Tab 2_Volumina'!C297="storage",1,0)</f>
        <v>0</v>
      </c>
      <c r="V294" s="1362">
        <f t="shared" si="77"/>
        <v>1.3109183834442149</v>
      </c>
      <c r="W294" s="1362">
        <f t="shared" si="75"/>
        <v>1.3811613045034319</v>
      </c>
      <c r="X294" s="1355">
        <f t="shared" si="76"/>
        <v>1.381</v>
      </c>
      <c r="Y294" s="1355">
        <f>X294+'TAR_Tab 13_Overige tarieven'!$T$15+'TAR_Tab 13_Overige tarieven'!$T$16</f>
        <v>1.534</v>
      </c>
      <c r="Z294" s="960"/>
    </row>
    <row r="295" spans="1:26">
      <c r="A295" s="155">
        <v>300768</v>
      </c>
      <c r="B295" s="156" t="s">
        <v>436</v>
      </c>
      <c r="C295" s="839">
        <v>1.145068297057555</v>
      </c>
      <c r="D295" s="1356">
        <f t="shared" si="66"/>
        <v>1.0919371280740844</v>
      </c>
      <c r="E295" s="1356">
        <f t="shared" si="67"/>
        <v>1.1537870347000598</v>
      </c>
      <c r="F295" s="1357"/>
      <c r="G295" s="1358">
        <f t="shared" si="68"/>
        <v>1.0960976829650568</v>
      </c>
      <c r="H295" s="1358">
        <f t="shared" si="69"/>
        <v>1.2114763864350628</v>
      </c>
      <c r="I295" s="833">
        <v>1.159886611128742</v>
      </c>
      <c r="J295" s="1359" t="b">
        <f t="shared" si="63"/>
        <v>1</v>
      </c>
      <c r="K295" s="1583"/>
      <c r="L295" s="17"/>
      <c r="M295" s="1361">
        <f t="shared" si="64"/>
        <v>1.159886611128742</v>
      </c>
      <c r="N295" s="1350"/>
      <c r="O295" s="1358">
        <f t="shared" si="70"/>
        <v>3.6475224878802126E-3</v>
      </c>
      <c r="P295" s="1358">
        <f t="shared" si="71"/>
        <v>2.8911737332479493E-3</v>
      </c>
      <c r="Q295" s="1358">
        <f t="shared" si="72"/>
        <v>7.995628675057145E-3</v>
      </c>
      <c r="R295" s="1358">
        <f t="shared" si="73"/>
        <v>0</v>
      </c>
      <c r="S295" s="1358">
        <f t="shared" si="74"/>
        <v>7.5014019026735379E-2</v>
      </c>
      <c r="T295" s="1358">
        <f t="shared" si="65"/>
        <v>1.2494349550516628</v>
      </c>
      <c r="U295" s="595">
        <f>IF('TAR_Tab 2_Volumina'!C298="storage",1,0)</f>
        <v>0</v>
      </c>
      <c r="V295" s="1362">
        <f t="shared" si="77"/>
        <v>1.2494349550516628</v>
      </c>
      <c r="W295" s="1362">
        <f t="shared" si="75"/>
        <v>1.316383410443474</v>
      </c>
      <c r="X295" s="1355">
        <f t="shared" si="76"/>
        <v>1.3160000000000001</v>
      </c>
      <c r="Y295" s="1355">
        <f>X295+'TAR_Tab 13_Overige tarieven'!$T$15+'TAR_Tab 13_Overige tarieven'!$T$16</f>
        <v>1.4690000000000001</v>
      </c>
      <c r="Z295" s="960"/>
    </row>
    <row r="296" spans="1:26">
      <c r="A296" s="155">
        <v>300771</v>
      </c>
      <c r="B296" s="156" t="s">
        <v>416</v>
      </c>
      <c r="C296" s="839">
        <v>1.145068297057555</v>
      </c>
      <c r="D296" s="1356">
        <f t="shared" si="66"/>
        <v>1.0919371280740844</v>
      </c>
      <c r="E296" s="1356">
        <f t="shared" si="67"/>
        <v>1.1537870347000598</v>
      </c>
      <c r="F296" s="1357"/>
      <c r="G296" s="1358">
        <f t="shared" si="68"/>
        <v>1.0960976829650568</v>
      </c>
      <c r="H296" s="1358">
        <f t="shared" si="69"/>
        <v>1.2114763864350628</v>
      </c>
      <c r="I296" s="833">
        <v>1.159886611128742</v>
      </c>
      <c r="J296" s="1359" t="b">
        <f t="shared" si="63"/>
        <v>1</v>
      </c>
      <c r="K296" s="1583"/>
      <c r="L296" s="17"/>
      <c r="M296" s="1361">
        <f t="shared" si="64"/>
        <v>1.159886611128742</v>
      </c>
      <c r="N296" s="1350"/>
      <c r="O296" s="1358">
        <f t="shared" si="70"/>
        <v>3.6475224878802126E-3</v>
      </c>
      <c r="P296" s="1358">
        <f t="shared" si="71"/>
        <v>2.8911737332479493E-3</v>
      </c>
      <c r="Q296" s="1358">
        <f t="shared" si="72"/>
        <v>7.995628675057145E-3</v>
      </c>
      <c r="R296" s="1358">
        <f t="shared" si="73"/>
        <v>0</v>
      </c>
      <c r="S296" s="1358">
        <f t="shared" si="74"/>
        <v>7.5014019026735379E-2</v>
      </c>
      <c r="T296" s="1358">
        <f t="shared" si="65"/>
        <v>1.2494349550516628</v>
      </c>
      <c r="U296" s="595">
        <f>IF('TAR_Tab 2_Volumina'!C299="storage",1,0)</f>
        <v>0</v>
      </c>
      <c r="V296" s="1362">
        <f t="shared" si="77"/>
        <v>1.2494349550516628</v>
      </c>
      <c r="W296" s="1362">
        <f t="shared" si="75"/>
        <v>1.316383410443474</v>
      </c>
      <c r="X296" s="1355">
        <f t="shared" si="76"/>
        <v>1.3160000000000001</v>
      </c>
      <c r="Y296" s="1355">
        <f>X296+'TAR_Tab 13_Overige tarieven'!$T$15+'TAR_Tab 13_Overige tarieven'!$T$16</f>
        <v>1.4690000000000001</v>
      </c>
      <c r="Z296" s="960"/>
    </row>
    <row r="297" spans="1:26">
      <c r="A297" s="155">
        <v>300772</v>
      </c>
      <c r="B297" s="156" t="s">
        <v>1101</v>
      </c>
      <c r="C297" s="839">
        <v>1.119001701677383</v>
      </c>
      <c r="D297" s="1356">
        <f t="shared" si="66"/>
        <v>1.0670800227195525</v>
      </c>
      <c r="E297" s="1356">
        <f t="shared" si="67"/>
        <v>1.1275219639914407</v>
      </c>
      <c r="F297" s="1357"/>
      <c r="G297" s="1358">
        <f t="shared" si="68"/>
        <v>1.0711458657918687</v>
      </c>
      <c r="H297" s="1358">
        <f t="shared" si="69"/>
        <v>1.1838980621910127</v>
      </c>
      <c r="I297" s="833">
        <v>1.133482688273779</v>
      </c>
      <c r="J297" s="1359" t="b">
        <f t="shared" si="63"/>
        <v>1</v>
      </c>
      <c r="K297" s="1583"/>
      <c r="L297" s="17"/>
      <c r="M297" s="1361">
        <f t="shared" si="64"/>
        <v>1.133482688273779</v>
      </c>
      <c r="N297" s="1350"/>
      <c r="O297" s="1358">
        <f t="shared" si="70"/>
        <v>3.5644894556357857E-3</v>
      </c>
      <c r="P297" s="1358">
        <f t="shared" si="71"/>
        <v>2.8253583962309231E-3</v>
      </c>
      <c r="Q297" s="1358">
        <f t="shared" si="72"/>
        <v>7.8136143637550313E-3</v>
      </c>
      <c r="R297" s="1358">
        <f t="shared" si="73"/>
        <v>0</v>
      </c>
      <c r="S297" s="1358">
        <f t="shared" si="74"/>
        <v>7.3306382821248739E-2</v>
      </c>
      <c r="T297" s="1358">
        <f t="shared" si="65"/>
        <v>1.2209925333106495</v>
      </c>
      <c r="U297" s="595">
        <f>IF('TAR_Tab 2_Volumina'!C300="storage",1,0)</f>
        <v>0</v>
      </c>
      <c r="V297" s="1362">
        <f t="shared" si="77"/>
        <v>1.2209925333106495</v>
      </c>
      <c r="W297" s="1362">
        <f t="shared" si="75"/>
        <v>1.2864169588236227</v>
      </c>
      <c r="X297" s="1355">
        <f t="shared" si="76"/>
        <v>1.286</v>
      </c>
      <c r="Y297" s="1355">
        <f>X297+'TAR_Tab 13_Overige tarieven'!$T$15+'TAR_Tab 13_Overige tarieven'!$T$16</f>
        <v>1.4390000000000001</v>
      </c>
      <c r="Z297" s="960"/>
    </row>
    <row r="298" spans="1:26">
      <c r="A298" s="155">
        <v>300773</v>
      </c>
      <c r="B298" s="156" t="s">
        <v>171</v>
      </c>
      <c r="C298" s="839">
        <v>1.9260636702820808</v>
      </c>
      <c r="D298" s="1356">
        <f t="shared" si="66"/>
        <v>1.8366943159809923</v>
      </c>
      <c r="E298" s="1356">
        <f t="shared" si="67"/>
        <v>1.9407290346687307</v>
      </c>
      <c r="F298" s="1357"/>
      <c r="G298" s="1358">
        <f t="shared" si="68"/>
        <v>1.8436925829352941</v>
      </c>
      <c r="H298" s="1358">
        <f t="shared" si="69"/>
        <v>2.0377654864021673</v>
      </c>
      <c r="I298" s="833">
        <v>1.950988835410383</v>
      </c>
      <c r="J298" s="1359" t="b">
        <f t="shared" si="63"/>
        <v>1</v>
      </c>
      <c r="K298" s="1583"/>
      <c r="L298" s="17"/>
      <c r="M298" s="1361">
        <f t="shared" si="64"/>
        <v>1.950988835410383</v>
      </c>
      <c r="N298" s="1350"/>
      <c r="O298" s="1358">
        <f t="shared" si="70"/>
        <v>6.1353201101592208E-3</v>
      </c>
      <c r="P298" s="1358">
        <f t="shared" si="71"/>
        <v>4.8631026694146576E-3</v>
      </c>
      <c r="Q298" s="1358">
        <f t="shared" si="72"/>
        <v>1.3449057974678305E-2</v>
      </c>
      <c r="R298" s="1358">
        <f t="shared" si="73"/>
        <v>0</v>
      </c>
      <c r="S298" s="1358">
        <f t="shared" si="74"/>
        <v>0.12617743166980866</v>
      </c>
      <c r="T298" s="1358">
        <f t="shared" si="65"/>
        <v>2.1016137478344437</v>
      </c>
      <c r="U298" s="595">
        <f>IF('TAR_Tab 2_Volumina'!C301="storage",1,0)</f>
        <v>0</v>
      </c>
      <c r="V298" s="1362">
        <f t="shared" si="77"/>
        <v>2.1016137478344437</v>
      </c>
      <c r="W298" s="1362">
        <f t="shared" si="75"/>
        <v>2.2142244873362</v>
      </c>
      <c r="X298" s="1355">
        <f t="shared" si="76"/>
        <v>2.214</v>
      </c>
      <c r="Y298" s="1355">
        <f>X298+'TAR_Tab 13_Overige tarieven'!$T$15+'TAR_Tab 13_Overige tarieven'!$T$16</f>
        <v>2.367</v>
      </c>
      <c r="Z298" s="960"/>
    </row>
    <row r="299" spans="1:26">
      <c r="A299" s="155">
        <v>300779</v>
      </c>
      <c r="B299" s="156" t="s">
        <v>1102</v>
      </c>
      <c r="C299" s="839">
        <v>1.4662871843818437</v>
      </c>
      <c r="D299" s="1356">
        <f t="shared" si="66"/>
        <v>1.3982514590265263</v>
      </c>
      <c r="E299" s="1356">
        <f t="shared" si="67"/>
        <v>1.4774517352667504</v>
      </c>
      <c r="F299" s="1357"/>
      <c r="G299" s="1358">
        <f t="shared" si="68"/>
        <v>1.4035791485034128</v>
      </c>
      <c r="H299" s="1358">
        <f t="shared" si="69"/>
        <v>1.5513243220300881</v>
      </c>
      <c r="I299" s="833">
        <v>1.4852623879330731</v>
      </c>
      <c r="J299" s="1359" t="b">
        <f t="shared" si="63"/>
        <v>1</v>
      </c>
      <c r="K299" s="1583"/>
      <c r="L299" s="17"/>
      <c r="M299" s="1361">
        <f t="shared" si="64"/>
        <v>1.4852623879330731</v>
      </c>
      <c r="N299" s="1350"/>
      <c r="O299" s="1358">
        <f t="shared" si="70"/>
        <v>4.6707392846930861E-3</v>
      </c>
      <c r="P299" s="1358">
        <f t="shared" si="71"/>
        <v>3.7022167182310856E-3</v>
      </c>
      <c r="Q299" s="1358">
        <f t="shared" si="72"/>
        <v>1.0238592656384573E-2</v>
      </c>
      <c r="R299" s="1358">
        <f t="shared" si="73"/>
        <v>0</v>
      </c>
      <c r="S299" s="1358">
        <f t="shared" si="74"/>
        <v>9.6057235215157924E-2</v>
      </c>
      <c r="T299" s="1358">
        <f t="shared" si="65"/>
        <v>1.5999311718075397</v>
      </c>
      <c r="U299" s="595">
        <f>IF('TAR_Tab 2_Volumina'!C302="storage",1,0)</f>
        <v>0</v>
      </c>
      <c r="V299" s="1362">
        <f t="shared" si="77"/>
        <v>1.5999311718075397</v>
      </c>
      <c r="W299" s="1362">
        <f t="shared" si="75"/>
        <v>1.6856602609871332</v>
      </c>
      <c r="X299" s="1355">
        <f t="shared" si="76"/>
        <v>1.6859999999999999</v>
      </c>
      <c r="Y299" s="1355">
        <f>X299+'TAR_Tab 13_Overige tarieven'!$T$15+'TAR_Tab 13_Overige tarieven'!$T$16</f>
        <v>1.839</v>
      </c>
      <c r="Z299" s="960"/>
    </row>
    <row r="300" spans="1:26">
      <c r="A300" s="155">
        <v>300784</v>
      </c>
      <c r="B300" s="156" t="s">
        <v>437</v>
      </c>
      <c r="C300" s="839">
        <v>1.6300931610957554</v>
      </c>
      <c r="D300" s="1356">
        <f t="shared" si="66"/>
        <v>1.5544568384209123</v>
      </c>
      <c r="E300" s="1356">
        <f t="shared" si="67"/>
        <v>1.6425049575282968</v>
      </c>
      <c r="F300" s="1357"/>
      <c r="G300" s="1358">
        <f t="shared" si="68"/>
        <v>1.5603797096518819</v>
      </c>
      <c r="H300" s="1358">
        <f t="shared" si="69"/>
        <v>1.7246302054047118</v>
      </c>
      <c r="I300" s="833">
        <v>1.6511881756800224</v>
      </c>
      <c r="J300" s="1359" t="b">
        <f t="shared" si="63"/>
        <v>1</v>
      </c>
      <c r="K300" s="1583"/>
      <c r="L300" s="17"/>
      <c r="M300" s="1361">
        <f t="shared" si="64"/>
        <v>1.6511881756800224</v>
      </c>
      <c r="N300" s="1350"/>
      <c r="O300" s="1358">
        <f t="shared" si="70"/>
        <v>5.1925299807140269E-3</v>
      </c>
      <c r="P300" s="1358">
        <f t="shared" si="71"/>
        <v>4.1158091113147645E-3</v>
      </c>
      <c r="Q300" s="1358">
        <f t="shared" si="72"/>
        <v>1.1382394967500049E-2</v>
      </c>
      <c r="R300" s="1358">
        <f t="shared" si="73"/>
        <v>0</v>
      </c>
      <c r="S300" s="1358">
        <f t="shared" si="74"/>
        <v>0.10678824985025502</v>
      </c>
      <c r="T300" s="1358">
        <f t="shared" si="65"/>
        <v>1.7786671595898063</v>
      </c>
      <c r="U300" s="595">
        <f>IF('TAR_Tab 2_Volumina'!C303="storage",1,0)</f>
        <v>0</v>
      </c>
      <c r="V300" s="1362">
        <f t="shared" si="77"/>
        <v>1.7786671595898063</v>
      </c>
      <c r="W300" s="1362">
        <f t="shared" si="75"/>
        <v>1.8739734566557098</v>
      </c>
      <c r="X300" s="1355">
        <f t="shared" si="76"/>
        <v>1.8740000000000001</v>
      </c>
      <c r="Y300" s="1355">
        <f>X300+'TAR_Tab 13_Overige tarieven'!$T$15+'TAR_Tab 13_Overige tarieven'!$T$16</f>
        <v>2.0270000000000001</v>
      </c>
      <c r="Z300" s="960"/>
    </row>
    <row r="301" spans="1:26">
      <c r="A301" s="155">
        <v>300785</v>
      </c>
      <c r="B301" s="156" t="s">
        <v>629</v>
      </c>
      <c r="C301" s="839">
        <v>1.2014159479393158</v>
      </c>
      <c r="D301" s="1356">
        <f t="shared" si="66"/>
        <v>1.1456702479549317</v>
      </c>
      <c r="E301" s="1356">
        <f t="shared" si="67"/>
        <v>1.2105637258286532</v>
      </c>
      <c r="F301" s="1357"/>
      <c r="G301" s="1358">
        <f t="shared" si="68"/>
        <v>1.1500355395372206</v>
      </c>
      <c r="H301" s="1358">
        <f t="shared" si="69"/>
        <v>1.2710919121200859</v>
      </c>
      <c r="I301" s="833">
        <v>1.2169634562341882</v>
      </c>
      <c r="J301" s="1359" t="b">
        <f t="shared" si="63"/>
        <v>1</v>
      </c>
      <c r="K301" s="1583"/>
      <c r="L301" s="17"/>
      <c r="M301" s="1361">
        <f t="shared" si="64"/>
        <v>1.2169634562341882</v>
      </c>
      <c r="N301" s="1350"/>
      <c r="O301" s="1358">
        <f t="shared" si="70"/>
        <v>3.8270133743702047E-3</v>
      </c>
      <c r="P301" s="1358">
        <f t="shared" si="71"/>
        <v>3.0334454637448985E-3</v>
      </c>
      <c r="Q301" s="1358">
        <f t="shared" si="72"/>
        <v>8.3890854621501421E-3</v>
      </c>
      <c r="R301" s="1358">
        <f t="shared" si="73"/>
        <v>0</v>
      </c>
      <c r="S301" s="1358">
        <f t="shared" si="74"/>
        <v>7.8705382909761312E-2</v>
      </c>
      <c r="T301" s="1358">
        <f t="shared" si="65"/>
        <v>1.3109183834442149</v>
      </c>
      <c r="U301" s="595">
        <f>IF('TAR_Tab 2_Volumina'!C304="storage",1,0)</f>
        <v>0</v>
      </c>
      <c r="V301" s="1362">
        <f t="shared" si="77"/>
        <v>1.3109183834442149</v>
      </c>
      <c r="W301" s="1362">
        <f t="shared" si="75"/>
        <v>1.3811613045034319</v>
      </c>
      <c r="X301" s="1355">
        <f t="shared" si="76"/>
        <v>1.381</v>
      </c>
      <c r="Y301" s="1355">
        <f>X301+'TAR_Tab 13_Overige tarieven'!$T$15+'TAR_Tab 13_Overige tarieven'!$T$16</f>
        <v>1.534</v>
      </c>
      <c r="Z301" s="960"/>
    </row>
    <row r="302" spans="1:26">
      <c r="A302" s="155">
        <v>300786</v>
      </c>
      <c r="B302" s="156" t="s">
        <v>438</v>
      </c>
      <c r="C302" s="839">
        <v>1.2294023427332432</v>
      </c>
      <c r="D302" s="1356">
        <f t="shared" si="66"/>
        <v>1.1723580740304207</v>
      </c>
      <c r="E302" s="1356">
        <f t="shared" si="67"/>
        <v>1.2387632136183389</v>
      </c>
      <c r="F302" s="1357"/>
      <c r="G302" s="1358">
        <f t="shared" si="68"/>
        <v>1.1768250529374218</v>
      </c>
      <c r="H302" s="1358">
        <f t="shared" si="69"/>
        <v>1.3007013742992559</v>
      </c>
      <c r="I302" s="833">
        <v>1.2453120226023722</v>
      </c>
      <c r="J302" s="1359" t="b">
        <f t="shared" si="63"/>
        <v>1</v>
      </c>
      <c r="K302" s="1583"/>
      <c r="L302" s="17"/>
      <c r="M302" s="1361">
        <f t="shared" si="64"/>
        <v>1.2453120226023722</v>
      </c>
      <c r="N302" s="1350"/>
      <c r="O302" s="1358">
        <f t="shared" si="70"/>
        <v>3.9161617724420561E-3</v>
      </c>
      <c r="P302" s="1358">
        <f t="shared" si="71"/>
        <v>3.1041080868604199E-3</v>
      </c>
      <c r="Q302" s="1358">
        <f t="shared" si="72"/>
        <v>8.5845050902201951E-3</v>
      </c>
      <c r="R302" s="1358">
        <f t="shared" si="73"/>
        <v>0</v>
      </c>
      <c r="S302" s="1358">
        <f t="shared" si="74"/>
        <v>8.0538786172218296E-2</v>
      </c>
      <c r="T302" s="1358">
        <f t="shared" si="65"/>
        <v>1.3414555837241131</v>
      </c>
      <c r="U302" s="595">
        <f>IF('TAR_Tab 2_Volumina'!C305="storage",1,0)</f>
        <v>0</v>
      </c>
      <c r="V302" s="1362">
        <f t="shared" si="77"/>
        <v>1.3414555837241131</v>
      </c>
      <c r="W302" s="1362">
        <f t="shared" si="75"/>
        <v>1.413334779150766</v>
      </c>
      <c r="X302" s="1355">
        <f t="shared" si="76"/>
        <v>1.413</v>
      </c>
      <c r="Y302" s="1355">
        <f>X302+'TAR_Tab 13_Overige tarieven'!$T$15+'TAR_Tab 13_Overige tarieven'!$T$16</f>
        <v>1.5660000000000001</v>
      </c>
      <c r="Z302" s="960"/>
    </row>
    <row r="303" spans="1:26">
      <c r="A303" s="155">
        <v>300788</v>
      </c>
      <c r="B303" s="156" t="s">
        <v>1103</v>
      </c>
      <c r="C303" s="839">
        <v>1.5854075690154608</v>
      </c>
      <c r="D303" s="1356">
        <f t="shared" si="66"/>
        <v>1.5118446578131435</v>
      </c>
      <c r="E303" s="1356">
        <f t="shared" si="67"/>
        <v>1.5974791220278071</v>
      </c>
      <c r="F303" s="1357"/>
      <c r="G303" s="1358">
        <f t="shared" si="68"/>
        <v>1.5176051659264167</v>
      </c>
      <c r="H303" s="1358">
        <f t="shared" si="69"/>
        <v>1.6773530781291974</v>
      </c>
      <c r="I303" s="833">
        <v>1.6059243079286571</v>
      </c>
      <c r="J303" s="1359" t="b">
        <f t="shared" si="63"/>
        <v>1</v>
      </c>
      <c r="K303" s="1583"/>
      <c r="L303" s="17"/>
      <c r="M303" s="1361">
        <f t="shared" si="64"/>
        <v>1.6059243079286571</v>
      </c>
      <c r="N303" s="1350"/>
      <c r="O303" s="1358">
        <f t="shared" si="70"/>
        <v>5.0501876397235808E-3</v>
      </c>
      <c r="P303" s="1358">
        <f t="shared" si="71"/>
        <v>4.0029828192855764E-3</v>
      </c>
      <c r="Q303" s="1358">
        <f t="shared" si="72"/>
        <v>1.1070370433839285E-2</v>
      </c>
      <c r="R303" s="1358">
        <f t="shared" si="73"/>
        <v>0</v>
      </c>
      <c r="S303" s="1358">
        <f t="shared" si="74"/>
        <v>0.1038608734979922</v>
      </c>
      <c r="T303" s="1358">
        <f t="shared" si="65"/>
        <v>1.7299087223194978</v>
      </c>
      <c r="U303" s="595">
        <f>IF('TAR_Tab 2_Volumina'!C306="storage",1,0)</f>
        <v>0</v>
      </c>
      <c r="V303" s="1362">
        <f t="shared" si="77"/>
        <v>1.7299087223194978</v>
      </c>
      <c r="W303" s="1362">
        <f t="shared" si="75"/>
        <v>1.8226023967359648</v>
      </c>
      <c r="X303" s="1355">
        <f t="shared" si="76"/>
        <v>1.823</v>
      </c>
      <c r="Y303" s="1355">
        <f>X303+'TAR_Tab 13_Overige tarieven'!$T$15+'TAR_Tab 13_Overige tarieven'!$T$16</f>
        <v>1.976</v>
      </c>
      <c r="Z303" s="960"/>
    </row>
    <row r="304" spans="1:26">
      <c r="A304" s="155">
        <v>300790</v>
      </c>
      <c r="B304" s="156" t="s">
        <v>439</v>
      </c>
      <c r="C304" s="839">
        <v>2.1539376543415893</v>
      </c>
      <c r="D304" s="1356">
        <f t="shared" si="66"/>
        <v>2.0539949471801395</v>
      </c>
      <c r="E304" s="1356">
        <f t="shared" si="67"/>
        <v>2.1703380885818646</v>
      </c>
      <c r="F304" s="1357"/>
      <c r="G304" s="1358">
        <f t="shared" si="68"/>
        <v>2.0618211841527714</v>
      </c>
      <c r="H304" s="1358">
        <f t="shared" si="69"/>
        <v>2.2788549930109578</v>
      </c>
      <c r="I304" s="833">
        <v>2.1818117337600897</v>
      </c>
      <c r="J304" s="1359" t="b">
        <f t="shared" si="63"/>
        <v>1</v>
      </c>
      <c r="K304" s="1583"/>
      <c r="L304" s="17"/>
      <c r="M304" s="1361">
        <f t="shared" si="64"/>
        <v>2.1818117337600897</v>
      </c>
      <c r="N304" s="1350"/>
      <c r="O304" s="1358">
        <f t="shared" si="70"/>
        <v>6.8611942640378655E-3</v>
      </c>
      <c r="P304" s="1358">
        <f t="shared" si="71"/>
        <v>5.4384598589345915E-3</v>
      </c>
      <c r="Q304" s="1358">
        <f t="shared" si="72"/>
        <v>1.5040225738145027E-2</v>
      </c>
      <c r="R304" s="1358">
        <f t="shared" si="73"/>
        <v>0</v>
      </c>
      <c r="S304" s="1358">
        <f t="shared" si="74"/>
        <v>0.14110557475076127</v>
      </c>
      <c r="T304" s="1358">
        <f t="shared" si="65"/>
        <v>2.3502571883719687</v>
      </c>
      <c r="U304" s="595">
        <f>IF('TAR_Tab 2_Volumina'!C307="storage",1,0)</f>
        <v>0</v>
      </c>
      <c r="V304" s="1362">
        <f t="shared" si="77"/>
        <v>2.3502571883719687</v>
      </c>
      <c r="W304" s="1362">
        <f t="shared" si="75"/>
        <v>2.4761909858048234</v>
      </c>
      <c r="X304" s="1355">
        <f t="shared" si="76"/>
        <v>2.476</v>
      </c>
      <c r="Y304" s="1355">
        <f>X304+'TAR_Tab 13_Overige tarieven'!$T$15+'TAR_Tab 13_Overige tarieven'!$T$16</f>
        <v>2.629</v>
      </c>
      <c r="Z304" s="960"/>
    </row>
    <row r="305" spans="1:26">
      <c r="A305" s="155">
        <v>300791</v>
      </c>
      <c r="B305" s="156" t="s">
        <v>331</v>
      </c>
      <c r="C305" s="839">
        <v>1.145068297057555</v>
      </c>
      <c r="D305" s="1356">
        <f t="shared" si="66"/>
        <v>1.0919371280740844</v>
      </c>
      <c r="E305" s="1356">
        <f t="shared" si="67"/>
        <v>1.1537870347000598</v>
      </c>
      <c r="F305" s="1357"/>
      <c r="G305" s="1358">
        <f t="shared" si="68"/>
        <v>1.0960976829650568</v>
      </c>
      <c r="H305" s="1358">
        <f t="shared" si="69"/>
        <v>1.2114763864350628</v>
      </c>
      <c r="I305" s="833">
        <v>1.159886611128742</v>
      </c>
      <c r="J305" s="1359" t="b">
        <f t="shared" si="63"/>
        <v>1</v>
      </c>
      <c r="K305" s="1583"/>
      <c r="L305" s="17"/>
      <c r="M305" s="1361">
        <f t="shared" si="64"/>
        <v>1.159886611128742</v>
      </c>
      <c r="N305" s="1350"/>
      <c r="O305" s="1358">
        <f t="shared" si="70"/>
        <v>3.6475224878802126E-3</v>
      </c>
      <c r="P305" s="1358">
        <f t="shared" si="71"/>
        <v>2.8911737332479493E-3</v>
      </c>
      <c r="Q305" s="1358">
        <f t="shared" si="72"/>
        <v>7.995628675057145E-3</v>
      </c>
      <c r="R305" s="1358">
        <f t="shared" si="73"/>
        <v>0</v>
      </c>
      <c r="S305" s="1358">
        <f t="shared" si="74"/>
        <v>7.5014019026735379E-2</v>
      </c>
      <c r="T305" s="1358">
        <f t="shared" si="65"/>
        <v>1.2494349550516628</v>
      </c>
      <c r="U305" s="595">
        <f>IF('TAR_Tab 2_Volumina'!C308="storage",1,0)</f>
        <v>0</v>
      </c>
      <c r="V305" s="1362">
        <f t="shared" si="77"/>
        <v>1.2494349550516628</v>
      </c>
      <c r="W305" s="1362">
        <f t="shared" si="75"/>
        <v>1.316383410443474</v>
      </c>
      <c r="X305" s="1355">
        <f t="shared" si="76"/>
        <v>1.3160000000000001</v>
      </c>
      <c r="Y305" s="1355">
        <f>X305+'TAR_Tab 13_Overige tarieven'!$T$15+'TAR_Tab 13_Overige tarieven'!$T$16</f>
        <v>1.4690000000000001</v>
      </c>
      <c r="Z305" s="960"/>
    </row>
    <row r="306" spans="1:26">
      <c r="A306" s="155">
        <v>300792</v>
      </c>
      <c r="B306" s="156" t="s">
        <v>440</v>
      </c>
      <c r="C306" s="839">
        <v>2.0167253106415521</v>
      </c>
      <c r="D306" s="1356">
        <f t="shared" si="66"/>
        <v>1.9231492562277841</v>
      </c>
      <c r="E306" s="1356">
        <f t="shared" si="67"/>
        <v>2.0320809876135426</v>
      </c>
      <c r="F306" s="1357"/>
      <c r="G306" s="1358">
        <f t="shared" si="68"/>
        <v>1.9304769382328655</v>
      </c>
      <c r="H306" s="1358">
        <f t="shared" si="69"/>
        <v>2.13368503699422</v>
      </c>
      <c r="I306" s="833">
        <v>2.0428237268890301</v>
      </c>
      <c r="J306" s="1359" t="b">
        <f t="shared" si="63"/>
        <v>1</v>
      </c>
      <c r="K306" s="1583"/>
      <c r="L306" s="17"/>
      <c r="M306" s="1361">
        <f t="shared" si="64"/>
        <v>2.0428237268890301</v>
      </c>
      <c r="N306" s="1350"/>
      <c r="O306" s="1358">
        <f t="shared" si="70"/>
        <v>6.4241154360354536E-3</v>
      </c>
      <c r="P306" s="1358">
        <f t="shared" si="71"/>
        <v>5.092013515950216E-3</v>
      </c>
      <c r="Q306" s="1358">
        <f t="shared" si="72"/>
        <v>1.4082117865733407E-2</v>
      </c>
      <c r="R306" s="1358">
        <f t="shared" si="73"/>
        <v>0</v>
      </c>
      <c r="S306" s="1358">
        <f t="shared" si="74"/>
        <v>0.13211672283034157</v>
      </c>
      <c r="T306" s="1358">
        <f t="shared" si="65"/>
        <v>2.2005386965370906</v>
      </c>
      <c r="U306" s="595">
        <f>IF('TAR_Tab 2_Volumina'!C309="storage",1,0)</f>
        <v>0</v>
      </c>
      <c r="V306" s="1362">
        <f t="shared" si="77"/>
        <v>2.2005386965370906</v>
      </c>
      <c r="W306" s="1362">
        <f t="shared" si="75"/>
        <v>2.3184501301554783</v>
      </c>
      <c r="X306" s="1355">
        <f t="shared" si="76"/>
        <v>2.3180000000000001</v>
      </c>
      <c r="Y306" s="1355">
        <f>X306+'TAR_Tab 13_Overige tarieven'!$T$15+'TAR_Tab 13_Overige tarieven'!$T$16</f>
        <v>2.4710000000000001</v>
      </c>
      <c r="Z306" s="960"/>
    </row>
    <row r="307" spans="1:26">
      <c r="A307" s="155">
        <v>300794</v>
      </c>
      <c r="B307" s="156" t="s">
        <v>441</v>
      </c>
      <c r="C307" s="839">
        <v>2.0167253106415521</v>
      </c>
      <c r="D307" s="1356">
        <f t="shared" si="66"/>
        <v>1.9231492562277841</v>
      </c>
      <c r="E307" s="1356">
        <f t="shared" si="67"/>
        <v>2.0320809876135426</v>
      </c>
      <c r="F307" s="1357"/>
      <c r="G307" s="1358">
        <f t="shared" si="68"/>
        <v>1.9304769382328655</v>
      </c>
      <c r="H307" s="1358">
        <f t="shared" si="69"/>
        <v>2.13368503699422</v>
      </c>
      <c r="I307" s="833">
        <v>2.0428237268890301</v>
      </c>
      <c r="J307" s="1359" t="b">
        <f t="shared" si="63"/>
        <v>1</v>
      </c>
      <c r="K307" s="1583"/>
      <c r="L307" s="17"/>
      <c r="M307" s="1361">
        <f t="shared" si="64"/>
        <v>2.0428237268890301</v>
      </c>
      <c r="N307" s="1350"/>
      <c r="O307" s="1358">
        <f t="shared" si="70"/>
        <v>6.4241154360354536E-3</v>
      </c>
      <c r="P307" s="1358">
        <f t="shared" si="71"/>
        <v>5.092013515950216E-3</v>
      </c>
      <c r="Q307" s="1358">
        <f t="shared" si="72"/>
        <v>1.4082117865733407E-2</v>
      </c>
      <c r="R307" s="1358">
        <f t="shared" si="73"/>
        <v>0</v>
      </c>
      <c r="S307" s="1358">
        <f t="shared" si="74"/>
        <v>0.13211672283034157</v>
      </c>
      <c r="T307" s="1358">
        <f t="shared" si="65"/>
        <v>2.2005386965370906</v>
      </c>
      <c r="U307" s="595">
        <f>IF('TAR_Tab 2_Volumina'!C310="storage",1,0)</f>
        <v>0</v>
      </c>
      <c r="V307" s="1362">
        <f t="shared" si="77"/>
        <v>2.2005386965370906</v>
      </c>
      <c r="W307" s="1362">
        <f t="shared" si="75"/>
        <v>2.3184501301554783</v>
      </c>
      <c r="X307" s="1355">
        <f t="shared" si="76"/>
        <v>2.3180000000000001</v>
      </c>
      <c r="Y307" s="1355">
        <f>X307+'TAR_Tab 13_Overige tarieven'!$T$15+'TAR_Tab 13_Overige tarieven'!$T$16</f>
        <v>2.4710000000000001</v>
      </c>
      <c r="Z307" s="960"/>
    </row>
    <row r="308" spans="1:26">
      <c r="A308" s="155">
        <v>300795</v>
      </c>
      <c r="B308" s="156" t="s">
        <v>442</v>
      </c>
      <c r="C308" s="839">
        <v>1.7473928403065295</v>
      </c>
      <c r="D308" s="1356">
        <f t="shared" si="66"/>
        <v>1.6663138125163066</v>
      </c>
      <c r="E308" s="1356">
        <f t="shared" si="67"/>
        <v>1.7606977757170839</v>
      </c>
      <c r="F308" s="1357"/>
      <c r="G308" s="1358">
        <f t="shared" si="68"/>
        <v>1.6726628869312297</v>
      </c>
      <c r="H308" s="1358">
        <f t="shared" si="69"/>
        <v>1.8487326645029381</v>
      </c>
      <c r="I308" s="833">
        <v>1.7700058285273574</v>
      </c>
      <c r="J308" s="1359" t="b">
        <f t="shared" si="63"/>
        <v>1</v>
      </c>
      <c r="K308" s="1583"/>
      <c r="L308" s="17"/>
      <c r="M308" s="1361">
        <f t="shared" si="64"/>
        <v>1.7700058285273574</v>
      </c>
      <c r="N308" s="1350"/>
      <c r="O308" s="1358">
        <f t="shared" si="70"/>
        <v>5.5661786258139525E-3</v>
      </c>
      <c r="P308" s="1358">
        <f t="shared" si="71"/>
        <v>4.4119781278913845E-3</v>
      </c>
      <c r="Q308" s="1358">
        <f t="shared" si="72"/>
        <v>1.2201459368359566E-2</v>
      </c>
      <c r="R308" s="1358">
        <f t="shared" si="73"/>
        <v>0</v>
      </c>
      <c r="S308" s="1358">
        <f t="shared" si="74"/>
        <v>0.11447261277494501</v>
      </c>
      <c r="T308" s="1358">
        <f t="shared" si="65"/>
        <v>1.906658057424367</v>
      </c>
      <c r="U308" s="595">
        <f>IF('TAR_Tab 2_Volumina'!C311="storage",1,0)</f>
        <v>0</v>
      </c>
      <c r="V308" s="1362">
        <f t="shared" si="77"/>
        <v>1.906658057424367</v>
      </c>
      <c r="W308" s="1362">
        <f t="shared" si="75"/>
        <v>2.0088224889450412</v>
      </c>
      <c r="X308" s="1355">
        <f t="shared" si="76"/>
        <v>2.0089999999999999</v>
      </c>
      <c r="Y308" s="1355">
        <f>X308+'TAR_Tab 13_Overige tarieven'!$T$15+'TAR_Tab 13_Overige tarieven'!$T$16</f>
        <v>2.1619999999999999</v>
      </c>
      <c r="Z308" s="960"/>
    </row>
    <row r="309" spans="1:26">
      <c r="A309" s="155">
        <v>300798</v>
      </c>
      <c r="B309" s="156" t="s">
        <v>332</v>
      </c>
      <c r="C309" s="839">
        <v>1.3061226185136177</v>
      </c>
      <c r="D309" s="1356">
        <f t="shared" si="66"/>
        <v>1.2455185290145858</v>
      </c>
      <c r="E309" s="1356">
        <f t="shared" si="67"/>
        <v>1.3160676501497433</v>
      </c>
      <c r="F309" s="1357"/>
      <c r="G309" s="1358">
        <f t="shared" si="68"/>
        <v>1.250264267642256</v>
      </c>
      <c r="H309" s="1358">
        <f t="shared" si="69"/>
        <v>1.3818710326572305</v>
      </c>
      <c r="I309" s="833">
        <v>1.3230251344826223</v>
      </c>
      <c r="J309" s="1359" t="b">
        <f t="shared" si="63"/>
        <v>1</v>
      </c>
      <c r="K309" s="1583"/>
      <c r="L309" s="17"/>
      <c r="M309" s="1361">
        <f t="shared" si="64"/>
        <v>1.3230251344826223</v>
      </c>
      <c r="N309" s="1350"/>
      <c r="O309" s="1358">
        <f t="shared" si="70"/>
        <v>4.1605480085332843E-3</v>
      </c>
      <c r="P309" s="1358">
        <f t="shared" si="71"/>
        <v>3.2978184941031491E-3</v>
      </c>
      <c r="Q309" s="1358">
        <f t="shared" si="72"/>
        <v>9.1202170984594922E-3</v>
      </c>
      <c r="R309" s="1358">
        <f t="shared" si="73"/>
        <v>0</v>
      </c>
      <c r="S309" s="1358">
        <f t="shared" si="74"/>
        <v>8.5564771296349401E-2</v>
      </c>
      <c r="T309" s="1358">
        <f t="shared" si="65"/>
        <v>1.4251684893800676</v>
      </c>
      <c r="U309" s="595">
        <f>IF('TAR_Tab 2_Volumina'!C312="storage",1,0)</f>
        <v>0</v>
      </c>
      <c r="V309" s="1362">
        <f t="shared" si="77"/>
        <v>1.4251684893800676</v>
      </c>
      <c r="W309" s="1362">
        <f t="shared" si="75"/>
        <v>1.5015332722375563</v>
      </c>
      <c r="X309" s="1355">
        <f t="shared" si="76"/>
        <v>1.502</v>
      </c>
      <c r="Y309" s="1355">
        <f>X309+'TAR_Tab 13_Overige tarieven'!$T$15+'TAR_Tab 13_Overige tarieven'!$T$16</f>
        <v>1.655</v>
      </c>
      <c r="Z309" s="960"/>
    </row>
    <row r="310" spans="1:26">
      <c r="A310" s="155">
        <v>300800</v>
      </c>
      <c r="B310" s="156" t="s">
        <v>443</v>
      </c>
      <c r="C310" s="839">
        <v>1.2294023427332432</v>
      </c>
      <c r="D310" s="1356">
        <f t="shared" si="66"/>
        <v>1.1723580740304207</v>
      </c>
      <c r="E310" s="1356">
        <f t="shared" si="67"/>
        <v>1.2387632136183389</v>
      </c>
      <c r="F310" s="1357"/>
      <c r="G310" s="1358">
        <f t="shared" si="68"/>
        <v>1.1768250529374218</v>
      </c>
      <c r="H310" s="1358">
        <f t="shared" si="69"/>
        <v>1.3007013742992559</v>
      </c>
      <c r="I310" s="833">
        <v>1.2453120226023722</v>
      </c>
      <c r="J310" s="1359" t="b">
        <f t="shared" si="63"/>
        <v>1</v>
      </c>
      <c r="K310" s="1583"/>
      <c r="L310" s="17"/>
      <c r="M310" s="1361">
        <f t="shared" si="64"/>
        <v>1.2453120226023722</v>
      </c>
      <c r="N310" s="1350"/>
      <c r="O310" s="1358">
        <f t="shared" si="70"/>
        <v>3.9161617724420561E-3</v>
      </c>
      <c r="P310" s="1358">
        <f t="shared" si="71"/>
        <v>3.1041080868604199E-3</v>
      </c>
      <c r="Q310" s="1358">
        <f t="shared" si="72"/>
        <v>8.5845050902201951E-3</v>
      </c>
      <c r="R310" s="1358">
        <f t="shared" si="73"/>
        <v>0</v>
      </c>
      <c r="S310" s="1358">
        <f t="shared" si="74"/>
        <v>8.0538786172218296E-2</v>
      </c>
      <c r="T310" s="1358">
        <f t="shared" si="65"/>
        <v>1.3414555837241131</v>
      </c>
      <c r="U310" s="595">
        <f>IF('TAR_Tab 2_Volumina'!C313="storage",1,0)</f>
        <v>0</v>
      </c>
      <c r="V310" s="1362">
        <f t="shared" si="77"/>
        <v>1.3414555837241131</v>
      </c>
      <c r="W310" s="1362">
        <f t="shared" si="75"/>
        <v>1.413334779150766</v>
      </c>
      <c r="X310" s="1355">
        <f t="shared" si="76"/>
        <v>1.413</v>
      </c>
      <c r="Y310" s="1355">
        <f>X310+'TAR_Tab 13_Overige tarieven'!$T$15+'TAR_Tab 13_Overige tarieven'!$T$16</f>
        <v>1.5660000000000001</v>
      </c>
      <c r="Z310" s="960"/>
    </row>
    <row r="311" spans="1:26">
      <c r="A311" s="155">
        <v>300801</v>
      </c>
      <c r="B311" s="156" t="s">
        <v>1104</v>
      </c>
      <c r="C311" s="839">
        <v>1.145068297057555</v>
      </c>
      <c r="D311" s="1356">
        <f t="shared" si="66"/>
        <v>1.0919371280740844</v>
      </c>
      <c r="E311" s="1356">
        <f t="shared" si="67"/>
        <v>1.1537870347000598</v>
      </c>
      <c r="F311" s="1357"/>
      <c r="G311" s="1358">
        <f t="shared" si="68"/>
        <v>1.0960976829650568</v>
      </c>
      <c r="H311" s="1358">
        <f t="shared" si="69"/>
        <v>1.2114763864350628</v>
      </c>
      <c r="I311" s="833">
        <v>1.159886611128742</v>
      </c>
      <c r="J311" s="1359" t="b">
        <f t="shared" si="63"/>
        <v>1</v>
      </c>
      <c r="K311" s="1583"/>
      <c r="L311" s="17"/>
      <c r="M311" s="1361">
        <f t="shared" si="64"/>
        <v>1.159886611128742</v>
      </c>
      <c r="N311" s="1350"/>
      <c r="O311" s="1358">
        <f t="shared" si="70"/>
        <v>3.6475224878802126E-3</v>
      </c>
      <c r="P311" s="1358">
        <f t="shared" si="71"/>
        <v>2.8911737332479493E-3</v>
      </c>
      <c r="Q311" s="1358">
        <f t="shared" si="72"/>
        <v>7.995628675057145E-3</v>
      </c>
      <c r="R311" s="1358">
        <f t="shared" si="73"/>
        <v>0</v>
      </c>
      <c r="S311" s="1358">
        <f t="shared" si="74"/>
        <v>7.5014019026735379E-2</v>
      </c>
      <c r="T311" s="1358">
        <f t="shared" si="65"/>
        <v>1.2494349550516628</v>
      </c>
      <c r="U311" s="595">
        <f>IF('TAR_Tab 2_Volumina'!C314="storage",1,0)</f>
        <v>0</v>
      </c>
      <c r="V311" s="1362">
        <f t="shared" si="77"/>
        <v>1.2494349550516628</v>
      </c>
      <c r="W311" s="1362">
        <f t="shared" si="75"/>
        <v>1.316383410443474</v>
      </c>
      <c r="X311" s="1355">
        <f t="shared" si="76"/>
        <v>1.3160000000000001</v>
      </c>
      <c r="Y311" s="1355">
        <f>X311+'TAR_Tab 13_Overige tarieven'!$T$15+'TAR_Tab 13_Overige tarieven'!$T$16</f>
        <v>1.4690000000000001</v>
      </c>
      <c r="Z311" s="960"/>
    </row>
    <row r="312" spans="1:26">
      <c r="A312" s="155">
        <v>300802</v>
      </c>
      <c r="B312" s="156" t="s">
        <v>444</v>
      </c>
      <c r="C312" s="839">
        <v>1.6810979951162817</v>
      </c>
      <c r="D312" s="1356">
        <f t="shared" si="66"/>
        <v>1.6030950481428863</v>
      </c>
      <c r="E312" s="1356">
        <f t="shared" si="67"/>
        <v>1.6938981507126105</v>
      </c>
      <c r="F312" s="1357"/>
      <c r="G312" s="1358">
        <f t="shared" si="68"/>
        <v>1.6092032431769798</v>
      </c>
      <c r="H312" s="1358">
        <f t="shared" si="69"/>
        <v>1.7785930582482412</v>
      </c>
      <c r="I312" s="833">
        <v>1.702853062600107</v>
      </c>
      <c r="J312" s="1359" t="b">
        <f t="shared" ref="J312:J355" si="78">IF(I312&gt;0,AND(I312&gt;=G312,I312&lt;=H312),"")</f>
        <v>1</v>
      </c>
      <c r="K312" s="1583"/>
      <c r="L312" s="17"/>
      <c r="M312" s="1361">
        <f t="shared" ref="M312:M355" si="79">IF(I312&gt;0,I312,E312)</f>
        <v>1.702853062600107</v>
      </c>
      <c r="N312" s="1350"/>
      <c r="O312" s="1358">
        <f t="shared" si="70"/>
        <v>5.3550017560295539E-3</v>
      </c>
      <c r="P312" s="1358">
        <f t="shared" si="71"/>
        <v>4.2445908064920306E-3</v>
      </c>
      <c r="Q312" s="1358">
        <f t="shared" si="72"/>
        <v>1.1738544652640232E-2</v>
      </c>
      <c r="R312" s="1358">
        <f t="shared" si="73"/>
        <v>0</v>
      </c>
      <c r="S312" s="1358">
        <f t="shared" si="74"/>
        <v>0.1101296030249984</v>
      </c>
      <c r="T312" s="1358">
        <f t="shared" ref="T312:T355" si="80">M312+O312+P312+Q312+R312+S312</f>
        <v>1.8343208028402671</v>
      </c>
      <c r="U312" s="595">
        <f>IF('TAR_Tab 2_Volumina'!C315="storage",1,0)</f>
        <v>0</v>
      </c>
      <c r="V312" s="1362">
        <f t="shared" si="77"/>
        <v>1.8343208028402671</v>
      </c>
      <c r="W312" s="1362">
        <f t="shared" si="75"/>
        <v>1.9326091882793834</v>
      </c>
      <c r="X312" s="1355">
        <f t="shared" si="76"/>
        <v>1.9330000000000001</v>
      </c>
      <c r="Y312" s="1355">
        <f>X312+'TAR_Tab 13_Overige tarieven'!$T$15+'TAR_Tab 13_Overige tarieven'!$T$16</f>
        <v>2.0860000000000003</v>
      </c>
      <c r="Z312" s="960"/>
    </row>
    <row r="313" spans="1:26">
      <c r="A313" s="155">
        <v>300803</v>
      </c>
      <c r="B313" s="156" t="s">
        <v>445</v>
      </c>
      <c r="C313" s="839">
        <v>1.2294023427332432</v>
      </c>
      <c r="D313" s="1356">
        <f t="shared" si="66"/>
        <v>1.1723580740304207</v>
      </c>
      <c r="E313" s="1356">
        <f t="shared" si="67"/>
        <v>1.2387632136183389</v>
      </c>
      <c r="F313" s="1357"/>
      <c r="G313" s="1358">
        <f t="shared" si="68"/>
        <v>1.1768250529374218</v>
      </c>
      <c r="H313" s="1358">
        <f t="shared" si="69"/>
        <v>1.3007013742992559</v>
      </c>
      <c r="I313" s="833">
        <v>1.2453120226023722</v>
      </c>
      <c r="J313" s="1359" t="b">
        <f t="shared" si="78"/>
        <v>1</v>
      </c>
      <c r="K313" s="1583"/>
      <c r="L313" s="17"/>
      <c r="M313" s="1361">
        <f t="shared" si="79"/>
        <v>1.2453120226023722</v>
      </c>
      <c r="N313" s="1350"/>
      <c r="O313" s="1358">
        <f t="shared" si="70"/>
        <v>3.9161617724420561E-3</v>
      </c>
      <c r="P313" s="1358">
        <f t="shared" si="71"/>
        <v>3.1041080868604199E-3</v>
      </c>
      <c r="Q313" s="1358">
        <f t="shared" si="72"/>
        <v>8.5845050902201951E-3</v>
      </c>
      <c r="R313" s="1358">
        <f t="shared" si="73"/>
        <v>0</v>
      </c>
      <c r="S313" s="1358">
        <f t="shared" si="74"/>
        <v>8.0538786172218296E-2</v>
      </c>
      <c r="T313" s="1358">
        <f t="shared" si="80"/>
        <v>1.3414555837241131</v>
      </c>
      <c r="U313" s="595">
        <f>IF('TAR_Tab 2_Volumina'!C316="storage",1,0)</f>
        <v>0</v>
      </c>
      <c r="V313" s="1362">
        <f t="shared" si="77"/>
        <v>1.3414555837241131</v>
      </c>
      <c r="W313" s="1362">
        <f t="shared" si="75"/>
        <v>1.413334779150766</v>
      </c>
      <c r="X313" s="1355">
        <f t="shared" si="76"/>
        <v>1.413</v>
      </c>
      <c r="Y313" s="1355">
        <f>X313+'TAR_Tab 13_Overige tarieven'!$T$15+'TAR_Tab 13_Overige tarieven'!$T$16</f>
        <v>1.5660000000000001</v>
      </c>
      <c r="Z313" s="960"/>
    </row>
    <row r="314" spans="1:26">
      <c r="A314" s="155">
        <v>300804</v>
      </c>
      <c r="B314" s="156" t="s">
        <v>446</v>
      </c>
      <c r="C314" s="839">
        <v>1.145068297057555</v>
      </c>
      <c r="D314" s="1356">
        <f t="shared" si="66"/>
        <v>1.0919371280740844</v>
      </c>
      <c r="E314" s="1356">
        <f t="shared" si="67"/>
        <v>1.1537870347000598</v>
      </c>
      <c r="F314" s="1357"/>
      <c r="G314" s="1358">
        <f t="shared" si="68"/>
        <v>1.0960976829650568</v>
      </c>
      <c r="H314" s="1358">
        <f t="shared" si="69"/>
        <v>1.2114763864350628</v>
      </c>
      <c r="I314" s="833">
        <v>1.159886611128742</v>
      </c>
      <c r="J314" s="1359" t="b">
        <f t="shared" si="78"/>
        <v>1</v>
      </c>
      <c r="K314" s="1583"/>
      <c r="L314" s="17"/>
      <c r="M314" s="1361">
        <f t="shared" si="79"/>
        <v>1.159886611128742</v>
      </c>
      <c r="N314" s="1350"/>
      <c r="O314" s="1358">
        <f t="shared" si="70"/>
        <v>3.6475224878802126E-3</v>
      </c>
      <c r="P314" s="1358">
        <f t="shared" si="71"/>
        <v>2.8911737332479493E-3</v>
      </c>
      <c r="Q314" s="1358">
        <f t="shared" si="72"/>
        <v>7.995628675057145E-3</v>
      </c>
      <c r="R314" s="1358">
        <f t="shared" si="73"/>
        <v>0</v>
      </c>
      <c r="S314" s="1358">
        <f t="shared" si="74"/>
        <v>7.5014019026735379E-2</v>
      </c>
      <c r="T314" s="1358">
        <f t="shared" si="80"/>
        <v>1.2494349550516628</v>
      </c>
      <c r="U314" s="595">
        <f>IF('TAR_Tab 2_Volumina'!C317="storage",1,0)</f>
        <v>0</v>
      </c>
      <c r="V314" s="1362">
        <f t="shared" si="77"/>
        <v>1.2494349550516628</v>
      </c>
      <c r="W314" s="1362">
        <f t="shared" si="75"/>
        <v>1.316383410443474</v>
      </c>
      <c r="X314" s="1355">
        <f t="shared" si="76"/>
        <v>1.3160000000000001</v>
      </c>
      <c r="Y314" s="1355">
        <f>X314+'TAR_Tab 13_Overige tarieven'!$T$15+'TAR_Tab 13_Overige tarieven'!$T$16</f>
        <v>1.4690000000000001</v>
      </c>
      <c r="Z314" s="960"/>
    </row>
    <row r="315" spans="1:26">
      <c r="A315" s="155">
        <v>300807</v>
      </c>
      <c r="B315" s="156" t="s">
        <v>447</v>
      </c>
      <c r="C315" s="839">
        <v>1.1708593740316606</v>
      </c>
      <c r="D315" s="1356">
        <f t="shared" si="66"/>
        <v>1.1165314990765915</v>
      </c>
      <c r="E315" s="1356">
        <f t="shared" si="67"/>
        <v>1.179774489160323</v>
      </c>
      <c r="F315" s="1357"/>
      <c r="G315" s="1358">
        <f t="shared" si="68"/>
        <v>1.1207857647023067</v>
      </c>
      <c r="H315" s="1358">
        <f t="shared" si="69"/>
        <v>1.2387632136183393</v>
      </c>
      <c r="I315" s="833">
        <v>1.1860114500974976</v>
      </c>
      <c r="J315" s="1359" t="b">
        <f t="shared" si="78"/>
        <v>1</v>
      </c>
      <c r="K315" s="1583"/>
      <c r="L315" s="17"/>
      <c r="M315" s="1361">
        <f t="shared" si="79"/>
        <v>1.1860114500974976</v>
      </c>
      <c r="N315" s="1350"/>
      <c r="O315" s="1358">
        <f t="shared" si="70"/>
        <v>3.7296778785162448E-3</v>
      </c>
      <c r="P315" s="1358">
        <f t="shared" si="71"/>
        <v>2.9562934160575435E-3</v>
      </c>
      <c r="Q315" s="1358">
        <f t="shared" si="72"/>
        <v>8.1757191335430444E-3</v>
      </c>
      <c r="R315" s="1358">
        <f t="shared" si="73"/>
        <v>0</v>
      </c>
      <c r="S315" s="1358">
        <f t="shared" si="74"/>
        <v>7.670360587830316E-2</v>
      </c>
      <c r="T315" s="1358">
        <f t="shared" si="80"/>
        <v>1.2775767464039176</v>
      </c>
      <c r="U315" s="595">
        <f>IF('TAR_Tab 2_Volumina'!C318="storage",1,0)</f>
        <v>0</v>
      </c>
      <c r="V315" s="1362">
        <f t="shared" si="77"/>
        <v>1.2775767464039176</v>
      </c>
      <c r="W315" s="1362">
        <f t="shared" si="75"/>
        <v>1.3460331230007299</v>
      </c>
      <c r="X315" s="1355">
        <f t="shared" si="76"/>
        <v>1.3460000000000001</v>
      </c>
      <c r="Y315" s="1355">
        <f>X315+'TAR_Tab 13_Overige tarieven'!$T$15+'TAR_Tab 13_Overige tarieven'!$T$16</f>
        <v>1.4990000000000001</v>
      </c>
      <c r="Z315" s="960"/>
    </row>
    <row r="316" spans="1:26">
      <c r="A316" s="155">
        <v>300808</v>
      </c>
      <c r="B316" s="156" t="s">
        <v>448</v>
      </c>
      <c r="C316" s="839">
        <v>1.2294023427332432</v>
      </c>
      <c r="D316" s="1356">
        <f t="shared" si="66"/>
        <v>1.1723580740304207</v>
      </c>
      <c r="E316" s="1356">
        <f t="shared" si="67"/>
        <v>1.2387632136183389</v>
      </c>
      <c r="F316" s="1357"/>
      <c r="G316" s="1358">
        <f t="shared" si="68"/>
        <v>1.1768250529374218</v>
      </c>
      <c r="H316" s="1358">
        <f t="shared" si="69"/>
        <v>1.3007013742992559</v>
      </c>
      <c r="I316" s="833">
        <v>1.2453120226023722</v>
      </c>
      <c r="J316" s="1359" t="b">
        <f t="shared" si="78"/>
        <v>1</v>
      </c>
      <c r="K316" s="1583"/>
      <c r="L316" s="17"/>
      <c r="M316" s="1361">
        <f t="shared" si="79"/>
        <v>1.2453120226023722</v>
      </c>
      <c r="N316" s="1350"/>
      <c r="O316" s="1358">
        <f t="shared" si="70"/>
        <v>3.9161617724420561E-3</v>
      </c>
      <c r="P316" s="1358">
        <f t="shared" si="71"/>
        <v>3.1041080868604199E-3</v>
      </c>
      <c r="Q316" s="1358">
        <f t="shared" si="72"/>
        <v>8.5845050902201951E-3</v>
      </c>
      <c r="R316" s="1358">
        <f t="shared" si="73"/>
        <v>0</v>
      </c>
      <c r="S316" s="1358">
        <f t="shared" si="74"/>
        <v>8.0538786172218296E-2</v>
      </c>
      <c r="T316" s="1358">
        <f t="shared" si="80"/>
        <v>1.3414555837241131</v>
      </c>
      <c r="U316" s="595">
        <f>IF('TAR_Tab 2_Volumina'!C319="storage",1,0)</f>
        <v>0</v>
      </c>
      <c r="V316" s="1362">
        <f t="shared" si="77"/>
        <v>1.3414555837241131</v>
      </c>
      <c r="W316" s="1362">
        <f t="shared" si="75"/>
        <v>1.413334779150766</v>
      </c>
      <c r="X316" s="1355">
        <f t="shared" si="76"/>
        <v>1.413</v>
      </c>
      <c r="Y316" s="1355">
        <f>X316+'TAR_Tab 13_Overige tarieven'!$T$15+'TAR_Tab 13_Overige tarieven'!$T$16</f>
        <v>1.5660000000000001</v>
      </c>
      <c r="Z316" s="960"/>
    </row>
    <row r="317" spans="1:26">
      <c r="A317" s="155">
        <v>300809</v>
      </c>
      <c r="B317" s="156" t="s">
        <v>449</v>
      </c>
      <c r="C317" s="839">
        <v>1.2052969184010451</v>
      </c>
      <c r="D317" s="1356">
        <f t="shared" si="66"/>
        <v>1.1493711413872367</v>
      </c>
      <c r="E317" s="1356">
        <f t="shared" si="67"/>
        <v>1.2144742466354066</v>
      </c>
      <c r="F317" s="1357"/>
      <c r="G317" s="1358">
        <f t="shared" si="68"/>
        <v>1.1537505343036363</v>
      </c>
      <c r="H317" s="1358">
        <f t="shared" si="69"/>
        <v>1.2751979589671769</v>
      </c>
      <c r="I317" s="833">
        <v>1.2208946502846334</v>
      </c>
      <c r="J317" s="1359" t="b">
        <f t="shared" si="78"/>
        <v>1</v>
      </c>
      <c r="K317" s="1583"/>
      <c r="L317" s="17"/>
      <c r="M317" s="1361">
        <f t="shared" si="79"/>
        <v>1.2208946502846334</v>
      </c>
      <c r="N317" s="1350"/>
      <c r="O317" s="1358">
        <f t="shared" si="70"/>
        <v>3.8393758920211895E-3</v>
      </c>
      <c r="P317" s="1358">
        <f t="shared" si="71"/>
        <v>3.0432444948483672E-3</v>
      </c>
      <c r="Q317" s="1358">
        <f t="shared" si="72"/>
        <v>8.4161849799610812E-3</v>
      </c>
      <c r="R317" s="1358">
        <f t="shared" si="73"/>
        <v>0</v>
      </c>
      <c r="S317" s="1358">
        <f t="shared" si="74"/>
        <v>7.8959627300953045E-2</v>
      </c>
      <c r="T317" s="1358">
        <f t="shared" si="80"/>
        <v>1.315153082952417</v>
      </c>
      <c r="U317" s="595">
        <f>IF('TAR_Tab 2_Volumina'!C320="storage",1,0)</f>
        <v>0</v>
      </c>
      <c r="V317" s="1362">
        <f t="shared" si="77"/>
        <v>1.315153082952417</v>
      </c>
      <c r="W317" s="1362">
        <f t="shared" si="75"/>
        <v>1.3856229118550365</v>
      </c>
      <c r="X317" s="1355">
        <f t="shared" si="76"/>
        <v>1.3859999999999999</v>
      </c>
      <c r="Y317" s="1355">
        <f>X317+'TAR_Tab 13_Overige tarieven'!$T$15+'TAR_Tab 13_Overige tarieven'!$T$16</f>
        <v>1.5389999999999999</v>
      </c>
      <c r="Z317" s="960"/>
    </row>
    <row r="318" spans="1:26">
      <c r="A318" s="155">
        <v>300812</v>
      </c>
      <c r="B318" s="156" t="s">
        <v>450</v>
      </c>
      <c r="C318" s="839">
        <v>2.1539376543415893</v>
      </c>
      <c r="D318" s="1356">
        <f t="shared" si="66"/>
        <v>2.0539949471801395</v>
      </c>
      <c r="E318" s="1356">
        <f t="shared" si="67"/>
        <v>2.1703380885818646</v>
      </c>
      <c r="F318" s="1357"/>
      <c r="G318" s="1358">
        <f t="shared" si="68"/>
        <v>2.0618211841527714</v>
      </c>
      <c r="H318" s="1358">
        <f t="shared" si="69"/>
        <v>2.2788549930109578</v>
      </c>
      <c r="I318" s="833">
        <v>2.1818117337600897</v>
      </c>
      <c r="J318" s="1359" t="b">
        <f t="shared" si="78"/>
        <v>1</v>
      </c>
      <c r="K318" s="1583"/>
      <c r="L318" s="17"/>
      <c r="M318" s="1361">
        <f t="shared" si="79"/>
        <v>2.1818117337600897</v>
      </c>
      <c r="N318" s="1350"/>
      <c r="O318" s="1358">
        <f t="shared" si="70"/>
        <v>6.8611942640378655E-3</v>
      </c>
      <c r="P318" s="1358">
        <f t="shared" si="71"/>
        <v>5.4384598589345915E-3</v>
      </c>
      <c r="Q318" s="1358">
        <f t="shared" si="72"/>
        <v>1.5040225738145027E-2</v>
      </c>
      <c r="R318" s="1358">
        <f t="shared" si="73"/>
        <v>0</v>
      </c>
      <c r="S318" s="1358">
        <f t="shared" si="74"/>
        <v>0.14110557475076127</v>
      </c>
      <c r="T318" s="1358">
        <f t="shared" si="80"/>
        <v>2.3502571883719687</v>
      </c>
      <c r="U318" s="595">
        <f>IF('TAR_Tab 2_Volumina'!C321="storage",1,0)</f>
        <v>0</v>
      </c>
      <c r="V318" s="1362">
        <f t="shared" si="77"/>
        <v>2.3502571883719687</v>
      </c>
      <c r="W318" s="1362">
        <f t="shared" si="75"/>
        <v>2.4761909858048234</v>
      </c>
      <c r="X318" s="1355">
        <f t="shared" si="76"/>
        <v>2.476</v>
      </c>
      <c r="Y318" s="1355">
        <f>X318+'TAR_Tab 13_Overige tarieven'!$T$15+'TAR_Tab 13_Overige tarieven'!$T$16</f>
        <v>2.629</v>
      </c>
      <c r="Z318" s="960"/>
    </row>
    <row r="319" spans="1:26">
      <c r="A319" s="155">
        <v>300813</v>
      </c>
      <c r="B319" s="156" t="s">
        <v>451</v>
      </c>
      <c r="C319" s="839">
        <v>2.1539376543415893</v>
      </c>
      <c r="D319" s="1356">
        <f t="shared" si="66"/>
        <v>2.0539949471801395</v>
      </c>
      <c r="E319" s="1356">
        <f t="shared" si="67"/>
        <v>2.1703380885818646</v>
      </c>
      <c r="F319" s="1357"/>
      <c r="G319" s="1358">
        <f t="shared" si="68"/>
        <v>2.0618211841527714</v>
      </c>
      <c r="H319" s="1358">
        <f t="shared" si="69"/>
        <v>2.2788549930109578</v>
      </c>
      <c r="I319" s="833">
        <v>2.1818117337600897</v>
      </c>
      <c r="J319" s="1359" t="b">
        <f t="shared" si="78"/>
        <v>1</v>
      </c>
      <c r="K319" s="1583"/>
      <c r="L319" s="17"/>
      <c r="M319" s="1361">
        <f t="shared" si="79"/>
        <v>2.1818117337600897</v>
      </c>
      <c r="N319" s="1350"/>
      <c r="O319" s="1358">
        <f t="shared" si="70"/>
        <v>6.8611942640378655E-3</v>
      </c>
      <c r="P319" s="1358">
        <f t="shared" si="71"/>
        <v>5.4384598589345915E-3</v>
      </c>
      <c r="Q319" s="1358">
        <f t="shared" si="72"/>
        <v>1.5040225738145027E-2</v>
      </c>
      <c r="R319" s="1358">
        <f t="shared" si="73"/>
        <v>0</v>
      </c>
      <c r="S319" s="1358">
        <f t="shared" si="74"/>
        <v>0.14110557475076127</v>
      </c>
      <c r="T319" s="1358">
        <f t="shared" si="80"/>
        <v>2.3502571883719687</v>
      </c>
      <c r="U319" s="595">
        <f>IF('TAR_Tab 2_Volumina'!C322="storage",1,0)</f>
        <v>0</v>
      </c>
      <c r="V319" s="1362">
        <f t="shared" si="77"/>
        <v>2.3502571883719687</v>
      </c>
      <c r="W319" s="1362">
        <f t="shared" si="75"/>
        <v>2.4761909858048234</v>
      </c>
      <c r="X319" s="1355">
        <f t="shared" si="76"/>
        <v>2.476</v>
      </c>
      <c r="Y319" s="1355">
        <f>X319+'TAR_Tab 13_Overige tarieven'!$T$15+'TAR_Tab 13_Overige tarieven'!$T$16</f>
        <v>2.629</v>
      </c>
      <c r="Z319" s="960"/>
    </row>
    <row r="320" spans="1:26">
      <c r="A320" s="155">
        <v>300814</v>
      </c>
      <c r="B320" s="156" t="s">
        <v>333</v>
      </c>
      <c r="C320" s="839">
        <v>1.2294023427332432</v>
      </c>
      <c r="D320" s="1356">
        <f t="shared" si="66"/>
        <v>1.1723580740304207</v>
      </c>
      <c r="E320" s="1356">
        <f t="shared" si="67"/>
        <v>1.2387632136183389</v>
      </c>
      <c r="F320" s="1357"/>
      <c r="G320" s="1358">
        <f t="shared" si="68"/>
        <v>1.1768250529374218</v>
      </c>
      <c r="H320" s="1358">
        <f t="shared" si="69"/>
        <v>1.3007013742992559</v>
      </c>
      <c r="I320" s="833">
        <v>1.2453120226023722</v>
      </c>
      <c r="J320" s="1359" t="b">
        <f t="shared" si="78"/>
        <v>1</v>
      </c>
      <c r="K320" s="1583"/>
      <c r="L320" s="17"/>
      <c r="M320" s="1361">
        <f t="shared" si="79"/>
        <v>1.2453120226023722</v>
      </c>
      <c r="N320" s="1350"/>
      <c r="O320" s="1358">
        <f t="shared" si="70"/>
        <v>3.9161617724420561E-3</v>
      </c>
      <c r="P320" s="1358">
        <f t="shared" si="71"/>
        <v>3.1041080868604199E-3</v>
      </c>
      <c r="Q320" s="1358">
        <f t="shared" si="72"/>
        <v>8.5845050902201951E-3</v>
      </c>
      <c r="R320" s="1358">
        <f t="shared" si="73"/>
        <v>0</v>
      </c>
      <c r="S320" s="1358">
        <f t="shared" si="74"/>
        <v>8.0538786172218296E-2</v>
      </c>
      <c r="T320" s="1358">
        <f t="shared" si="80"/>
        <v>1.3414555837241131</v>
      </c>
      <c r="U320" s="595">
        <f>IF('TAR_Tab 2_Volumina'!C323="storage",1,0)</f>
        <v>0</v>
      </c>
      <c r="V320" s="1362">
        <f t="shared" si="77"/>
        <v>1.3414555837241131</v>
      </c>
      <c r="W320" s="1362">
        <f t="shared" si="75"/>
        <v>1.413334779150766</v>
      </c>
      <c r="X320" s="1355">
        <f t="shared" si="76"/>
        <v>1.413</v>
      </c>
      <c r="Y320" s="1355">
        <f>X320+'TAR_Tab 13_Overige tarieven'!$T$15+'TAR_Tab 13_Overige tarieven'!$T$16</f>
        <v>1.5660000000000001</v>
      </c>
      <c r="Z320" s="960"/>
    </row>
    <row r="321" spans="1:26">
      <c r="A321" s="155">
        <v>300816</v>
      </c>
      <c r="B321" s="156" t="s">
        <v>452</v>
      </c>
      <c r="C321" s="839">
        <v>1.2294023427332432</v>
      </c>
      <c r="D321" s="1356">
        <f t="shared" si="66"/>
        <v>1.1723580740304207</v>
      </c>
      <c r="E321" s="1356">
        <f t="shared" si="67"/>
        <v>1.2387632136183389</v>
      </c>
      <c r="F321" s="1357"/>
      <c r="G321" s="1358">
        <f t="shared" si="68"/>
        <v>1.1768250529374218</v>
      </c>
      <c r="H321" s="1358">
        <f t="shared" si="69"/>
        <v>1.3007013742992559</v>
      </c>
      <c r="I321" s="833">
        <v>1.2453120226023722</v>
      </c>
      <c r="J321" s="1359" t="b">
        <f t="shared" si="78"/>
        <v>1</v>
      </c>
      <c r="K321" s="1583"/>
      <c r="L321" s="17"/>
      <c r="M321" s="1361">
        <f t="shared" si="79"/>
        <v>1.2453120226023722</v>
      </c>
      <c r="N321" s="1350"/>
      <c r="O321" s="1358">
        <f t="shared" si="70"/>
        <v>3.9161617724420561E-3</v>
      </c>
      <c r="P321" s="1358">
        <f t="shared" si="71"/>
        <v>3.1041080868604199E-3</v>
      </c>
      <c r="Q321" s="1358">
        <f t="shared" si="72"/>
        <v>8.5845050902201951E-3</v>
      </c>
      <c r="R321" s="1358">
        <f t="shared" si="73"/>
        <v>0</v>
      </c>
      <c r="S321" s="1358">
        <f t="shared" si="74"/>
        <v>8.0538786172218296E-2</v>
      </c>
      <c r="T321" s="1358">
        <f t="shared" si="80"/>
        <v>1.3414555837241131</v>
      </c>
      <c r="U321" s="595">
        <f>IF('TAR_Tab 2_Volumina'!C324="storage",1,0)</f>
        <v>0</v>
      </c>
      <c r="V321" s="1362">
        <f t="shared" si="77"/>
        <v>1.3414555837241131</v>
      </c>
      <c r="W321" s="1362">
        <f t="shared" si="75"/>
        <v>1.413334779150766</v>
      </c>
      <c r="X321" s="1355">
        <f t="shared" si="76"/>
        <v>1.413</v>
      </c>
      <c r="Y321" s="1355">
        <f>X321+'TAR_Tab 13_Overige tarieven'!$T$15+'TAR_Tab 13_Overige tarieven'!$T$16</f>
        <v>1.5660000000000001</v>
      </c>
      <c r="Z321" s="960"/>
    </row>
    <row r="322" spans="1:26">
      <c r="A322" s="155">
        <v>300822</v>
      </c>
      <c r="B322" s="156" t="s">
        <v>334</v>
      </c>
      <c r="C322" s="839">
        <v>1.9377541775767824</v>
      </c>
      <c r="D322" s="1356">
        <f t="shared" si="66"/>
        <v>1.8478423837372198</v>
      </c>
      <c r="E322" s="1356">
        <f t="shared" si="67"/>
        <v>1.9525085554015582</v>
      </c>
      <c r="F322" s="1357"/>
      <c r="G322" s="1358">
        <f t="shared" si="68"/>
        <v>1.8548831276314801</v>
      </c>
      <c r="H322" s="1358">
        <f t="shared" si="69"/>
        <v>2.0501339831716363</v>
      </c>
      <c r="I322" s="833">
        <v>1.9628306294092832</v>
      </c>
      <c r="J322" s="1359" t="b">
        <f t="shared" si="78"/>
        <v>1</v>
      </c>
      <c r="K322" s="1583"/>
      <c r="L322" s="17"/>
      <c r="M322" s="1361">
        <f t="shared" si="79"/>
        <v>1.9628306294092832</v>
      </c>
      <c r="N322" s="1350"/>
      <c r="O322" s="1358">
        <f t="shared" si="70"/>
        <v>6.1725592760340647E-3</v>
      </c>
      <c r="P322" s="1358">
        <f t="shared" si="71"/>
        <v>4.8926199372541718E-3</v>
      </c>
      <c r="Q322" s="1358">
        <f t="shared" si="72"/>
        <v>1.3530688874417362E-2</v>
      </c>
      <c r="R322" s="1358">
        <f t="shared" si="73"/>
        <v>0</v>
      </c>
      <c r="S322" s="1358">
        <f t="shared" si="74"/>
        <v>0.12694328287614318</v>
      </c>
      <c r="T322" s="1358">
        <f t="shared" si="80"/>
        <v>2.1143697803731318</v>
      </c>
      <c r="U322" s="595">
        <f>IF('TAR_Tab 2_Volumina'!C325="storage",1,0)</f>
        <v>0</v>
      </c>
      <c r="V322" s="1362">
        <f t="shared" si="77"/>
        <v>2.1143697803731318</v>
      </c>
      <c r="W322" s="1362">
        <f t="shared" si="75"/>
        <v>2.2276640261846321</v>
      </c>
      <c r="X322" s="1355">
        <f t="shared" si="76"/>
        <v>2.2280000000000002</v>
      </c>
      <c r="Y322" s="1355">
        <f>X322+'TAR_Tab 13_Overige tarieven'!$T$15+'TAR_Tab 13_Overige tarieven'!$T$16</f>
        <v>2.3810000000000002</v>
      </c>
      <c r="Z322" s="960"/>
    </row>
    <row r="323" spans="1:26">
      <c r="A323" s="155">
        <v>300823</v>
      </c>
      <c r="B323" s="156" t="s">
        <v>453</v>
      </c>
      <c r="C323" s="839">
        <v>1.9377541775767824</v>
      </c>
      <c r="D323" s="1356">
        <f t="shared" si="66"/>
        <v>1.8478423837372198</v>
      </c>
      <c r="E323" s="1356">
        <f t="shared" si="67"/>
        <v>1.9525085554015582</v>
      </c>
      <c r="F323" s="1357"/>
      <c r="G323" s="1358">
        <f t="shared" si="68"/>
        <v>1.8548831276314801</v>
      </c>
      <c r="H323" s="1358">
        <f t="shared" si="69"/>
        <v>2.0501339831716363</v>
      </c>
      <c r="I323" s="833">
        <v>1.9628306294092832</v>
      </c>
      <c r="J323" s="1359" t="b">
        <f t="shared" si="78"/>
        <v>1</v>
      </c>
      <c r="K323" s="1583"/>
      <c r="L323" s="17"/>
      <c r="M323" s="1361">
        <f t="shared" si="79"/>
        <v>1.9628306294092832</v>
      </c>
      <c r="N323" s="1350"/>
      <c r="O323" s="1358">
        <f t="shared" si="70"/>
        <v>6.1725592760340647E-3</v>
      </c>
      <c r="P323" s="1358">
        <f t="shared" si="71"/>
        <v>4.8926199372541718E-3</v>
      </c>
      <c r="Q323" s="1358">
        <f t="shared" si="72"/>
        <v>1.3530688874417362E-2</v>
      </c>
      <c r="R323" s="1358">
        <f t="shared" si="73"/>
        <v>0</v>
      </c>
      <c r="S323" s="1358">
        <f t="shared" si="74"/>
        <v>0.12694328287614318</v>
      </c>
      <c r="T323" s="1358">
        <f t="shared" si="80"/>
        <v>2.1143697803731318</v>
      </c>
      <c r="U323" s="595">
        <f>IF('TAR_Tab 2_Volumina'!C326="storage",1,0)</f>
        <v>0</v>
      </c>
      <c r="V323" s="1362">
        <f t="shared" si="77"/>
        <v>2.1143697803731318</v>
      </c>
      <c r="W323" s="1362">
        <f t="shared" si="75"/>
        <v>2.2276640261846321</v>
      </c>
      <c r="X323" s="1355">
        <f t="shared" si="76"/>
        <v>2.2280000000000002</v>
      </c>
      <c r="Y323" s="1355">
        <f>X323+'TAR_Tab 13_Overige tarieven'!$T$15+'TAR_Tab 13_Overige tarieven'!$T$16</f>
        <v>2.3810000000000002</v>
      </c>
      <c r="Z323" s="960"/>
    </row>
    <row r="324" spans="1:26">
      <c r="A324" s="155">
        <v>300825</v>
      </c>
      <c r="B324" s="156" t="s">
        <v>454</v>
      </c>
      <c r="C324" s="839">
        <v>1.1366897485424998</v>
      </c>
      <c r="D324" s="1356">
        <f t="shared" si="66"/>
        <v>1.0839473442101277</v>
      </c>
      <c r="E324" s="1356">
        <f t="shared" si="67"/>
        <v>1.1453446905437179</v>
      </c>
      <c r="F324" s="1357"/>
      <c r="G324" s="1358">
        <f t="shared" si="68"/>
        <v>1.0880774560165321</v>
      </c>
      <c r="H324" s="1358">
        <f t="shared" si="69"/>
        <v>1.2026119250709038</v>
      </c>
      <c r="I324" s="833">
        <v>1.1513996359253609</v>
      </c>
      <c r="J324" s="1359" t="b">
        <f t="shared" si="78"/>
        <v>1</v>
      </c>
      <c r="K324" s="1583"/>
      <c r="L324" s="17"/>
      <c r="M324" s="1361">
        <f t="shared" si="79"/>
        <v>1.1513996359253609</v>
      </c>
      <c r="N324" s="1350"/>
      <c r="O324" s="1358">
        <f t="shared" si="70"/>
        <v>3.6208332989445037E-3</v>
      </c>
      <c r="P324" s="1358">
        <f t="shared" si="71"/>
        <v>2.8700188034924763E-3</v>
      </c>
      <c r="Q324" s="1358">
        <f t="shared" si="72"/>
        <v>7.9371240749957495E-3</v>
      </c>
      <c r="R324" s="1358">
        <f t="shared" si="73"/>
        <v>0</v>
      </c>
      <c r="S324" s="1358">
        <f t="shared" si="74"/>
        <v>7.4465135960686088E-2</v>
      </c>
      <c r="T324" s="1358">
        <f t="shared" si="80"/>
        <v>1.2402927480634796</v>
      </c>
      <c r="U324" s="595">
        <f>IF('TAR_Tab 2_Volumina'!C327="storage",1,0)</f>
        <v>0</v>
      </c>
      <c r="V324" s="1362">
        <f t="shared" si="77"/>
        <v>1.2402927480634796</v>
      </c>
      <c r="W324" s="1362">
        <f t="shared" si="75"/>
        <v>1.3067513367085213</v>
      </c>
      <c r="X324" s="1355">
        <f t="shared" si="76"/>
        <v>1.3069999999999999</v>
      </c>
      <c r="Y324" s="1355">
        <f>X324+'TAR_Tab 13_Overige tarieven'!$T$15+'TAR_Tab 13_Overige tarieven'!$T$16</f>
        <v>1.46</v>
      </c>
      <c r="Z324" s="960"/>
    </row>
    <row r="325" spans="1:26">
      <c r="A325" s="155">
        <v>300826</v>
      </c>
      <c r="B325" s="156" t="s">
        <v>455</v>
      </c>
      <c r="C325" s="839">
        <v>1.2294023427332432</v>
      </c>
      <c r="D325" s="1356">
        <f t="shared" si="66"/>
        <v>1.1723580740304207</v>
      </c>
      <c r="E325" s="1356">
        <f t="shared" si="67"/>
        <v>1.2387632136183389</v>
      </c>
      <c r="F325" s="1357"/>
      <c r="G325" s="1358">
        <f t="shared" si="68"/>
        <v>1.1768250529374218</v>
      </c>
      <c r="H325" s="1358">
        <f t="shared" si="69"/>
        <v>1.3007013742992559</v>
      </c>
      <c r="I325" s="833">
        <v>1.2453120226023722</v>
      </c>
      <c r="J325" s="1359" t="b">
        <f t="shared" si="78"/>
        <v>1</v>
      </c>
      <c r="K325" s="1583"/>
      <c r="L325" s="17"/>
      <c r="M325" s="1361">
        <f t="shared" si="79"/>
        <v>1.2453120226023722</v>
      </c>
      <c r="N325" s="1350"/>
      <c r="O325" s="1358">
        <f t="shared" si="70"/>
        <v>3.9161617724420561E-3</v>
      </c>
      <c r="P325" s="1358">
        <f t="shared" si="71"/>
        <v>3.1041080868604199E-3</v>
      </c>
      <c r="Q325" s="1358">
        <f t="shared" si="72"/>
        <v>8.5845050902201951E-3</v>
      </c>
      <c r="R325" s="1358">
        <f t="shared" si="73"/>
        <v>0</v>
      </c>
      <c r="S325" s="1358">
        <f t="shared" si="74"/>
        <v>8.0538786172218296E-2</v>
      </c>
      <c r="T325" s="1358">
        <f t="shared" si="80"/>
        <v>1.3414555837241131</v>
      </c>
      <c r="U325" s="595">
        <f>IF('TAR_Tab 2_Volumina'!C328="storage",1,0)</f>
        <v>0</v>
      </c>
      <c r="V325" s="1362">
        <f t="shared" si="77"/>
        <v>1.3414555837241131</v>
      </c>
      <c r="W325" s="1362">
        <f t="shared" si="75"/>
        <v>1.413334779150766</v>
      </c>
      <c r="X325" s="1355">
        <f t="shared" si="76"/>
        <v>1.413</v>
      </c>
      <c r="Y325" s="1355">
        <f>X325+'TAR_Tab 13_Overige tarieven'!$T$15+'TAR_Tab 13_Overige tarieven'!$T$16</f>
        <v>1.5660000000000001</v>
      </c>
      <c r="Z325" s="960"/>
    </row>
    <row r="326" spans="1:26">
      <c r="A326" s="155">
        <v>300827</v>
      </c>
      <c r="B326" s="156" t="s">
        <v>335</v>
      </c>
      <c r="C326" s="839">
        <v>1.145068297057555</v>
      </c>
      <c r="D326" s="1356">
        <f t="shared" si="66"/>
        <v>1.0919371280740844</v>
      </c>
      <c r="E326" s="1356">
        <f t="shared" si="67"/>
        <v>1.1537870347000598</v>
      </c>
      <c r="F326" s="1357"/>
      <c r="G326" s="1358">
        <f t="shared" si="68"/>
        <v>1.0960976829650568</v>
      </c>
      <c r="H326" s="1358">
        <f t="shared" si="69"/>
        <v>1.2114763864350628</v>
      </c>
      <c r="I326" s="833">
        <v>1.159886611128742</v>
      </c>
      <c r="J326" s="1359" t="b">
        <f t="shared" si="78"/>
        <v>1</v>
      </c>
      <c r="K326" s="1583"/>
      <c r="L326" s="17"/>
      <c r="M326" s="1361">
        <f t="shared" si="79"/>
        <v>1.159886611128742</v>
      </c>
      <c r="N326" s="1350"/>
      <c r="O326" s="1358">
        <f t="shared" si="70"/>
        <v>3.6475224878802126E-3</v>
      </c>
      <c r="P326" s="1358">
        <f t="shared" si="71"/>
        <v>2.8911737332479493E-3</v>
      </c>
      <c r="Q326" s="1358">
        <f t="shared" si="72"/>
        <v>7.995628675057145E-3</v>
      </c>
      <c r="R326" s="1358">
        <f t="shared" si="73"/>
        <v>0</v>
      </c>
      <c r="S326" s="1358">
        <f t="shared" si="74"/>
        <v>7.5014019026735379E-2</v>
      </c>
      <c r="T326" s="1358">
        <f t="shared" si="80"/>
        <v>1.2494349550516628</v>
      </c>
      <c r="U326" s="595">
        <f>IF('TAR_Tab 2_Volumina'!C329="storage",1,0)</f>
        <v>0</v>
      </c>
      <c r="V326" s="1362">
        <f t="shared" si="77"/>
        <v>1.2494349550516628</v>
      </c>
      <c r="W326" s="1362">
        <f t="shared" si="75"/>
        <v>1.316383410443474</v>
      </c>
      <c r="X326" s="1355">
        <f t="shared" si="76"/>
        <v>1.3160000000000001</v>
      </c>
      <c r="Y326" s="1355">
        <f>X326+'TAR_Tab 13_Overige tarieven'!$T$15+'TAR_Tab 13_Overige tarieven'!$T$16</f>
        <v>1.4690000000000001</v>
      </c>
      <c r="Z326" s="960"/>
    </row>
    <row r="327" spans="1:26">
      <c r="A327" s="155">
        <v>300829</v>
      </c>
      <c r="B327" s="156" t="s">
        <v>456</v>
      </c>
      <c r="C327" s="839">
        <v>1.7894419302987741</v>
      </c>
      <c r="D327" s="1356">
        <f t="shared" si="66"/>
        <v>1.706411824732911</v>
      </c>
      <c r="E327" s="1356">
        <f t="shared" si="67"/>
        <v>1.803067034370613</v>
      </c>
      <c r="F327" s="1357"/>
      <c r="G327" s="1358">
        <f t="shared" si="68"/>
        <v>1.7129136826520823</v>
      </c>
      <c r="H327" s="1358">
        <f t="shared" si="69"/>
        <v>1.8932203860891437</v>
      </c>
      <c r="I327" s="833">
        <v>1.8125990752511381</v>
      </c>
      <c r="J327" s="1359" t="b">
        <f t="shared" si="78"/>
        <v>1</v>
      </c>
      <c r="K327" s="1583"/>
      <c r="L327" s="17"/>
      <c r="M327" s="1361">
        <f t="shared" si="79"/>
        <v>1.8125990752511381</v>
      </c>
      <c r="N327" s="1350"/>
      <c r="O327" s="1358">
        <f t="shared" si="70"/>
        <v>5.7001226025494298E-3</v>
      </c>
      <c r="P327" s="1358">
        <f t="shared" si="71"/>
        <v>4.5181475370043205E-3</v>
      </c>
      <c r="Q327" s="1358">
        <f t="shared" si="72"/>
        <v>1.2495074090351251E-2</v>
      </c>
      <c r="R327" s="1358">
        <f t="shared" si="73"/>
        <v>0</v>
      </c>
      <c r="S327" s="1358">
        <f t="shared" si="74"/>
        <v>0.1172272705057027</v>
      </c>
      <c r="T327" s="1358">
        <f t="shared" si="80"/>
        <v>1.952539689986746</v>
      </c>
      <c r="U327" s="595">
        <f>IF('TAR_Tab 2_Volumina'!C330="storage",1,0)</f>
        <v>0</v>
      </c>
      <c r="V327" s="1362">
        <f t="shared" si="77"/>
        <v>1.952539689986746</v>
      </c>
      <c r="W327" s="1362">
        <f t="shared" si="75"/>
        <v>2.057162596371187</v>
      </c>
      <c r="X327" s="1355">
        <f t="shared" si="76"/>
        <v>2.0569999999999999</v>
      </c>
      <c r="Y327" s="1355">
        <f>X327+'TAR_Tab 13_Overige tarieven'!$T$15+'TAR_Tab 13_Overige tarieven'!$T$16</f>
        <v>2.21</v>
      </c>
      <c r="Z327" s="960"/>
    </row>
    <row r="328" spans="1:26">
      <c r="A328" s="155">
        <v>300830</v>
      </c>
      <c r="B328" s="156" t="s">
        <v>457</v>
      </c>
      <c r="C328" s="839">
        <v>1.3657034079540111</v>
      </c>
      <c r="D328" s="1356">
        <f t="shared" si="66"/>
        <v>1.302334769824945</v>
      </c>
      <c r="E328" s="1356">
        <f t="shared" si="67"/>
        <v>1.3761020974837304</v>
      </c>
      <c r="F328" s="1357"/>
      <c r="G328" s="1358">
        <f t="shared" si="68"/>
        <v>1.3072969926095437</v>
      </c>
      <c r="H328" s="1358">
        <f t="shared" si="69"/>
        <v>1.444907202357917</v>
      </c>
      <c r="I328" s="833">
        <v>1.3833769581511097</v>
      </c>
      <c r="J328" s="1359" t="b">
        <f t="shared" si="78"/>
        <v>1</v>
      </c>
      <c r="K328" s="1583"/>
      <c r="L328" s="17"/>
      <c r="M328" s="1361">
        <f t="shared" si="79"/>
        <v>1.3833769581511097</v>
      </c>
      <c r="N328" s="1350"/>
      <c r="O328" s="1358">
        <f t="shared" si="70"/>
        <v>4.3503377965205476E-3</v>
      </c>
      <c r="P328" s="1358">
        <f t="shared" si="71"/>
        <v>3.448253550142067E-3</v>
      </c>
      <c r="Q328" s="1358">
        <f t="shared" si="72"/>
        <v>9.5362498100071812E-3</v>
      </c>
      <c r="R328" s="1358">
        <f t="shared" si="73"/>
        <v>0</v>
      </c>
      <c r="S328" s="1358">
        <f t="shared" si="74"/>
        <v>8.9467939766033205E-2</v>
      </c>
      <c r="T328" s="1358">
        <f t="shared" si="80"/>
        <v>1.4901797390738127</v>
      </c>
      <c r="U328" s="595">
        <f>IF('TAR_Tab 2_Volumina'!C331="storage",1,0)</f>
        <v>0</v>
      </c>
      <c r="V328" s="1362">
        <f t="shared" si="77"/>
        <v>1.4901797390738127</v>
      </c>
      <c r="W328" s="1362">
        <f t="shared" si="75"/>
        <v>1.5700280187972169</v>
      </c>
      <c r="X328" s="1355">
        <f t="shared" si="76"/>
        <v>1.57</v>
      </c>
      <c r="Y328" s="1355">
        <f>X328+'TAR_Tab 13_Overige tarieven'!$T$15+'TAR_Tab 13_Overige tarieven'!$T$16</f>
        <v>1.7230000000000001</v>
      </c>
      <c r="Z328" s="960"/>
    </row>
    <row r="329" spans="1:26">
      <c r="A329" s="155">
        <v>300840</v>
      </c>
      <c r="B329" s="156" t="s">
        <v>792</v>
      </c>
      <c r="C329" s="839">
        <v>1.7894419302987741</v>
      </c>
      <c r="D329" s="1356">
        <f t="shared" ref="D329:D355" si="81">C329*$D$7</f>
        <v>1.706411824732911</v>
      </c>
      <c r="E329" s="1356">
        <f t="shared" ref="E329:E355" si="82">D329*$E$7</f>
        <v>1.803067034370613</v>
      </c>
      <c r="F329" s="1357"/>
      <c r="G329" s="1358">
        <f t="shared" ref="G329:G355" si="83">E329*$G$7</f>
        <v>1.7129136826520823</v>
      </c>
      <c r="H329" s="1358">
        <f t="shared" ref="H329:H355" si="84">E329*$H$7</f>
        <v>1.8932203860891437</v>
      </c>
      <c r="I329" s="833">
        <v>1.8125990752511381</v>
      </c>
      <c r="J329" s="1359" t="b">
        <f t="shared" si="78"/>
        <v>1</v>
      </c>
      <c r="K329" s="1583"/>
      <c r="L329" s="17"/>
      <c r="M329" s="1361">
        <f t="shared" si="79"/>
        <v>1.8125990752511381</v>
      </c>
      <c r="N329" s="1350"/>
      <c r="O329" s="1358">
        <f t="shared" ref="O329:O355" si="85">$O$7*M329</f>
        <v>5.7001226025494298E-3</v>
      </c>
      <c r="P329" s="1358">
        <f t="shared" ref="P329:P355" si="86">$P$7*M329</f>
        <v>4.5181475370043205E-3</v>
      </c>
      <c r="Q329" s="1358">
        <f t="shared" ref="Q329:Q355" si="87">$Q$7*M329</f>
        <v>1.2495074090351251E-2</v>
      </c>
      <c r="R329" s="1358">
        <f t="shared" ref="R329:R355" si="88">$R$7*M329</f>
        <v>0</v>
      </c>
      <c r="S329" s="1358">
        <f t="shared" ref="S329:S355" si="89">$S$7*M329</f>
        <v>0.1172272705057027</v>
      </c>
      <c r="T329" s="1358">
        <f t="shared" si="80"/>
        <v>1.952539689986746</v>
      </c>
      <c r="U329" s="595">
        <f>IF('TAR_Tab 2_Volumina'!C332="storage",1,0)</f>
        <v>0</v>
      </c>
      <c r="V329" s="1362">
        <f t="shared" si="77"/>
        <v>1.952539689986746</v>
      </c>
      <c r="W329" s="1362">
        <f t="shared" si="75"/>
        <v>2.057162596371187</v>
      </c>
      <c r="X329" s="1355">
        <f t="shared" si="76"/>
        <v>2.0569999999999999</v>
      </c>
      <c r="Y329" s="1355">
        <f>X329+'TAR_Tab 13_Overige tarieven'!$T$15+'TAR_Tab 13_Overige tarieven'!$T$16</f>
        <v>2.21</v>
      </c>
      <c r="Z329" s="960"/>
    </row>
    <row r="330" spans="1:26">
      <c r="A330" s="155">
        <v>300843</v>
      </c>
      <c r="B330" s="156" t="s">
        <v>458</v>
      </c>
      <c r="C330" s="839">
        <v>1.2294023427332432</v>
      </c>
      <c r="D330" s="1356">
        <f t="shared" si="81"/>
        <v>1.1723580740304207</v>
      </c>
      <c r="E330" s="1356">
        <f t="shared" si="82"/>
        <v>1.2387632136183389</v>
      </c>
      <c r="F330" s="1357"/>
      <c r="G330" s="1358">
        <f t="shared" si="83"/>
        <v>1.1768250529374218</v>
      </c>
      <c r="H330" s="1358">
        <f t="shared" si="84"/>
        <v>1.3007013742992559</v>
      </c>
      <c r="I330" s="833">
        <v>1.2453120226023722</v>
      </c>
      <c r="J330" s="1359" t="b">
        <f t="shared" si="78"/>
        <v>1</v>
      </c>
      <c r="K330" s="1583"/>
      <c r="L330" s="17"/>
      <c r="M330" s="1361">
        <f t="shared" si="79"/>
        <v>1.2453120226023722</v>
      </c>
      <c r="N330" s="1350"/>
      <c r="O330" s="1358">
        <f t="shared" si="85"/>
        <v>3.9161617724420561E-3</v>
      </c>
      <c r="P330" s="1358">
        <f t="shared" si="86"/>
        <v>3.1041080868604199E-3</v>
      </c>
      <c r="Q330" s="1358">
        <f t="shared" si="87"/>
        <v>8.5845050902201951E-3</v>
      </c>
      <c r="R330" s="1358">
        <f t="shared" si="88"/>
        <v>0</v>
      </c>
      <c r="S330" s="1358">
        <f t="shared" si="89"/>
        <v>8.0538786172218296E-2</v>
      </c>
      <c r="T330" s="1358">
        <f t="shared" si="80"/>
        <v>1.3414555837241131</v>
      </c>
      <c r="U330" s="595">
        <f>IF('TAR_Tab 2_Volumina'!C333="storage",1,0)</f>
        <v>0</v>
      </c>
      <c r="V330" s="1362">
        <f t="shared" si="77"/>
        <v>1.3414555837241131</v>
      </c>
      <c r="W330" s="1362">
        <f t="shared" ref="W330:W393" si="90">IF(U330=0,V330*(1+$W$7),V330)</f>
        <v>1.413334779150766</v>
      </c>
      <c r="X330" s="1355">
        <f t="shared" ref="X330:X393" si="91">ROUND(W330,3)</f>
        <v>1.413</v>
      </c>
      <c r="Y330" s="1355">
        <f>X330+'TAR_Tab 13_Overige tarieven'!$T$15+'TAR_Tab 13_Overige tarieven'!$T$16</f>
        <v>1.5660000000000001</v>
      </c>
      <c r="Z330" s="960"/>
    </row>
    <row r="331" spans="1:26">
      <c r="A331" s="155">
        <v>300844</v>
      </c>
      <c r="B331" s="156" t="s">
        <v>459</v>
      </c>
      <c r="C331" s="839">
        <v>1.856885409805874</v>
      </c>
      <c r="D331" s="1356">
        <f t="shared" si="81"/>
        <v>1.7707259267908815</v>
      </c>
      <c r="E331" s="1356">
        <f t="shared" si="82"/>
        <v>1.87102403958184</v>
      </c>
      <c r="F331" s="1357"/>
      <c r="G331" s="1358">
        <f t="shared" si="83"/>
        <v>1.777472837602748</v>
      </c>
      <c r="H331" s="1358">
        <f t="shared" si="84"/>
        <v>1.9645752415609321</v>
      </c>
      <c r="I331" s="833">
        <v>1.8809153399571279</v>
      </c>
      <c r="J331" s="1359" t="b">
        <f t="shared" si="78"/>
        <v>1</v>
      </c>
      <c r="K331" s="1583"/>
      <c r="L331" s="17"/>
      <c r="M331" s="1361">
        <f t="shared" si="79"/>
        <v>1.8809153399571279</v>
      </c>
      <c r="N331" s="1350"/>
      <c r="O331" s="1358">
        <f t="shared" si="85"/>
        <v>5.9149583540894718E-3</v>
      </c>
      <c r="P331" s="1358">
        <f t="shared" si="86"/>
        <v>4.6884350359516188E-3</v>
      </c>
      <c r="Q331" s="1358">
        <f t="shared" si="87"/>
        <v>1.2966009335068356E-2</v>
      </c>
      <c r="R331" s="1358">
        <f t="shared" si="88"/>
        <v>0</v>
      </c>
      <c r="S331" s="1358">
        <f t="shared" si="89"/>
        <v>0.12164552788648542</v>
      </c>
      <c r="T331" s="1358">
        <f t="shared" si="80"/>
        <v>2.0261302705687223</v>
      </c>
      <c r="U331" s="595">
        <f>IF('TAR_Tab 2_Volumina'!C334="storage",1,0)</f>
        <v>0</v>
      </c>
      <c r="V331" s="1362">
        <f t="shared" ref="V331:V394" si="92">IF(U331=1,T331*$V$7,T331)</f>
        <v>2.0261302705687223</v>
      </c>
      <c r="W331" s="1362">
        <f t="shared" si="90"/>
        <v>2.1346963799838057</v>
      </c>
      <c r="X331" s="1355">
        <f t="shared" si="91"/>
        <v>2.1349999999999998</v>
      </c>
      <c r="Y331" s="1355">
        <f>X331+'TAR_Tab 13_Overige tarieven'!$T$15+'TAR_Tab 13_Overige tarieven'!$T$16</f>
        <v>2.2879999999999998</v>
      </c>
      <c r="Z331" s="960"/>
    </row>
    <row r="332" spans="1:26">
      <c r="A332" s="155">
        <v>300846</v>
      </c>
      <c r="B332" s="156" t="s">
        <v>460</v>
      </c>
      <c r="C332" s="839">
        <v>1.119001701677383</v>
      </c>
      <c r="D332" s="1356">
        <f t="shared" si="81"/>
        <v>1.0670800227195525</v>
      </c>
      <c r="E332" s="1356">
        <f t="shared" si="82"/>
        <v>1.1275219639914407</v>
      </c>
      <c r="F332" s="1357"/>
      <c r="G332" s="1358">
        <f t="shared" si="83"/>
        <v>1.0711458657918687</v>
      </c>
      <c r="H332" s="1358">
        <f t="shared" si="84"/>
        <v>1.1838980621910127</v>
      </c>
      <c r="I332" s="833">
        <v>1.133482688273779</v>
      </c>
      <c r="J332" s="1359" t="b">
        <f t="shared" si="78"/>
        <v>1</v>
      </c>
      <c r="K332" s="1583"/>
      <c r="L332" s="17"/>
      <c r="M332" s="1361">
        <f t="shared" si="79"/>
        <v>1.133482688273779</v>
      </c>
      <c r="N332" s="1350"/>
      <c r="O332" s="1358">
        <f t="shared" si="85"/>
        <v>3.5644894556357857E-3</v>
      </c>
      <c r="P332" s="1358">
        <f t="shared" si="86"/>
        <v>2.8253583962309231E-3</v>
      </c>
      <c r="Q332" s="1358">
        <f t="shared" si="87"/>
        <v>7.8136143637550313E-3</v>
      </c>
      <c r="R332" s="1358">
        <f t="shared" si="88"/>
        <v>0</v>
      </c>
      <c r="S332" s="1358">
        <f t="shared" si="89"/>
        <v>7.3306382821248739E-2</v>
      </c>
      <c r="T332" s="1358">
        <f t="shared" si="80"/>
        <v>1.2209925333106495</v>
      </c>
      <c r="U332" s="595">
        <f>IF('TAR_Tab 2_Volumina'!C335="storage",1,0)</f>
        <v>0</v>
      </c>
      <c r="V332" s="1362">
        <f t="shared" si="92"/>
        <v>1.2209925333106495</v>
      </c>
      <c r="W332" s="1362">
        <f t="shared" si="90"/>
        <v>1.2864169588236227</v>
      </c>
      <c r="X332" s="1355">
        <f t="shared" si="91"/>
        <v>1.286</v>
      </c>
      <c r="Y332" s="1355">
        <f>X332+'TAR_Tab 13_Overige tarieven'!$T$15+'TAR_Tab 13_Overige tarieven'!$T$16</f>
        <v>1.4390000000000001</v>
      </c>
      <c r="Z332" s="960"/>
    </row>
    <row r="333" spans="1:26">
      <c r="A333" s="155">
        <v>300847</v>
      </c>
      <c r="B333" s="156" t="s">
        <v>461</v>
      </c>
      <c r="C333" s="839">
        <v>1.3657034079540111</v>
      </c>
      <c r="D333" s="1356">
        <f t="shared" si="81"/>
        <v>1.302334769824945</v>
      </c>
      <c r="E333" s="1356">
        <f t="shared" si="82"/>
        <v>1.3761020974837304</v>
      </c>
      <c r="F333" s="1357"/>
      <c r="G333" s="1358">
        <f t="shared" si="83"/>
        <v>1.3072969926095437</v>
      </c>
      <c r="H333" s="1358">
        <f t="shared" si="84"/>
        <v>1.444907202357917</v>
      </c>
      <c r="I333" s="833">
        <v>1.3833769581511097</v>
      </c>
      <c r="J333" s="1359" t="b">
        <f t="shared" si="78"/>
        <v>1</v>
      </c>
      <c r="K333" s="1583"/>
      <c r="L333" s="17"/>
      <c r="M333" s="1361">
        <f t="shared" si="79"/>
        <v>1.3833769581511097</v>
      </c>
      <c r="N333" s="1350"/>
      <c r="O333" s="1358">
        <f t="shared" si="85"/>
        <v>4.3503377965205476E-3</v>
      </c>
      <c r="P333" s="1358">
        <f t="shared" si="86"/>
        <v>3.448253550142067E-3</v>
      </c>
      <c r="Q333" s="1358">
        <f t="shared" si="87"/>
        <v>9.5362498100071812E-3</v>
      </c>
      <c r="R333" s="1358">
        <f t="shared" si="88"/>
        <v>0</v>
      </c>
      <c r="S333" s="1358">
        <f t="shared" si="89"/>
        <v>8.9467939766033205E-2</v>
      </c>
      <c r="T333" s="1358">
        <f t="shared" si="80"/>
        <v>1.4901797390738127</v>
      </c>
      <c r="U333" s="595">
        <f>IF('TAR_Tab 2_Volumina'!C336="storage",1,0)</f>
        <v>0</v>
      </c>
      <c r="V333" s="1362">
        <f t="shared" si="92"/>
        <v>1.4901797390738127</v>
      </c>
      <c r="W333" s="1362">
        <f t="shared" si="90"/>
        <v>1.5700280187972169</v>
      </c>
      <c r="X333" s="1355">
        <f t="shared" si="91"/>
        <v>1.57</v>
      </c>
      <c r="Y333" s="1355">
        <f>X333+'TAR_Tab 13_Overige tarieven'!$T$15+'TAR_Tab 13_Overige tarieven'!$T$16</f>
        <v>1.7230000000000001</v>
      </c>
      <c r="Z333" s="960"/>
    </row>
    <row r="334" spans="1:26">
      <c r="A334" s="155">
        <v>300851</v>
      </c>
      <c r="B334" s="156" t="s">
        <v>463</v>
      </c>
      <c r="C334" s="839">
        <v>1.2204067158351952</v>
      </c>
      <c r="D334" s="1356">
        <f t="shared" si="81"/>
        <v>1.1637798442204421</v>
      </c>
      <c r="E334" s="1356">
        <f t="shared" si="82"/>
        <v>1.2296990925430826</v>
      </c>
      <c r="F334" s="1357"/>
      <c r="G334" s="1358">
        <f t="shared" si="83"/>
        <v>1.1682141379159285</v>
      </c>
      <c r="H334" s="1358">
        <f t="shared" si="84"/>
        <v>1.2911840471702367</v>
      </c>
      <c r="I334" s="833">
        <v>1.2361999834125987</v>
      </c>
      <c r="J334" s="1359" t="b">
        <f t="shared" si="78"/>
        <v>1</v>
      </c>
      <c r="K334" s="1583"/>
      <c r="L334" s="17"/>
      <c r="M334" s="1361">
        <f t="shared" si="79"/>
        <v>1.2361999834125987</v>
      </c>
      <c r="N334" s="1350"/>
      <c r="O334" s="1358">
        <f t="shared" si="85"/>
        <v>3.8875069302046752E-3</v>
      </c>
      <c r="P334" s="1358">
        <f t="shared" si="86"/>
        <v>3.0813951008590019E-3</v>
      </c>
      <c r="Q334" s="1358">
        <f t="shared" si="87"/>
        <v>8.5216916383405346E-3</v>
      </c>
      <c r="R334" s="1358">
        <f t="shared" si="88"/>
        <v>0</v>
      </c>
      <c r="S334" s="1358">
        <f t="shared" si="89"/>
        <v>7.9949477980714265E-2</v>
      </c>
      <c r="T334" s="1358">
        <f t="shared" si="80"/>
        <v>1.3316400550627172</v>
      </c>
      <c r="U334" s="595">
        <f>IF('TAR_Tab 2_Volumina'!C337="storage",1,0)</f>
        <v>0</v>
      </c>
      <c r="V334" s="1362">
        <f t="shared" si="92"/>
        <v>1.3316400550627172</v>
      </c>
      <c r="W334" s="1362">
        <f t="shared" si="90"/>
        <v>1.4029933051569801</v>
      </c>
      <c r="X334" s="1355">
        <f t="shared" si="91"/>
        <v>1.403</v>
      </c>
      <c r="Y334" s="1355">
        <f>X334+'TAR_Tab 13_Overige tarieven'!$T$15+'TAR_Tab 13_Overige tarieven'!$T$16</f>
        <v>1.556</v>
      </c>
      <c r="Z334" s="960"/>
    </row>
    <row r="335" spans="1:26">
      <c r="A335" s="155">
        <v>300852</v>
      </c>
      <c r="B335" s="156" t="s">
        <v>464</v>
      </c>
      <c r="C335" s="839">
        <v>1.3061226185136177</v>
      </c>
      <c r="D335" s="1356">
        <f t="shared" si="81"/>
        <v>1.2455185290145858</v>
      </c>
      <c r="E335" s="1356">
        <f t="shared" si="82"/>
        <v>1.3160676501497433</v>
      </c>
      <c r="F335" s="1357"/>
      <c r="G335" s="1358">
        <f t="shared" si="83"/>
        <v>1.250264267642256</v>
      </c>
      <c r="H335" s="1358">
        <f t="shared" si="84"/>
        <v>1.3818710326572305</v>
      </c>
      <c r="I335" s="833">
        <v>1.3230251344826223</v>
      </c>
      <c r="J335" s="1359" t="b">
        <f t="shared" si="78"/>
        <v>1</v>
      </c>
      <c r="K335" s="1583"/>
      <c r="L335" s="17"/>
      <c r="M335" s="1361">
        <f t="shared" si="79"/>
        <v>1.3230251344826223</v>
      </c>
      <c r="N335" s="1350"/>
      <c r="O335" s="1358">
        <f t="shared" si="85"/>
        <v>4.1605480085332843E-3</v>
      </c>
      <c r="P335" s="1358">
        <f t="shared" si="86"/>
        <v>3.2978184941031491E-3</v>
      </c>
      <c r="Q335" s="1358">
        <f t="shared" si="87"/>
        <v>9.1202170984594922E-3</v>
      </c>
      <c r="R335" s="1358">
        <f t="shared" si="88"/>
        <v>0</v>
      </c>
      <c r="S335" s="1358">
        <f t="shared" si="89"/>
        <v>8.5564771296349401E-2</v>
      </c>
      <c r="T335" s="1358">
        <f t="shared" si="80"/>
        <v>1.4251684893800676</v>
      </c>
      <c r="U335" s="595">
        <f>IF('TAR_Tab 2_Volumina'!C338="storage",1,0)</f>
        <v>0</v>
      </c>
      <c r="V335" s="1362">
        <f t="shared" si="92"/>
        <v>1.4251684893800676</v>
      </c>
      <c r="W335" s="1362">
        <f t="shared" si="90"/>
        <v>1.5015332722375563</v>
      </c>
      <c r="X335" s="1355">
        <f t="shared" si="91"/>
        <v>1.502</v>
      </c>
      <c r="Y335" s="1355">
        <f>X335+'TAR_Tab 13_Overige tarieven'!$T$15+'TAR_Tab 13_Overige tarieven'!$T$16</f>
        <v>1.655</v>
      </c>
      <c r="Z335" s="960"/>
    </row>
    <row r="336" spans="1:26">
      <c r="A336" s="155">
        <v>300854</v>
      </c>
      <c r="B336" s="156" t="s">
        <v>465</v>
      </c>
      <c r="C336" s="839">
        <v>0.70100522575962532</v>
      </c>
      <c r="D336" s="1356">
        <f t="shared" si="81"/>
        <v>0.6684785832843787</v>
      </c>
      <c r="E336" s="1356">
        <f t="shared" si="82"/>
        <v>0.70634279441393932</v>
      </c>
      <c r="F336" s="1357"/>
      <c r="G336" s="1358">
        <f t="shared" si="83"/>
        <v>0.67102565469324238</v>
      </c>
      <c r="H336" s="1358">
        <f t="shared" si="84"/>
        <v>0.74165993413463627</v>
      </c>
      <c r="I336" s="833">
        <v>0.71007692534954714</v>
      </c>
      <c r="J336" s="1359" t="b">
        <f t="shared" si="78"/>
        <v>1</v>
      </c>
      <c r="K336" s="1583"/>
      <c r="L336" s="17"/>
      <c r="M336" s="1361">
        <f t="shared" si="79"/>
        <v>0.71007692534954714</v>
      </c>
      <c r="N336" s="1350"/>
      <c r="O336" s="1358">
        <f t="shared" si="85"/>
        <v>2.2329954742876428E-3</v>
      </c>
      <c r="P336" s="1358">
        <f t="shared" si="86"/>
        <v>1.7699624562078915E-3</v>
      </c>
      <c r="Q336" s="1358">
        <f t="shared" si="87"/>
        <v>4.8948848718032775E-3</v>
      </c>
      <c r="R336" s="1358">
        <f t="shared" si="88"/>
        <v>0</v>
      </c>
      <c r="S336" s="1358">
        <f t="shared" si="89"/>
        <v>4.5923216526123384E-2</v>
      </c>
      <c r="T336" s="1358">
        <f t="shared" si="80"/>
        <v>0.76489798467796932</v>
      </c>
      <c r="U336" s="595">
        <f>IF('TAR_Tab 2_Volumina'!C339="storage",1,0)</f>
        <v>0</v>
      </c>
      <c r="V336" s="1362">
        <f t="shared" si="92"/>
        <v>0.76489798467796932</v>
      </c>
      <c r="W336" s="1362">
        <f t="shared" si="90"/>
        <v>0.80588350249100493</v>
      </c>
      <c r="X336" s="1355">
        <f t="shared" si="91"/>
        <v>0.80600000000000005</v>
      </c>
      <c r="Y336" s="1355">
        <f>X336+'TAR_Tab 13_Overige tarieven'!$T$15+'TAR_Tab 13_Overige tarieven'!$T$16</f>
        <v>0.95900000000000007</v>
      </c>
      <c r="Z336" s="960"/>
    </row>
    <row r="337" spans="1:26">
      <c r="A337" s="155">
        <v>300855</v>
      </c>
      <c r="B337" s="156" t="s">
        <v>336</v>
      </c>
      <c r="C337" s="839">
        <v>1.145068297057555</v>
      </c>
      <c r="D337" s="1356">
        <f t="shared" si="81"/>
        <v>1.0919371280740844</v>
      </c>
      <c r="E337" s="1356">
        <f t="shared" si="82"/>
        <v>1.1537870347000598</v>
      </c>
      <c r="F337" s="1357"/>
      <c r="G337" s="1358">
        <f t="shared" si="83"/>
        <v>1.0960976829650568</v>
      </c>
      <c r="H337" s="1358">
        <f t="shared" si="84"/>
        <v>1.2114763864350628</v>
      </c>
      <c r="I337" s="833">
        <v>1.159886611128742</v>
      </c>
      <c r="J337" s="1359" t="b">
        <f t="shared" si="78"/>
        <v>1</v>
      </c>
      <c r="K337" s="1583"/>
      <c r="L337" s="17"/>
      <c r="M337" s="1361">
        <f t="shared" si="79"/>
        <v>1.159886611128742</v>
      </c>
      <c r="N337" s="1350"/>
      <c r="O337" s="1358">
        <f t="shared" si="85"/>
        <v>3.6475224878802126E-3</v>
      </c>
      <c r="P337" s="1358">
        <f t="shared" si="86"/>
        <v>2.8911737332479493E-3</v>
      </c>
      <c r="Q337" s="1358">
        <f t="shared" si="87"/>
        <v>7.995628675057145E-3</v>
      </c>
      <c r="R337" s="1358">
        <f t="shared" si="88"/>
        <v>0</v>
      </c>
      <c r="S337" s="1358">
        <f t="shared" si="89"/>
        <v>7.5014019026735379E-2</v>
      </c>
      <c r="T337" s="1358">
        <f t="shared" si="80"/>
        <v>1.2494349550516628</v>
      </c>
      <c r="U337" s="595">
        <f>IF('TAR_Tab 2_Volumina'!C340="storage",1,0)</f>
        <v>0</v>
      </c>
      <c r="V337" s="1362">
        <f t="shared" si="92"/>
        <v>1.2494349550516628</v>
      </c>
      <c r="W337" s="1362">
        <f t="shared" si="90"/>
        <v>1.316383410443474</v>
      </c>
      <c r="X337" s="1355">
        <f t="shared" si="91"/>
        <v>1.3160000000000001</v>
      </c>
      <c r="Y337" s="1355">
        <f>X337+'TAR_Tab 13_Overige tarieven'!$T$15+'TAR_Tab 13_Overige tarieven'!$T$16</f>
        <v>1.4690000000000001</v>
      </c>
      <c r="Z337" s="960"/>
    </row>
    <row r="338" spans="1:26">
      <c r="A338" s="155">
        <v>300856</v>
      </c>
      <c r="B338" s="156" t="s">
        <v>1105</v>
      </c>
      <c r="C338" s="839">
        <v>0.947706932036253</v>
      </c>
      <c r="D338" s="1356">
        <f t="shared" si="81"/>
        <v>0.90373333038977088</v>
      </c>
      <c r="E338" s="1356">
        <f t="shared" si="82"/>
        <v>0.95492292790622868</v>
      </c>
      <c r="F338" s="1357"/>
      <c r="G338" s="1358">
        <f t="shared" si="83"/>
        <v>0.90717678151091719</v>
      </c>
      <c r="H338" s="1358">
        <f t="shared" si="84"/>
        <v>1.0026690743015401</v>
      </c>
      <c r="I338" s="833">
        <v>0.95997119522687779</v>
      </c>
      <c r="J338" s="1359" t="b">
        <f t="shared" si="78"/>
        <v>1</v>
      </c>
      <c r="K338" s="1583"/>
      <c r="L338" s="17"/>
      <c r="M338" s="1361">
        <f t="shared" si="79"/>
        <v>0.95997119522687779</v>
      </c>
      <c r="N338" s="1350"/>
      <c r="O338" s="1358">
        <f t="shared" si="85"/>
        <v>3.0188438151724046E-3</v>
      </c>
      <c r="P338" s="1358">
        <f t="shared" si="86"/>
        <v>2.3928576101190351E-3</v>
      </c>
      <c r="Q338" s="1358">
        <f t="shared" si="87"/>
        <v>6.6175203180554266E-3</v>
      </c>
      <c r="R338" s="1358">
        <f t="shared" si="88"/>
        <v>0</v>
      </c>
      <c r="S338" s="1358">
        <f t="shared" si="89"/>
        <v>6.2084773470907836E-2</v>
      </c>
      <c r="T338" s="1358">
        <f t="shared" si="80"/>
        <v>1.0340851904411323</v>
      </c>
      <c r="U338" s="595">
        <f>IF('TAR_Tab 2_Volumina'!C341="storage",1,0)</f>
        <v>0</v>
      </c>
      <c r="V338" s="1362">
        <f t="shared" si="92"/>
        <v>1.0340851904411323</v>
      </c>
      <c r="W338" s="1362">
        <f t="shared" si="90"/>
        <v>1.0894945624645989</v>
      </c>
      <c r="X338" s="1355">
        <f t="shared" si="91"/>
        <v>1.089</v>
      </c>
      <c r="Y338" s="1355">
        <f>X338+'TAR_Tab 13_Overige tarieven'!$T$15+'TAR_Tab 13_Overige tarieven'!$T$16</f>
        <v>1.242</v>
      </c>
      <c r="Z338" s="960"/>
    </row>
    <row r="339" spans="1:26">
      <c r="A339" s="155">
        <v>300857</v>
      </c>
      <c r="B339" s="156" t="s">
        <v>466</v>
      </c>
      <c r="C339" s="839">
        <v>1.3043659002169778</v>
      </c>
      <c r="D339" s="1356">
        <f t="shared" si="81"/>
        <v>1.2438433224469101</v>
      </c>
      <c r="E339" s="1356">
        <f t="shared" si="82"/>
        <v>1.3142975559121401</v>
      </c>
      <c r="F339" s="1357"/>
      <c r="G339" s="1358">
        <f t="shared" si="83"/>
        <v>1.248582678116533</v>
      </c>
      <c r="H339" s="1358">
        <f t="shared" si="84"/>
        <v>1.3800124337077473</v>
      </c>
      <c r="I339" s="833">
        <v>1.3212456825171512</v>
      </c>
      <c r="J339" s="1359" t="b">
        <f t="shared" si="78"/>
        <v>1</v>
      </c>
      <c r="K339" s="1583"/>
      <c r="L339" s="17"/>
      <c r="M339" s="1361">
        <f t="shared" si="79"/>
        <v>1.3212456825171512</v>
      </c>
      <c r="N339" s="1350"/>
      <c r="O339" s="1358">
        <f t="shared" si="85"/>
        <v>4.154952124420231E-3</v>
      </c>
      <c r="P339" s="1358">
        <f t="shared" si="86"/>
        <v>3.2933829702055679E-3</v>
      </c>
      <c r="Q339" s="1358">
        <f t="shared" si="87"/>
        <v>9.1079505225506972E-3</v>
      </c>
      <c r="R339" s="1358">
        <f t="shared" si="88"/>
        <v>0</v>
      </c>
      <c r="S339" s="1358">
        <f t="shared" si="89"/>
        <v>8.5449687768085286E-2</v>
      </c>
      <c r="T339" s="1358">
        <f t="shared" si="80"/>
        <v>1.4232516559024129</v>
      </c>
      <c r="U339" s="595">
        <f>IF('TAR_Tab 2_Volumina'!C342="storage",1,0)</f>
        <v>0</v>
      </c>
      <c r="V339" s="1362">
        <f t="shared" si="92"/>
        <v>1.4232516559024129</v>
      </c>
      <c r="W339" s="1362">
        <f t="shared" si="90"/>
        <v>1.4995137290989837</v>
      </c>
      <c r="X339" s="1355">
        <f t="shared" si="91"/>
        <v>1.5</v>
      </c>
      <c r="Y339" s="1355">
        <f>X339+'TAR_Tab 13_Overige tarieven'!$T$15+'TAR_Tab 13_Overige tarieven'!$T$16</f>
        <v>1.653</v>
      </c>
      <c r="Z339" s="960"/>
    </row>
    <row r="340" spans="1:26">
      <c r="A340" s="155">
        <v>300858</v>
      </c>
      <c r="B340" s="156" t="s">
        <v>337</v>
      </c>
      <c r="C340" s="839">
        <v>1.145068297057555</v>
      </c>
      <c r="D340" s="1356">
        <f t="shared" si="81"/>
        <v>1.0919371280740844</v>
      </c>
      <c r="E340" s="1356">
        <f t="shared" si="82"/>
        <v>1.1537870347000598</v>
      </c>
      <c r="F340" s="1357"/>
      <c r="G340" s="1358">
        <f t="shared" si="83"/>
        <v>1.0960976829650568</v>
      </c>
      <c r="H340" s="1358">
        <f t="shared" si="84"/>
        <v>1.2114763864350628</v>
      </c>
      <c r="I340" s="833">
        <v>1.159886611128742</v>
      </c>
      <c r="J340" s="1359" t="b">
        <f t="shared" si="78"/>
        <v>1</v>
      </c>
      <c r="K340" s="1583"/>
      <c r="L340" s="17"/>
      <c r="M340" s="1361">
        <f t="shared" si="79"/>
        <v>1.159886611128742</v>
      </c>
      <c r="N340" s="1350"/>
      <c r="O340" s="1358">
        <f t="shared" si="85"/>
        <v>3.6475224878802126E-3</v>
      </c>
      <c r="P340" s="1358">
        <f t="shared" si="86"/>
        <v>2.8911737332479493E-3</v>
      </c>
      <c r="Q340" s="1358">
        <f t="shared" si="87"/>
        <v>7.995628675057145E-3</v>
      </c>
      <c r="R340" s="1358">
        <f t="shared" si="88"/>
        <v>0</v>
      </c>
      <c r="S340" s="1358">
        <f t="shared" si="89"/>
        <v>7.5014019026735379E-2</v>
      </c>
      <c r="T340" s="1358">
        <f t="shared" si="80"/>
        <v>1.2494349550516628</v>
      </c>
      <c r="U340" s="595">
        <f>IF('TAR_Tab 2_Volumina'!C343="storage",1,0)</f>
        <v>0</v>
      </c>
      <c r="V340" s="1362">
        <f t="shared" si="92"/>
        <v>1.2494349550516628</v>
      </c>
      <c r="W340" s="1362">
        <f t="shared" si="90"/>
        <v>1.316383410443474</v>
      </c>
      <c r="X340" s="1355">
        <f t="shared" si="91"/>
        <v>1.3160000000000001</v>
      </c>
      <c r="Y340" s="1355">
        <f>X340+'TAR_Tab 13_Overige tarieven'!$T$15+'TAR_Tab 13_Overige tarieven'!$T$16</f>
        <v>1.4690000000000001</v>
      </c>
      <c r="Z340" s="960"/>
    </row>
    <row r="341" spans="1:26">
      <c r="A341" s="155">
        <v>300885</v>
      </c>
      <c r="B341" s="156" t="s">
        <v>793</v>
      </c>
      <c r="C341" s="839">
        <v>2.6898561761857733</v>
      </c>
      <c r="D341" s="1356">
        <f t="shared" si="81"/>
        <v>2.5650468496107535</v>
      </c>
      <c r="E341" s="1356">
        <f t="shared" si="82"/>
        <v>2.7103371818659578</v>
      </c>
      <c r="F341" s="1357"/>
      <c r="G341" s="1358">
        <f t="shared" si="83"/>
        <v>2.57482032277266</v>
      </c>
      <c r="H341" s="1358">
        <f t="shared" si="84"/>
        <v>2.8458540409592556</v>
      </c>
      <c r="I341" s="833">
        <v>2.7246655702869527</v>
      </c>
      <c r="J341" s="1359" t="b">
        <f t="shared" si="78"/>
        <v>1</v>
      </c>
      <c r="K341" s="1583"/>
      <c r="L341" s="17"/>
      <c r="M341" s="1361">
        <f t="shared" si="79"/>
        <v>2.7246655702869527</v>
      </c>
      <c r="N341" s="1350"/>
      <c r="O341" s="1358">
        <f t="shared" si="85"/>
        <v>8.5683193893437582E-3</v>
      </c>
      <c r="P341" s="1358">
        <f t="shared" si="86"/>
        <v>6.791596224248784E-3</v>
      </c>
      <c r="Q341" s="1358">
        <f t="shared" si="87"/>
        <v>1.8782365409431567E-2</v>
      </c>
      <c r="R341" s="1358">
        <f t="shared" si="88"/>
        <v>0</v>
      </c>
      <c r="S341" s="1358">
        <f t="shared" si="89"/>
        <v>0.17621387553745127</v>
      </c>
      <c r="T341" s="1358">
        <f t="shared" si="80"/>
        <v>2.9350217268474279</v>
      </c>
      <c r="U341" s="595">
        <f>IF('TAR_Tab 2_Volumina'!C344="storage",1,0)</f>
        <v>0</v>
      </c>
      <c r="V341" s="1362">
        <f t="shared" si="92"/>
        <v>2.9350217268474279</v>
      </c>
      <c r="W341" s="1362">
        <f t="shared" si="90"/>
        <v>3.0922889542123904</v>
      </c>
      <c r="X341" s="1355">
        <f t="shared" si="91"/>
        <v>3.0920000000000001</v>
      </c>
      <c r="Y341" s="1355">
        <f>X341+'TAR_Tab 13_Overige tarieven'!$T$15+'TAR_Tab 13_Overige tarieven'!$T$16</f>
        <v>3.2450000000000001</v>
      </c>
      <c r="Z341" s="960"/>
    </row>
    <row r="342" spans="1:26">
      <c r="A342" s="155">
        <v>300887</v>
      </c>
      <c r="B342" s="156" t="s">
        <v>1106</v>
      </c>
      <c r="C342" s="839">
        <v>2.9752374382151916</v>
      </c>
      <c r="D342" s="1356">
        <f t="shared" si="81"/>
        <v>2.8371864210820066</v>
      </c>
      <c r="E342" s="1356">
        <f t="shared" si="82"/>
        <v>2.9978913835864978</v>
      </c>
      <c r="F342" s="1357"/>
      <c r="G342" s="1358">
        <f t="shared" si="83"/>
        <v>2.8479968144071726</v>
      </c>
      <c r="H342" s="1358">
        <f t="shared" si="84"/>
        <v>3.147785952765823</v>
      </c>
      <c r="I342" s="833">
        <v>3.0137399475494542</v>
      </c>
      <c r="J342" s="1359" t="b">
        <f t="shared" si="78"/>
        <v>1</v>
      </c>
      <c r="K342" s="1583"/>
      <c r="L342" s="17"/>
      <c r="M342" s="1361">
        <f t="shared" si="79"/>
        <v>3.0137399475494542</v>
      </c>
      <c r="N342" s="1350"/>
      <c r="O342" s="1358">
        <f t="shared" si="85"/>
        <v>9.4773783280523004E-3</v>
      </c>
      <c r="P342" s="1358">
        <f t="shared" si="86"/>
        <v>7.5121530773734442E-3</v>
      </c>
      <c r="Q342" s="1358">
        <f t="shared" si="87"/>
        <v>2.077508724783185E-2</v>
      </c>
      <c r="R342" s="1358">
        <f t="shared" si="88"/>
        <v>0</v>
      </c>
      <c r="S342" s="1358">
        <f t="shared" si="89"/>
        <v>0.19490935027442458</v>
      </c>
      <c r="T342" s="1358">
        <f t="shared" si="80"/>
        <v>3.2464139164771368</v>
      </c>
      <c r="U342" s="595">
        <f>IF('TAR_Tab 2_Volumina'!C345="storage",1,0)</f>
        <v>0</v>
      </c>
      <c r="V342" s="1362">
        <f t="shared" si="92"/>
        <v>3.2464139164771368</v>
      </c>
      <c r="W342" s="1362">
        <f t="shared" si="90"/>
        <v>3.420366467101621</v>
      </c>
      <c r="X342" s="1355">
        <f t="shared" si="91"/>
        <v>3.42</v>
      </c>
      <c r="Y342" s="1355">
        <f>X342+'TAR_Tab 13_Overige tarieven'!$T$15+'TAR_Tab 13_Overige tarieven'!$T$16</f>
        <v>3.573</v>
      </c>
      <c r="Z342" s="960"/>
    </row>
    <row r="343" spans="1:26">
      <c r="A343" s="155">
        <v>300888</v>
      </c>
      <c r="B343" s="156" t="s">
        <v>428</v>
      </c>
      <c r="C343" s="839">
        <v>1.8650933101953111</v>
      </c>
      <c r="D343" s="1356">
        <f t="shared" si="81"/>
        <v>1.7785529806022486</v>
      </c>
      <c r="E343" s="1356">
        <f t="shared" si="82"/>
        <v>1.8792944362697732</v>
      </c>
      <c r="F343" s="1357"/>
      <c r="G343" s="1358">
        <f t="shared" si="83"/>
        <v>1.7853297144562845</v>
      </c>
      <c r="H343" s="1358">
        <f t="shared" si="84"/>
        <v>1.9732591580832619</v>
      </c>
      <c r="I343" s="833">
        <v>1.8892294586796969</v>
      </c>
      <c r="J343" s="1359" t="b">
        <f t="shared" si="78"/>
        <v>1</v>
      </c>
      <c r="K343" s="1583"/>
      <c r="L343" s="17"/>
      <c r="M343" s="1361">
        <f t="shared" si="79"/>
        <v>1.8892294586796969</v>
      </c>
      <c r="N343" s="1350"/>
      <c r="O343" s="1358">
        <f t="shared" si="85"/>
        <v>5.9411039572169746E-3</v>
      </c>
      <c r="P343" s="1358">
        <f t="shared" si="86"/>
        <v>4.7091590976272727E-3</v>
      </c>
      <c r="Q343" s="1358">
        <f t="shared" si="87"/>
        <v>1.3023322356382837E-2</v>
      </c>
      <c r="R343" s="1358">
        <f t="shared" si="88"/>
        <v>0</v>
      </c>
      <c r="S343" s="1358">
        <f t="shared" si="89"/>
        <v>0.12218323170517024</v>
      </c>
      <c r="T343" s="1358">
        <f t="shared" si="80"/>
        <v>2.0350862757960946</v>
      </c>
      <c r="U343" s="595">
        <f>IF('TAR_Tab 2_Volumina'!C346="storage",1,0)</f>
        <v>0</v>
      </c>
      <c r="V343" s="1362">
        <f t="shared" si="92"/>
        <v>2.0350862757960946</v>
      </c>
      <c r="W343" s="1362">
        <f t="shared" si="90"/>
        <v>2.1441322747116511</v>
      </c>
      <c r="X343" s="1355">
        <f t="shared" si="91"/>
        <v>2.1440000000000001</v>
      </c>
      <c r="Y343" s="1355">
        <f>X343+'TAR_Tab 13_Overige tarieven'!$T$15+'TAR_Tab 13_Overige tarieven'!$T$16</f>
        <v>2.2970000000000002</v>
      </c>
      <c r="Z343" s="960"/>
    </row>
    <row r="344" spans="1:26">
      <c r="A344" s="155">
        <v>300889</v>
      </c>
      <c r="B344" s="156" t="s">
        <v>1107</v>
      </c>
      <c r="C344" s="839">
        <v>1.8770308647235794</v>
      </c>
      <c r="D344" s="1356">
        <f t="shared" si="81"/>
        <v>1.7899366326004054</v>
      </c>
      <c r="E344" s="1356">
        <f t="shared" si="82"/>
        <v>1.8913228852942847</v>
      </c>
      <c r="F344" s="1357"/>
      <c r="G344" s="1358">
        <f t="shared" si="83"/>
        <v>1.7967567410295704</v>
      </c>
      <c r="H344" s="1358">
        <f t="shared" si="84"/>
        <v>1.985889029558999</v>
      </c>
      <c r="I344" s="833">
        <v>1.9013214969472292</v>
      </c>
      <c r="J344" s="1359" t="b">
        <f t="shared" si="78"/>
        <v>1</v>
      </c>
      <c r="K344" s="1583"/>
      <c r="L344" s="17"/>
      <c r="M344" s="1361">
        <f t="shared" si="79"/>
        <v>1.9013214969472292</v>
      </c>
      <c r="N344" s="1350"/>
      <c r="O344" s="1358">
        <f t="shared" si="85"/>
        <v>5.9791300720819533E-3</v>
      </c>
      <c r="P344" s="1358">
        <f t="shared" si="86"/>
        <v>4.7393001330397746E-3</v>
      </c>
      <c r="Q344" s="1358">
        <f t="shared" si="87"/>
        <v>1.3106678304269571E-2</v>
      </c>
      <c r="R344" s="1358">
        <f t="shared" si="88"/>
        <v>0</v>
      </c>
      <c r="S344" s="1358">
        <f t="shared" si="89"/>
        <v>0.12296526710412183</v>
      </c>
      <c r="T344" s="1358">
        <f t="shared" si="80"/>
        <v>2.0481118725607423</v>
      </c>
      <c r="U344" s="595">
        <f>IF('TAR_Tab 2_Volumina'!C347="storage",1,0)</f>
        <v>0</v>
      </c>
      <c r="V344" s="1362">
        <f t="shared" si="92"/>
        <v>2.0481118725607423</v>
      </c>
      <c r="W344" s="1362">
        <f t="shared" si="90"/>
        <v>2.1578558218421211</v>
      </c>
      <c r="X344" s="1355">
        <f t="shared" si="91"/>
        <v>2.1579999999999999</v>
      </c>
      <c r="Y344" s="1355">
        <f>X344+'TAR_Tab 13_Overige tarieven'!$T$15+'TAR_Tab 13_Overige tarieven'!$T$16</f>
        <v>2.3109999999999999</v>
      </c>
      <c r="Z344" s="960"/>
    </row>
    <row r="345" spans="1:26">
      <c r="A345" s="155">
        <v>300892</v>
      </c>
      <c r="B345" s="156" t="s">
        <v>467</v>
      </c>
      <c r="C345" s="839">
        <v>2.6810972827432926</v>
      </c>
      <c r="D345" s="1356">
        <f t="shared" si="81"/>
        <v>2.556694368824004</v>
      </c>
      <c r="E345" s="1356">
        <f t="shared" si="82"/>
        <v>2.701511596773591</v>
      </c>
      <c r="F345" s="1357"/>
      <c r="G345" s="1358">
        <f t="shared" si="83"/>
        <v>2.5664360169349112</v>
      </c>
      <c r="H345" s="1358">
        <f t="shared" si="84"/>
        <v>2.8365871766122708</v>
      </c>
      <c r="I345" s="833">
        <v>2.7157933281173441</v>
      </c>
      <c r="J345" s="1359" t="b">
        <f t="shared" si="78"/>
        <v>1</v>
      </c>
      <c r="K345" s="1583"/>
      <c r="L345" s="17"/>
      <c r="M345" s="1361">
        <f t="shared" si="79"/>
        <v>2.7157933281173441</v>
      </c>
      <c r="N345" s="1350"/>
      <c r="O345" s="1358">
        <f t="shared" si="85"/>
        <v>8.5404186423905081E-3</v>
      </c>
      <c r="P345" s="1358">
        <f t="shared" si="86"/>
        <v>6.76948096464524E-3</v>
      </c>
      <c r="Q345" s="1358">
        <f t="shared" si="87"/>
        <v>1.8721204988039739E-2</v>
      </c>
      <c r="R345" s="1358">
        <f t="shared" si="88"/>
        <v>0</v>
      </c>
      <c r="S345" s="1358">
        <f t="shared" si="89"/>
        <v>0.17564007587760938</v>
      </c>
      <c r="T345" s="1358">
        <f t="shared" si="80"/>
        <v>2.925464508590029</v>
      </c>
      <c r="U345" s="595">
        <f>IF('TAR_Tab 2_Volumina'!C348="storage",1,0)</f>
        <v>0</v>
      </c>
      <c r="V345" s="1362">
        <f t="shared" si="92"/>
        <v>2.925464508590029</v>
      </c>
      <c r="W345" s="1362">
        <f t="shared" si="90"/>
        <v>3.0822196316652977</v>
      </c>
      <c r="X345" s="1355">
        <f t="shared" si="91"/>
        <v>3.0819999999999999</v>
      </c>
      <c r="Y345" s="1355">
        <f>X345+'TAR_Tab 13_Overige tarieven'!$T$15+'TAR_Tab 13_Overige tarieven'!$T$16</f>
        <v>3.2349999999999999</v>
      </c>
      <c r="Z345" s="960"/>
    </row>
    <row r="346" spans="1:26">
      <c r="A346" s="155">
        <v>300893</v>
      </c>
      <c r="B346" s="156" t="s">
        <v>468</v>
      </c>
      <c r="C346" s="839">
        <v>1.3145011670286733</v>
      </c>
      <c r="D346" s="1356">
        <f t="shared" si="81"/>
        <v>1.2535083128785429</v>
      </c>
      <c r="E346" s="1356">
        <f t="shared" si="82"/>
        <v>1.3245099943060854</v>
      </c>
      <c r="F346" s="1357"/>
      <c r="G346" s="1358">
        <f t="shared" si="83"/>
        <v>1.2582844945907812</v>
      </c>
      <c r="H346" s="1358">
        <f t="shared" si="84"/>
        <v>1.3907354940213896</v>
      </c>
      <c r="I346" s="833">
        <v>1.3315121096860034</v>
      </c>
      <c r="J346" s="1359" t="b">
        <f t="shared" si="78"/>
        <v>1</v>
      </c>
      <c r="K346" s="1583"/>
      <c r="L346" s="17"/>
      <c r="M346" s="1361">
        <f t="shared" si="79"/>
        <v>1.3315121096860034</v>
      </c>
      <c r="N346" s="1350"/>
      <c r="O346" s="1358">
        <f t="shared" si="85"/>
        <v>4.1872371974689933E-3</v>
      </c>
      <c r="P346" s="1358">
        <f t="shared" si="86"/>
        <v>3.3189734238586225E-3</v>
      </c>
      <c r="Q346" s="1358">
        <f t="shared" si="87"/>
        <v>9.1787216985208878E-3</v>
      </c>
      <c r="R346" s="1358">
        <f t="shared" si="88"/>
        <v>0</v>
      </c>
      <c r="S346" s="1358">
        <f t="shared" si="89"/>
        <v>8.6113654362398692E-2</v>
      </c>
      <c r="T346" s="1358">
        <f t="shared" si="80"/>
        <v>1.4343106963682504</v>
      </c>
      <c r="U346" s="595">
        <f>IF('TAR_Tab 2_Volumina'!C349="storage",1,0)</f>
        <v>0</v>
      </c>
      <c r="V346" s="1362">
        <f t="shared" si="92"/>
        <v>1.4343106963682504</v>
      </c>
      <c r="W346" s="1362">
        <f t="shared" si="90"/>
        <v>1.5111653459725083</v>
      </c>
      <c r="X346" s="1355">
        <f t="shared" si="91"/>
        <v>1.5109999999999999</v>
      </c>
      <c r="Y346" s="1355">
        <f>X346+'TAR_Tab 13_Overige tarieven'!$T$15+'TAR_Tab 13_Overige tarieven'!$T$16</f>
        <v>1.6639999999999999</v>
      </c>
      <c r="Z346" s="960"/>
    </row>
    <row r="347" spans="1:26">
      <c r="A347" s="155">
        <v>300895</v>
      </c>
      <c r="B347" s="156" t="s">
        <v>469</v>
      </c>
      <c r="C347" s="839">
        <v>1.8691478606253467</v>
      </c>
      <c r="D347" s="1356">
        <f t="shared" si="81"/>
        <v>1.7824193998923306</v>
      </c>
      <c r="E347" s="1356">
        <f t="shared" si="82"/>
        <v>1.8833798587111539</v>
      </c>
      <c r="F347" s="1357"/>
      <c r="G347" s="1358">
        <f t="shared" si="83"/>
        <v>1.7892108657755961</v>
      </c>
      <c r="H347" s="1358">
        <f t="shared" si="84"/>
        <v>1.9775488516467117</v>
      </c>
      <c r="I347" s="833">
        <v>1.8933364789945806</v>
      </c>
      <c r="J347" s="1359" t="b">
        <f t="shared" si="78"/>
        <v>1</v>
      </c>
      <c r="K347" s="1583"/>
      <c r="L347" s="17"/>
      <c r="M347" s="1361">
        <f t="shared" si="79"/>
        <v>1.8933364789945806</v>
      </c>
      <c r="N347" s="1350"/>
      <c r="O347" s="1358">
        <f t="shared" si="85"/>
        <v>5.9540193998240251E-3</v>
      </c>
      <c r="P347" s="1358">
        <f t="shared" si="86"/>
        <v>4.7193963993965825E-3</v>
      </c>
      <c r="Q347" s="1358">
        <f t="shared" si="87"/>
        <v>1.3051633925016921E-2</v>
      </c>
      <c r="R347" s="1358">
        <f t="shared" si="88"/>
        <v>0</v>
      </c>
      <c r="S347" s="1358">
        <f t="shared" si="89"/>
        <v>0.12244884741026409</v>
      </c>
      <c r="T347" s="1358">
        <f t="shared" si="80"/>
        <v>2.039510376129082</v>
      </c>
      <c r="U347" s="595">
        <f>IF('TAR_Tab 2_Volumina'!C350="storage",1,0)</f>
        <v>0</v>
      </c>
      <c r="V347" s="1362">
        <f t="shared" si="92"/>
        <v>2.039510376129082</v>
      </c>
      <c r="W347" s="1362">
        <f t="shared" si="90"/>
        <v>2.1487934315497363</v>
      </c>
      <c r="X347" s="1355">
        <f t="shared" si="91"/>
        <v>2.149</v>
      </c>
      <c r="Y347" s="1355">
        <f>X347+'TAR_Tab 13_Overige tarieven'!$T$15+'TAR_Tab 13_Overige tarieven'!$T$16</f>
        <v>2.302</v>
      </c>
      <c r="Z347" s="960"/>
    </row>
    <row r="348" spans="1:26">
      <c r="A348" s="155">
        <v>300896</v>
      </c>
      <c r="B348" s="156" t="s">
        <v>470</v>
      </c>
      <c r="C348" s="839">
        <v>1.9506055696404161</v>
      </c>
      <c r="D348" s="1356">
        <f t="shared" si="81"/>
        <v>1.8600974712091007</v>
      </c>
      <c r="E348" s="1356">
        <f t="shared" si="82"/>
        <v>1.965457800070169</v>
      </c>
      <c r="F348" s="1357"/>
      <c r="G348" s="1358">
        <f t="shared" si="83"/>
        <v>1.8671849100666604</v>
      </c>
      <c r="H348" s="1358">
        <f t="shared" si="84"/>
        <v>2.0637306900736774</v>
      </c>
      <c r="I348" s="833">
        <v>1.9758483311719455</v>
      </c>
      <c r="J348" s="1359" t="b">
        <f t="shared" si="78"/>
        <v>1</v>
      </c>
      <c r="K348" s="1583"/>
      <c r="L348" s="17"/>
      <c r="M348" s="1361">
        <f t="shared" si="79"/>
        <v>1.9758483311719455</v>
      </c>
      <c r="N348" s="1350"/>
      <c r="O348" s="1358">
        <f t="shared" si="85"/>
        <v>6.2134963464892711E-3</v>
      </c>
      <c r="P348" s="1358">
        <f t="shared" si="86"/>
        <v>4.9250683137095552E-3</v>
      </c>
      <c r="Q348" s="1358">
        <f t="shared" si="87"/>
        <v>1.3620425843960959E-2</v>
      </c>
      <c r="R348" s="1358">
        <f t="shared" si="88"/>
        <v>0</v>
      </c>
      <c r="S348" s="1358">
        <f t="shared" si="89"/>
        <v>0.12778518424679389</v>
      </c>
      <c r="T348" s="1358">
        <f t="shared" si="80"/>
        <v>2.1283925059228994</v>
      </c>
      <c r="U348" s="595">
        <f>IF('TAR_Tab 2_Volumina'!C351="storage",1,0)</f>
        <v>0</v>
      </c>
      <c r="V348" s="1362">
        <f t="shared" si="92"/>
        <v>2.1283925059228994</v>
      </c>
      <c r="W348" s="1362">
        <f t="shared" si="90"/>
        <v>2.242438131237706</v>
      </c>
      <c r="X348" s="1355">
        <f t="shared" si="91"/>
        <v>2.242</v>
      </c>
      <c r="Y348" s="1355">
        <f>X348+'TAR_Tab 13_Overige tarieven'!$T$15+'TAR_Tab 13_Overige tarieven'!$T$16</f>
        <v>2.395</v>
      </c>
      <c r="Z348" s="960"/>
    </row>
    <row r="349" spans="1:26">
      <c r="A349" s="155">
        <v>300899</v>
      </c>
      <c r="B349" s="156" t="s">
        <v>794</v>
      </c>
      <c r="C349" s="839">
        <v>1.5993739425969467</v>
      </c>
      <c r="D349" s="1356">
        <f t="shared" si="81"/>
        <v>1.5251629916604483</v>
      </c>
      <c r="E349" s="1356">
        <f t="shared" si="82"/>
        <v>1.6115518378662457</v>
      </c>
      <c r="F349" s="1357"/>
      <c r="G349" s="1358">
        <f t="shared" si="83"/>
        <v>1.5309742459729334</v>
      </c>
      <c r="H349" s="1358">
        <f t="shared" si="84"/>
        <v>1.6921294297595579</v>
      </c>
      <c r="I349" s="833">
        <v>1.620071420170621</v>
      </c>
      <c r="J349" s="1359" t="b">
        <f t="shared" si="78"/>
        <v>1</v>
      </c>
      <c r="K349" s="1583"/>
      <c r="L349" s="17"/>
      <c r="M349" s="1361">
        <f t="shared" si="79"/>
        <v>1.620071420170621</v>
      </c>
      <c r="N349" s="1350"/>
      <c r="O349" s="1358">
        <f t="shared" si="85"/>
        <v>5.0946763936638578E-3</v>
      </c>
      <c r="P349" s="1358">
        <f t="shared" si="86"/>
        <v>4.0382464036073859E-3</v>
      </c>
      <c r="Q349" s="1358">
        <f t="shared" si="87"/>
        <v>1.1167892946148502E-2</v>
      </c>
      <c r="R349" s="1358">
        <f t="shared" si="88"/>
        <v>0</v>
      </c>
      <c r="S349" s="1358">
        <f t="shared" si="89"/>
        <v>0.10477581788713322</v>
      </c>
      <c r="T349" s="1358">
        <f t="shared" si="80"/>
        <v>1.7451480538011739</v>
      </c>
      <c r="U349" s="595">
        <f>IF('TAR_Tab 2_Volumina'!C352="storage",1,0)</f>
        <v>0</v>
      </c>
      <c r="V349" s="1362">
        <f t="shared" si="92"/>
        <v>1.7451480538011739</v>
      </c>
      <c r="W349" s="1362">
        <f t="shared" si="90"/>
        <v>1.8386582970992598</v>
      </c>
      <c r="X349" s="1355">
        <f t="shared" si="91"/>
        <v>1.839</v>
      </c>
      <c r="Y349" s="1355">
        <f>X349+'TAR_Tab 13_Overige tarieven'!$T$15+'TAR_Tab 13_Overige tarieven'!$T$16</f>
        <v>1.992</v>
      </c>
      <c r="Z349" s="960"/>
    </row>
    <row r="350" spans="1:26">
      <c r="A350" s="155">
        <v>300903</v>
      </c>
      <c r="B350" s="156" t="s">
        <v>471</v>
      </c>
      <c r="C350" s="839">
        <v>1.8297328401341846</v>
      </c>
      <c r="D350" s="1356">
        <f t="shared" si="81"/>
        <v>1.7448332363519585</v>
      </c>
      <c r="E350" s="1356">
        <f t="shared" si="82"/>
        <v>1.8436647257955021</v>
      </c>
      <c r="F350" s="1357"/>
      <c r="G350" s="1358">
        <f t="shared" si="83"/>
        <v>1.7514814895057269</v>
      </c>
      <c r="H350" s="1358">
        <f t="shared" si="84"/>
        <v>1.9358479620852773</v>
      </c>
      <c r="I350" s="833">
        <v>1.8534113892313402</v>
      </c>
      <c r="J350" s="1359" t="b">
        <f t="shared" si="78"/>
        <v>1</v>
      </c>
      <c r="K350" s="1583"/>
      <c r="L350" s="17"/>
      <c r="M350" s="1361">
        <f t="shared" si="79"/>
        <v>1.8534113892313402</v>
      </c>
      <c r="N350" s="1350"/>
      <c r="O350" s="1358">
        <f t="shared" si="85"/>
        <v>5.828466038534391E-3</v>
      </c>
      <c r="P350" s="1358">
        <f t="shared" si="86"/>
        <v>4.6198777311806296E-3</v>
      </c>
      <c r="Q350" s="1358">
        <f t="shared" si="87"/>
        <v>1.2776412028753681E-2</v>
      </c>
      <c r="R350" s="1358">
        <f t="shared" si="88"/>
        <v>0</v>
      </c>
      <c r="S350" s="1358">
        <f t="shared" si="89"/>
        <v>0.11986674894097551</v>
      </c>
      <c r="T350" s="1358">
        <f t="shared" si="80"/>
        <v>1.9965028939707843</v>
      </c>
      <c r="U350" s="595">
        <f>IF('TAR_Tab 2_Volumina'!C353="storage",1,0)</f>
        <v>0</v>
      </c>
      <c r="V350" s="1362">
        <f t="shared" si="92"/>
        <v>1.9965028939707843</v>
      </c>
      <c r="W350" s="1362">
        <f t="shared" si="90"/>
        <v>2.1034814800878165</v>
      </c>
      <c r="X350" s="1355">
        <f t="shared" si="91"/>
        <v>2.1030000000000002</v>
      </c>
      <c r="Y350" s="1355">
        <f>X350+'TAR_Tab 13_Overige tarieven'!$T$15+'TAR_Tab 13_Overige tarieven'!$T$16</f>
        <v>2.2560000000000002</v>
      </c>
      <c r="Z350" s="960"/>
    </row>
    <row r="351" spans="1:26">
      <c r="A351" s="155">
        <v>300905</v>
      </c>
      <c r="B351" s="156" t="s">
        <v>472</v>
      </c>
      <c r="C351" s="839">
        <v>2.1862198032431421</v>
      </c>
      <c r="D351" s="1356">
        <f t="shared" si="81"/>
        <v>2.0847792043726603</v>
      </c>
      <c r="E351" s="1356">
        <f t="shared" si="82"/>
        <v>2.2028660390548453</v>
      </c>
      <c r="F351" s="1357"/>
      <c r="G351" s="1358">
        <f t="shared" si="83"/>
        <v>2.0927227371021031</v>
      </c>
      <c r="H351" s="1358">
        <f t="shared" si="84"/>
        <v>2.3130093410075876</v>
      </c>
      <c r="I351" s="833">
        <v>2.2145116455344298</v>
      </c>
      <c r="J351" s="1359" t="b">
        <f t="shared" si="78"/>
        <v>1</v>
      </c>
      <c r="K351" s="1583"/>
      <c r="L351" s="17"/>
      <c r="M351" s="1361">
        <f t="shared" si="79"/>
        <v>2.2145116455344298</v>
      </c>
      <c r="N351" s="1350"/>
      <c r="O351" s="1358">
        <f t="shared" si="85"/>
        <v>6.9640264395317555E-3</v>
      </c>
      <c r="P351" s="1358">
        <f t="shared" si="86"/>
        <v>5.5199687970449249E-3</v>
      </c>
      <c r="Q351" s="1358">
        <f t="shared" si="87"/>
        <v>1.5265641179401233E-2</v>
      </c>
      <c r="R351" s="1358">
        <f t="shared" si="88"/>
        <v>0</v>
      </c>
      <c r="S351" s="1358">
        <f t="shared" si="89"/>
        <v>0.1432203950965413</v>
      </c>
      <c r="T351" s="1358">
        <f t="shared" si="80"/>
        <v>2.3854816770469491</v>
      </c>
      <c r="U351" s="595">
        <f>IF('TAR_Tab 2_Volumina'!C354="storage",1,0)</f>
        <v>0</v>
      </c>
      <c r="V351" s="1362">
        <f t="shared" si="92"/>
        <v>2.3854816770469491</v>
      </c>
      <c r="W351" s="1362">
        <f t="shared" si="90"/>
        <v>2.5133029077545186</v>
      </c>
      <c r="X351" s="1355">
        <f t="shared" si="91"/>
        <v>2.5129999999999999</v>
      </c>
      <c r="Y351" s="1355">
        <f>X351+'TAR_Tab 13_Overige tarieven'!$T$15+'TAR_Tab 13_Overige tarieven'!$T$16</f>
        <v>2.6659999999999999</v>
      </c>
      <c r="Z351" s="960"/>
    </row>
    <row r="352" spans="1:26">
      <c r="A352" s="155">
        <v>300906</v>
      </c>
      <c r="B352" s="156" t="s">
        <v>1108</v>
      </c>
      <c r="C352" s="839">
        <v>2.4910292950414652</v>
      </c>
      <c r="D352" s="1356">
        <f t="shared" si="81"/>
        <v>2.3754455357515414</v>
      </c>
      <c r="E352" s="1356">
        <f t="shared" si="82"/>
        <v>2.5099964002692237</v>
      </c>
      <c r="F352" s="1357"/>
      <c r="G352" s="1358">
        <f t="shared" si="83"/>
        <v>2.3844965802557625</v>
      </c>
      <c r="H352" s="1358">
        <f t="shared" si="84"/>
        <v>2.6354962202826848</v>
      </c>
      <c r="I352" s="833">
        <v>2.523265673036827</v>
      </c>
      <c r="J352" s="1359" t="b">
        <f t="shared" si="78"/>
        <v>1</v>
      </c>
      <c r="K352" s="1583"/>
      <c r="L352" s="17"/>
      <c r="M352" s="1361">
        <f t="shared" si="79"/>
        <v>2.523265673036827</v>
      </c>
      <c r="N352" s="1350"/>
      <c r="O352" s="1358">
        <f t="shared" si="85"/>
        <v>7.9349724335049353E-3</v>
      </c>
      <c r="P352" s="1358">
        <f t="shared" si="86"/>
        <v>6.2895798312483054E-3</v>
      </c>
      <c r="Q352" s="1358">
        <f t="shared" si="87"/>
        <v>1.7394023843836988E-2</v>
      </c>
      <c r="R352" s="1358">
        <f t="shared" si="88"/>
        <v>0</v>
      </c>
      <c r="S352" s="1358">
        <f t="shared" si="89"/>
        <v>0.16318862325903991</v>
      </c>
      <c r="T352" s="1358">
        <f t="shared" si="80"/>
        <v>2.7180728724044569</v>
      </c>
      <c r="U352" s="595">
        <f>IF('TAR_Tab 2_Volumina'!C355="storage",1,0)</f>
        <v>0</v>
      </c>
      <c r="V352" s="1362">
        <f t="shared" si="92"/>
        <v>2.7180728724044569</v>
      </c>
      <c r="W352" s="1362">
        <f t="shared" si="90"/>
        <v>2.8637153323933706</v>
      </c>
      <c r="X352" s="1355">
        <f t="shared" si="91"/>
        <v>2.8639999999999999</v>
      </c>
      <c r="Y352" s="1355">
        <f>X352+'TAR_Tab 13_Overige tarieven'!$T$15+'TAR_Tab 13_Overige tarieven'!$T$16</f>
        <v>3.0169999999999999</v>
      </c>
      <c r="Z352" s="960"/>
    </row>
    <row r="353" spans="1:26">
      <c r="A353" s="155">
        <v>300907</v>
      </c>
      <c r="B353" s="156" t="s">
        <v>473</v>
      </c>
      <c r="C353" s="839">
        <v>1.8691478606253467</v>
      </c>
      <c r="D353" s="1356">
        <f t="shared" si="81"/>
        <v>1.7824193998923306</v>
      </c>
      <c r="E353" s="1356">
        <f t="shared" si="82"/>
        <v>1.8833798587111539</v>
      </c>
      <c r="F353" s="1357"/>
      <c r="G353" s="1358">
        <f t="shared" si="83"/>
        <v>1.7892108657755961</v>
      </c>
      <c r="H353" s="1358">
        <f t="shared" si="84"/>
        <v>1.9775488516467117</v>
      </c>
      <c r="I353" s="833">
        <v>1.8933364789945806</v>
      </c>
      <c r="J353" s="1359" t="b">
        <f t="shared" si="78"/>
        <v>1</v>
      </c>
      <c r="K353" s="1583"/>
      <c r="L353" s="17"/>
      <c r="M353" s="1361">
        <f t="shared" si="79"/>
        <v>1.8933364789945806</v>
      </c>
      <c r="N353" s="1350"/>
      <c r="O353" s="1358">
        <f t="shared" si="85"/>
        <v>5.9540193998240251E-3</v>
      </c>
      <c r="P353" s="1358">
        <f t="shared" si="86"/>
        <v>4.7193963993965825E-3</v>
      </c>
      <c r="Q353" s="1358">
        <f t="shared" si="87"/>
        <v>1.3051633925016921E-2</v>
      </c>
      <c r="R353" s="1358">
        <f t="shared" si="88"/>
        <v>0</v>
      </c>
      <c r="S353" s="1358">
        <f t="shared" si="89"/>
        <v>0.12244884741026409</v>
      </c>
      <c r="T353" s="1358">
        <f t="shared" si="80"/>
        <v>2.039510376129082</v>
      </c>
      <c r="U353" s="595">
        <f>IF('TAR_Tab 2_Volumina'!C356="storage",1,0)</f>
        <v>0</v>
      </c>
      <c r="V353" s="1362">
        <f t="shared" si="92"/>
        <v>2.039510376129082</v>
      </c>
      <c r="W353" s="1362">
        <f t="shared" si="90"/>
        <v>2.1487934315497363</v>
      </c>
      <c r="X353" s="1355">
        <f t="shared" si="91"/>
        <v>2.149</v>
      </c>
      <c r="Y353" s="1355">
        <f>X353+'TAR_Tab 13_Overige tarieven'!$T$15+'TAR_Tab 13_Overige tarieven'!$T$16</f>
        <v>2.302</v>
      </c>
      <c r="Z353" s="960"/>
    </row>
    <row r="354" spans="1:26">
      <c r="A354" s="155">
        <v>300908</v>
      </c>
      <c r="B354" s="156" t="s">
        <v>474</v>
      </c>
      <c r="C354" s="839">
        <v>2.4910292950414652</v>
      </c>
      <c r="D354" s="1356">
        <f t="shared" si="81"/>
        <v>2.3754455357515414</v>
      </c>
      <c r="E354" s="1356">
        <f t="shared" si="82"/>
        <v>2.5099964002692237</v>
      </c>
      <c r="F354" s="1357"/>
      <c r="G354" s="1358">
        <f t="shared" si="83"/>
        <v>2.3844965802557625</v>
      </c>
      <c r="H354" s="1358">
        <f t="shared" si="84"/>
        <v>2.6354962202826848</v>
      </c>
      <c r="I354" s="833">
        <v>2.523265673036827</v>
      </c>
      <c r="J354" s="1359" t="b">
        <f t="shared" si="78"/>
        <v>1</v>
      </c>
      <c r="K354" s="1583"/>
      <c r="L354" s="17"/>
      <c r="M354" s="1361">
        <f t="shared" si="79"/>
        <v>2.523265673036827</v>
      </c>
      <c r="N354" s="1350"/>
      <c r="O354" s="1358">
        <f t="shared" si="85"/>
        <v>7.9349724335049353E-3</v>
      </c>
      <c r="P354" s="1358">
        <f t="shared" si="86"/>
        <v>6.2895798312483054E-3</v>
      </c>
      <c r="Q354" s="1358">
        <f t="shared" si="87"/>
        <v>1.7394023843836988E-2</v>
      </c>
      <c r="R354" s="1358">
        <f t="shared" si="88"/>
        <v>0</v>
      </c>
      <c r="S354" s="1358">
        <f t="shared" si="89"/>
        <v>0.16318862325903991</v>
      </c>
      <c r="T354" s="1358">
        <f t="shared" si="80"/>
        <v>2.7180728724044569</v>
      </c>
      <c r="U354" s="595">
        <f>IF('TAR_Tab 2_Volumina'!C357="storage",1,0)</f>
        <v>0</v>
      </c>
      <c r="V354" s="1362">
        <f t="shared" si="92"/>
        <v>2.7180728724044569</v>
      </c>
      <c r="W354" s="1362">
        <f t="shared" si="90"/>
        <v>2.8637153323933706</v>
      </c>
      <c r="X354" s="1355">
        <f t="shared" si="91"/>
        <v>2.8639999999999999</v>
      </c>
      <c r="Y354" s="1355">
        <f>X354+'TAR_Tab 13_Overige tarieven'!$T$15+'TAR_Tab 13_Overige tarieven'!$T$16</f>
        <v>3.0169999999999999</v>
      </c>
      <c r="Z354" s="960"/>
    </row>
    <row r="355" spans="1:26">
      <c r="A355" s="155">
        <v>300909</v>
      </c>
      <c r="B355" s="156" t="s">
        <v>1109</v>
      </c>
      <c r="C355" s="839">
        <v>3.073495708966421</v>
      </c>
      <c r="D355" s="1356">
        <f t="shared" si="81"/>
        <v>2.9308855080703791</v>
      </c>
      <c r="E355" s="1356">
        <f t="shared" si="82"/>
        <v>3.0968978089116401</v>
      </c>
      <c r="F355" s="1357"/>
      <c r="G355" s="1358">
        <f t="shared" si="83"/>
        <v>2.9420529184660578</v>
      </c>
      <c r="H355" s="1358">
        <f t="shared" si="84"/>
        <v>3.2517426993572225</v>
      </c>
      <c r="I355" s="833">
        <v>3.1132697773158315</v>
      </c>
      <c r="J355" s="1359" t="b">
        <f t="shared" si="78"/>
        <v>1</v>
      </c>
      <c r="K355" s="1583"/>
      <c r="L355" s="17"/>
      <c r="M355" s="1361">
        <f t="shared" si="79"/>
        <v>3.1132697773158315</v>
      </c>
      <c r="N355" s="1350"/>
      <c r="O355" s="1358">
        <f t="shared" si="85"/>
        <v>9.790372105896207E-3</v>
      </c>
      <c r="P355" s="1358">
        <f t="shared" si="86"/>
        <v>7.7602445948840729E-3</v>
      </c>
      <c r="Q355" s="1358">
        <f t="shared" si="87"/>
        <v>2.1461191866393805E-2</v>
      </c>
      <c r="R355" s="1358">
        <f t="shared" si="88"/>
        <v>0</v>
      </c>
      <c r="S355" s="1358">
        <f t="shared" si="89"/>
        <v>0.20134630063852707</v>
      </c>
      <c r="T355" s="1358">
        <f t="shared" si="80"/>
        <v>3.3536278865215325</v>
      </c>
      <c r="U355" s="595">
        <f>IF('TAR_Tab 2_Volumina'!C358="storage",1,0)</f>
        <v>0</v>
      </c>
      <c r="V355" s="1362">
        <f t="shared" si="92"/>
        <v>3.3536278865215325</v>
      </c>
      <c r="W355" s="1362">
        <f t="shared" si="90"/>
        <v>3.5333252817750829</v>
      </c>
      <c r="X355" s="1355">
        <f t="shared" si="91"/>
        <v>3.5329999999999999</v>
      </c>
      <c r="Y355" s="1355">
        <f>X355+'TAR_Tab 13_Overige tarieven'!$T$15+'TAR_Tab 13_Overige tarieven'!$T$16</f>
        <v>3.6859999999999999</v>
      </c>
      <c r="Z355" s="960"/>
    </row>
    <row r="356" spans="1:26">
      <c r="A356" s="155">
        <v>300910</v>
      </c>
      <c r="B356" s="156" t="s">
        <v>338</v>
      </c>
      <c r="C356" s="839">
        <v>1.8621407458713626</v>
      </c>
      <c r="D356" s="1356">
        <f t="shared" ref="D356:D389" si="93">C356*$D$7</f>
        <v>1.7757374152629313</v>
      </c>
      <c r="E356" s="1356">
        <f t="shared" ref="E356:E389" si="94">D356*$E$7</f>
        <v>1.8763193906372604</v>
      </c>
      <c r="F356" s="1357"/>
      <c r="G356" s="1358">
        <f t="shared" ref="G356:G389" si="95">E356*$G$7</f>
        <v>1.7825034211053974</v>
      </c>
      <c r="H356" s="1358">
        <f t="shared" ref="H356:H389" si="96">E356*$H$7</f>
        <v>1.9701353601691234</v>
      </c>
      <c r="I356" s="833">
        <v>1.8862386852588935</v>
      </c>
      <c r="J356" s="1359" t="b">
        <f t="shared" ref="J356:J389" si="97">IF(I356&gt;0,AND(I356&gt;=G356,I356&lt;=H356),"")</f>
        <v>1</v>
      </c>
      <c r="K356" s="1583"/>
      <c r="L356" s="17"/>
      <c r="M356" s="1361">
        <f t="shared" ref="M356:M389" si="98">IF(I356&gt;0,I356,E356)</f>
        <v>1.8862386852588935</v>
      </c>
      <c r="N356" s="1350"/>
      <c r="O356" s="1358">
        <f t="shared" ref="O356:O389" si="99">$O$7*M356</f>
        <v>5.9316988022614231E-3</v>
      </c>
      <c r="P356" s="1358">
        <f t="shared" ref="P356:P388" si="100">$P$7*M356</f>
        <v>4.7017041917137466E-3</v>
      </c>
      <c r="Q356" s="1358">
        <f t="shared" ref="Q356:Q388" si="101">$Q$7*M356</f>
        <v>1.3002705587903457E-2</v>
      </c>
      <c r="R356" s="1358">
        <f t="shared" ref="R356:R388" si="102">$R$7*M356</f>
        <v>0</v>
      </c>
      <c r="S356" s="1358">
        <f t="shared" ref="S356:S388" si="103">$S$7*M356</f>
        <v>0.12198980768239057</v>
      </c>
      <c r="T356" s="1358">
        <f t="shared" ref="T356:T388" si="104">M356+O356+P356+Q356+R356+S356</f>
        <v>2.0318646015231625</v>
      </c>
      <c r="U356" s="595">
        <f>IF('TAR_Tab 2_Volumina'!C359="storage",1,0)</f>
        <v>0</v>
      </c>
      <c r="V356" s="1362">
        <f t="shared" si="92"/>
        <v>2.0318646015231625</v>
      </c>
      <c r="W356" s="1362">
        <f t="shared" si="90"/>
        <v>2.1407379735120622</v>
      </c>
      <c r="X356" s="1355">
        <f t="shared" si="91"/>
        <v>2.141</v>
      </c>
      <c r="Y356" s="1355">
        <f>X356+'TAR_Tab 13_Overige tarieven'!$T$15+'TAR_Tab 13_Overige tarieven'!$T$16</f>
        <v>2.294</v>
      </c>
      <c r="Z356" s="960"/>
    </row>
    <row r="357" spans="1:26">
      <c r="A357" s="155">
        <v>300911</v>
      </c>
      <c r="B357" s="156" t="s">
        <v>1110</v>
      </c>
      <c r="C357" s="839">
        <v>1.8691478606253467</v>
      </c>
      <c r="D357" s="1356">
        <f t="shared" si="93"/>
        <v>1.7824193998923306</v>
      </c>
      <c r="E357" s="1356">
        <f t="shared" si="94"/>
        <v>1.8833798587111539</v>
      </c>
      <c r="F357" s="1357"/>
      <c r="G357" s="1358">
        <f t="shared" si="95"/>
        <v>1.7892108657755961</v>
      </c>
      <c r="H357" s="1358">
        <f t="shared" si="96"/>
        <v>1.9775488516467117</v>
      </c>
      <c r="I357" s="833">
        <v>1.8933364789945806</v>
      </c>
      <c r="J357" s="1359" t="b">
        <f t="shared" si="97"/>
        <v>1</v>
      </c>
      <c r="K357" s="1583"/>
      <c r="L357" s="17"/>
      <c r="M357" s="1361">
        <f t="shared" si="98"/>
        <v>1.8933364789945806</v>
      </c>
      <c r="N357" s="1350"/>
      <c r="O357" s="1358">
        <f t="shared" si="99"/>
        <v>5.9540193998240251E-3</v>
      </c>
      <c r="P357" s="1358">
        <f t="shared" si="100"/>
        <v>4.7193963993965825E-3</v>
      </c>
      <c r="Q357" s="1358">
        <f t="shared" si="101"/>
        <v>1.3051633925016921E-2</v>
      </c>
      <c r="R357" s="1358">
        <f t="shared" si="102"/>
        <v>0</v>
      </c>
      <c r="S357" s="1358">
        <f t="shared" si="103"/>
        <v>0.12244884741026409</v>
      </c>
      <c r="T357" s="1358">
        <f t="shared" si="104"/>
        <v>2.039510376129082</v>
      </c>
      <c r="U357" s="595">
        <f>IF('TAR_Tab 2_Volumina'!C360="storage",1,0)</f>
        <v>0</v>
      </c>
      <c r="V357" s="1362">
        <f t="shared" si="92"/>
        <v>2.039510376129082</v>
      </c>
      <c r="W357" s="1362">
        <f t="shared" si="90"/>
        <v>2.1487934315497363</v>
      </c>
      <c r="X357" s="1355">
        <f t="shared" si="91"/>
        <v>2.149</v>
      </c>
      <c r="Y357" s="1355">
        <f>X357+'TAR_Tab 13_Overige tarieven'!$T$15+'TAR_Tab 13_Overige tarieven'!$T$16</f>
        <v>2.302</v>
      </c>
      <c r="Z357" s="960"/>
    </row>
    <row r="358" spans="1:26">
      <c r="A358" s="155">
        <v>300912</v>
      </c>
      <c r="B358" s="156" t="s">
        <v>1111</v>
      </c>
      <c r="C358" s="839">
        <v>2.1862198032431421</v>
      </c>
      <c r="D358" s="1356">
        <f t="shared" si="93"/>
        <v>2.0847792043726603</v>
      </c>
      <c r="E358" s="1356">
        <f t="shared" si="94"/>
        <v>2.2028660390548453</v>
      </c>
      <c r="F358" s="1357"/>
      <c r="G358" s="1358">
        <f t="shared" si="95"/>
        <v>2.0927227371021031</v>
      </c>
      <c r="H358" s="1358">
        <f t="shared" si="96"/>
        <v>2.3130093410075876</v>
      </c>
      <c r="I358" s="833">
        <v>2.2145116455344298</v>
      </c>
      <c r="J358" s="1359" t="b">
        <f t="shared" si="97"/>
        <v>1</v>
      </c>
      <c r="K358" s="1583"/>
      <c r="L358" s="17"/>
      <c r="M358" s="1361">
        <f t="shared" si="98"/>
        <v>2.2145116455344298</v>
      </c>
      <c r="N358" s="1350"/>
      <c r="O358" s="1358">
        <f t="shared" si="99"/>
        <v>6.9640264395317555E-3</v>
      </c>
      <c r="P358" s="1358">
        <f t="shared" si="100"/>
        <v>5.5199687970449249E-3</v>
      </c>
      <c r="Q358" s="1358">
        <f t="shared" si="101"/>
        <v>1.5265641179401233E-2</v>
      </c>
      <c r="R358" s="1358">
        <f t="shared" si="102"/>
        <v>0</v>
      </c>
      <c r="S358" s="1358">
        <f t="shared" si="103"/>
        <v>0.1432203950965413</v>
      </c>
      <c r="T358" s="1358">
        <f t="shared" si="104"/>
        <v>2.3854816770469491</v>
      </c>
      <c r="U358" s="595">
        <f>IF('TAR_Tab 2_Volumina'!C361="storage",1,0)</f>
        <v>0</v>
      </c>
      <c r="V358" s="1362">
        <f t="shared" si="92"/>
        <v>2.3854816770469491</v>
      </c>
      <c r="W358" s="1362">
        <f t="shared" si="90"/>
        <v>2.5133029077545186</v>
      </c>
      <c r="X358" s="1355">
        <f t="shared" si="91"/>
        <v>2.5129999999999999</v>
      </c>
      <c r="Y358" s="1355">
        <f>X358+'TAR_Tab 13_Overige tarieven'!$T$15+'TAR_Tab 13_Overige tarieven'!$T$16</f>
        <v>2.6659999999999999</v>
      </c>
      <c r="Z358" s="960"/>
    </row>
    <row r="359" spans="1:26">
      <c r="A359" s="155">
        <v>300916</v>
      </c>
      <c r="B359" s="156" t="s">
        <v>339</v>
      </c>
      <c r="C359" s="839">
        <v>2.6011116953208471</v>
      </c>
      <c r="D359" s="1356">
        <f t="shared" si="93"/>
        <v>2.4804201126579599</v>
      </c>
      <c r="E359" s="1356">
        <f t="shared" si="94"/>
        <v>2.620916985982225</v>
      </c>
      <c r="F359" s="1357"/>
      <c r="G359" s="1358">
        <f t="shared" si="95"/>
        <v>2.4898711366831137</v>
      </c>
      <c r="H359" s="1358">
        <f t="shared" si="96"/>
        <v>2.7519628352813363</v>
      </c>
      <c r="I359" s="833">
        <v>2.634772648239156</v>
      </c>
      <c r="J359" s="1359" t="b">
        <f t="shared" si="97"/>
        <v>1</v>
      </c>
      <c r="K359" s="1583"/>
      <c r="L359" s="17"/>
      <c r="M359" s="1361">
        <f t="shared" si="98"/>
        <v>2.634772648239156</v>
      </c>
      <c r="N359" s="1350"/>
      <c r="O359" s="1358">
        <f t="shared" si="99"/>
        <v>8.2856310200457289E-3</v>
      </c>
      <c r="P359" s="1358">
        <f t="shared" si="100"/>
        <v>6.5675259983009404E-3</v>
      </c>
      <c r="Q359" s="1358">
        <f t="shared" si="101"/>
        <v>1.8162692401472117E-2</v>
      </c>
      <c r="R359" s="1358">
        <f t="shared" si="102"/>
        <v>0</v>
      </c>
      <c r="S359" s="1358">
        <f t="shared" si="103"/>
        <v>0.17040017849140976</v>
      </c>
      <c r="T359" s="1358">
        <f t="shared" si="104"/>
        <v>2.8381886761503843</v>
      </c>
      <c r="U359" s="595">
        <f>IF('TAR_Tab 2_Volumina'!C362="storage",1,0)</f>
        <v>0</v>
      </c>
      <c r="V359" s="1362">
        <f t="shared" si="92"/>
        <v>2.8381886761503843</v>
      </c>
      <c r="W359" s="1362">
        <f t="shared" si="90"/>
        <v>2.9902672995397395</v>
      </c>
      <c r="X359" s="1355">
        <f t="shared" si="91"/>
        <v>2.99</v>
      </c>
      <c r="Y359" s="1355">
        <f>X359+'TAR_Tab 13_Overige tarieven'!$T$15+'TAR_Tab 13_Overige tarieven'!$T$16</f>
        <v>3.1430000000000002</v>
      </c>
      <c r="Z359" s="960"/>
    </row>
    <row r="360" spans="1:26">
      <c r="A360" s="155">
        <v>300923</v>
      </c>
      <c r="B360" s="156" t="s">
        <v>340</v>
      </c>
      <c r="C360" s="839">
        <v>2.6011116953208471</v>
      </c>
      <c r="D360" s="1356">
        <f t="shared" si="93"/>
        <v>2.4804201126579599</v>
      </c>
      <c r="E360" s="1356">
        <f t="shared" si="94"/>
        <v>2.620916985982225</v>
      </c>
      <c r="F360" s="1357"/>
      <c r="G360" s="1358">
        <f t="shared" si="95"/>
        <v>2.4898711366831137</v>
      </c>
      <c r="H360" s="1358">
        <f t="shared" si="96"/>
        <v>2.7519628352813363</v>
      </c>
      <c r="I360" s="833">
        <v>2.634772648239156</v>
      </c>
      <c r="J360" s="1359" t="b">
        <f t="shared" si="97"/>
        <v>1</v>
      </c>
      <c r="K360" s="1583"/>
      <c r="L360" s="17"/>
      <c r="M360" s="1361">
        <f t="shared" si="98"/>
        <v>2.634772648239156</v>
      </c>
      <c r="N360" s="1350"/>
      <c r="O360" s="1358">
        <f t="shared" si="99"/>
        <v>8.2856310200457289E-3</v>
      </c>
      <c r="P360" s="1358">
        <f t="shared" si="100"/>
        <v>6.5675259983009404E-3</v>
      </c>
      <c r="Q360" s="1358">
        <f t="shared" si="101"/>
        <v>1.8162692401472117E-2</v>
      </c>
      <c r="R360" s="1358">
        <f t="shared" si="102"/>
        <v>0</v>
      </c>
      <c r="S360" s="1358">
        <f t="shared" si="103"/>
        <v>0.17040017849140976</v>
      </c>
      <c r="T360" s="1358">
        <f t="shared" si="104"/>
        <v>2.8381886761503843</v>
      </c>
      <c r="U360" s="595">
        <f>IF('TAR_Tab 2_Volumina'!C363="storage",1,0)</f>
        <v>0</v>
      </c>
      <c r="V360" s="1362">
        <f t="shared" si="92"/>
        <v>2.8381886761503843</v>
      </c>
      <c r="W360" s="1362">
        <f t="shared" si="90"/>
        <v>2.9902672995397395</v>
      </c>
      <c r="X360" s="1355">
        <f t="shared" si="91"/>
        <v>2.99</v>
      </c>
      <c r="Y360" s="1355">
        <f>X360+'TAR_Tab 13_Overige tarieven'!$T$15+'TAR_Tab 13_Overige tarieven'!$T$16</f>
        <v>3.1430000000000002</v>
      </c>
      <c r="Z360" s="960"/>
    </row>
    <row r="361" spans="1:26">
      <c r="A361" s="155">
        <v>300927</v>
      </c>
      <c r="B361" s="156" t="s">
        <v>226</v>
      </c>
      <c r="C361" s="839">
        <v>2.4638993516208099</v>
      </c>
      <c r="D361" s="1356">
        <f t="shared" si="93"/>
        <v>2.3495744217056043</v>
      </c>
      <c r="E361" s="1356">
        <f t="shared" si="94"/>
        <v>2.4826598850139021</v>
      </c>
      <c r="F361" s="1357"/>
      <c r="G361" s="1358">
        <f t="shared" si="95"/>
        <v>2.3585268907632071</v>
      </c>
      <c r="H361" s="1358">
        <f t="shared" si="96"/>
        <v>2.6067928792645971</v>
      </c>
      <c r="I361" s="833">
        <v>2.4957846413680955</v>
      </c>
      <c r="J361" s="1359" t="b">
        <f t="shared" si="97"/>
        <v>1</v>
      </c>
      <c r="K361" s="1583"/>
      <c r="L361" s="17"/>
      <c r="M361" s="1361">
        <f t="shared" si="98"/>
        <v>2.4957846413680955</v>
      </c>
      <c r="N361" s="1350"/>
      <c r="O361" s="1358">
        <f t="shared" si="99"/>
        <v>7.8485521920433152E-3</v>
      </c>
      <c r="P361" s="1358">
        <f t="shared" si="100"/>
        <v>6.2210796553165632E-3</v>
      </c>
      <c r="Q361" s="1358">
        <f t="shared" si="101"/>
        <v>1.7204584529060492E-2</v>
      </c>
      <c r="R361" s="1358">
        <f t="shared" si="102"/>
        <v>0</v>
      </c>
      <c r="S361" s="1358">
        <f t="shared" si="103"/>
        <v>0.16141132657099</v>
      </c>
      <c r="T361" s="1358">
        <f t="shared" si="104"/>
        <v>2.6884701843155061</v>
      </c>
      <c r="U361" s="595">
        <f>IF('TAR_Tab 2_Volumina'!C364="storage",1,0)</f>
        <v>0</v>
      </c>
      <c r="V361" s="1362">
        <f t="shared" si="92"/>
        <v>2.6884701843155061</v>
      </c>
      <c r="W361" s="1362">
        <f t="shared" si="90"/>
        <v>2.8325264438903943</v>
      </c>
      <c r="X361" s="1355">
        <f t="shared" si="91"/>
        <v>2.8330000000000002</v>
      </c>
      <c r="Y361" s="1355">
        <f>X361+'TAR_Tab 13_Overige tarieven'!$T$15+'TAR_Tab 13_Overige tarieven'!$T$16</f>
        <v>2.9860000000000002</v>
      </c>
      <c r="Z361" s="960"/>
    </row>
    <row r="362" spans="1:26">
      <c r="A362" s="155">
        <v>300940</v>
      </c>
      <c r="B362" s="156" t="s">
        <v>227</v>
      </c>
      <c r="C362" s="839">
        <v>1.9506055696404161</v>
      </c>
      <c r="D362" s="1356">
        <f t="shared" si="93"/>
        <v>1.8600974712091007</v>
      </c>
      <c r="E362" s="1356">
        <f t="shared" si="94"/>
        <v>1.965457800070169</v>
      </c>
      <c r="F362" s="1357"/>
      <c r="G362" s="1358">
        <f t="shared" si="95"/>
        <v>1.8671849100666604</v>
      </c>
      <c r="H362" s="1358">
        <f t="shared" si="96"/>
        <v>2.0637306900736774</v>
      </c>
      <c r="I362" s="833">
        <v>1.9758483311719455</v>
      </c>
      <c r="J362" s="1359" t="b">
        <f t="shared" si="97"/>
        <v>1</v>
      </c>
      <c r="K362" s="1583"/>
      <c r="L362" s="17"/>
      <c r="M362" s="1361">
        <f t="shared" si="98"/>
        <v>1.9758483311719455</v>
      </c>
      <c r="N362" s="1350"/>
      <c r="O362" s="1358">
        <f t="shared" si="99"/>
        <v>6.2134963464892711E-3</v>
      </c>
      <c r="P362" s="1358">
        <f t="shared" si="100"/>
        <v>4.9250683137095552E-3</v>
      </c>
      <c r="Q362" s="1358">
        <f t="shared" si="101"/>
        <v>1.3620425843960959E-2</v>
      </c>
      <c r="R362" s="1358">
        <f t="shared" si="102"/>
        <v>0</v>
      </c>
      <c r="S362" s="1358">
        <f t="shared" si="103"/>
        <v>0.12778518424679389</v>
      </c>
      <c r="T362" s="1358">
        <f t="shared" si="104"/>
        <v>2.1283925059228994</v>
      </c>
      <c r="U362" s="595">
        <f>IF('TAR_Tab 2_Volumina'!C365="storage",1,0)</f>
        <v>0</v>
      </c>
      <c r="V362" s="1362">
        <f t="shared" si="92"/>
        <v>2.1283925059228994</v>
      </c>
      <c r="W362" s="1362">
        <f t="shared" si="90"/>
        <v>2.242438131237706</v>
      </c>
      <c r="X362" s="1355">
        <f t="shared" si="91"/>
        <v>2.242</v>
      </c>
      <c r="Y362" s="1355">
        <f>X362+'TAR_Tab 13_Overige tarieven'!$T$15+'TAR_Tab 13_Overige tarieven'!$T$16</f>
        <v>2.395</v>
      </c>
      <c r="Z362" s="960"/>
    </row>
    <row r="363" spans="1:26">
      <c r="A363" s="155">
        <v>300942</v>
      </c>
      <c r="B363" s="156" t="s">
        <v>228</v>
      </c>
      <c r="C363" s="839">
        <v>2.5448447630121982</v>
      </c>
      <c r="D363" s="1356">
        <f t="shared" si="93"/>
        <v>2.4267639660084321</v>
      </c>
      <c r="E363" s="1356">
        <f t="shared" si="94"/>
        <v>2.5642216280311856</v>
      </c>
      <c r="F363" s="1357"/>
      <c r="G363" s="1358">
        <f t="shared" si="95"/>
        <v>2.436010546629626</v>
      </c>
      <c r="H363" s="1358">
        <f t="shared" si="96"/>
        <v>2.6924327094327452</v>
      </c>
      <c r="I363" s="833">
        <v>2.5777775662848357</v>
      </c>
      <c r="J363" s="1359" t="b">
        <f t="shared" si="97"/>
        <v>1</v>
      </c>
      <c r="K363" s="1583"/>
      <c r="L363" s="17"/>
      <c r="M363" s="1361">
        <f t="shared" si="98"/>
        <v>2.5777775662848357</v>
      </c>
      <c r="N363" s="1350"/>
      <c r="O363" s="1358">
        <f t="shared" si="99"/>
        <v>8.1063972560447371E-3</v>
      </c>
      <c r="P363" s="1358">
        <f t="shared" si="100"/>
        <v>6.4254580734800079E-3</v>
      </c>
      <c r="Q363" s="1358">
        <f t="shared" si="101"/>
        <v>1.776979924515943E-2</v>
      </c>
      <c r="R363" s="1358">
        <f t="shared" si="102"/>
        <v>0</v>
      </c>
      <c r="S363" s="1358">
        <f t="shared" si="103"/>
        <v>0.16671410252404334</v>
      </c>
      <c r="T363" s="1358">
        <f t="shared" si="104"/>
        <v>2.7767933233835631</v>
      </c>
      <c r="U363" s="595">
        <f>IF('TAR_Tab 2_Volumina'!C366="storage",1,0)</f>
        <v>0</v>
      </c>
      <c r="V363" s="1362">
        <f t="shared" si="92"/>
        <v>2.7767933233835631</v>
      </c>
      <c r="W363" s="1362">
        <f t="shared" si="90"/>
        <v>2.9255822004605108</v>
      </c>
      <c r="X363" s="1355">
        <f t="shared" si="91"/>
        <v>2.9260000000000002</v>
      </c>
      <c r="Y363" s="1355">
        <f>X363+'TAR_Tab 13_Overige tarieven'!$T$15+'TAR_Tab 13_Overige tarieven'!$T$16</f>
        <v>3.0790000000000002</v>
      </c>
      <c r="Z363" s="960"/>
    </row>
    <row r="364" spans="1:26">
      <c r="A364" s="155">
        <v>300952</v>
      </c>
      <c r="B364" s="156" t="s">
        <v>229</v>
      </c>
      <c r="C364" s="839">
        <v>2.4638993516208099</v>
      </c>
      <c r="D364" s="1356">
        <f t="shared" si="93"/>
        <v>2.3495744217056043</v>
      </c>
      <c r="E364" s="1356">
        <f t="shared" si="94"/>
        <v>2.4826598850139021</v>
      </c>
      <c r="F364" s="1357"/>
      <c r="G364" s="1358">
        <f t="shared" si="95"/>
        <v>2.3585268907632071</v>
      </c>
      <c r="H364" s="1358">
        <f t="shared" si="96"/>
        <v>2.6067928792645971</v>
      </c>
      <c r="I364" s="833">
        <v>2.4957846413680955</v>
      </c>
      <c r="J364" s="1359" t="b">
        <f t="shared" si="97"/>
        <v>1</v>
      </c>
      <c r="K364" s="1583"/>
      <c r="L364" s="17"/>
      <c r="M364" s="1361">
        <f t="shared" si="98"/>
        <v>2.4957846413680955</v>
      </c>
      <c r="N364" s="1350"/>
      <c r="O364" s="1358">
        <f t="shared" si="99"/>
        <v>7.8485521920433152E-3</v>
      </c>
      <c r="P364" s="1358">
        <f t="shared" si="100"/>
        <v>6.2210796553165632E-3</v>
      </c>
      <c r="Q364" s="1358">
        <f t="shared" si="101"/>
        <v>1.7204584529060492E-2</v>
      </c>
      <c r="R364" s="1358">
        <f t="shared" si="102"/>
        <v>0</v>
      </c>
      <c r="S364" s="1358">
        <f t="shared" si="103"/>
        <v>0.16141132657099</v>
      </c>
      <c r="T364" s="1358">
        <f t="shared" si="104"/>
        <v>2.6884701843155061</v>
      </c>
      <c r="U364" s="595">
        <f>IF('TAR_Tab 2_Volumina'!C367="storage",1,0)</f>
        <v>0</v>
      </c>
      <c r="V364" s="1362">
        <f t="shared" si="92"/>
        <v>2.6884701843155061</v>
      </c>
      <c r="W364" s="1362">
        <f t="shared" si="90"/>
        <v>2.8325264438903943</v>
      </c>
      <c r="X364" s="1355">
        <f t="shared" si="91"/>
        <v>2.8330000000000002</v>
      </c>
      <c r="Y364" s="1355">
        <f>X364+'TAR_Tab 13_Overige tarieven'!$T$15+'TAR_Tab 13_Overige tarieven'!$T$16</f>
        <v>2.9860000000000002</v>
      </c>
      <c r="Z364" s="960"/>
    </row>
    <row r="365" spans="1:26">
      <c r="A365" s="155">
        <v>300954</v>
      </c>
      <c r="B365" s="156" t="s">
        <v>341</v>
      </c>
      <c r="C365" s="839">
        <v>2.1865132467308062</v>
      </c>
      <c r="D365" s="1356">
        <f t="shared" si="93"/>
        <v>2.0850590320824969</v>
      </c>
      <c r="E365" s="1356">
        <f t="shared" si="94"/>
        <v>2.2031617168693076</v>
      </c>
      <c r="F365" s="1357"/>
      <c r="G365" s="1358">
        <f t="shared" si="95"/>
        <v>2.0930036310258422</v>
      </c>
      <c r="H365" s="1358">
        <f t="shared" si="96"/>
        <v>2.313319802712773</v>
      </c>
      <c r="I365" s="833">
        <v>2.2148088864704847</v>
      </c>
      <c r="J365" s="1359" t="b">
        <f t="shared" si="97"/>
        <v>1</v>
      </c>
      <c r="K365" s="1583"/>
      <c r="L365" s="17"/>
      <c r="M365" s="1361">
        <f t="shared" si="98"/>
        <v>2.2148088864704847</v>
      </c>
      <c r="N365" s="1350"/>
      <c r="O365" s="1358">
        <f t="shared" si="99"/>
        <v>6.964961180038436E-3</v>
      </c>
      <c r="P365" s="1358">
        <f t="shared" si="100"/>
        <v>5.5207097101467083E-3</v>
      </c>
      <c r="Q365" s="1358">
        <f t="shared" si="101"/>
        <v>1.5267690197062889E-2</v>
      </c>
      <c r="R365" s="1358">
        <f t="shared" si="102"/>
        <v>0</v>
      </c>
      <c r="S365" s="1358">
        <f t="shared" si="103"/>
        <v>0.14323961873186808</v>
      </c>
      <c r="T365" s="1358">
        <f t="shared" si="104"/>
        <v>2.3858018662896008</v>
      </c>
      <c r="U365" s="595">
        <f>IF('TAR_Tab 2_Volumina'!C368="storage",1,0)</f>
        <v>0</v>
      </c>
      <c r="V365" s="1362">
        <f t="shared" si="92"/>
        <v>2.3858018662896008</v>
      </c>
      <c r="W365" s="1362">
        <f t="shared" si="90"/>
        <v>2.5136402536927966</v>
      </c>
      <c r="X365" s="1355">
        <f t="shared" si="91"/>
        <v>2.5139999999999998</v>
      </c>
      <c r="Y365" s="1355">
        <f>X365+'TAR_Tab 13_Overige tarieven'!$T$15+'TAR_Tab 13_Overige tarieven'!$T$16</f>
        <v>2.6669999999999998</v>
      </c>
      <c r="Z365" s="960"/>
    </row>
    <row r="366" spans="1:26">
      <c r="A366" s="155">
        <v>300958</v>
      </c>
      <c r="B366" s="156" t="s">
        <v>230</v>
      </c>
      <c r="C366" s="839">
        <v>2.106554974502727</v>
      </c>
      <c r="D366" s="1356">
        <f t="shared" si="93"/>
        <v>2.0088108236858004</v>
      </c>
      <c r="E366" s="1356">
        <f t="shared" si="94"/>
        <v>2.122594629254674</v>
      </c>
      <c r="F366" s="1357"/>
      <c r="G366" s="1358">
        <f t="shared" si="95"/>
        <v>2.0164648977919404</v>
      </c>
      <c r="H366" s="1358">
        <f t="shared" si="96"/>
        <v>2.2287243607174076</v>
      </c>
      <c r="I366" s="833">
        <v>2.1338158752722416</v>
      </c>
      <c r="J366" s="1359" t="b">
        <f t="shared" si="97"/>
        <v>1</v>
      </c>
      <c r="K366" s="1583"/>
      <c r="L366" s="17"/>
      <c r="M366" s="1361">
        <f t="shared" si="98"/>
        <v>2.1338158752722416</v>
      </c>
      <c r="N366" s="1350"/>
      <c r="O366" s="1358">
        <f t="shared" si="99"/>
        <v>6.7102605680370315E-3</v>
      </c>
      <c r="P366" s="1358">
        <f t="shared" si="100"/>
        <v>5.3188237117169643E-3</v>
      </c>
      <c r="Q366" s="1358">
        <f t="shared" si="101"/>
        <v>1.47093683433554E-2</v>
      </c>
      <c r="R366" s="1358">
        <f t="shared" si="102"/>
        <v>0</v>
      </c>
      <c r="S366" s="1358">
        <f t="shared" si="103"/>
        <v>0.13800151077824224</v>
      </c>
      <c r="T366" s="1358">
        <f t="shared" si="104"/>
        <v>2.2985558386735931</v>
      </c>
      <c r="U366" s="595">
        <f>IF('TAR_Tab 2_Volumina'!C369="storage",1,0)</f>
        <v>0</v>
      </c>
      <c r="V366" s="1362">
        <f t="shared" si="92"/>
        <v>2.2985558386735931</v>
      </c>
      <c r="W366" s="1362">
        <f t="shared" si="90"/>
        <v>2.4217193234223156</v>
      </c>
      <c r="X366" s="1355">
        <f t="shared" si="91"/>
        <v>2.4220000000000002</v>
      </c>
      <c r="Y366" s="1355">
        <f>X366+'TAR_Tab 13_Overige tarieven'!$T$15+'TAR_Tab 13_Overige tarieven'!$T$16</f>
        <v>2.5750000000000002</v>
      </c>
      <c r="Z366" s="960"/>
    </row>
    <row r="367" spans="1:26">
      <c r="A367" s="155">
        <v>300965</v>
      </c>
      <c r="B367" s="156" t="s">
        <v>231</v>
      </c>
      <c r="C367" s="839">
        <v>2.8074237804525572</v>
      </c>
      <c r="D367" s="1356">
        <f t="shared" si="93"/>
        <v>2.6771593170395587</v>
      </c>
      <c r="E367" s="1356">
        <f t="shared" si="94"/>
        <v>2.8287999651360329</v>
      </c>
      <c r="F367" s="1357"/>
      <c r="G367" s="1358">
        <f t="shared" si="95"/>
        <v>2.6873599668792312</v>
      </c>
      <c r="H367" s="1358">
        <f t="shared" si="96"/>
        <v>2.9702399633928347</v>
      </c>
      <c r="I367" s="833">
        <v>2.8437546154049937</v>
      </c>
      <c r="J367" s="1359" t="b">
        <f t="shared" si="97"/>
        <v>1</v>
      </c>
      <c r="K367" s="1583"/>
      <c r="L367" s="17"/>
      <c r="M367" s="1361">
        <f t="shared" si="98"/>
        <v>2.8437546154049937</v>
      </c>
      <c r="N367" s="1350"/>
      <c r="O367" s="1358">
        <f t="shared" si="99"/>
        <v>8.9428214880493545E-3</v>
      </c>
      <c r="P367" s="1358">
        <f t="shared" si="100"/>
        <v>7.0884417226443541E-3</v>
      </c>
      <c r="Q367" s="1358">
        <f t="shared" si="101"/>
        <v>1.9603300641285272E-2</v>
      </c>
      <c r="R367" s="1358">
        <f t="shared" si="102"/>
        <v>0</v>
      </c>
      <c r="S367" s="1358">
        <f t="shared" si="103"/>
        <v>0.18391579037175304</v>
      </c>
      <c r="T367" s="1358">
        <f t="shared" si="104"/>
        <v>3.0633049696287258</v>
      </c>
      <c r="U367" s="595">
        <f>IF('TAR_Tab 2_Volumina'!C370="storage",1,0)</f>
        <v>0</v>
      </c>
      <c r="V367" s="1362">
        <f t="shared" si="92"/>
        <v>3.0633049696287258</v>
      </c>
      <c r="W367" s="1362">
        <f t="shared" si="90"/>
        <v>3.2274459961635742</v>
      </c>
      <c r="X367" s="1355">
        <f t="shared" si="91"/>
        <v>3.2269999999999999</v>
      </c>
      <c r="Y367" s="1355">
        <f>X367+'TAR_Tab 13_Overige tarieven'!$T$15+'TAR_Tab 13_Overige tarieven'!$T$16</f>
        <v>3.38</v>
      </c>
      <c r="Z367" s="960"/>
    </row>
    <row r="368" spans="1:26">
      <c r="A368" s="155">
        <v>300968</v>
      </c>
      <c r="B368" s="156" t="s">
        <v>232</v>
      </c>
      <c r="C368" s="839">
        <v>1.8297328401341846</v>
      </c>
      <c r="D368" s="1356">
        <f t="shared" si="93"/>
        <v>1.7448332363519585</v>
      </c>
      <c r="E368" s="1356">
        <f t="shared" si="94"/>
        <v>1.8436647257955021</v>
      </c>
      <c r="F368" s="1357"/>
      <c r="G368" s="1358">
        <f t="shared" si="95"/>
        <v>1.7514814895057269</v>
      </c>
      <c r="H368" s="1358">
        <f t="shared" si="96"/>
        <v>1.9358479620852773</v>
      </c>
      <c r="I368" s="833">
        <v>1.8534113892313402</v>
      </c>
      <c r="J368" s="1359" t="b">
        <f t="shared" si="97"/>
        <v>1</v>
      </c>
      <c r="K368" s="1583"/>
      <c r="L368" s="17"/>
      <c r="M368" s="1361">
        <f t="shared" si="98"/>
        <v>1.8534113892313402</v>
      </c>
      <c r="N368" s="1350"/>
      <c r="O368" s="1358">
        <f t="shared" si="99"/>
        <v>5.828466038534391E-3</v>
      </c>
      <c r="P368" s="1358">
        <f t="shared" si="100"/>
        <v>4.6198777311806296E-3</v>
      </c>
      <c r="Q368" s="1358">
        <f t="shared" si="101"/>
        <v>1.2776412028753681E-2</v>
      </c>
      <c r="R368" s="1358">
        <f t="shared" si="102"/>
        <v>0</v>
      </c>
      <c r="S368" s="1358">
        <f t="shared" si="103"/>
        <v>0.11986674894097551</v>
      </c>
      <c r="T368" s="1358">
        <f t="shared" si="104"/>
        <v>1.9965028939707843</v>
      </c>
      <c r="U368" s="595">
        <f>IF('TAR_Tab 2_Volumina'!C371="storage",1,0)</f>
        <v>0</v>
      </c>
      <c r="V368" s="1362">
        <f t="shared" si="92"/>
        <v>1.9965028939707843</v>
      </c>
      <c r="W368" s="1362">
        <f t="shared" si="90"/>
        <v>2.1034814800878165</v>
      </c>
      <c r="X368" s="1355">
        <f t="shared" si="91"/>
        <v>2.1030000000000002</v>
      </c>
      <c r="Y368" s="1355">
        <f>X368+'TAR_Tab 13_Overige tarieven'!$T$15+'TAR_Tab 13_Overige tarieven'!$T$16</f>
        <v>2.2560000000000002</v>
      </c>
      <c r="Z368" s="960"/>
    </row>
    <row r="369" spans="1:26">
      <c r="A369" s="155">
        <v>300975</v>
      </c>
      <c r="B369" s="156" t="s">
        <v>1112</v>
      </c>
      <c r="C369" s="839">
        <v>1.9506055696404161</v>
      </c>
      <c r="D369" s="1356">
        <f t="shared" si="93"/>
        <v>1.8600974712091007</v>
      </c>
      <c r="E369" s="1356">
        <f t="shared" si="94"/>
        <v>1.965457800070169</v>
      </c>
      <c r="F369" s="1357"/>
      <c r="G369" s="1358">
        <f t="shared" si="95"/>
        <v>1.8671849100666604</v>
      </c>
      <c r="H369" s="1358">
        <f t="shared" si="96"/>
        <v>2.0637306900736774</v>
      </c>
      <c r="I369" s="833">
        <v>1.9758483311719455</v>
      </c>
      <c r="J369" s="1359" t="b">
        <f t="shared" si="97"/>
        <v>1</v>
      </c>
      <c r="K369" s="1583"/>
      <c r="L369" s="17"/>
      <c r="M369" s="1361">
        <f t="shared" si="98"/>
        <v>1.9758483311719455</v>
      </c>
      <c r="N369" s="1350"/>
      <c r="O369" s="1358">
        <f t="shared" si="99"/>
        <v>6.2134963464892711E-3</v>
      </c>
      <c r="P369" s="1358">
        <f t="shared" si="100"/>
        <v>4.9250683137095552E-3</v>
      </c>
      <c r="Q369" s="1358">
        <f t="shared" si="101"/>
        <v>1.3620425843960959E-2</v>
      </c>
      <c r="R369" s="1358">
        <f t="shared" si="102"/>
        <v>0</v>
      </c>
      <c r="S369" s="1358">
        <f t="shared" si="103"/>
        <v>0.12778518424679389</v>
      </c>
      <c r="T369" s="1358">
        <f t="shared" si="104"/>
        <v>2.1283925059228994</v>
      </c>
      <c r="U369" s="595">
        <f>IF('TAR_Tab 2_Volumina'!C372="storage",1,0)</f>
        <v>0</v>
      </c>
      <c r="V369" s="1362">
        <f t="shared" si="92"/>
        <v>2.1283925059228994</v>
      </c>
      <c r="W369" s="1362">
        <f t="shared" si="90"/>
        <v>2.242438131237706</v>
      </c>
      <c r="X369" s="1355">
        <f t="shared" si="91"/>
        <v>2.242</v>
      </c>
      <c r="Y369" s="1355">
        <f>X369+'TAR_Tab 13_Overige tarieven'!$T$15+'TAR_Tab 13_Overige tarieven'!$T$16</f>
        <v>2.395</v>
      </c>
      <c r="Z369" s="960"/>
    </row>
    <row r="370" spans="1:26">
      <c r="A370" s="155">
        <v>300982</v>
      </c>
      <c r="B370" s="156" t="s">
        <v>233</v>
      </c>
      <c r="C370" s="839">
        <v>3.073495708966421</v>
      </c>
      <c r="D370" s="1356">
        <f t="shared" si="93"/>
        <v>2.9308855080703791</v>
      </c>
      <c r="E370" s="1356">
        <f t="shared" si="94"/>
        <v>3.0968978089116401</v>
      </c>
      <c r="F370" s="1357"/>
      <c r="G370" s="1358">
        <f t="shared" si="95"/>
        <v>2.9420529184660578</v>
      </c>
      <c r="H370" s="1358">
        <f t="shared" si="96"/>
        <v>3.2517426993572225</v>
      </c>
      <c r="I370" s="833">
        <v>3.1132697773158315</v>
      </c>
      <c r="J370" s="1359" t="b">
        <f t="shared" si="97"/>
        <v>1</v>
      </c>
      <c r="K370" s="1583"/>
      <c r="L370" s="17"/>
      <c r="M370" s="1361">
        <f t="shared" si="98"/>
        <v>3.1132697773158315</v>
      </c>
      <c r="N370" s="1350"/>
      <c r="O370" s="1358">
        <f t="shared" si="99"/>
        <v>9.790372105896207E-3</v>
      </c>
      <c r="P370" s="1358">
        <f t="shared" si="100"/>
        <v>7.7602445948840729E-3</v>
      </c>
      <c r="Q370" s="1358">
        <f t="shared" si="101"/>
        <v>2.1461191866393805E-2</v>
      </c>
      <c r="R370" s="1358">
        <f t="shared" si="102"/>
        <v>0</v>
      </c>
      <c r="S370" s="1358">
        <f t="shared" si="103"/>
        <v>0.20134630063852707</v>
      </c>
      <c r="T370" s="1358">
        <f t="shared" si="104"/>
        <v>3.3536278865215325</v>
      </c>
      <c r="U370" s="595">
        <f>IF('TAR_Tab 2_Volumina'!C373="storage",1,0)</f>
        <v>0</v>
      </c>
      <c r="V370" s="1362">
        <f t="shared" si="92"/>
        <v>3.3536278865215325</v>
      </c>
      <c r="W370" s="1362">
        <f t="shared" si="90"/>
        <v>3.5333252817750829</v>
      </c>
      <c r="X370" s="1355">
        <f t="shared" si="91"/>
        <v>3.5329999999999999</v>
      </c>
      <c r="Y370" s="1355">
        <f>X370+'TAR_Tab 13_Overige tarieven'!$T$15+'TAR_Tab 13_Overige tarieven'!$T$16</f>
        <v>3.6859999999999999</v>
      </c>
      <c r="Z370" s="960"/>
    </row>
    <row r="371" spans="1:26">
      <c r="A371" s="155">
        <v>300983</v>
      </c>
      <c r="B371" s="156" t="s">
        <v>342</v>
      </c>
      <c r="C371" s="839">
        <v>1.8297328401341846</v>
      </c>
      <c r="D371" s="1356">
        <f t="shared" si="93"/>
        <v>1.7448332363519585</v>
      </c>
      <c r="E371" s="1356">
        <f t="shared" si="94"/>
        <v>1.8436647257955021</v>
      </c>
      <c r="F371" s="1357"/>
      <c r="G371" s="1358">
        <f t="shared" si="95"/>
        <v>1.7514814895057269</v>
      </c>
      <c r="H371" s="1358">
        <f t="shared" si="96"/>
        <v>1.9358479620852773</v>
      </c>
      <c r="I371" s="833">
        <v>1.8534113892313402</v>
      </c>
      <c r="J371" s="1359" t="b">
        <f t="shared" si="97"/>
        <v>1</v>
      </c>
      <c r="K371" s="1583"/>
      <c r="L371" s="17"/>
      <c r="M371" s="1361">
        <f t="shared" si="98"/>
        <v>1.8534113892313402</v>
      </c>
      <c r="N371" s="1350"/>
      <c r="O371" s="1358">
        <f t="shared" si="99"/>
        <v>5.828466038534391E-3</v>
      </c>
      <c r="P371" s="1358">
        <f t="shared" si="100"/>
        <v>4.6198777311806296E-3</v>
      </c>
      <c r="Q371" s="1358">
        <f t="shared" si="101"/>
        <v>1.2776412028753681E-2</v>
      </c>
      <c r="R371" s="1358">
        <f t="shared" si="102"/>
        <v>0</v>
      </c>
      <c r="S371" s="1358">
        <f t="shared" si="103"/>
        <v>0.11986674894097551</v>
      </c>
      <c r="T371" s="1358">
        <f t="shared" si="104"/>
        <v>1.9965028939707843</v>
      </c>
      <c r="U371" s="595">
        <f>IF('TAR_Tab 2_Volumina'!C374="storage",1,0)</f>
        <v>0</v>
      </c>
      <c r="V371" s="1362">
        <f t="shared" si="92"/>
        <v>1.9965028939707843</v>
      </c>
      <c r="W371" s="1362">
        <f t="shared" si="90"/>
        <v>2.1034814800878165</v>
      </c>
      <c r="X371" s="1355">
        <f t="shared" si="91"/>
        <v>2.1030000000000002</v>
      </c>
      <c r="Y371" s="1355">
        <f>X371+'TAR_Tab 13_Overige tarieven'!$T$15+'TAR_Tab 13_Overige tarieven'!$T$16</f>
        <v>2.2560000000000002</v>
      </c>
      <c r="Z371" s="960"/>
    </row>
    <row r="372" spans="1:26">
      <c r="A372" s="155">
        <v>300989</v>
      </c>
      <c r="B372" s="156" t="s">
        <v>117</v>
      </c>
      <c r="C372" s="839">
        <v>2.011041934393532</v>
      </c>
      <c r="D372" s="1356">
        <f t="shared" si="93"/>
        <v>1.9177295886376722</v>
      </c>
      <c r="E372" s="1356">
        <f t="shared" si="94"/>
        <v>2.0263543372075028</v>
      </c>
      <c r="F372" s="1357"/>
      <c r="G372" s="1358">
        <f t="shared" si="95"/>
        <v>1.9250366203471276</v>
      </c>
      <c r="H372" s="1358">
        <f t="shared" si="96"/>
        <v>2.1276720540678782</v>
      </c>
      <c r="I372" s="833">
        <v>2.0370668021422484</v>
      </c>
      <c r="J372" s="1359" t="b">
        <f t="shared" si="97"/>
        <v>1</v>
      </c>
      <c r="K372" s="1583"/>
      <c r="L372" s="17"/>
      <c r="M372" s="1361">
        <f t="shared" si="98"/>
        <v>2.0370668021422484</v>
      </c>
      <c r="N372" s="1350"/>
      <c r="O372" s="1358">
        <f t="shared" si="99"/>
        <v>6.4060115004667129E-3</v>
      </c>
      <c r="P372" s="1358">
        <f t="shared" si="100"/>
        <v>5.0776636049740184E-3</v>
      </c>
      <c r="Q372" s="1358">
        <f t="shared" si="101"/>
        <v>1.4042432751564599E-2</v>
      </c>
      <c r="R372" s="1358">
        <f t="shared" si="102"/>
        <v>0</v>
      </c>
      <c r="S372" s="1358">
        <f t="shared" si="103"/>
        <v>0.1317444018997031</v>
      </c>
      <c r="T372" s="1358">
        <f t="shared" si="104"/>
        <v>2.1943373118989573</v>
      </c>
      <c r="U372" s="595">
        <f>IF('TAR_Tab 2_Volumina'!C375="storage",1,0)</f>
        <v>0</v>
      </c>
      <c r="V372" s="1362">
        <f t="shared" si="92"/>
        <v>2.1943373118989573</v>
      </c>
      <c r="W372" s="1362">
        <f t="shared" si="90"/>
        <v>2.3119164568126513</v>
      </c>
      <c r="X372" s="1355">
        <f t="shared" si="91"/>
        <v>2.3119999999999998</v>
      </c>
      <c r="Y372" s="1355">
        <f>X372+'TAR_Tab 13_Overige tarieven'!$T$15+'TAR_Tab 13_Overige tarieven'!$T$16</f>
        <v>2.4649999999999999</v>
      </c>
      <c r="Z372" s="960"/>
    </row>
    <row r="373" spans="1:26">
      <c r="A373" s="155">
        <v>300991</v>
      </c>
      <c r="B373" s="156" t="s">
        <v>234</v>
      </c>
      <c r="C373" s="839">
        <v>1.7692964753810689</v>
      </c>
      <c r="D373" s="1356">
        <f t="shared" si="93"/>
        <v>1.6872011189233873</v>
      </c>
      <c r="E373" s="1356">
        <f t="shared" si="94"/>
        <v>1.7827681886581686</v>
      </c>
      <c r="F373" s="1357"/>
      <c r="G373" s="1358">
        <f t="shared" si="95"/>
        <v>1.6936297792252601</v>
      </c>
      <c r="H373" s="1358">
        <f t="shared" si="96"/>
        <v>1.871906598091077</v>
      </c>
      <c r="I373" s="833">
        <v>1.7921929182610372</v>
      </c>
      <c r="J373" s="1359" t="b">
        <f t="shared" si="97"/>
        <v>1</v>
      </c>
      <c r="K373" s="1583"/>
      <c r="L373" s="17"/>
      <c r="M373" s="1361">
        <f t="shared" si="98"/>
        <v>1.7921929182610372</v>
      </c>
      <c r="N373" s="1350"/>
      <c r="O373" s="1358">
        <f t="shared" si="99"/>
        <v>5.6359508845569501E-3</v>
      </c>
      <c r="P373" s="1358">
        <f t="shared" si="100"/>
        <v>4.4672824399161655E-3</v>
      </c>
      <c r="Q373" s="1358">
        <f t="shared" si="101"/>
        <v>1.2354405121150039E-2</v>
      </c>
      <c r="R373" s="1358">
        <f t="shared" si="102"/>
        <v>0</v>
      </c>
      <c r="S373" s="1358">
        <f t="shared" si="103"/>
        <v>0.1159075312880663</v>
      </c>
      <c r="T373" s="1358">
        <f t="shared" si="104"/>
        <v>1.9305580879947266</v>
      </c>
      <c r="U373" s="595">
        <f>IF('TAR_Tab 2_Volumina'!C376="storage",1,0)</f>
        <v>0</v>
      </c>
      <c r="V373" s="1362">
        <f t="shared" si="92"/>
        <v>1.9305580879947266</v>
      </c>
      <c r="W373" s="1362">
        <f t="shared" si="90"/>
        <v>2.0340031545128721</v>
      </c>
      <c r="X373" s="1355">
        <f t="shared" si="91"/>
        <v>2.0339999999999998</v>
      </c>
      <c r="Y373" s="1355">
        <f>X373+'TAR_Tab 13_Overige tarieven'!$T$15+'TAR_Tab 13_Overige tarieven'!$T$16</f>
        <v>2.1869999999999998</v>
      </c>
      <c r="Z373" s="960"/>
    </row>
    <row r="374" spans="1:26">
      <c r="A374" s="155">
        <v>300997</v>
      </c>
      <c r="B374" s="156" t="s">
        <v>118</v>
      </c>
      <c r="C374" s="839">
        <v>1.5836079344004814</v>
      </c>
      <c r="D374" s="1356">
        <f t="shared" si="93"/>
        <v>1.5101285262442992</v>
      </c>
      <c r="E374" s="1356">
        <f t="shared" si="94"/>
        <v>1.5956657846999847</v>
      </c>
      <c r="F374" s="1357"/>
      <c r="G374" s="1358">
        <f t="shared" si="95"/>
        <v>1.5158824954649854</v>
      </c>
      <c r="H374" s="1358">
        <f t="shared" si="96"/>
        <v>1.6754490739349839</v>
      </c>
      <c r="I374" s="833">
        <v>1.6041013842653247</v>
      </c>
      <c r="J374" s="1359" t="b">
        <f t="shared" si="97"/>
        <v>1</v>
      </c>
      <c r="K374" s="1583"/>
      <c r="L374" s="17"/>
      <c r="M374" s="1361">
        <f t="shared" si="98"/>
        <v>1.6041013842653247</v>
      </c>
      <c r="N374" s="1350"/>
      <c r="O374" s="1358">
        <f t="shared" si="99"/>
        <v>5.044455049148004E-3</v>
      </c>
      <c r="P374" s="1358">
        <f t="shared" si="100"/>
        <v>3.9984389363210042E-3</v>
      </c>
      <c r="Q374" s="1358">
        <f t="shared" si="101"/>
        <v>1.1057804187643206E-2</v>
      </c>
      <c r="R374" s="1358">
        <f t="shared" si="102"/>
        <v>0</v>
      </c>
      <c r="S374" s="1358">
        <f t="shared" si="103"/>
        <v>0.10374297849941778</v>
      </c>
      <c r="T374" s="1358">
        <f t="shared" si="104"/>
        <v>1.7279450609378546</v>
      </c>
      <c r="U374" s="595">
        <f>IF('TAR_Tab 2_Volumina'!C377="storage",1,0)</f>
        <v>0</v>
      </c>
      <c r="V374" s="1362">
        <f t="shared" si="92"/>
        <v>1.7279450609378546</v>
      </c>
      <c r="W374" s="1362">
        <f t="shared" si="90"/>
        <v>1.8205335165144916</v>
      </c>
      <c r="X374" s="1355">
        <f t="shared" si="91"/>
        <v>1.821</v>
      </c>
      <c r="Y374" s="1355">
        <f>X374+'TAR_Tab 13_Overige tarieven'!$T$15+'TAR_Tab 13_Overige tarieven'!$T$16</f>
        <v>1.974</v>
      </c>
      <c r="Z374" s="960"/>
    </row>
    <row r="375" spans="1:26">
      <c r="A375" s="155">
        <v>300998</v>
      </c>
      <c r="B375" s="156" t="s">
        <v>1113</v>
      </c>
      <c r="C375" s="839">
        <v>1.4513507927745759</v>
      </c>
      <c r="D375" s="1356">
        <f t="shared" si="93"/>
        <v>1.3840081159898356</v>
      </c>
      <c r="E375" s="1356">
        <f t="shared" si="94"/>
        <v>1.4624016155263362</v>
      </c>
      <c r="F375" s="1357"/>
      <c r="G375" s="1358">
        <f t="shared" si="95"/>
        <v>1.3892815347500194</v>
      </c>
      <c r="H375" s="1358">
        <f t="shared" si="96"/>
        <v>1.535521696302653</v>
      </c>
      <c r="I375" s="833">
        <v>1.4701327046745603</v>
      </c>
      <c r="J375" s="1359" t="b">
        <f t="shared" si="97"/>
        <v>1</v>
      </c>
      <c r="K375" s="1583"/>
      <c r="L375" s="17"/>
      <c r="M375" s="1361">
        <f t="shared" si="98"/>
        <v>1.4701327046745603</v>
      </c>
      <c r="N375" s="1350"/>
      <c r="O375" s="1358">
        <f t="shared" si="99"/>
        <v>4.6231606167522381E-3</v>
      </c>
      <c r="P375" s="1358">
        <f t="shared" si="100"/>
        <v>3.664503943198011E-3</v>
      </c>
      <c r="Q375" s="1358">
        <f t="shared" si="101"/>
        <v>1.0134296832856984E-2</v>
      </c>
      <c r="R375" s="1358">
        <f t="shared" si="102"/>
        <v>0</v>
      </c>
      <c r="S375" s="1358">
        <f t="shared" si="103"/>
        <v>9.507874444120365E-2</v>
      </c>
      <c r="T375" s="1358">
        <f t="shared" si="104"/>
        <v>1.583633410508571</v>
      </c>
      <c r="U375" s="595">
        <f>IF('TAR_Tab 2_Volumina'!C378="storage",1,0)</f>
        <v>0</v>
      </c>
      <c r="V375" s="1362">
        <f t="shared" si="92"/>
        <v>1.583633410508571</v>
      </c>
      <c r="W375" s="1362">
        <f t="shared" si="90"/>
        <v>1.6684892169767285</v>
      </c>
      <c r="X375" s="1355">
        <f t="shared" si="91"/>
        <v>1.6679999999999999</v>
      </c>
      <c r="Y375" s="1355">
        <f>X375+'TAR_Tab 13_Overige tarieven'!$T$15+'TAR_Tab 13_Overige tarieven'!$T$16</f>
        <v>1.821</v>
      </c>
      <c r="Z375" s="960"/>
    </row>
    <row r="376" spans="1:26">
      <c r="A376" s="155">
        <v>301001</v>
      </c>
      <c r="B376" s="156" t="s">
        <v>1114</v>
      </c>
      <c r="C376" s="839">
        <v>1.9940211098854308</v>
      </c>
      <c r="D376" s="1356">
        <f t="shared" si="93"/>
        <v>1.9014985303867469</v>
      </c>
      <c r="E376" s="1356">
        <f t="shared" si="94"/>
        <v>2.009203913352597</v>
      </c>
      <c r="F376" s="1357"/>
      <c r="G376" s="1358">
        <f t="shared" si="95"/>
        <v>1.9087437176849671</v>
      </c>
      <c r="H376" s="1358">
        <f t="shared" si="96"/>
        <v>2.1096641090202271</v>
      </c>
      <c r="I376" s="833">
        <v>2.0198257113636027</v>
      </c>
      <c r="J376" s="1359" t="b">
        <f t="shared" si="97"/>
        <v>1</v>
      </c>
      <c r="K376" s="1583"/>
      <c r="L376" s="17"/>
      <c r="M376" s="1361">
        <f t="shared" si="98"/>
        <v>2.0198257113636027</v>
      </c>
      <c r="N376" s="1350"/>
      <c r="O376" s="1358">
        <f t="shared" si="99"/>
        <v>6.3517930400350539E-3</v>
      </c>
      <c r="P376" s="1358">
        <f t="shared" si="100"/>
        <v>5.0346878620751026E-3</v>
      </c>
      <c r="Q376" s="1358">
        <f t="shared" si="101"/>
        <v>1.3923582030730042E-2</v>
      </c>
      <c r="R376" s="1358">
        <f t="shared" si="102"/>
        <v>0</v>
      </c>
      <c r="S376" s="1358">
        <f t="shared" si="103"/>
        <v>0.13062935884350951</v>
      </c>
      <c r="T376" s="1358">
        <f t="shared" si="104"/>
        <v>2.1757651331399521</v>
      </c>
      <c r="U376" s="595">
        <f>IF('TAR_Tab 2_Volumina'!C379="storage",1,0)</f>
        <v>0</v>
      </c>
      <c r="V376" s="1362">
        <f t="shared" si="92"/>
        <v>2.1757651331399521</v>
      </c>
      <c r="W376" s="1362">
        <f t="shared" si="90"/>
        <v>2.2923491252638599</v>
      </c>
      <c r="X376" s="1355">
        <f t="shared" si="91"/>
        <v>2.2919999999999998</v>
      </c>
      <c r="Y376" s="1355">
        <f>X376+'TAR_Tab 13_Overige tarieven'!$T$15+'TAR_Tab 13_Overige tarieven'!$T$16</f>
        <v>2.4449999999999998</v>
      </c>
      <c r="Z376" s="960"/>
    </row>
    <row r="377" spans="1:26">
      <c r="A377" s="155">
        <v>301002</v>
      </c>
      <c r="B377" s="156" t="s">
        <v>343</v>
      </c>
      <c r="C377" s="839">
        <v>2.3342451024210633</v>
      </c>
      <c r="D377" s="1356">
        <f t="shared" si="93"/>
        <v>2.2259361296687259</v>
      </c>
      <c r="E377" s="1356">
        <f t="shared" si="94"/>
        <v>2.3520184271158509</v>
      </c>
      <c r="F377" s="1357"/>
      <c r="G377" s="1358">
        <f t="shared" si="95"/>
        <v>2.2344175057600584</v>
      </c>
      <c r="H377" s="1358">
        <f t="shared" si="96"/>
        <v>2.4696193484716433</v>
      </c>
      <c r="I377" s="833">
        <v>2.3644525382008235</v>
      </c>
      <c r="J377" s="1359" t="b">
        <f t="shared" si="97"/>
        <v>1</v>
      </c>
      <c r="K377" s="1583"/>
      <c r="L377" s="17"/>
      <c r="M377" s="1361">
        <f t="shared" si="98"/>
        <v>2.3644525382008235</v>
      </c>
      <c r="N377" s="1350"/>
      <c r="O377" s="1358">
        <f t="shared" si="99"/>
        <v>7.4355490630417182E-3</v>
      </c>
      <c r="P377" s="1358">
        <f t="shared" si="100"/>
        <v>5.8937166843448414E-3</v>
      </c>
      <c r="Q377" s="1358">
        <f t="shared" si="101"/>
        <v>1.6299252300923193E-2</v>
      </c>
      <c r="R377" s="1358">
        <f t="shared" si="102"/>
        <v>0</v>
      </c>
      <c r="S377" s="1358">
        <f t="shared" si="103"/>
        <v>0.15291760934786963</v>
      </c>
      <c r="T377" s="1358">
        <f t="shared" si="104"/>
        <v>2.5469986655970027</v>
      </c>
      <c r="U377" s="595">
        <f>IF('TAR_Tab 2_Volumina'!C380="storage",1,0)</f>
        <v>0</v>
      </c>
      <c r="V377" s="1362">
        <f t="shared" si="92"/>
        <v>2.5469986655970027</v>
      </c>
      <c r="W377" s="1362">
        <f t="shared" si="90"/>
        <v>2.6834744588003976</v>
      </c>
      <c r="X377" s="1355">
        <f t="shared" si="91"/>
        <v>2.6829999999999998</v>
      </c>
      <c r="Y377" s="1355">
        <f>X377+'TAR_Tab 13_Overige tarieven'!$T$15+'TAR_Tab 13_Overige tarieven'!$T$16</f>
        <v>2.8359999999999999</v>
      </c>
      <c r="Z377" s="960"/>
    </row>
    <row r="378" spans="1:26">
      <c r="A378" s="155">
        <v>301006</v>
      </c>
      <c r="B378" s="156" t="s">
        <v>235</v>
      </c>
      <c r="C378" s="839">
        <v>2.4910292950414652</v>
      </c>
      <c r="D378" s="1356">
        <f t="shared" si="93"/>
        <v>2.3754455357515414</v>
      </c>
      <c r="E378" s="1356">
        <f t="shared" si="94"/>
        <v>2.5099964002692237</v>
      </c>
      <c r="F378" s="1357"/>
      <c r="G378" s="1358">
        <f t="shared" si="95"/>
        <v>2.3844965802557625</v>
      </c>
      <c r="H378" s="1358">
        <f t="shared" si="96"/>
        <v>2.6354962202826848</v>
      </c>
      <c r="I378" s="833">
        <v>2.523265673036827</v>
      </c>
      <c r="J378" s="1359" t="b">
        <f t="shared" si="97"/>
        <v>1</v>
      </c>
      <c r="K378" s="1583"/>
      <c r="L378" s="17"/>
      <c r="M378" s="1361">
        <f t="shared" si="98"/>
        <v>2.523265673036827</v>
      </c>
      <c r="N378" s="1350"/>
      <c r="O378" s="1358">
        <f t="shared" si="99"/>
        <v>7.9349724335049353E-3</v>
      </c>
      <c r="P378" s="1358">
        <f t="shared" si="100"/>
        <v>6.2895798312483054E-3</v>
      </c>
      <c r="Q378" s="1358">
        <f t="shared" si="101"/>
        <v>1.7394023843836988E-2</v>
      </c>
      <c r="R378" s="1358">
        <f t="shared" si="102"/>
        <v>0</v>
      </c>
      <c r="S378" s="1358">
        <f t="shared" si="103"/>
        <v>0.16318862325903991</v>
      </c>
      <c r="T378" s="1358">
        <f t="shared" si="104"/>
        <v>2.7180728724044569</v>
      </c>
      <c r="U378" s="595">
        <f>IF('TAR_Tab 2_Volumina'!C381="storage",1,0)</f>
        <v>0</v>
      </c>
      <c r="V378" s="1362">
        <f t="shared" si="92"/>
        <v>2.7180728724044569</v>
      </c>
      <c r="W378" s="1362">
        <f t="shared" si="90"/>
        <v>2.8637153323933706</v>
      </c>
      <c r="X378" s="1355">
        <f t="shared" si="91"/>
        <v>2.8639999999999999</v>
      </c>
      <c r="Y378" s="1355">
        <f>X378+'TAR_Tab 13_Overige tarieven'!$T$15+'TAR_Tab 13_Overige tarieven'!$T$16</f>
        <v>3.0169999999999999</v>
      </c>
      <c r="Z378" s="960"/>
    </row>
    <row r="379" spans="1:26">
      <c r="A379" s="155">
        <v>301009</v>
      </c>
      <c r="B379" s="156" t="s">
        <v>119</v>
      </c>
      <c r="C379" s="839">
        <v>1.8691478606253467</v>
      </c>
      <c r="D379" s="1356">
        <f t="shared" si="93"/>
        <v>1.7824193998923306</v>
      </c>
      <c r="E379" s="1356">
        <f t="shared" si="94"/>
        <v>1.8833798587111539</v>
      </c>
      <c r="F379" s="1357"/>
      <c r="G379" s="1358">
        <f t="shared" si="95"/>
        <v>1.7892108657755961</v>
      </c>
      <c r="H379" s="1358">
        <f t="shared" si="96"/>
        <v>1.9775488516467117</v>
      </c>
      <c r="I379" s="833">
        <v>1.8933364789945806</v>
      </c>
      <c r="J379" s="1359" t="b">
        <f t="shared" si="97"/>
        <v>1</v>
      </c>
      <c r="K379" s="1583"/>
      <c r="L379" s="17"/>
      <c r="M379" s="1361">
        <f t="shared" si="98"/>
        <v>1.8933364789945806</v>
      </c>
      <c r="N379" s="1350"/>
      <c r="O379" s="1358">
        <f t="shared" si="99"/>
        <v>5.9540193998240251E-3</v>
      </c>
      <c r="P379" s="1358">
        <f t="shared" si="100"/>
        <v>4.7193963993965825E-3</v>
      </c>
      <c r="Q379" s="1358">
        <f t="shared" si="101"/>
        <v>1.3051633925016921E-2</v>
      </c>
      <c r="R379" s="1358">
        <f t="shared" si="102"/>
        <v>0</v>
      </c>
      <c r="S379" s="1358">
        <f t="shared" si="103"/>
        <v>0.12244884741026409</v>
      </c>
      <c r="T379" s="1358">
        <f t="shared" si="104"/>
        <v>2.039510376129082</v>
      </c>
      <c r="U379" s="595">
        <f>IF('TAR_Tab 2_Volumina'!C382="storage",1,0)</f>
        <v>0</v>
      </c>
      <c r="V379" s="1362">
        <f t="shared" si="92"/>
        <v>2.039510376129082</v>
      </c>
      <c r="W379" s="1362">
        <f t="shared" si="90"/>
        <v>2.1487934315497363</v>
      </c>
      <c r="X379" s="1355">
        <f t="shared" si="91"/>
        <v>2.149</v>
      </c>
      <c r="Y379" s="1355">
        <f>X379+'TAR_Tab 13_Overige tarieven'!$T$15+'TAR_Tab 13_Overige tarieven'!$T$16</f>
        <v>2.302</v>
      </c>
      <c r="Z379" s="960"/>
    </row>
    <row r="380" spans="1:26">
      <c r="A380" s="155">
        <v>301013</v>
      </c>
      <c r="B380" s="156" t="s">
        <v>236</v>
      </c>
      <c r="C380" s="839">
        <v>1.8770308647235794</v>
      </c>
      <c r="D380" s="1356">
        <f t="shared" si="93"/>
        <v>1.7899366326004054</v>
      </c>
      <c r="E380" s="1356">
        <f t="shared" si="94"/>
        <v>1.8913228852942847</v>
      </c>
      <c r="F380" s="1357"/>
      <c r="G380" s="1358">
        <f t="shared" si="95"/>
        <v>1.7967567410295704</v>
      </c>
      <c r="H380" s="1358">
        <f t="shared" si="96"/>
        <v>1.985889029558999</v>
      </c>
      <c r="I380" s="833">
        <v>1.9013214969472292</v>
      </c>
      <c r="J380" s="1359" t="b">
        <f t="shared" si="97"/>
        <v>1</v>
      </c>
      <c r="K380" s="1583"/>
      <c r="L380" s="17"/>
      <c r="M380" s="1361">
        <f t="shared" si="98"/>
        <v>1.9013214969472292</v>
      </c>
      <c r="N380" s="1350"/>
      <c r="O380" s="1358">
        <f t="shared" si="99"/>
        <v>5.9791300720819533E-3</v>
      </c>
      <c r="P380" s="1358">
        <f t="shared" si="100"/>
        <v>4.7393001330397746E-3</v>
      </c>
      <c r="Q380" s="1358">
        <f t="shared" si="101"/>
        <v>1.3106678304269571E-2</v>
      </c>
      <c r="R380" s="1358">
        <f t="shared" si="102"/>
        <v>0</v>
      </c>
      <c r="S380" s="1358">
        <f t="shared" si="103"/>
        <v>0.12296526710412183</v>
      </c>
      <c r="T380" s="1358">
        <f t="shared" si="104"/>
        <v>2.0481118725607423</v>
      </c>
      <c r="U380" s="595">
        <f>IF('TAR_Tab 2_Volumina'!C383="storage",1,0)</f>
        <v>0</v>
      </c>
      <c r="V380" s="1362">
        <f t="shared" si="92"/>
        <v>2.0481118725607423</v>
      </c>
      <c r="W380" s="1362">
        <f t="shared" si="90"/>
        <v>2.1578558218421211</v>
      </c>
      <c r="X380" s="1355">
        <f t="shared" si="91"/>
        <v>2.1579999999999999</v>
      </c>
      <c r="Y380" s="1355">
        <f>X380+'TAR_Tab 13_Overige tarieven'!$T$15+'TAR_Tab 13_Overige tarieven'!$T$16</f>
        <v>2.3109999999999999</v>
      </c>
      <c r="Z380" s="960"/>
    </row>
    <row r="381" spans="1:26">
      <c r="A381" s="155">
        <v>301014</v>
      </c>
      <c r="B381" s="156" t="s">
        <v>237</v>
      </c>
      <c r="C381" s="839">
        <v>2.4910292950414652</v>
      </c>
      <c r="D381" s="1356">
        <f t="shared" si="93"/>
        <v>2.3754455357515414</v>
      </c>
      <c r="E381" s="1356">
        <f t="shared" si="94"/>
        <v>2.5099964002692237</v>
      </c>
      <c r="F381" s="1357"/>
      <c r="G381" s="1358">
        <f t="shared" si="95"/>
        <v>2.3844965802557625</v>
      </c>
      <c r="H381" s="1358">
        <f t="shared" si="96"/>
        <v>2.6354962202826848</v>
      </c>
      <c r="I381" s="833">
        <v>2.523265673036827</v>
      </c>
      <c r="J381" s="1359" t="b">
        <f t="shared" si="97"/>
        <v>1</v>
      </c>
      <c r="K381" s="1583"/>
      <c r="L381" s="17"/>
      <c r="M381" s="1361">
        <f t="shared" si="98"/>
        <v>2.523265673036827</v>
      </c>
      <c r="N381" s="1350"/>
      <c r="O381" s="1358">
        <f t="shared" si="99"/>
        <v>7.9349724335049353E-3</v>
      </c>
      <c r="P381" s="1358">
        <f t="shared" si="100"/>
        <v>6.2895798312483054E-3</v>
      </c>
      <c r="Q381" s="1358">
        <f t="shared" si="101"/>
        <v>1.7394023843836988E-2</v>
      </c>
      <c r="R381" s="1358">
        <f t="shared" si="102"/>
        <v>0</v>
      </c>
      <c r="S381" s="1358">
        <f t="shared" si="103"/>
        <v>0.16318862325903991</v>
      </c>
      <c r="T381" s="1358">
        <f t="shared" si="104"/>
        <v>2.7180728724044569</v>
      </c>
      <c r="U381" s="595">
        <f>IF('TAR_Tab 2_Volumina'!C384="storage",1,0)</f>
        <v>0</v>
      </c>
      <c r="V381" s="1362">
        <f t="shared" si="92"/>
        <v>2.7180728724044569</v>
      </c>
      <c r="W381" s="1362">
        <f t="shared" si="90"/>
        <v>2.8637153323933706</v>
      </c>
      <c r="X381" s="1355">
        <f t="shared" si="91"/>
        <v>2.8639999999999999</v>
      </c>
      <c r="Y381" s="1355">
        <f>X381+'TAR_Tab 13_Overige tarieven'!$T$15+'TAR_Tab 13_Overige tarieven'!$T$16</f>
        <v>3.0169999999999999</v>
      </c>
      <c r="Z381" s="960"/>
    </row>
    <row r="382" spans="1:26">
      <c r="A382" s="155">
        <v>301015</v>
      </c>
      <c r="B382" s="156" t="s">
        <v>238</v>
      </c>
      <c r="C382" s="839">
        <v>1.5836079344004814</v>
      </c>
      <c r="D382" s="1356">
        <f t="shared" si="93"/>
        <v>1.5101285262442992</v>
      </c>
      <c r="E382" s="1356">
        <f t="shared" si="94"/>
        <v>1.5956657846999847</v>
      </c>
      <c r="F382" s="1357"/>
      <c r="G382" s="1358">
        <f t="shared" si="95"/>
        <v>1.5158824954649854</v>
      </c>
      <c r="H382" s="1358">
        <f t="shared" si="96"/>
        <v>1.6754490739349839</v>
      </c>
      <c r="I382" s="833">
        <v>1.6041013842653247</v>
      </c>
      <c r="J382" s="1359" t="b">
        <f t="shared" si="97"/>
        <v>1</v>
      </c>
      <c r="K382" s="1583"/>
      <c r="L382" s="17"/>
      <c r="M382" s="1361">
        <f t="shared" si="98"/>
        <v>1.6041013842653247</v>
      </c>
      <c r="N382" s="1350"/>
      <c r="O382" s="1358">
        <f t="shared" si="99"/>
        <v>5.044455049148004E-3</v>
      </c>
      <c r="P382" s="1358">
        <f t="shared" si="100"/>
        <v>3.9984389363210042E-3</v>
      </c>
      <c r="Q382" s="1358">
        <f t="shared" si="101"/>
        <v>1.1057804187643206E-2</v>
      </c>
      <c r="R382" s="1358">
        <f t="shared" si="102"/>
        <v>0</v>
      </c>
      <c r="S382" s="1358">
        <f t="shared" si="103"/>
        <v>0.10374297849941778</v>
      </c>
      <c r="T382" s="1358">
        <f t="shared" si="104"/>
        <v>1.7279450609378546</v>
      </c>
      <c r="U382" s="595">
        <f>IF('TAR_Tab 2_Volumina'!C385="storage",1,0)</f>
        <v>0</v>
      </c>
      <c r="V382" s="1362">
        <f t="shared" si="92"/>
        <v>1.7279450609378546</v>
      </c>
      <c r="W382" s="1362">
        <f t="shared" si="90"/>
        <v>1.8205335165144916</v>
      </c>
      <c r="X382" s="1355">
        <f t="shared" si="91"/>
        <v>1.821</v>
      </c>
      <c r="Y382" s="1355">
        <f>X382+'TAR_Tab 13_Overige tarieven'!$T$15+'TAR_Tab 13_Overige tarieven'!$T$16</f>
        <v>1.974</v>
      </c>
      <c r="Z382" s="960"/>
    </row>
    <row r="383" spans="1:26">
      <c r="A383" s="155">
        <v>301016</v>
      </c>
      <c r="B383" s="156" t="s">
        <v>344</v>
      </c>
      <c r="C383" s="839">
        <v>1.8621407458713626</v>
      </c>
      <c r="D383" s="1356">
        <f t="shared" si="93"/>
        <v>1.7757374152629313</v>
      </c>
      <c r="E383" s="1356">
        <f t="shared" si="94"/>
        <v>1.8763193906372604</v>
      </c>
      <c r="F383" s="1357"/>
      <c r="G383" s="1358">
        <f t="shared" si="95"/>
        <v>1.7825034211053974</v>
      </c>
      <c r="H383" s="1358">
        <f t="shared" si="96"/>
        <v>1.9701353601691234</v>
      </c>
      <c r="I383" s="833">
        <v>1.8862386852588935</v>
      </c>
      <c r="J383" s="1359" t="b">
        <f t="shared" si="97"/>
        <v>1</v>
      </c>
      <c r="K383" s="1583"/>
      <c r="L383" s="17"/>
      <c r="M383" s="1361">
        <f t="shared" si="98"/>
        <v>1.8862386852588935</v>
      </c>
      <c r="N383" s="1350"/>
      <c r="O383" s="1358">
        <f t="shared" si="99"/>
        <v>5.9316988022614231E-3</v>
      </c>
      <c r="P383" s="1358">
        <f t="shared" si="100"/>
        <v>4.7017041917137466E-3</v>
      </c>
      <c r="Q383" s="1358">
        <f t="shared" si="101"/>
        <v>1.3002705587903457E-2</v>
      </c>
      <c r="R383" s="1358">
        <f t="shared" si="102"/>
        <v>0</v>
      </c>
      <c r="S383" s="1358">
        <f t="shared" si="103"/>
        <v>0.12198980768239057</v>
      </c>
      <c r="T383" s="1358">
        <f t="shared" si="104"/>
        <v>2.0318646015231625</v>
      </c>
      <c r="U383" s="595">
        <f>IF('TAR_Tab 2_Volumina'!C386="storage",1,0)</f>
        <v>0</v>
      </c>
      <c r="V383" s="1362">
        <f t="shared" si="92"/>
        <v>2.0318646015231625</v>
      </c>
      <c r="W383" s="1362">
        <f t="shared" si="90"/>
        <v>2.1407379735120622</v>
      </c>
      <c r="X383" s="1355">
        <f t="shared" si="91"/>
        <v>2.141</v>
      </c>
      <c r="Y383" s="1355">
        <f>X383+'TAR_Tab 13_Overige tarieven'!$T$15+'TAR_Tab 13_Overige tarieven'!$T$16</f>
        <v>2.294</v>
      </c>
      <c r="Z383" s="960"/>
    </row>
    <row r="384" spans="1:26">
      <c r="A384" s="155">
        <v>301017</v>
      </c>
      <c r="B384" s="156" t="s">
        <v>345</v>
      </c>
      <c r="C384" s="839">
        <v>1.8621407458713626</v>
      </c>
      <c r="D384" s="1356">
        <f t="shared" si="93"/>
        <v>1.7757374152629313</v>
      </c>
      <c r="E384" s="1356">
        <f t="shared" si="94"/>
        <v>1.8763193906372604</v>
      </c>
      <c r="F384" s="1357"/>
      <c r="G384" s="1358">
        <f t="shared" si="95"/>
        <v>1.7825034211053974</v>
      </c>
      <c r="H384" s="1358">
        <f t="shared" si="96"/>
        <v>1.9701353601691234</v>
      </c>
      <c r="I384" s="833">
        <v>1.8862386852588935</v>
      </c>
      <c r="J384" s="1359" t="b">
        <f t="shared" si="97"/>
        <v>1</v>
      </c>
      <c r="K384" s="1583"/>
      <c r="L384" s="17"/>
      <c r="M384" s="1361">
        <f t="shared" si="98"/>
        <v>1.8862386852588935</v>
      </c>
      <c r="N384" s="1350"/>
      <c r="O384" s="1358">
        <f t="shared" si="99"/>
        <v>5.9316988022614231E-3</v>
      </c>
      <c r="P384" s="1358">
        <f t="shared" si="100"/>
        <v>4.7017041917137466E-3</v>
      </c>
      <c r="Q384" s="1358">
        <f t="shared" si="101"/>
        <v>1.3002705587903457E-2</v>
      </c>
      <c r="R384" s="1358">
        <f t="shared" si="102"/>
        <v>0</v>
      </c>
      <c r="S384" s="1358">
        <f t="shared" si="103"/>
        <v>0.12198980768239057</v>
      </c>
      <c r="T384" s="1358">
        <f t="shared" si="104"/>
        <v>2.0318646015231625</v>
      </c>
      <c r="U384" s="595">
        <f>IF('TAR_Tab 2_Volumina'!C387="storage",1,0)</f>
        <v>0</v>
      </c>
      <c r="V384" s="1362">
        <f t="shared" si="92"/>
        <v>2.0318646015231625</v>
      </c>
      <c r="W384" s="1362">
        <f t="shared" si="90"/>
        <v>2.1407379735120622</v>
      </c>
      <c r="X384" s="1355">
        <f t="shared" si="91"/>
        <v>2.141</v>
      </c>
      <c r="Y384" s="1355">
        <f>X384+'TAR_Tab 13_Overige tarieven'!$T$15+'TAR_Tab 13_Overige tarieven'!$T$16</f>
        <v>2.294</v>
      </c>
      <c r="Z384" s="960"/>
    </row>
    <row r="385" spans="1:26">
      <c r="A385" s="155">
        <v>301021</v>
      </c>
      <c r="B385" s="156" t="s">
        <v>239</v>
      </c>
      <c r="C385" s="839">
        <v>1.8621407458713626</v>
      </c>
      <c r="D385" s="1356">
        <f t="shared" si="93"/>
        <v>1.7757374152629313</v>
      </c>
      <c r="E385" s="1356">
        <f t="shared" si="94"/>
        <v>1.8763193906372604</v>
      </c>
      <c r="F385" s="1357"/>
      <c r="G385" s="1358">
        <f t="shared" si="95"/>
        <v>1.7825034211053974</v>
      </c>
      <c r="H385" s="1358">
        <f t="shared" si="96"/>
        <v>1.9701353601691234</v>
      </c>
      <c r="I385" s="833">
        <v>1.8862386852588935</v>
      </c>
      <c r="J385" s="1359" t="b">
        <f t="shared" si="97"/>
        <v>1</v>
      </c>
      <c r="K385" s="1583"/>
      <c r="L385" s="17"/>
      <c r="M385" s="1361">
        <f t="shared" si="98"/>
        <v>1.8862386852588935</v>
      </c>
      <c r="N385" s="1350"/>
      <c r="O385" s="1358">
        <f t="shared" si="99"/>
        <v>5.9316988022614231E-3</v>
      </c>
      <c r="P385" s="1358">
        <f t="shared" si="100"/>
        <v>4.7017041917137466E-3</v>
      </c>
      <c r="Q385" s="1358">
        <f t="shared" si="101"/>
        <v>1.3002705587903457E-2</v>
      </c>
      <c r="R385" s="1358">
        <f t="shared" si="102"/>
        <v>0</v>
      </c>
      <c r="S385" s="1358">
        <f t="shared" si="103"/>
        <v>0.12198980768239057</v>
      </c>
      <c r="T385" s="1358">
        <f t="shared" si="104"/>
        <v>2.0318646015231625</v>
      </c>
      <c r="U385" s="595">
        <f>IF('TAR_Tab 2_Volumina'!C388="storage",1,0)</f>
        <v>0</v>
      </c>
      <c r="V385" s="1362">
        <f t="shared" si="92"/>
        <v>2.0318646015231625</v>
      </c>
      <c r="W385" s="1362">
        <f t="shared" si="90"/>
        <v>2.1407379735120622</v>
      </c>
      <c r="X385" s="1355">
        <f t="shared" si="91"/>
        <v>2.141</v>
      </c>
      <c r="Y385" s="1355">
        <f>X385+'TAR_Tab 13_Overige tarieven'!$T$15+'TAR_Tab 13_Overige tarieven'!$T$16</f>
        <v>2.294</v>
      </c>
      <c r="Z385" s="960"/>
    </row>
    <row r="386" spans="1:26">
      <c r="A386" s="155">
        <v>301022</v>
      </c>
      <c r="B386" s="156" t="s">
        <v>120</v>
      </c>
      <c r="C386" s="839">
        <v>1.8770308647235794</v>
      </c>
      <c r="D386" s="1356">
        <f t="shared" si="93"/>
        <v>1.7899366326004054</v>
      </c>
      <c r="E386" s="1356">
        <f t="shared" si="94"/>
        <v>1.8913228852942847</v>
      </c>
      <c r="F386" s="1357"/>
      <c r="G386" s="1358">
        <f t="shared" si="95"/>
        <v>1.7967567410295704</v>
      </c>
      <c r="H386" s="1358">
        <f t="shared" si="96"/>
        <v>1.985889029558999</v>
      </c>
      <c r="I386" s="833">
        <v>1.9013214969472292</v>
      </c>
      <c r="J386" s="1359" t="b">
        <f t="shared" si="97"/>
        <v>1</v>
      </c>
      <c r="K386" s="1583"/>
      <c r="L386" s="17"/>
      <c r="M386" s="1361">
        <f t="shared" si="98"/>
        <v>1.9013214969472292</v>
      </c>
      <c r="N386" s="1350"/>
      <c r="O386" s="1358">
        <f t="shared" si="99"/>
        <v>5.9791300720819533E-3</v>
      </c>
      <c r="P386" s="1358">
        <f t="shared" si="100"/>
        <v>4.7393001330397746E-3</v>
      </c>
      <c r="Q386" s="1358">
        <f t="shared" si="101"/>
        <v>1.3106678304269571E-2</v>
      </c>
      <c r="R386" s="1358">
        <f t="shared" si="102"/>
        <v>0</v>
      </c>
      <c r="S386" s="1358">
        <f t="shared" si="103"/>
        <v>0.12296526710412183</v>
      </c>
      <c r="T386" s="1358">
        <f t="shared" si="104"/>
        <v>2.0481118725607423</v>
      </c>
      <c r="U386" s="595">
        <f>IF('TAR_Tab 2_Volumina'!C389="storage",1,0)</f>
        <v>0</v>
      </c>
      <c r="V386" s="1362">
        <f t="shared" si="92"/>
        <v>2.0481118725607423</v>
      </c>
      <c r="W386" s="1362">
        <f t="shared" si="90"/>
        <v>2.1578558218421211</v>
      </c>
      <c r="X386" s="1355">
        <f t="shared" si="91"/>
        <v>2.1579999999999999</v>
      </c>
      <c r="Y386" s="1355">
        <f>X386+'TAR_Tab 13_Overige tarieven'!$T$15+'TAR_Tab 13_Overige tarieven'!$T$16</f>
        <v>2.3109999999999999</v>
      </c>
      <c r="Z386" s="960"/>
    </row>
    <row r="387" spans="1:26">
      <c r="A387" s="155">
        <v>301024</v>
      </c>
      <c r="B387" s="156" t="s">
        <v>240</v>
      </c>
      <c r="C387" s="839">
        <v>2.6136538032361929</v>
      </c>
      <c r="D387" s="1356">
        <f t="shared" si="93"/>
        <v>2.4923802667660335</v>
      </c>
      <c r="E387" s="1356">
        <f t="shared" si="94"/>
        <v>2.6335545915623637</v>
      </c>
      <c r="F387" s="1357"/>
      <c r="G387" s="1358">
        <f t="shared" si="95"/>
        <v>2.5018768619842455</v>
      </c>
      <c r="H387" s="1358">
        <f t="shared" si="96"/>
        <v>2.7652323211404819</v>
      </c>
      <c r="I387" s="833">
        <v>2.6474770634113538</v>
      </c>
      <c r="J387" s="1359" t="b">
        <f t="shared" si="97"/>
        <v>1</v>
      </c>
      <c r="K387" s="1583"/>
      <c r="L387" s="17"/>
      <c r="M387" s="1361">
        <f t="shared" si="98"/>
        <v>2.6474770634113538</v>
      </c>
      <c r="N387" s="1350"/>
      <c r="O387" s="1358">
        <f t="shared" si="99"/>
        <v>8.3255828908504644E-3</v>
      </c>
      <c r="P387" s="1358">
        <f t="shared" si="100"/>
        <v>6.59919346569794E-3</v>
      </c>
      <c r="Q387" s="1358">
        <f t="shared" si="101"/>
        <v>1.8250269743322629E-2</v>
      </c>
      <c r="R387" s="1358">
        <f t="shared" si="102"/>
        <v>0</v>
      </c>
      <c r="S387" s="1358">
        <f t="shared" si="103"/>
        <v>0.17122181849682663</v>
      </c>
      <c r="T387" s="1358">
        <f t="shared" si="104"/>
        <v>2.8518739280080516</v>
      </c>
      <c r="U387" s="595">
        <f>IF('TAR_Tab 2_Volumina'!C390="storage",1,0)</f>
        <v>0</v>
      </c>
      <c r="V387" s="1362">
        <f t="shared" si="92"/>
        <v>2.8518739280080516</v>
      </c>
      <c r="W387" s="1362">
        <f t="shared" si="90"/>
        <v>3.0046858480526781</v>
      </c>
      <c r="X387" s="1355">
        <f t="shared" si="91"/>
        <v>3.0049999999999999</v>
      </c>
      <c r="Y387" s="1355">
        <f>X387+'TAR_Tab 13_Overige tarieven'!$T$15+'TAR_Tab 13_Overige tarieven'!$T$16</f>
        <v>3.1579999999999999</v>
      </c>
      <c r="Z387" s="960"/>
    </row>
    <row r="388" spans="1:26">
      <c r="A388" s="155">
        <v>301025</v>
      </c>
      <c r="B388" s="156" t="s">
        <v>241</v>
      </c>
      <c r="C388" s="839">
        <v>2.4910292950414652</v>
      </c>
      <c r="D388" s="1356">
        <f t="shared" si="93"/>
        <v>2.3754455357515414</v>
      </c>
      <c r="E388" s="1356">
        <f t="shared" si="94"/>
        <v>2.5099964002692237</v>
      </c>
      <c r="F388" s="1357"/>
      <c r="G388" s="1358">
        <f t="shared" si="95"/>
        <v>2.3844965802557625</v>
      </c>
      <c r="H388" s="1358">
        <f t="shared" si="96"/>
        <v>2.6354962202826848</v>
      </c>
      <c r="I388" s="833">
        <v>2.523265673036827</v>
      </c>
      <c r="J388" s="1359" t="b">
        <f t="shared" si="97"/>
        <v>1</v>
      </c>
      <c r="K388" s="1583"/>
      <c r="L388" s="17"/>
      <c r="M388" s="1361">
        <f t="shared" si="98"/>
        <v>2.523265673036827</v>
      </c>
      <c r="N388" s="1350"/>
      <c r="O388" s="1358">
        <f t="shared" si="99"/>
        <v>7.9349724335049353E-3</v>
      </c>
      <c r="P388" s="1358">
        <f t="shared" si="100"/>
        <v>6.2895798312483054E-3</v>
      </c>
      <c r="Q388" s="1358">
        <f t="shared" si="101"/>
        <v>1.7394023843836988E-2</v>
      </c>
      <c r="R388" s="1358">
        <f t="shared" si="102"/>
        <v>0</v>
      </c>
      <c r="S388" s="1358">
        <f t="shared" si="103"/>
        <v>0.16318862325903991</v>
      </c>
      <c r="T388" s="1358">
        <f t="shared" si="104"/>
        <v>2.7180728724044569</v>
      </c>
      <c r="U388" s="595">
        <f>IF('TAR_Tab 2_Volumina'!C391="storage",1,0)</f>
        <v>0</v>
      </c>
      <c r="V388" s="1362">
        <f t="shared" si="92"/>
        <v>2.7180728724044569</v>
      </c>
      <c r="W388" s="1362">
        <f t="shared" si="90"/>
        <v>2.8637153323933706</v>
      </c>
      <c r="X388" s="1355">
        <f t="shared" si="91"/>
        <v>2.8639999999999999</v>
      </c>
      <c r="Y388" s="1355">
        <f>X388+'TAR_Tab 13_Overige tarieven'!$T$15+'TAR_Tab 13_Overige tarieven'!$T$16</f>
        <v>3.0169999999999999</v>
      </c>
      <c r="Z388" s="960"/>
    </row>
    <row r="389" spans="1:26">
      <c r="A389" s="155">
        <v>301027</v>
      </c>
      <c r="B389" s="156" t="s">
        <v>1115</v>
      </c>
      <c r="C389" s="839">
        <v>2.4910292950414652</v>
      </c>
      <c r="D389" s="1356">
        <f t="shared" si="93"/>
        <v>2.3754455357515414</v>
      </c>
      <c r="E389" s="1356">
        <f t="shared" si="94"/>
        <v>2.5099964002692237</v>
      </c>
      <c r="F389" s="1357"/>
      <c r="G389" s="1358">
        <f t="shared" si="95"/>
        <v>2.3844965802557625</v>
      </c>
      <c r="H389" s="1358">
        <f t="shared" si="96"/>
        <v>2.6354962202826848</v>
      </c>
      <c r="I389" s="833">
        <v>2.523265673036827</v>
      </c>
      <c r="J389" s="1359" t="b">
        <f t="shared" si="97"/>
        <v>1</v>
      </c>
      <c r="K389" s="1583"/>
      <c r="L389" s="17"/>
      <c r="M389" s="1361">
        <f t="shared" si="98"/>
        <v>2.523265673036827</v>
      </c>
      <c r="N389" s="1350"/>
      <c r="O389" s="1358">
        <f t="shared" si="99"/>
        <v>7.9349724335049353E-3</v>
      </c>
      <c r="P389" s="1358">
        <f t="shared" ref="P389:P452" si="105">$P$7*M389</f>
        <v>6.2895798312483054E-3</v>
      </c>
      <c r="Q389" s="1358">
        <f t="shared" ref="Q389:Q452" si="106">$Q$7*M389</f>
        <v>1.7394023843836988E-2</v>
      </c>
      <c r="R389" s="1358">
        <f t="shared" ref="R389:R452" si="107">$R$7*M389</f>
        <v>0</v>
      </c>
      <c r="S389" s="1358">
        <f t="shared" ref="S389:S452" si="108">$S$7*M389</f>
        <v>0.16318862325903991</v>
      </c>
      <c r="T389" s="1358">
        <f t="shared" ref="T389:T439" si="109">M389+O389+P389+Q389+R389+S389</f>
        <v>2.7180728724044569</v>
      </c>
      <c r="U389" s="595">
        <f>IF('TAR_Tab 2_Volumina'!C392="storage",1,0)</f>
        <v>0</v>
      </c>
      <c r="V389" s="1362">
        <f t="shared" si="92"/>
        <v>2.7180728724044569</v>
      </c>
      <c r="W389" s="1362">
        <f t="shared" si="90"/>
        <v>2.8637153323933706</v>
      </c>
      <c r="X389" s="1355">
        <f t="shared" si="91"/>
        <v>2.8639999999999999</v>
      </c>
      <c r="Y389" s="1355">
        <f>X389+'TAR_Tab 13_Overige tarieven'!$T$15+'TAR_Tab 13_Overige tarieven'!$T$16</f>
        <v>3.0169999999999999</v>
      </c>
      <c r="Z389" s="960"/>
    </row>
    <row r="390" spans="1:26">
      <c r="A390" s="155">
        <v>301028</v>
      </c>
      <c r="B390" s="156" t="s">
        <v>242</v>
      </c>
      <c r="C390" s="839">
        <v>1.8297328401341846</v>
      </c>
      <c r="D390" s="1356">
        <f t="shared" ref="D390:D453" si="110">C390*$D$7</f>
        <v>1.7448332363519585</v>
      </c>
      <c r="E390" s="1356">
        <f t="shared" ref="E390:E453" si="111">D390*$E$7</f>
        <v>1.8436647257955021</v>
      </c>
      <c r="F390" s="1357"/>
      <c r="G390" s="1358">
        <f t="shared" ref="G390:G453" si="112">E390*$G$7</f>
        <v>1.7514814895057269</v>
      </c>
      <c r="H390" s="1358">
        <f t="shared" ref="H390:H453" si="113">E390*$H$7</f>
        <v>1.9358479620852773</v>
      </c>
      <c r="I390" s="833">
        <v>1.8534113892313402</v>
      </c>
      <c r="J390" s="1359" t="b">
        <f t="shared" ref="J390:J440" si="114">IF(I390&gt;0,AND(I390&gt;=G390,I390&lt;=H390),"")</f>
        <v>1</v>
      </c>
      <c r="K390" s="1583"/>
      <c r="L390" s="17"/>
      <c r="M390" s="1361">
        <f t="shared" ref="M390:M440" si="115">IF(I390&gt;0,I390,E390)</f>
        <v>1.8534113892313402</v>
      </c>
      <c r="N390" s="1350"/>
      <c r="O390" s="1358">
        <f t="shared" ref="O390:O453" si="116">$O$7*M390</f>
        <v>5.828466038534391E-3</v>
      </c>
      <c r="P390" s="1358">
        <f t="shared" si="105"/>
        <v>4.6198777311806296E-3</v>
      </c>
      <c r="Q390" s="1358">
        <f t="shared" si="106"/>
        <v>1.2776412028753681E-2</v>
      </c>
      <c r="R390" s="1358">
        <f t="shared" si="107"/>
        <v>0</v>
      </c>
      <c r="S390" s="1358">
        <f t="shared" si="108"/>
        <v>0.11986674894097551</v>
      </c>
      <c r="T390" s="1358">
        <f t="shared" si="109"/>
        <v>1.9965028939707843</v>
      </c>
      <c r="U390" s="595">
        <f>IF('TAR_Tab 2_Volumina'!C393="storage",1,0)</f>
        <v>0</v>
      </c>
      <c r="V390" s="1362">
        <f t="shared" si="92"/>
        <v>1.9965028939707843</v>
      </c>
      <c r="W390" s="1362">
        <f t="shared" si="90"/>
        <v>2.1034814800878165</v>
      </c>
      <c r="X390" s="1355">
        <f t="shared" si="91"/>
        <v>2.1030000000000002</v>
      </c>
      <c r="Y390" s="1355">
        <f>X390+'TAR_Tab 13_Overige tarieven'!$T$15+'TAR_Tab 13_Overige tarieven'!$T$16</f>
        <v>2.2560000000000002</v>
      </c>
      <c r="Z390" s="960"/>
    </row>
    <row r="391" spans="1:26">
      <c r="A391" s="155">
        <v>301029</v>
      </c>
      <c r="B391" s="156" t="s">
        <v>243</v>
      </c>
      <c r="C391" s="839">
        <v>1.8297328401341846</v>
      </c>
      <c r="D391" s="1356">
        <f t="shared" si="110"/>
        <v>1.7448332363519585</v>
      </c>
      <c r="E391" s="1356">
        <f t="shared" si="111"/>
        <v>1.8436647257955021</v>
      </c>
      <c r="F391" s="1357"/>
      <c r="G391" s="1358">
        <f t="shared" si="112"/>
        <v>1.7514814895057269</v>
      </c>
      <c r="H391" s="1358">
        <f t="shared" si="113"/>
        <v>1.9358479620852773</v>
      </c>
      <c r="I391" s="833">
        <v>1.8534113892313402</v>
      </c>
      <c r="J391" s="1359" t="b">
        <f t="shared" si="114"/>
        <v>1</v>
      </c>
      <c r="K391" s="1583"/>
      <c r="L391" s="17"/>
      <c r="M391" s="1361">
        <f t="shared" si="115"/>
        <v>1.8534113892313402</v>
      </c>
      <c r="N391" s="1350"/>
      <c r="O391" s="1358">
        <f t="shared" si="116"/>
        <v>5.828466038534391E-3</v>
      </c>
      <c r="P391" s="1358">
        <f t="shared" si="105"/>
        <v>4.6198777311806296E-3</v>
      </c>
      <c r="Q391" s="1358">
        <f t="shared" si="106"/>
        <v>1.2776412028753681E-2</v>
      </c>
      <c r="R391" s="1358">
        <f t="shared" si="107"/>
        <v>0</v>
      </c>
      <c r="S391" s="1358">
        <f t="shared" si="108"/>
        <v>0.11986674894097551</v>
      </c>
      <c r="T391" s="1358">
        <f t="shared" si="109"/>
        <v>1.9965028939707843</v>
      </c>
      <c r="U391" s="595">
        <f>IF('TAR_Tab 2_Volumina'!C394="storage",1,0)</f>
        <v>0</v>
      </c>
      <c r="V391" s="1362">
        <f t="shared" si="92"/>
        <v>1.9965028939707843</v>
      </c>
      <c r="W391" s="1362">
        <f t="shared" si="90"/>
        <v>2.1034814800878165</v>
      </c>
      <c r="X391" s="1355">
        <f t="shared" si="91"/>
        <v>2.1030000000000002</v>
      </c>
      <c r="Y391" s="1355">
        <f>X391+'TAR_Tab 13_Overige tarieven'!$T$15+'TAR_Tab 13_Overige tarieven'!$T$16</f>
        <v>2.2560000000000002</v>
      </c>
      <c r="Z391" s="960"/>
    </row>
    <row r="392" spans="1:26">
      <c r="A392" s="155">
        <v>301031</v>
      </c>
      <c r="B392" s="156" t="s">
        <v>244</v>
      </c>
      <c r="C392" s="839">
        <v>2.2247589343900569</v>
      </c>
      <c r="D392" s="1356">
        <f t="shared" si="110"/>
        <v>2.1215301198343584</v>
      </c>
      <c r="E392" s="1356">
        <f t="shared" si="111"/>
        <v>2.2416986134612618</v>
      </c>
      <c r="F392" s="1357"/>
      <c r="G392" s="1358">
        <f t="shared" si="112"/>
        <v>2.1296136827881984</v>
      </c>
      <c r="H392" s="1358">
        <f t="shared" si="113"/>
        <v>2.3537835441343251</v>
      </c>
      <c r="I392" s="833">
        <v>2.2535495110807107</v>
      </c>
      <c r="J392" s="1359" t="b">
        <f t="shared" si="114"/>
        <v>1</v>
      </c>
      <c r="K392" s="1583"/>
      <c r="L392" s="17"/>
      <c r="M392" s="1361">
        <f t="shared" si="115"/>
        <v>2.2535495110807107</v>
      </c>
      <c r="N392" s="1350"/>
      <c r="O392" s="1358">
        <f t="shared" si="116"/>
        <v>7.0867897261260677E-3</v>
      </c>
      <c r="P392" s="1358">
        <f t="shared" si="105"/>
        <v>5.6172759393005268E-3</v>
      </c>
      <c r="Q392" s="1358">
        <f t="shared" si="106"/>
        <v>1.55347470335253E-2</v>
      </c>
      <c r="R392" s="1358">
        <f t="shared" si="107"/>
        <v>0</v>
      </c>
      <c r="S392" s="1358">
        <f t="shared" si="108"/>
        <v>0.14574511359984579</v>
      </c>
      <c r="T392" s="1358">
        <f t="shared" si="109"/>
        <v>2.4275334373795086</v>
      </c>
      <c r="U392" s="595">
        <f>IF('TAR_Tab 2_Volumina'!C395="storage",1,0)</f>
        <v>0</v>
      </c>
      <c r="V392" s="1362">
        <f t="shared" si="92"/>
        <v>2.4275334373795086</v>
      </c>
      <c r="W392" s="1362">
        <f t="shared" si="90"/>
        <v>2.5576079269617309</v>
      </c>
      <c r="X392" s="1355">
        <f t="shared" si="91"/>
        <v>2.5579999999999998</v>
      </c>
      <c r="Y392" s="1355">
        <f>X392+'TAR_Tab 13_Overige tarieven'!$T$15+'TAR_Tab 13_Overige tarieven'!$T$16</f>
        <v>2.7109999999999999</v>
      </c>
      <c r="Z392" s="960"/>
    </row>
    <row r="393" spans="1:26">
      <c r="A393" s="155">
        <v>301033</v>
      </c>
      <c r="B393" s="156" t="s">
        <v>245</v>
      </c>
      <c r="C393" s="839">
        <v>1.5993739425969467</v>
      </c>
      <c r="D393" s="1356">
        <f t="shared" si="110"/>
        <v>1.5251629916604483</v>
      </c>
      <c r="E393" s="1356">
        <f t="shared" si="111"/>
        <v>1.6115518378662457</v>
      </c>
      <c r="F393" s="1357"/>
      <c r="G393" s="1358">
        <f t="shared" si="112"/>
        <v>1.5309742459729334</v>
      </c>
      <c r="H393" s="1358">
        <f t="shared" si="113"/>
        <v>1.6921294297595579</v>
      </c>
      <c r="I393" s="833">
        <v>1.620071420170621</v>
      </c>
      <c r="J393" s="1359" t="b">
        <f t="shared" si="114"/>
        <v>1</v>
      </c>
      <c r="K393" s="1583"/>
      <c r="L393" s="17"/>
      <c r="M393" s="1361">
        <f t="shared" si="115"/>
        <v>1.620071420170621</v>
      </c>
      <c r="N393" s="1350"/>
      <c r="O393" s="1358">
        <f t="shared" si="116"/>
        <v>5.0946763936638578E-3</v>
      </c>
      <c r="P393" s="1358">
        <f t="shared" si="105"/>
        <v>4.0382464036073859E-3</v>
      </c>
      <c r="Q393" s="1358">
        <f t="shared" si="106"/>
        <v>1.1167892946148502E-2</v>
      </c>
      <c r="R393" s="1358">
        <f t="shared" si="107"/>
        <v>0</v>
      </c>
      <c r="S393" s="1358">
        <f t="shared" si="108"/>
        <v>0.10477581788713322</v>
      </c>
      <c r="T393" s="1358">
        <f t="shared" si="109"/>
        <v>1.7451480538011739</v>
      </c>
      <c r="U393" s="595">
        <f>IF('TAR_Tab 2_Volumina'!C396="storage",1,0)</f>
        <v>0</v>
      </c>
      <c r="V393" s="1362">
        <f t="shared" si="92"/>
        <v>1.7451480538011739</v>
      </c>
      <c r="W393" s="1362">
        <f t="shared" si="90"/>
        <v>1.8386582970992598</v>
      </c>
      <c r="X393" s="1355">
        <f t="shared" si="91"/>
        <v>1.839</v>
      </c>
      <c r="Y393" s="1355">
        <f>X393+'TAR_Tab 13_Overige tarieven'!$T$15+'TAR_Tab 13_Overige tarieven'!$T$16</f>
        <v>1.992</v>
      </c>
      <c r="Z393" s="960"/>
    </row>
    <row r="394" spans="1:26">
      <c r="A394" s="155">
        <v>301034</v>
      </c>
      <c r="B394" s="156" t="s">
        <v>246</v>
      </c>
      <c r="C394" s="839">
        <v>2.6136538032361929</v>
      </c>
      <c r="D394" s="1356">
        <f t="shared" si="110"/>
        <v>2.4923802667660335</v>
      </c>
      <c r="E394" s="1356">
        <f t="shared" si="111"/>
        <v>2.6335545915623637</v>
      </c>
      <c r="F394" s="1357"/>
      <c r="G394" s="1358">
        <f t="shared" si="112"/>
        <v>2.5018768619842455</v>
      </c>
      <c r="H394" s="1358">
        <f t="shared" si="113"/>
        <v>2.7652323211404819</v>
      </c>
      <c r="I394" s="833">
        <v>2.6474770634113538</v>
      </c>
      <c r="J394" s="1359" t="b">
        <f t="shared" si="114"/>
        <v>1</v>
      </c>
      <c r="K394" s="1583"/>
      <c r="L394" s="17"/>
      <c r="M394" s="1361">
        <f t="shared" si="115"/>
        <v>2.6474770634113538</v>
      </c>
      <c r="N394" s="1350"/>
      <c r="O394" s="1358">
        <f t="shared" si="116"/>
        <v>8.3255828908504644E-3</v>
      </c>
      <c r="P394" s="1358">
        <f t="shared" si="105"/>
        <v>6.59919346569794E-3</v>
      </c>
      <c r="Q394" s="1358">
        <f t="shared" si="106"/>
        <v>1.8250269743322629E-2</v>
      </c>
      <c r="R394" s="1358">
        <f t="shared" si="107"/>
        <v>0</v>
      </c>
      <c r="S394" s="1358">
        <f t="shared" si="108"/>
        <v>0.17122181849682663</v>
      </c>
      <c r="T394" s="1358">
        <f t="shared" si="109"/>
        <v>2.8518739280080516</v>
      </c>
      <c r="U394" s="595">
        <f>IF('TAR_Tab 2_Volumina'!C397="storage",1,0)</f>
        <v>0</v>
      </c>
      <c r="V394" s="1362">
        <f t="shared" si="92"/>
        <v>2.8518739280080516</v>
      </c>
      <c r="W394" s="1362">
        <f t="shared" ref="W394:W457" si="117">IF(U394=0,V394*(1+$W$7),V394)</f>
        <v>3.0046858480526781</v>
      </c>
      <c r="X394" s="1355">
        <f t="shared" ref="X394:X457" si="118">ROUND(W394,3)</f>
        <v>3.0049999999999999</v>
      </c>
      <c r="Y394" s="1355">
        <f>X394+'TAR_Tab 13_Overige tarieven'!$T$15+'TAR_Tab 13_Overige tarieven'!$T$16</f>
        <v>3.1579999999999999</v>
      </c>
      <c r="Z394" s="960"/>
    </row>
    <row r="395" spans="1:26">
      <c r="A395" s="155">
        <v>301037</v>
      </c>
      <c r="B395" s="156" t="s">
        <v>346</v>
      </c>
      <c r="C395" s="839">
        <v>3.4638713240534535</v>
      </c>
      <c r="D395" s="1356">
        <f t="shared" si="110"/>
        <v>3.3031476946173735</v>
      </c>
      <c r="E395" s="1356">
        <f t="shared" si="111"/>
        <v>3.49024580789815</v>
      </c>
      <c r="F395" s="1357"/>
      <c r="G395" s="1358">
        <f t="shared" si="112"/>
        <v>3.3157335175032423</v>
      </c>
      <c r="H395" s="1358">
        <f t="shared" si="113"/>
        <v>3.6647580982930577</v>
      </c>
      <c r="I395" s="833">
        <v>3.5086972382053876</v>
      </c>
      <c r="J395" s="1359" t="b">
        <f t="shared" si="114"/>
        <v>1</v>
      </c>
      <c r="K395" s="1583"/>
      <c r="L395" s="17"/>
      <c r="M395" s="1361">
        <f t="shared" si="115"/>
        <v>3.5086972382053876</v>
      </c>
      <c r="N395" s="1350"/>
      <c r="O395" s="1358">
        <f t="shared" si="116"/>
        <v>1.1033882068060894E-2</v>
      </c>
      <c r="P395" s="1358">
        <f t="shared" si="105"/>
        <v>8.745900845555217E-3</v>
      </c>
      <c r="Q395" s="1358">
        <f t="shared" si="106"/>
        <v>2.4187054131599866E-2</v>
      </c>
      <c r="R395" s="1358">
        <f t="shared" si="107"/>
        <v>0</v>
      </c>
      <c r="S395" s="1358">
        <f t="shared" si="108"/>
        <v>0.22692000999102721</v>
      </c>
      <c r="T395" s="1358">
        <f t="shared" si="109"/>
        <v>3.7795840852416314</v>
      </c>
      <c r="U395" s="595">
        <f>IF('TAR_Tab 2_Volumina'!C398="storage",1,0)</f>
        <v>0</v>
      </c>
      <c r="V395" s="1362">
        <f t="shared" ref="V395:V458" si="119">IF(U395=1,T395*$V$7,T395)</f>
        <v>3.7795840852416314</v>
      </c>
      <c r="W395" s="1362">
        <f t="shared" si="117"/>
        <v>3.9821054854212314</v>
      </c>
      <c r="X395" s="1355">
        <f t="shared" si="118"/>
        <v>3.9820000000000002</v>
      </c>
      <c r="Y395" s="1355">
        <f>X395+'TAR_Tab 13_Overige tarieven'!$T$15+'TAR_Tab 13_Overige tarieven'!$T$16</f>
        <v>4.1350000000000007</v>
      </c>
      <c r="Z395" s="960"/>
    </row>
    <row r="396" spans="1:26">
      <c r="A396" s="155">
        <v>301038</v>
      </c>
      <c r="B396" s="156" t="s">
        <v>1116</v>
      </c>
      <c r="C396" s="839">
        <v>1.9506055696404161</v>
      </c>
      <c r="D396" s="1356">
        <f t="shared" si="110"/>
        <v>1.8600974712091007</v>
      </c>
      <c r="E396" s="1356">
        <f t="shared" si="111"/>
        <v>1.965457800070169</v>
      </c>
      <c r="F396" s="1357"/>
      <c r="G396" s="1358">
        <f t="shared" si="112"/>
        <v>1.8671849100666604</v>
      </c>
      <c r="H396" s="1358">
        <f t="shared" si="113"/>
        <v>2.0637306900736774</v>
      </c>
      <c r="I396" s="833">
        <v>1.9758483311719455</v>
      </c>
      <c r="J396" s="1359" t="b">
        <f t="shared" si="114"/>
        <v>1</v>
      </c>
      <c r="K396" s="1583"/>
      <c r="L396" s="17"/>
      <c r="M396" s="1361">
        <f t="shared" si="115"/>
        <v>1.9758483311719455</v>
      </c>
      <c r="N396" s="1350"/>
      <c r="O396" s="1358">
        <f t="shared" si="116"/>
        <v>6.2134963464892711E-3</v>
      </c>
      <c r="P396" s="1358">
        <f t="shared" si="105"/>
        <v>4.9250683137095552E-3</v>
      </c>
      <c r="Q396" s="1358">
        <f t="shared" si="106"/>
        <v>1.3620425843960959E-2</v>
      </c>
      <c r="R396" s="1358">
        <f t="shared" si="107"/>
        <v>0</v>
      </c>
      <c r="S396" s="1358">
        <f t="shared" si="108"/>
        <v>0.12778518424679389</v>
      </c>
      <c r="T396" s="1358">
        <f t="shared" si="109"/>
        <v>2.1283925059228994</v>
      </c>
      <c r="U396" s="595">
        <f>IF('TAR_Tab 2_Volumina'!C399="storage",1,0)</f>
        <v>0</v>
      </c>
      <c r="V396" s="1362">
        <f t="shared" si="119"/>
        <v>2.1283925059228994</v>
      </c>
      <c r="W396" s="1362">
        <f t="shared" si="117"/>
        <v>2.242438131237706</v>
      </c>
      <c r="X396" s="1355">
        <f t="shared" si="118"/>
        <v>2.242</v>
      </c>
      <c r="Y396" s="1355">
        <f>X396+'TAR_Tab 13_Overige tarieven'!$T$15+'TAR_Tab 13_Overige tarieven'!$T$16</f>
        <v>2.395</v>
      </c>
      <c r="Z396" s="960"/>
    </row>
    <row r="397" spans="1:26">
      <c r="A397" s="155">
        <v>301039</v>
      </c>
      <c r="B397" s="156" t="s">
        <v>247</v>
      </c>
      <c r="C397" s="839">
        <v>1.8297328401341846</v>
      </c>
      <c r="D397" s="1356">
        <f t="shared" si="110"/>
        <v>1.7448332363519585</v>
      </c>
      <c r="E397" s="1356">
        <f t="shared" si="111"/>
        <v>1.8436647257955021</v>
      </c>
      <c r="F397" s="1357"/>
      <c r="G397" s="1358">
        <f t="shared" si="112"/>
        <v>1.7514814895057269</v>
      </c>
      <c r="H397" s="1358">
        <f t="shared" si="113"/>
        <v>1.9358479620852773</v>
      </c>
      <c r="I397" s="833">
        <v>1.8534113892313402</v>
      </c>
      <c r="J397" s="1359" t="b">
        <f t="shared" si="114"/>
        <v>1</v>
      </c>
      <c r="K397" s="1583"/>
      <c r="L397" s="17"/>
      <c r="M397" s="1361">
        <f t="shared" si="115"/>
        <v>1.8534113892313402</v>
      </c>
      <c r="N397" s="1350"/>
      <c r="O397" s="1358">
        <f t="shared" si="116"/>
        <v>5.828466038534391E-3</v>
      </c>
      <c r="P397" s="1358">
        <f t="shared" si="105"/>
        <v>4.6198777311806296E-3</v>
      </c>
      <c r="Q397" s="1358">
        <f t="shared" si="106"/>
        <v>1.2776412028753681E-2</v>
      </c>
      <c r="R397" s="1358">
        <f t="shared" si="107"/>
        <v>0</v>
      </c>
      <c r="S397" s="1358">
        <f t="shared" si="108"/>
        <v>0.11986674894097551</v>
      </c>
      <c r="T397" s="1358">
        <f t="shared" si="109"/>
        <v>1.9965028939707843</v>
      </c>
      <c r="U397" s="595">
        <f>IF('TAR_Tab 2_Volumina'!C400="storage",1,0)</f>
        <v>0</v>
      </c>
      <c r="V397" s="1362">
        <f t="shared" si="119"/>
        <v>1.9965028939707843</v>
      </c>
      <c r="W397" s="1362">
        <f t="shared" si="117"/>
        <v>2.1034814800878165</v>
      </c>
      <c r="X397" s="1355">
        <f t="shared" si="118"/>
        <v>2.1030000000000002</v>
      </c>
      <c r="Y397" s="1355">
        <f>X397+'TAR_Tab 13_Overige tarieven'!$T$15+'TAR_Tab 13_Overige tarieven'!$T$16</f>
        <v>2.2560000000000002</v>
      </c>
      <c r="Z397" s="960"/>
    </row>
    <row r="398" spans="1:26">
      <c r="A398" s="155">
        <v>301040</v>
      </c>
      <c r="B398" s="156" t="s">
        <v>248</v>
      </c>
      <c r="C398" s="839">
        <v>1.8297328401341846</v>
      </c>
      <c r="D398" s="1356">
        <f t="shared" si="110"/>
        <v>1.7448332363519585</v>
      </c>
      <c r="E398" s="1356">
        <f t="shared" si="111"/>
        <v>1.8436647257955021</v>
      </c>
      <c r="F398" s="1357"/>
      <c r="G398" s="1358">
        <f t="shared" si="112"/>
        <v>1.7514814895057269</v>
      </c>
      <c r="H398" s="1358">
        <f t="shared" si="113"/>
        <v>1.9358479620852773</v>
      </c>
      <c r="I398" s="833">
        <v>1.8534113892313402</v>
      </c>
      <c r="J398" s="1359" t="b">
        <f t="shared" si="114"/>
        <v>1</v>
      </c>
      <c r="K398" s="1583"/>
      <c r="L398" s="17"/>
      <c r="M398" s="1361">
        <f t="shared" si="115"/>
        <v>1.8534113892313402</v>
      </c>
      <c r="N398" s="1350"/>
      <c r="O398" s="1358">
        <f t="shared" si="116"/>
        <v>5.828466038534391E-3</v>
      </c>
      <c r="P398" s="1358">
        <f t="shared" si="105"/>
        <v>4.6198777311806296E-3</v>
      </c>
      <c r="Q398" s="1358">
        <f t="shared" si="106"/>
        <v>1.2776412028753681E-2</v>
      </c>
      <c r="R398" s="1358">
        <f t="shared" si="107"/>
        <v>0</v>
      </c>
      <c r="S398" s="1358">
        <f t="shared" si="108"/>
        <v>0.11986674894097551</v>
      </c>
      <c r="T398" s="1358">
        <f t="shared" si="109"/>
        <v>1.9965028939707843</v>
      </c>
      <c r="U398" s="595">
        <f>IF('TAR_Tab 2_Volumina'!C401="storage",1,0)</f>
        <v>0</v>
      </c>
      <c r="V398" s="1362">
        <f t="shared" si="119"/>
        <v>1.9965028939707843</v>
      </c>
      <c r="W398" s="1362">
        <f t="shared" si="117"/>
        <v>2.1034814800878165</v>
      </c>
      <c r="X398" s="1355">
        <f t="shared" si="118"/>
        <v>2.1030000000000002</v>
      </c>
      <c r="Y398" s="1355">
        <f>X398+'TAR_Tab 13_Overige tarieven'!$T$15+'TAR_Tab 13_Overige tarieven'!$T$16</f>
        <v>2.2560000000000002</v>
      </c>
      <c r="Z398" s="960"/>
    </row>
    <row r="399" spans="1:26">
      <c r="A399" s="155">
        <v>301042</v>
      </c>
      <c r="B399" s="156" t="s">
        <v>1117</v>
      </c>
      <c r="C399" s="839">
        <v>2.97977554913188</v>
      </c>
      <c r="D399" s="1356">
        <f t="shared" si="110"/>
        <v>2.8415139636521607</v>
      </c>
      <c r="E399" s="1356">
        <f t="shared" si="111"/>
        <v>3.0024640484233123</v>
      </c>
      <c r="F399" s="1357"/>
      <c r="G399" s="1358">
        <f t="shared" si="112"/>
        <v>2.8523408460021464</v>
      </c>
      <c r="H399" s="1358">
        <f t="shared" si="113"/>
        <v>3.1525872508444781</v>
      </c>
      <c r="I399" s="833">
        <v>3.0183367861010151</v>
      </c>
      <c r="J399" s="1359" t="b">
        <f t="shared" si="114"/>
        <v>1</v>
      </c>
      <c r="K399" s="1583"/>
      <c r="L399" s="17"/>
      <c r="M399" s="1361">
        <f t="shared" si="115"/>
        <v>3.0183367861010151</v>
      </c>
      <c r="N399" s="1350"/>
      <c r="O399" s="1358">
        <f t="shared" si="116"/>
        <v>9.4918341134964113E-3</v>
      </c>
      <c r="P399" s="1358">
        <f t="shared" si="105"/>
        <v>7.5236113171261391E-3</v>
      </c>
      <c r="Q399" s="1358">
        <f t="shared" si="106"/>
        <v>2.0806775357501209E-2</v>
      </c>
      <c r="R399" s="1358">
        <f t="shared" si="107"/>
        <v>0</v>
      </c>
      <c r="S399" s="1358">
        <f t="shared" si="108"/>
        <v>0.19520664427821866</v>
      </c>
      <c r="T399" s="1358">
        <f t="shared" si="109"/>
        <v>3.2513656511673572</v>
      </c>
      <c r="U399" s="595">
        <f>IF('TAR_Tab 2_Volumina'!C402="storage",1,0)</f>
        <v>0</v>
      </c>
      <c r="V399" s="1362">
        <f t="shared" si="119"/>
        <v>3.2513656511673572</v>
      </c>
      <c r="W399" s="1362">
        <f t="shared" si="117"/>
        <v>3.4255835305211844</v>
      </c>
      <c r="X399" s="1355">
        <f t="shared" si="118"/>
        <v>3.4260000000000002</v>
      </c>
      <c r="Y399" s="1355">
        <f>X399+'TAR_Tab 13_Overige tarieven'!$T$15+'TAR_Tab 13_Overige tarieven'!$T$16</f>
        <v>3.5790000000000002</v>
      </c>
      <c r="Z399" s="960"/>
    </row>
    <row r="400" spans="1:26">
      <c r="A400" s="155">
        <v>301043</v>
      </c>
      <c r="B400" s="156" t="s">
        <v>475</v>
      </c>
      <c r="C400" s="839">
        <v>1.9400948975094388</v>
      </c>
      <c r="D400" s="1356">
        <f t="shared" si="110"/>
        <v>1.8500744942650007</v>
      </c>
      <c r="E400" s="1356">
        <f t="shared" si="111"/>
        <v>1.9548670979593277</v>
      </c>
      <c r="F400" s="1357"/>
      <c r="G400" s="1358">
        <f t="shared" si="112"/>
        <v>1.8571237430613612</v>
      </c>
      <c r="H400" s="1358">
        <f t="shared" si="113"/>
        <v>2.0526104528572939</v>
      </c>
      <c r="I400" s="833">
        <v>1.9652016405684138</v>
      </c>
      <c r="J400" s="1359" t="b">
        <f t="shared" si="114"/>
        <v>1</v>
      </c>
      <c r="K400" s="1583"/>
      <c r="L400" s="17"/>
      <c r="M400" s="1361">
        <f t="shared" si="115"/>
        <v>1.9652016405684138</v>
      </c>
      <c r="N400" s="1350"/>
      <c r="O400" s="1358">
        <f t="shared" si="116"/>
        <v>6.1800154501453668E-3</v>
      </c>
      <c r="P400" s="1358">
        <f t="shared" si="105"/>
        <v>4.8985300021852987E-3</v>
      </c>
      <c r="Q400" s="1358">
        <f t="shared" si="106"/>
        <v>1.3547033338290755E-2</v>
      </c>
      <c r="R400" s="1358">
        <f t="shared" si="107"/>
        <v>0</v>
      </c>
      <c r="S400" s="1358">
        <f t="shared" si="108"/>
        <v>0.12709662465498356</v>
      </c>
      <c r="T400" s="1358">
        <f t="shared" si="109"/>
        <v>2.116923844014019</v>
      </c>
      <c r="U400" s="595">
        <f>IF('TAR_Tab 2_Volumina'!C403="storage",1,0)</f>
        <v>0</v>
      </c>
      <c r="V400" s="1362">
        <f t="shared" si="119"/>
        <v>2.116923844014019</v>
      </c>
      <c r="W400" s="1362">
        <f t="shared" si="117"/>
        <v>2.2303549441811934</v>
      </c>
      <c r="X400" s="1355">
        <f t="shared" si="118"/>
        <v>2.23</v>
      </c>
      <c r="Y400" s="1355">
        <f>X400+'TAR_Tab 13_Overige tarieven'!$T$15+'TAR_Tab 13_Overige tarieven'!$T$16</f>
        <v>2.383</v>
      </c>
      <c r="Z400" s="960"/>
    </row>
    <row r="401" spans="1:26">
      <c r="A401" s="155">
        <v>301045</v>
      </c>
      <c r="B401" s="156" t="s">
        <v>1118</v>
      </c>
      <c r="C401" s="839">
        <v>2.1862198032431421</v>
      </c>
      <c r="D401" s="1356">
        <f t="shared" si="110"/>
        <v>2.0847792043726603</v>
      </c>
      <c r="E401" s="1356">
        <f t="shared" si="111"/>
        <v>2.2028660390548453</v>
      </c>
      <c r="F401" s="1357"/>
      <c r="G401" s="1358">
        <f t="shared" si="112"/>
        <v>2.0927227371021031</v>
      </c>
      <c r="H401" s="1358">
        <f t="shared" si="113"/>
        <v>2.3130093410075876</v>
      </c>
      <c r="I401" s="833">
        <v>2.2145116455344298</v>
      </c>
      <c r="J401" s="1359" t="b">
        <f t="shared" si="114"/>
        <v>1</v>
      </c>
      <c r="K401" s="1583"/>
      <c r="L401" s="17"/>
      <c r="M401" s="1361">
        <f t="shared" si="115"/>
        <v>2.2145116455344298</v>
      </c>
      <c r="N401" s="1350"/>
      <c r="O401" s="1358">
        <f t="shared" si="116"/>
        <v>6.9640264395317555E-3</v>
      </c>
      <c r="P401" s="1358">
        <f t="shared" si="105"/>
        <v>5.5199687970449249E-3</v>
      </c>
      <c r="Q401" s="1358">
        <f t="shared" si="106"/>
        <v>1.5265641179401233E-2</v>
      </c>
      <c r="R401" s="1358">
        <f t="shared" si="107"/>
        <v>0</v>
      </c>
      <c r="S401" s="1358">
        <f t="shared" si="108"/>
        <v>0.1432203950965413</v>
      </c>
      <c r="T401" s="1358">
        <f t="shared" si="109"/>
        <v>2.3854816770469491</v>
      </c>
      <c r="U401" s="595">
        <f>IF('TAR_Tab 2_Volumina'!C404="storage",1,0)</f>
        <v>0</v>
      </c>
      <c r="V401" s="1362">
        <f t="shared" si="119"/>
        <v>2.3854816770469491</v>
      </c>
      <c r="W401" s="1362">
        <f t="shared" si="117"/>
        <v>2.5133029077545186</v>
      </c>
      <c r="X401" s="1355">
        <f t="shared" si="118"/>
        <v>2.5129999999999999</v>
      </c>
      <c r="Y401" s="1355">
        <f>X401+'TAR_Tab 13_Overige tarieven'!$T$15+'TAR_Tab 13_Overige tarieven'!$T$16</f>
        <v>2.6659999999999999</v>
      </c>
      <c r="Z401" s="960"/>
    </row>
    <row r="402" spans="1:26">
      <c r="A402" s="155">
        <v>301046</v>
      </c>
      <c r="B402" s="156" t="s">
        <v>347</v>
      </c>
      <c r="C402" s="839">
        <v>3.3582474335793258</v>
      </c>
      <c r="D402" s="1356">
        <f t="shared" si="110"/>
        <v>3.202424752661245</v>
      </c>
      <c r="E402" s="1356">
        <f t="shared" si="111"/>
        <v>3.3838176798146224</v>
      </c>
      <c r="F402" s="1357"/>
      <c r="G402" s="1358">
        <f t="shared" si="112"/>
        <v>3.2146267958238912</v>
      </c>
      <c r="H402" s="1358">
        <f t="shared" si="113"/>
        <v>3.5530085638053537</v>
      </c>
      <c r="I402" s="833">
        <v>3.4017064703262272</v>
      </c>
      <c r="J402" s="1359" t="b">
        <f t="shared" si="114"/>
        <v>1</v>
      </c>
      <c r="K402" s="1583"/>
      <c r="L402" s="17"/>
      <c r="M402" s="1361">
        <f t="shared" si="115"/>
        <v>3.4017064703262272</v>
      </c>
      <c r="N402" s="1350"/>
      <c r="O402" s="1358">
        <f t="shared" si="116"/>
        <v>1.069742570405904E-2</v>
      </c>
      <c r="P402" s="1358">
        <f t="shared" si="105"/>
        <v>8.4792119340492602E-3</v>
      </c>
      <c r="Q402" s="1358">
        <f t="shared" si="106"/>
        <v>2.3449517855714665E-2</v>
      </c>
      <c r="R402" s="1358">
        <f t="shared" si="107"/>
        <v>0</v>
      </c>
      <c r="S402" s="1358">
        <f t="shared" si="108"/>
        <v>0.22000053405228689</v>
      </c>
      <c r="T402" s="1358">
        <f t="shared" si="109"/>
        <v>3.6643331598723372</v>
      </c>
      <c r="U402" s="595">
        <f>IF('TAR_Tab 2_Volumina'!C405="storage",1,0)</f>
        <v>0</v>
      </c>
      <c r="V402" s="1362">
        <f t="shared" si="119"/>
        <v>3.6643331598723372</v>
      </c>
      <c r="W402" s="1362">
        <f t="shared" si="117"/>
        <v>3.8606790713602255</v>
      </c>
      <c r="X402" s="1355">
        <f t="shared" si="118"/>
        <v>3.8610000000000002</v>
      </c>
      <c r="Y402" s="1355">
        <f>X402+'TAR_Tab 13_Overige tarieven'!$T$15+'TAR_Tab 13_Overige tarieven'!$T$16</f>
        <v>4.0140000000000002</v>
      </c>
      <c r="Z402" s="960"/>
    </row>
    <row r="403" spans="1:26">
      <c r="A403" s="155">
        <v>301049</v>
      </c>
      <c r="B403" s="156" t="s">
        <v>348</v>
      </c>
      <c r="C403" s="839">
        <v>3.3582474335793258</v>
      </c>
      <c r="D403" s="1356">
        <f t="shared" si="110"/>
        <v>3.202424752661245</v>
      </c>
      <c r="E403" s="1356">
        <f t="shared" si="111"/>
        <v>3.3838176798146224</v>
      </c>
      <c r="F403" s="1357"/>
      <c r="G403" s="1358">
        <f t="shared" si="112"/>
        <v>3.2146267958238912</v>
      </c>
      <c r="H403" s="1358">
        <f t="shared" si="113"/>
        <v>3.5530085638053537</v>
      </c>
      <c r="I403" s="833">
        <v>3.4017064703262272</v>
      </c>
      <c r="J403" s="1359" t="b">
        <f t="shared" si="114"/>
        <v>1</v>
      </c>
      <c r="K403" s="1583"/>
      <c r="L403" s="17"/>
      <c r="M403" s="1361">
        <f t="shared" si="115"/>
        <v>3.4017064703262272</v>
      </c>
      <c r="N403" s="1350"/>
      <c r="O403" s="1358">
        <f t="shared" si="116"/>
        <v>1.069742570405904E-2</v>
      </c>
      <c r="P403" s="1358">
        <f t="shared" si="105"/>
        <v>8.4792119340492602E-3</v>
      </c>
      <c r="Q403" s="1358">
        <f t="shared" si="106"/>
        <v>2.3449517855714665E-2</v>
      </c>
      <c r="R403" s="1358">
        <f t="shared" si="107"/>
        <v>0</v>
      </c>
      <c r="S403" s="1358">
        <f t="shared" si="108"/>
        <v>0.22000053405228689</v>
      </c>
      <c r="T403" s="1358">
        <f t="shared" si="109"/>
        <v>3.6643331598723372</v>
      </c>
      <c r="U403" s="595">
        <f>IF('TAR_Tab 2_Volumina'!C406="storage",1,0)</f>
        <v>0</v>
      </c>
      <c r="V403" s="1362">
        <f t="shared" si="119"/>
        <v>3.6643331598723372</v>
      </c>
      <c r="W403" s="1362">
        <f t="shared" si="117"/>
        <v>3.8606790713602255</v>
      </c>
      <c r="X403" s="1355">
        <f t="shared" si="118"/>
        <v>3.8610000000000002</v>
      </c>
      <c r="Y403" s="1355">
        <f>X403+'TAR_Tab 13_Overige tarieven'!$T$15+'TAR_Tab 13_Overige tarieven'!$T$16</f>
        <v>4.0140000000000002</v>
      </c>
      <c r="Z403" s="960"/>
    </row>
    <row r="404" spans="1:26">
      <c r="A404" s="155">
        <v>301050</v>
      </c>
      <c r="B404" s="156" t="s">
        <v>249</v>
      </c>
      <c r="C404" s="839">
        <v>2.97977554913188</v>
      </c>
      <c r="D404" s="1356">
        <f t="shared" si="110"/>
        <v>2.8415139636521607</v>
      </c>
      <c r="E404" s="1356">
        <f t="shared" si="111"/>
        <v>3.0024640484233123</v>
      </c>
      <c r="F404" s="1357"/>
      <c r="G404" s="1358">
        <f t="shared" si="112"/>
        <v>2.8523408460021464</v>
      </c>
      <c r="H404" s="1358">
        <f t="shared" si="113"/>
        <v>3.1525872508444781</v>
      </c>
      <c r="I404" s="833">
        <v>3.0183367861010151</v>
      </c>
      <c r="J404" s="1359" t="b">
        <f t="shared" si="114"/>
        <v>1</v>
      </c>
      <c r="K404" s="1583"/>
      <c r="L404" s="17"/>
      <c r="M404" s="1361">
        <f t="shared" si="115"/>
        <v>3.0183367861010151</v>
      </c>
      <c r="N404" s="1350"/>
      <c r="O404" s="1358">
        <f t="shared" si="116"/>
        <v>9.4918341134964113E-3</v>
      </c>
      <c r="P404" s="1358">
        <f t="shared" si="105"/>
        <v>7.5236113171261391E-3</v>
      </c>
      <c r="Q404" s="1358">
        <f t="shared" si="106"/>
        <v>2.0806775357501209E-2</v>
      </c>
      <c r="R404" s="1358">
        <f t="shared" si="107"/>
        <v>0</v>
      </c>
      <c r="S404" s="1358">
        <f t="shared" si="108"/>
        <v>0.19520664427821866</v>
      </c>
      <c r="T404" s="1358">
        <f t="shared" si="109"/>
        <v>3.2513656511673572</v>
      </c>
      <c r="U404" s="595">
        <f>IF('TAR_Tab 2_Volumina'!C407="storage",1,0)</f>
        <v>0</v>
      </c>
      <c r="V404" s="1362">
        <f t="shared" si="119"/>
        <v>3.2513656511673572</v>
      </c>
      <c r="W404" s="1362">
        <f t="shared" si="117"/>
        <v>3.4255835305211844</v>
      </c>
      <c r="X404" s="1355">
        <f t="shared" si="118"/>
        <v>3.4260000000000002</v>
      </c>
      <c r="Y404" s="1355">
        <f>X404+'TAR_Tab 13_Overige tarieven'!$T$15+'TAR_Tab 13_Overige tarieven'!$T$16</f>
        <v>3.5790000000000002</v>
      </c>
      <c r="Z404" s="960"/>
    </row>
    <row r="405" spans="1:26">
      <c r="A405" s="155">
        <v>301051</v>
      </c>
      <c r="B405" s="156" t="s">
        <v>250</v>
      </c>
      <c r="C405" s="839">
        <v>3.073495708966421</v>
      </c>
      <c r="D405" s="1356">
        <f t="shared" si="110"/>
        <v>2.9308855080703791</v>
      </c>
      <c r="E405" s="1356">
        <f t="shared" si="111"/>
        <v>3.0968978089116401</v>
      </c>
      <c r="F405" s="1357"/>
      <c r="G405" s="1358">
        <f t="shared" si="112"/>
        <v>2.9420529184660578</v>
      </c>
      <c r="H405" s="1358">
        <f t="shared" si="113"/>
        <v>3.2517426993572225</v>
      </c>
      <c r="I405" s="833">
        <v>3.1132697773158315</v>
      </c>
      <c r="J405" s="1359" t="b">
        <f t="shared" si="114"/>
        <v>1</v>
      </c>
      <c r="K405" s="1583"/>
      <c r="L405" s="17"/>
      <c r="M405" s="1361">
        <f t="shared" si="115"/>
        <v>3.1132697773158315</v>
      </c>
      <c r="N405" s="1350"/>
      <c r="O405" s="1358">
        <f t="shared" si="116"/>
        <v>9.790372105896207E-3</v>
      </c>
      <c r="P405" s="1358">
        <f t="shared" si="105"/>
        <v>7.7602445948840729E-3</v>
      </c>
      <c r="Q405" s="1358">
        <f t="shared" si="106"/>
        <v>2.1461191866393805E-2</v>
      </c>
      <c r="R405" s="1358">
        <f t="shared" si="107"/>
        <v>0</v>
      </c>
      <c r="S405" s="1358">
        <f t="shared" si="108"/>
        <v>0.20134630063852707</v>
      </c>
      <c r="T405" s="1358">
        <f t="shared" si="109"/>
        <v>3.3536278865215325</v>
      </c>
      <c r="U405" s="595">
        <f>IF('TAR_Tab 2_Volumina'!C408="storage",1,0)</f>
        <v>0</v>
      </c>
      <c r="V405" s="1362">
        <f t="shared" si="119"/>
        <v>3.3536278865215325</v>
      </c>
      <c r="W405" s="1362">
        <f t="shared" si="117"/>
        <v>3.5333252817750829</v>
      </c>
      <c r="X405" s="1355">
        <f t="shared" si="118"/>
        <v>3.5329999999999999</v>
      </c>
      <c r="Y405" s="1355">
        <f>X405+'TAR_Tab 13_Overige tarieven'!$T$15+'TAR_Tab 13_Overige tarieven'!$T$16</f>
        <v>3.6859999999999999</v>
      </c>
      <c r="Z405" s="960"/>
    </row>
    <row r="406" spans="1:26">
      <c r="A406" s="155">
        <v>301052</v>
      </c>
      <c r="B406" s="156" t="s">
        <v>349</v>
      </c>
      <c r="C406" s="839">
        <v>3.2378164556555515</v>
      </c>
      <c r="D406" s="1356">
        <f t="shared" si="110"/>
        <v>3.087581772113134</v>
      </c>
      <c r="E406" s="1356">
        <f t="shared" si="111"/>
        <v>3.262469720691346</v>
      </c>
      <c r="F406" s="1357"/>
      <c r="G406" s="1358">
        <f t="shared" si="112"/>
        <v>3.0993462346567786</v>
      </c>
      <c r="H406" s="1358">
        <f t="shared" si="113"/>
        <v>3.4255932067259134</v>
      </c>
      <c r="I406" s="833">
        <v>3.2797169966696131</v>
      </c>
      <c r="J406" s="1359" t="b">
        <f t="shared" si="114"/>
        <v>1</v>
      </c>
      <c r="K406" s="1583"/>
      <c r="L406" s="17"/>
      <c r="M406" s="1361">
        <f t="shared" si="115"/>
        <v>3.2797169966696131</v>
      </c>
      <c r="N406" s="1350"/>
      <c r="O406" s="1358">
        <f t="shared" si="116"/>
        <v>1.0313802560056921E-2</v>
      </c>
      <c r="P406" s="1358">
        <f t="shared" si="105"/>
        <v>8.175136726537793E-3</v>
      </c>
      <c r="Q406" s="1358">
        <f t="shared" si="106"/>
        <v>2.2608588643957699E-2</v>
      </c>
      <c r="R406" s="1358">
        <f t="shared" si="107"/>
        <v>0</v>
      </c>
      <c r="S406" s="1358">
        <f t="shared" si="108"/>
        <v>0.21211103812213433</v>
      </c>
      <c r="T406" s="1358">
        <f t="shared" si="109"/>
        <v>3.5329255627223</v>
      </c>
      <c r="U406" s="595">
        <f>IF('TAR_Tab 2_Volumina'!C409="storage",1,0)</f>
        <v>0</v>
      </c>
      <c r="V406" s="1362">
        <f t="shared" si="119"/>
        <v>3.5329255627223</v>
      </c>
      <c r="W406" s="1362">
        <f t="shared" si="117"/>
        <v>3.7222302628046848</v>
      </c>
      <c r="X406" s="1355">
        <f t="shared" si="118"/>
        <v>3.722</v>
      </c>
      <c r="Y406" s="1355">
        <f>X406+'TAR_Tab 13_Overige tarieven'!$T$15+'TAR_Tab 13_Overige tarieven'!$T$16</f>
        <v>3.875</v>
      </c>
      <c r="Z406" s="960"/>
    </row>
    <row r="407" spans="1:26">
      <c r="A407" s="155">
        <v>301054</v>
      </c>
      <c r="B407" s="156" t="s">
        <v>350</v>
      </c>
      <c r="C407" s="839">
        <v>3.3582474335793258</v>
      </c>
      <c r="D407" s="1356">
        <f t="shared" si="110"/>
        <v>3.202424752661245</v>
      </c>
      <c r="E407" s="1356">
        <f t="shared" si="111"/>
        <v>3.3838176798146224</v>
      </c>
      <c r="F407" s="1357"/>
      <c r="G407" s="1358">
        <f t="shared" si="112"/>
        <v>3.2146267958238912</v>
      </c>
      <c r="H407" s="1358">
        <f t="shared" si="113"/>
        <v>3.5530085638053537</v>
      </c>
      <c r="I407" s="833">
        <v>3.4017064703262272</v>
      </c>
      <c r="J407" s="1359" t="b">
        <f t="shared" si="114"/>
        <v>1</v>
      </c>
      <c r="K407" s="1583"/>
      <c r="L407" s="17"/>
      <c r="M407" s="1361">
        <f t="shared" si="115"/>
        <v>3.4017064703262272</v>
      </c>
      <c r="N407" s="1350"/>
      <c r="O407" s="1358">
        <f t="shared" si="116"/>
        <v>1.069742570405904E-2</v>
      </c>
      <c r="P407" s="1358">
        <f t="shared" si="105"/>
        <v>8.4792119340492602E-3</v>
      </c>
      <c r="Q407" s="1358">
        <f t="shared" si="106"/>
        <v>2.3449517855714665E-2</v>
      </c>
      <c r="R407" s="1358">
        <f t="shared" si="107"/>
        <v>0</v>
      </c>
      <c r="S407" s="1358">
        <f t="shared" si="108"/>
        <v>0.22000053405228689</v>
      </c>
      <c r="T407" s="1358">
        <f t="shared" si="109"/>
        <v>3.6643331598723372</v>
      </c>
      <c r="U407" s="595">
        <f>IF('TAR_Tab 2_Volumina'!C410="storage",1,0)</f>
        <v>0</v>
      </c>
      <c r="V407" s="1362">
        <f t="shared" si="119"/>
        <v>3.6643331598723372</v>
      </c>
      <c r="W407" s="1362">
        <f t="shared" si="117"/>
        <v>3.8606790713602255</v>
      </c>
      <c r="X407" s="1355">
        <f t="shared" si="118"/>
        <v>3.8610000000000002</v>
      </c>
      <c r="Y407" s="1355">
        <f>X407+'TAR_Tab 13_Overige tarieven'!$T$15+'TAR_Tab 13_Overige tarieven'!$T$16</f>
        <v>4.0140000000000002</v>
      </c>
      <c r="Z407" s="960"/>
    </row>
    <row r="408" spans="1:26">
      <c r="A408" s="155">
        <v>301055</v>
      </c>
      <c r="B408" s="156" t="s">
        <v>251</v>
      </c>
      <c r="C408" s="839">
        <v>2.97977554913188</v>
      </c>
      <c r="D408" s="1356">
        <f t="shared" si="110"/>
        <v>2.8415139636521607</v>
      </c>
      <c r="E408" s="1356">
        <f t="shared" si="111"/>
        <v>3.0024640484233123</v>
      </c>
      <c r="F408" s="1357"/>
      <c r="G408" s="1358">
        <f t="shared" si="112"/>
        <v>2.8523408460021464</v>
      </c>
      <c r="H408" s="1358">
        <f t="shared" si="113"/>
        <v>3.1525872508444781</v>
      </c>
      <c r="I408" s="833">
        <v>3.0183367861010151</v>
      </c>
      <c r="J408" s="1359" t="b">
        <f t="shared" si="114"/>
        <v>1</v>
      </c>
      <c r="K408" s="1583"/>
      <c r="L408" s="17"/>
      <c r="M408" s="1361">
        <f t="shared" si="115"/>
        <v>3.0183367861010151</v>
      </c>
      <c r="N408" s="1350"/>
      <c r="O408" s="1358">
        <f t="shared" si="116"/>
        <v>9.4918341134964113E-3</v>
      </c>
      <c r="P408" s="1358">
        <f t="shared" si="105"/>
        <v>7.5236113171261391E-3</v>
      </c>
      <c r="Q408" s="1358">
        <f t="shared" si="106"/>
        <v>2.0806775357501209E-2</v>
      </c>
      <c r="R408" s="1358">
        <f t="shared" si="107"/>
        <v>0</v>
      </c>
      <c r="S408" s="1358">
        <f t="shared" si="108"/>
        <v>0.19520664427821866</v>
      </c>
      <c r="T408" s="1358">
        <f t="shared" si="109"/>
        <v>3.2513656511673572</v>
      </c>
      <c r="U408" s="595">
        <f>IF('TAR_Tab 2_Volumina'!C411="storage",1,0)</f>
        <v>0</v>
      </c>
      <c r="V408" s="1362">
        <f t="shared" si="119"/>
        <v>3.2513656511673572</v>
      </c>
      <c r="W408" s="1362">
        <f t="shared" si="117"/>
        <v>3.4255835305211844</v>
      </c>
      <c r="X408" s="1355">
        <f t="shared" si="118"/>
        <v>3.4260000000000002</v>
      </c>
      <c r="Y408" s="1355">
        <f>X408+'TAR_Tab 13_Overige tarieven'!$T$15+'TAR_Tab 13_Overige tarieven'!$T$16</f>
        <v>3.5790000000000002</v>
      </c>
      <c r="Z408" s="960"/>
    </row>
    <row r="409" spans="1:26">
      <c r="A409" s="155">
        <v>301056</v>
      </c>
      <c r="B409" s="156" t="s">
        <v>252</v>
      </c>
      <c r="C409" s="839">
        <v>2.1539376543415893</v>
      </c>
      <c r="D409" s="1356">
        <f t="shared" si="110"/>
        <v>2.0539949471801395</v>
      </c>
      <c r="E409" s="1356">
        <f t="shared" si="111"/>
        <v>2.1703380885818646</v>
      </c>
      <c r="F409" s="1357"/>
      <c r="G409" s="1358">
        <f t="shared" si="112"/>
        <v>2.0618211841527714</v>
      </c>
      <c r="H409" s="1358">
        <f t="shared" si="113"/>
        <v>2.2788549930109578</v>
      </c>
      <c r="I409" s="833">
        <v>2.1818117337600897</v>
      </c>
      <c r="J409" s="1359" t="b">
        <f t="shared" si="114"/>
        <v>1</v>
      </c>
      <c r="K409" s="1583"/>
      <c r="L409" s="17"/>
      <c r="M409" s="1361">
        <f t="shared" si="115"/>
        <v>2.1818117337600897</v>
      </c>
      <c r="N409" s="1350"/>
      <c r="O409" s="1358">
        <f t="shared" si="116"/>
        <v>6.8611942640378655E-3</v>
      </c>
      <c r="P409" s="1358">
        <f t="shared" si="105"/>
        <v>5.4384598589345915E-3</v>
      </c>
      <c r="Q409" s="1358">
        <f t="shared" si="106"/>
        <v>1.5040225738145027E-2</v>
      </c>
      <c r="R409" s="1358">
        <f t="shared" si="107"/>
        <v>0</v>
      </c>
      <c r="S409" s="1358">
        <f t="shared" si="108"/>
        <v>0.14110557475076127</v>
      </c>
      <c r="T409" s="1358">
        <f t="shared" si="109"/>
        <v>2.3502571883719687</v>
      </c>
      <c r="U409" s="595">
        <f>IF('TAR_Tab 2_Volumina'!C412="storage",1,0)</f>
        <v>0</v>
      </c>
      <c r="V409" s="1362">
        <f t="shared" si="119"/>
        <v>2.3502571883719687</v>
      </c>
      <c r="W409" s="1362">
        <f t="shared" si="117"/>
        <v>2.4761909858048234</v>
      </c>
      <c r="X409" s="1355">
        <f t="shared" si="118"/>
        <v>2.476</v>
      </c>
      <c r="Y409" s="1355">
        <f>X409+'TAR_Tab 13_Overige tarieven'!$T$15+'TAR_Tab 13_Overige tarieven'!$T$16</f>
        <v>2.629</v>
      </c>
      <c r="Z409" s="960"/>
    </row>
    <row r="410" spans="1:26">
      <c r="A410" s="155">
        <v>301059</v>
      </c>
      <c r="B410" s="156" t="s">
        <v>253</v>
      </c>
      <c r="C410" s="839">
        <v>2.1865132467308062</v>
      </c>
      <c r="D410" s="1356">
        <f t="shared" si="110"/>
        <v>2.0850590320824969</v>
      </c>
      <c r="E410" s="1356">
        <f t="shared" si="111"/>
        <v>2.2031617168693076</v>
      </c>
      <c r="F410" s="1357"/>
      <c r="G410" s="1358">
        <f t="shared" si="112"/>
        <v>2.0930036310258422</v>
      </c>
      <c r="H410" s="1358">
        <f t="shared" si="113"/>
        <v>2.313319802712773</v>
      </c>
      <c r="I410" s="833">
        <v>2.2148088864704847</v>
      </c>
      <c r="J410" s="1359" t="b">
        <f t="shared" si="114"/>
        <v>1</v>
      </c>
      <c r="K410" s="1583"/>
      <c r="L410" s="17"/>
      <c r="M410" s="1361">
        <f t="shared" si="115"/>
        <v>2.2148088864704847</v>
      </c>
      <c r="N410" s="1350"/>
      <c r="O410" s="1358">
        <f t="shared" si="116"/>
        <v>6.964961180038436E-3</v>
      </c>
      <c r="P410" s="1358">
        <f t="shared" si="105"/>
        <v>5.5207097101467083E-3</v>
      </c>
      <c r="Q410" s="1358">
        <f t="shared" si="106"/>
        <v>1.5267690197062889E-2</v>
      </c>
      <c r="R410" s="1358">
        <f t="shared" si="107"/>
        <v>0</v>
      </c>
      <c r="S410" s="1358">
        <f t="shared" si="108"/>
        <v>0.14323961873186808</v>
      </c>
      <c r="T410" s="1358">
        <f t="shared" si="109"/>
        <v>2.3858018662896008</v>
      </c>
      <c r="U410" s="595">
        <f>IF('TAR_Tab 2_Volumina'!C413="storage",1,0)</f>
        <v>0</v>
      </c>
      <c r="V410" s="1362">
        <f t="shared" si="119"/>
        <v>2.3858018662896008</v>
      </c>
      <c r="W410" s="1362">
        <f t="shared" si="117"/>
        <v>2.5136402536927966</v>
      </c>
      <c r="X410" s="1355">
        <f t="shared" si="118"/>
        <v>2.5139999999999998</v>
      </c>
      <c r="Y410" s="1355">
        <f>X410+'TAR_Tab 13_Overige tarieven'!$T$15+'TAR_Tab 13_Overige tarieven'!$T$16</f>
        <v>2.6669999999999998</v>
      </c>
      <c r="Z410" s="960"/>
    </row>
    <row r="411" spans="1:26">
      <c r="A411" s="155">
        <v>301060</v>
      </c>
      <c r="B411" s="156" t="s">
        <v>1119</v>
      </c>
      <c r="C411" s="839">
        <v>2.1862198032431421</v>
      </c>
      <c r="D411" s="1356">
        <f t="shared" si="110"/>
        <v>2.0847792043726603</v>
      </c>
      <c r="E411" s="1356">
        <f t="shared" si="111"/>
        <v>2.2028660390548453</v>
      </c>
      <c r="F411" s="1357"/>
      <c r="G411" s="1358">
        <f t="shared" si="112"/>
        <v>2.0927227371021031</v>
      </c>
      <c r="H411" s="1358">
        <f t="shared" si="113"/>
        <v>2.3130093410075876</v>
      </c>
      <c r="I411" s="833">
        <v>2.2145116455344298</v>
      </c>
      <c r="J411" s="1359" t="b">
        <f t="shared" si="114"/>
        <v>1</v>
      </c>
      <c r="K411" s="1583"/>
      <c r="L411" s="17"/>
      <c r="M411" s="1361">
        <f t="shared" si="115"/>
        <v>2.2145116455344298</v>
      </c>
      <c r="N411" s="1350"/>
      <c r="O411" s="1358">
        <f t="shared" si="116"/>
        <v>6.9640264395317555E-3</v>
      </c>
      <c r="P411" s="1358">
        <f t="shared" si="105"/>
        <v>5.5199687970449249E-3</v>
      </c>
      <c r="Q411" s="1358">
        <f t="shared" si="106"/>
        <v>1.5265641179401233E-2</v>
      </c>
      <c r="R411" s="1358">
        <f t="shared" si="107"/>
        <v>0</v>
      </c>
      <c r="S411" s="1358">
        <f t="shared" si="108"/>
        <v>0.1432203950965413</v>
      </c>
      <c r="T411" s="1358">
        <f t="shared" si="109"/>
        <v>2.3854816770469491</v>
      </c>
      <c r="U411" s="595">
        <f>IF('TAR_Tab 2_Volumina'!C414="storage",1,0)</f>
        <v>0</v>
      </c>
      <c r="V411" s="1362">
        <f t="shared" si="119"/>
        <v>2.3854816770469491</v>
      </c>
      <c r="W411" s="1362">
        <f t="shared" si="117"/>
        <v>2.5133029077545186</v>
      </c>
      <c r="X411" s="1355">
        <f t="shared" si="118"/>
        <v>2.5129999999999999</v>
      </c>
      <c r="Y411" s="1355">
        <f>X411+'TAR_Tab 13_Overige tarieven'!$T$15+'TAR_Tab 13_Overige tarieven'!$T$16</f>
        <v>2.6659999999999999</v>
      </c>
      <c r="Z411" s="960"/>
    </row>
    <row r="412" spans="1:26">
      <c r="A412" s="155">
        <v>301063</v>
      </c>
      <c r="B412" s="156" t="s">
        <v>254</v>
      </c>
      <c r="C412" s="839">
        <v>1.6808316516120156</v>
      </c>
      <c r="D412" s="1356">
        <f t="shared" si="110"/>
        <v>1.6028410629772181</v>
      </c>
      <c r="E412" s="1356">
        <f t="shared" si="111"/>
        <v>1.6936297792252604</v>
      </c>
      <c r="F412" s="1357"/>
      <c r="G412" s="1358">
        <f t="shared" si="112"/>
        <v>1.6089482902639973</v>
      </c>
      <c r="H412" s="1358">
        <f t="shared" si="113"/>
        <v>1.7783112681865234</v>
      </c>
      <c r="I412" s="833">
        <v>1.7025832723479857</v>
      </c>
      <c r="J412" s="1359" t="b">
        <f t="shared" si="114"/>
        <v>1</v>
      </c>
      <c r="K412" s="1583"/>
      <c r="L412" s="17"/>
      <c r="M412" s="1361">
        <f t="shared" si="115"/>
        <v>1.7025832723479857</v>
      </c>
      <c r="N412" s="1350"/>
      <c r="O412" s="1358">
        <f t="shared" si="116"/>
        <v>5.3541533403291038E-3</v>
      </c>
      <c r="P412" s="1358">
        <f t="shared" si="105"/>
        <v>4.2439183179203586E-3</v>
      </c>
      <c r="Q412" s="1358">
        <f t="shared" si="106"/>
        <v>1.173668486509254E-2</v>
      </c>
      <c r="R412" s="1358">
        <f t="shared" si="107"/>
        <v>0</v>
      </c>
      <c r="S412" s="1358">
        <f t="shared" si="108"/>
        <v>0.11011215472366301</v>
      </c>
      <c r="T412" s="1358">
        <f t="shared" si="109"/>
        <v>1.8340301835949908</v>
      </c>
      <c r="U412" s="595">
        <f>IF('TAR_Tab 2_Volumina'!C415="storage",1,0)</f>
        <v>0</v>
      </c>
      <c r="V412" s="1362">
        <f t="shared" si="119"/>
        <v>1.8340301835949908</v>
      </c>
      <c r="W412" s="1362">
        <f t="shared" si="117"/>
        <v>1.9323029967872289</v>
      </c>
      <c r="X412" s="1355">
        <f t="shared" si="118"/>
        <v>1.9319999999999999</v>
      </c>
      <c r="Y412" s="1355">
        <f>X412+'TAR_Tab 13_Overige tarieven'!$T$15+'TAR_Tab 13_Overige tarieven'!$T$16</f>
        <v>2.085</v>
      </c>
      <c r="Z412" s="960"/>
    </row>
    <row r="413" spans="1:26">
      <c r="A413" s="155">
        <v>301064</v>
      </c>
      <c r="B413" s="156" t="s">
        <v>255</v>
      </c>
      <c r="C413" s="839">
        <v>2.2580427294714829</v>
      </c>
      <c r="D413" s="1356">
        <f t="shared" si="110"/>
        <v>2.153269546824006</v>
      </c>
      <c r="E413" s="1356">
        <f t="shared" si="111"/>
        <v>2.2752358368122563</v>
      </c>
      <c r="F413" s="1357"/>
      <c r="G413" s="1358">
        <f t="shared" si="112"/>
        <v>2.1614740449716434</v>
      </c>
      <c r="H413" s="1358">
        <f t="shared" si="113"/>
        <v>2.3889976286528691</v>
      </c>
      <c r="I413" s="833">
        <v>2.2872640313252242</v>
      </c>
      <c r="J413" s="1359" t="b">
        <f t="shared" si="114"/>
        <v>1</v>
      </c>
      <c r="K413" s="1583"/>
      <c r="L413" s="17"/>
      <c r="M413" s="1361">
        <f t="shared" si="115"/>
        <v>2.2872640313252242</v>
      </c>
      <c r="N413" s="1350"/>
      <c r="O413" s="1358">
        <f t="shared" si="116"/>
        <v>7.1928125645484226E-3</v>
      </c>
      <c r="P413" s="1358">
        <f t="shared" si="105"/>
        <v>5.7013139257939965E-3</v>
      </c>
      <c r="Q413" s="1358">
        <f t="shared" si="106"/>
        <v>1.5767156634814254E-2</v>
      </c>
      <c r="R413" s="1358">
        <f t="shared" si="107"/>
        <v>0</v>
      </c>
      <c r="S413" s="1358">
        <f t="shared" si="108"/>
        <v>0.14792555230724497</v>
      </c>
      <c r="T413" s="1358">
        <f t="shared" si="109"/>
        <v>2.463850866757626</v>
      </c>
      <c r="U413" s="595">
        <f>IF('TAR_Tab 2_Volumina'!C416="storage",1,0)</f>
        <v>0</v>
      </c>
      <c r="V413" s="1362">
        <f t="shared" si="119"/>
        <v>2.463850866757626</v>
      </c>
      <c r="W413" s="1362">
        <f t="shared" si="117"/>
        <v>2.5958713526406849</v>
      </c>
      <c r="X413" s="1355">
        <f t="shared" si="118"/>
        <v>2.5960000000000001</v>
      </c>
      <c r="Y413" s="1355">
        <f>X413+'TAR_Tab 13_Overige tarieven'!$T$15+'TAR_Tab 13_Overige tarieven'!$T$16</f>
        <v>2.7490000000000001</v>
      </c>
      <c r="Z413" s="960"/>
    </row>
    <row r="414" spans="1:26">
      <c r="A414" s="155">
        <v>301065</v>
      </c>
      <c r="B414" s="156" t="s">
        <v>1120</v>
      </c>
      <c r="C414" s="839">
        <v>2.1862198032431421</v>
      </c>
      <c r="D414" s="1356">
        <f t="shared" si="110"/>
        <v>2.0847792043726603</v>
      </c>
      <c r="E414" s="1356">
        <f t="shared" si="111"/>
        <v>2.2028660390548453</v>
      </c>
      <c r="F414" s="1357"/>
      <c r="G414" s="1358">
        <f t="shared" si="112"/>
        <v>2.0927227371021031</v>
      </c>
      <c r="H414" s="1358">
        <f t="shared" si="113"/>
        <v>2.3130093410075876</v>
      </c>
      <c r="I414" s="833">
        <v>2.2145116455344298</v>
      </c>
      <c r="J414" s="1359" t="b">
        <f t="shared" si="114"/>
        <v>1</v>
      </c>
      <c r="K414" s="1583"/>
      <c r="L414" s="17"/>
      <c r="M414" s="1361">
        <f t="shared" si="115"/>
        <v>2.2145116455344298</v>
      </c>
      <c r="N414" s="1350"/>
      <c r="O414" s="1358">
        <f t="shared" si="116"/>
        <v>6.9640264395317555E-3</v>
      </c>
      <c r="P414" s="1358">
        <f t="shared" si="105"/>
        <v>5.5199687970449249E-3</v>
      </c>
      <c r="Q414" s="1358">
        <f t="shared" si="106"/>
        <v>1.5265641179401233E-2</v>
      </c>
      <c r="R414" s="1358">
        <f t="shared" si="107"/>
        <v>0</v>
      </c>
      <c r="S414" s="1358">
        <f t="shared" si="108"/>
        <v>0.1432203950965413</v>
      </c>
      <c r="T414" s="1358">
        <f t="shared" si="109"/>
        <v>2.3854816770469491</v>
      </c>
      <c r="U414" s="595">
        <f>IF('TAR_Tab 2_Volumina'!C417="storage",1,0)</f>
        <v>0</v>
      </c>
      <c r="V414" s="1362">
        <f t="shared" si="119"/>
        <v>2.3854816770469491</v>
      </c>
      <c r="W414" s="1362">
        <f t="shared" si="117"/>
        <v>2.5133029077545186</v>
      </c>
      <c r="X414" s="1355">
        <f t="shared" si="118"/>
        <v>2.5129999999999999</v>
      </c>
      <c r="Y414" s="1355">
        <f>X414+'TAR_Tab 13_Overige tarieven'!$T$15+'TAR_Tab 13_Overige tarieven'!$T$16</f>
        <v>2.6659999999999999</v>
      </c>
      <c r="Z414" s="960"/>
    </row>
    <row r="415" spans="1:26">
      <c r="A415" s="155">
        <v>301080</v>
      </c>
      <c r="B415" s="156" t="s">
        <v>480</v>
      </c>
      <c r="C415" s="839">
        <v>0.3228430542299493</v>
      </c>
      <c r="D415" s="1356">
        <f t="shared" si="110"/>
        <v>0.30786313651367964</v>
      </c>
      <c r="E415" s="1356">
        <f t="shared" si="111"/>
        <v>0.32530123414530365</v>
      </c>
      <c r="F415" s="1357"/>
      <c r="G415" s="1358">
        <f t="shared" si="112"/>
        <v>0.30903617243803844</v>
      </c>
      <c r="H415" s="1358">
        <f t="shared" si="113"/>
        <v>0.34156629585256887</v>
      </c>
      <c r="I415" s="833">
        <v>0.3270209620329807</v>
      </c>
      <c r="J415" s="1359" t="b">
        <f t="shared" si="114"/>
        <v>1</v>
      </c>
      <c r="K415" s="1583"/>
      <c r="L415" s="17"/>
      <c r="M415" s="1361">
        <f t="shared" si="115"/>
        <v>0.3270209620329807</v>
      </c>
      <c r="N415" s="1350"/>
      <c r="O415" s="1358">
        <f t="shared" si="116"/>
        <v>1.0283904491860034E-3</v>
      </c>
      <c r="P415" s="1358">
        <f t="shared" si="105"/>
        <v>8.1514383093976887E-4</v>
      </c>
      <c r="Q415" s="1358">
        <f t="shared" si="106"/>
        <v>2.2543049952366855E-3</v>
      </c>
      <c r="R415" s="1358">
        <f t="shared" si="107"/>
        <v>0</v>
      </c>
      <c r="S415" s="1358">
        <f t="shared" si="108"/>
        <v>2.1149616206200417E-2</v>
      </c>
      <c r="T415" s="1358">
        <f t="shared" si="109"/>
        <v>0.35226841751454363</v>
      </c>
      <c r="U415" s="595">
        <f>IF('TAR_Tab 2_Volumina'!C418="storage",1,0)</f>
        <v>0</v>
      </c>
      <c r="V415" s="1362">
        <f t="shared" si="119"/>
        <v>0.35226841751454363</v>
      </c>
      <c r="W415" s="1362">
        <f t="shared" si="117"/>
        <v>0.37114401111032325</v>
      </c>
      <c r="X415" s="1355">
        <f t="shared" si="118"/>
        <v>0.371</v>
      </c>
      <c r="Y415" s="1355">
        <f>X415+'TAR_Tab 13_Overige tarieven'!$T$15+'TAR_Tab 13_Overige tarieven'!$T$16</f>
        <v>0.52400000000000002</v>
      </c>
      <c r="Z415" s="960"/>
    </row>
    <row r="416" spans="1:26">
      <c r="A416" s="155">
        <v>301111</v>
      </c>
      <c r="B416" s="156" t="s">
        <v>54</v>
      </c>
      <c r="C416" s="839">
        <v>2.0579876895798503</v>
      </c>
      <c r="D416" s="1356">
        <f t="shared" si="110"/>
        <v>1.9624970607833454</v>
      </c>
      <c r="E416" s="1356">
        <f t="shared" si="111"/>
        <v>2.073657545066252</v>
      </c>
      <c r="F416" s="1357"/>
      <c r="G416" s="1358">
        <f t="shared" si="112"/>
        <v>1.9699746678129393</v>
      </c>
      <c r="H416" s="1358">
        <f t="shared" si="113"/>
        <v>2.1773404223195647</v>
      </c>
      <c r="I416" s="833">
        <v>2.0846200817412575</v>
      </c>
      <c r="J416" s="1359" t="b">
        <f t="shared" si="114"/>
        <v>1</v>
      </c>
      <c r="K416" s="1583"/>
      <c r="L416" s="17"/>
      <c r="M416" s="1361">
        <f t="shared" si="115"/>
        <v>2.0846200817412575</v>
      </c>
      <c r="N416" s="1350"/>
      <c r="O416" s="1358">
        <f t="shared" si="116"/>
        <v>6.5555534083097961E-3</v>
      </c>
      <c r="P416" s="1358">
        <f t="shared" si="105"/>
        <v>5.1961965646507039E-3</v>
      </c>
      <c r="Q416" s="1358">
        <f t="shared" si="106"/>
        <v>1.4370239247739978E-2</v>
      </c>
      <c r="R416" s="1358">
        <f t="shared" si="107"/>
        <v>0</v>
      </c>
      <c r="S416" s="1358">
        <f t="shared" si="108"/>
        <v>0.13481984271124273</v>
      </c>
      <c r="T416" s="1358">
        <f t="shared" si="109"/>
        <v>2.2455619136732006</v>
      </c>
      <c r="U416" s="595">
        <f>IF('TAR_Tab 2_Volumina'!C419="storage",1,0)</f>
        <v>0</v>
      </c>
      <c r="V416" s="1362">
        <f t="shared" si="119"/>
        <v>2.2455619136732006</v>
      </c>
      <c r="W416" s="1362">
        <f t="shared" si="117"/>
        <v>2.3658858256938018</v>
      </c>
      <c r="X416" s="1355">
        <f t="shared" si="118"/>
        <v>2.3660000000000001</v>
      </c>
      <c r="Y416" s="1355">
        <f>X416+'TAR_Tab 13_Overige tarieven'!$T$15+'TAR_Tab 13_Overige tarieven'!$T$16</f>
        <v>2.5190000000000001</v>
      </c>
      <c r="Z416" s="960"/>
    </row>
    <row r="417" spans="1:26">
      <c r="A417" s="155">
        <v>301112</v>
      </c>
      <c r="B417" s="156" t="s">
        <v>492</v>
      </c>
      <c r="C417" s="839">
        <v>0.83467076476270385</v>
      </c>
      <c r="D417" s="1356">
        <f t="shared" si="110"/>
        <v>0.7959420412777144</v>
      </c>
      <c r="E417" s="1356">
        <f t="shared" si="111"/>
        <v>0.84102608473316776</v>
      </c>
      <c r="F417" s="1357"/>
      <c r="G417" s="1358">
        <f t="shared" si="112"/>
        <v>0.79897478049650938</v>
      </c>
      <c r="H417" s="1358">
        <f t="shared" si="113"/>
        <v>0.88307738896982613</v>
      </c>
      <c r="I417" s="833">
        <v>0.84547222836978686</v>
      </c>
      <c r="J417" s="1359" t="b">
        <f t="shared" si="114"/>
        <v>1</v>
      </c>
      <c r="K417" s="1583"/>
      <c r="L417" s="17"/>
      <c r="M417" s="1361">
        <f t="shared" si="115"/>
        <v>0.84547222836978686</v>
      </c>
      <c r="N417" s="1350"/>
      <c r="O417" s="1358">
        <f t="shared" si="116"/>
        <v>2.6587762426673067E-3</v>
      </c>
      <c r="P417" s="1358">
        <f t="shared" si="105"/>
        <v>2.1074535005405123E-3</v>
      </c>
      <c r="Q417" s="1358">
        <f t="shared" si="106"/>
        <v>5.8282265940973023E-3</v>
      </c>
      <c r="R417" s="1358">
        <f t="shared" si="107"/>
        <v>0</v>
      </c>
      <c r="S417" s="1358">
        <f t="shared" si="108"/>
        <v>5.4679715428207473E-2</v>
      </c>
      <c r="T417" s="1358">
        <f t="shared" si="109"/>
        <v>0.91074640013529951</v>
      </c>
      <c r="U417" s="595">
        <f>IF('TAR_Tab 2_Volumina'!C420="storage",1,0)</f>
        <v>0</v>
      </c>
      <c r="V417" s="1362">
        <f t="shared" si="119"/>
        <v>0.91074640013529951</v>
      </c>
      <c r="W417" s="1362">
        <f t="shared" si="117"/>
        <v>0.95954691151541338</v>
      </c>
      <c r="X417" s="1355">
        <f t="shared" si="118"/>
        <v>0.96</v>
      </c>
      <c r="Y417" s="1355">
        <f>X417+'TAR_Tab 13_Overige tarieven'!$T$15+'TAR_Tab 13_Overige tarieven'!$T$16</f>
        <v>1.113</v>
      </c>
      <c r="Z417" s="960"/>
    </row>
    <row r="418" spans="1:26">
      <c r="A418" s="155">
        <v>301113</v>
      </c>
      <c r="B418" s="156" t="s">
        <v>493</v>
      </c>
      <c r="C418" s="839">
        <v>0.83467076476270385</v>
      </c>
      <c r="D418" s="1356">
        <f t="shared" si="110"/>
        <v>0.7959420412777144</v>
      </c>
      <c r="E418" s="1356">
        <f t="shared" si="111"/>
        <v>0.84102608473316776</v>
      </c>
      <c r="F418" s="1357"/>
      <c r="G418" s="1358">
        <f t="shared" si="112"/>
        <v>0.79897478049650938</v>
      </c>
      <c r="H418" s="1358">
        <f t="shared" si="113"/>
        <v>0.88307738896982613</v>
      </c>
      <c r="I418" s="833">
        <v>0.84547222836978686</v>
      </c>
      <c r="J418" s="1359" t="b">
        <f t="shared" si="114"/>
        <v>1</v>
      </c>
      <c r="K418" s="1583"/>
      <c r="L418" s="17"/>
      <c r="M418" s="1361">
        <f t="shared" si="115"/>
        <v>0.84547222836978686</v>
      </c>
      <c r="N418" s="1350"/>
      <c r="O418" s="1358">
        <f t="shared" si="116"/>
        <v>2.6587762426673067E-3</v>
      </c>
      <c r="P418" s="1358">
        <f t="shared" si="105"/>
        <v>2.1074535005405123E-3</v>
      </c>
      <c r="Q418" s="1358">
        <f t="shared" si="106"/>
        <v>5.8282265940973023E-3</v>
      </c>
      <c r="R418" s="1358">
        <f t="shared" si="107"/>
        <v>0</v>
      </c>
      <c r="S418" s="1358">
        <f t="shared" si="108"/>
        <v>5.4679715428207473E-2</v>
      </c>
      <c r="T418" s="1358">
        <f t="shared" si="109"/>
        <v>0.91074640013529951</v>
      </c>
      <c r="U418" s="595">
        <f>IF('TAR_Tab 2_Volumina'!C421="storage",1,0)</f>
        <v>0</v>
      </c>
      <c r="V418" s="1362">
        <f t="shared" si="119"/>
        <v>0.91074640013529951</v>
      </c>
      <c r="W418" s="1362">
        <f t="shared" si="117"/>
        <v>0.95954691151541338</v>
      </c>
      <c r="X418" s="1355">
        <f t="shared" si="118"/>
        <v>0.96</v>
      </c>
      <c r="Y418" s="1355">
        <f>X418+'TAR_Tab 13_Overige tarieven'!$T$15+'TAR_Tab 13_Overige tarieven'!$T$16</f>
        <v>1.113</v>
      </c>
      <c r="Z418" s="960"/>
    </row>
    <row r="419" spans="1:26">
      <c r="A419" s="155">
        <v>301114</v>
      </c>
      <c r="B419" s="156" t="s">
        <v>351</v>
      </c>
      <c r="C419" s="839">
        <v>1.0917106413493056</v>
      </c>
      <c r="D419" s="1356">
        <f t="shared" si="110"/>
        <v>1.0410552675906979</v>
      </c>
      <c r="E419" s="1356">
        <f t="shared" si="111"/>
        <v>1.1000231050581641</v>
      </c>
      <c r="F419" s="1357"/>
      <c r="G419" s="1358">
        <f t="shared" si="112"/>
        <v>1.045021949805256</v>
      </c>
      <c r="H419" s="1358">
        <f t="shared" si="113"/>
        <v>1.1550242603110723</v>
      </c>
      <c r="I419" s="833">
        <v>1.1058384546858038</v>
      </c>
      <c r="J419" s="1359" t="b">
        <f t="shared" si="114"/>
        <v>1</v>
      </c>
      <c r="K419" s="1583"/>
      <c r="L419" s="17"/>
      <c r="M419" s="1361">
        <f t="shared" si="115"/>
        <v>1.1058384546858038</v>
      </c>
      <c r="N419" s="1350"/>
      <c r="O419" s="1358">
        <f t="shared" si="116"/>
        <v>3.4775559892909784E-3</v>
      </c>
      <c r="P419" s="1358">
        <f t="shared" si="105"/>
        <v>2.7564514175155244E-3</v>
      </c>
      <c r="Q419" s="1358">
        <f t="shared" si="106"/>
        <v>7.6230500235382808E-3</v>
      </c>
      <c r="R419" s="1358">
        <f t="shared" si="107"/>
        <v>0</v>
      </c>
      <c r="S419" s="1358">
        <f t="shared" si="108"/>
        <v>7.1518531280890099E-2</v>
      </c>
      <c r="T419" s="1358">
        <f t="shared" si="109"/>
        <v>1.1912140433970388</v>
      </c>
      <c r="U419" s="595">
        <f>IF('TAR_Tab 2_Volumina'!C422="storage",1,0)</f>
        <v>1</v>
      </c>
      <c r="V419" s="1362">
        <f t="shared" si="119"/>
        <v>0.89341053254777913</v>
      </c>
      <c r="W419" s="1362">
        <f t="shared" si="117"/>
        <v>0.89341053254777913</v>
      </c>
      <c r="X419" s="1355">
        <f t="shared" si="118"/>
        <v>0.89300000000000002</v>
      </c>
      <c r="Y419" s="1355">
        <f>X419+'TAR_Tab 13_Overige tarieven'!$T$15+'TAR_Tab 13_Overige tarieven'!$T$16</f>
        <v>1.046</v>
      </c>
      <c r="Z419" s="960"/>
    </row>
    <row r="420" spans="1:26">
      <c r="A420" s="155">
        <v>301116</v>
      </c>
      <c r="B420" s="156" t="s">
        <v>352</v>
      </c>
      <c r="C420" s="839">
        <v>0.8607355920137445</v>
      </c>
      <c r="D420" s="1356">
        <f t="shared" si="110"/>
        <v>0.8207974605443068</v>
      </c>
      <c r="E420" s="1356">
        <f t="shared" si="111"/>
        <v>0.86728937384983074</v>
      </c>
      <c r="F420" s="1357"/>
      <c r="G420" s="1358">
        <f t="shared" si="112"/>
        <v>0.82392490515733918</v>
      </c>
      <c r="H420" s="1358">
        <f t="shared" si="113"/>
        <v>0.91065384254232229</v>
      </c>
      <c r="I420" s="833">
        <v>0.87187436021428244</v>
      </c>
      <c r="J420" s="1359" t="b">
        <f t="shared" si="114"/>
        <v>1</v>
      </c>
      <c r="K420" s="1583"/>
      <c r="L420" s="17"/>
      <c r="M420" s="1361">
        <f t="shared" si="115"/>
        <v>0.87187436021428244</v>
      </c>
      <c r="N420" s="1350"/>
      <c r="O420" s="1358">
        <f t="shared" si="116"/>
        <v>2.74180364267933E-3</v>
      </c>
      <c r="P420" s="1358">
        <f t="shared" si="105"/>
        <v>2.1732643732225165E-3</v>
      </c>
      <c r="Q420" s="1358">
        <f t="shared" si="106"/>
        <v>6.010228559145468E-3</v>
      </c>
      <c r="R420" s="1358">
        <f t="shared" si="107"/>
        <v>0</v>
      </c>
      <c r="S420" s="1358">
        <f t="shared" si="108"/>
        <v>5.638723580263616E-2</v>
      </c>
      <c r="T420" s="1358">
        <f t="shared" si="109"/>
        <v>0.93918689259196586</v>
      </c>
      <c r="U420" s="595">
        <f>IF('TAR_Tab 2_Volumina'!C423="storage",1,0)</f>
        <v>1</v>
      </c>
      <c r="V420" s="1362">
        <f t="shared" si="119"/>
        <v>0.70439016944397437</v>
      </c>
      <c r="W420" s="1362">
        <f t="shared" si="117"/>
        <v>0.70439016944397437</v>
      </c>
      <c r="X420" s="1355">
        <f t="shared" si="118"/>
        <v>0.70399999999999996</v>
      </c>
      <c r="Y420" s="1355">
        <f>X420+'TAR_Tab 13_Overige tarieven'!$T$15+'TAR_Tab 13_Overige tarieven'!$T$16</f>
        <v>0.85699999999999998</v>
      </c>
      <c r="Z420" s="960"/>
    </row>
    <row r="421" spans="1:26">
      <c r="A421" s="155">
        <v>301118</v>
      </c>
      <c r="B421" s="156" t="s">
        <v>256</v>
      </c>
      <c r="C421" s="839">
        <v>1.2746051702109338</v>
      </c>
      <c r="D421" s="1356">
        <f t="shared" si="110"/>
        <v>1.2154634903131465</v>
      </c>
      <c r="E421" s="1356">
        <f t="shared" si="111"/>
        <v>1.2843102228312937</v>
      </c>
      <c r="F421" s="1357"/>
      <c r="G421" s="1358">
        <f t="shared" si="112"/>
        <v>1.2200947116897289</v>
      </c>
      <c r="H421" s="1358">
        <f t="shared" si="113"/>
        <v>1.3485257339728585</v>
      </c>
      <c r="I421" s="833">
        <v>1.2910998192877436</v>
      </c>
      <c r="J421" s="1359" t="b">
        <f t="shared" si="114"/>
        <v>1</v>
      </c>
      <c r="K421" s="1583"/>
      <c r="L421" s="17"/>
      <c r="M421" s="1361">
        <f t="shared" si="115"/>
        <v>1.2910998192877436</v>
      </c>
      <c r="N421" s="1350"/>
      <c r="O421" s="1358">
        <f t="shared" si="116"/>
        <v>4.060151724975306E-3</v>
      </c>
      <c r="P421" s="1358">
        <f t="shared" si="105"/>
        <v>3.2182403423842744E-3</v>
      </c>
      <c r="Q421" s="1358">
        <f t="shared" si="106"/>
        <v>8.9001413055472874E-3</v>
      </c>
      <c r="R421" s="1358">
        <f t="shared" si="107"/>
        <v>0</v>
      </c>
      <c r="S421" s="1358">
        <f t="shared" si="108"/>
        <v>8.3500046884078957E-2</v>
      </c>
      <c r="T421" s="1358">
        <f t="shared" si="109"/>
        <v>1.3907783995447296</v>
      </c>
      <c r="U421" s="595">
        <f>IF('TAR_Tab 2_Volumina'!C424="storage",1,0)</f>
        <v>1</v>
      </c>
      <c r="V421" s="1362">
        <f t="shared" si="119"/>
        <v>1.0430837996585471</v>
      </c>
      <c r="W421" s="1362">
        <f t="shared" si="117"/>
        <v>1.0430837996585471</v>
      </c>
      <c r="X421" s="1355">
        <f t="shared" si="118"/>
        <v>1.0429999999999999</v>
      </c>
      <c r="Y421" s="1355">
        <f>X421+'TAR_Tab 13_Overige tarieven'!$T$15+'TAR_Tab 13_Overige tarieven'!$T$16</f>
        <v>1.196</v>
      </c>
      <c r="Z421" s="960"/>
    </row>
    <row r="422" spans="1:26">
      <c r="A422" s="155">
        <v>301120</v>
      </c>
      <c r="B422" s="156" t="s">
        <v>55</v>
      </c>
      <c r="C422" s="839">
        <v>1.2102347855079851</v>
      </c>
      <c r="D422" s="1356">
        <f t="shared" si="110"/>
        <v>1.1540798914604147</v>
      </c>
      <c r="E422" s="1356">
        <f t="shared" si="111"/>
        <v>1.2194497114716083</v>
      </c>
      <c r="F422" s="1357"/>
      <c r="G422" s="1358">
        <f t="shared" si="112"/>
        <v>1.1584772258980278</v>
      </c>
      <c r="H422" s="1358">
        <f t="shared" si="113"/>
        <v>1.2804221970451888</v>
      </c>
      <c r="I422" s="833">
        <v>1.2258964182661505</v>
      </c>
      <c r="J422" s="1359" t="b">
        <f t="shared" si="114"/>
        <v>1</v>
      </c>
      <c r="K422" s="1583"/>
      <c r="L422" s="17"/>
      <c r="M422" s="1361">
        <f t="shared" si="115"/>
        <v>1.2258964182661505</v>
      </c>
      <c r="N422" s="1350"/>
      <c r="O422" s="1358">
        <f t="shared" si="116"/>
        <v>3.8551050684912827E-3</v>
      </c>
      <c r="P422" s="1358">
        <f t="shared" si="105"/>
        <v>3.0557120757905166E-3</v>
      </c>
      <c r="Q422" s="1358">
        <f t="shared" si="106"/>
        <v>8.4506644533124311E-3</v>
      </c>
      <c r="R422" s="1358">
        <f t="shared" si="107"/>
        <v>0</v>
      </c>
      <c r="S422" s="1358">
        <f t="shared" si="108"/>
        <v>7.9283109540452062E-2</v>
      </c>
      <c r="T422" s="1358">
        <f t="shared" si="109"/>
        <v>1.3205410094041967</v>
      </c>
      <c r="U422" s="595">
        <f>IF('TAR_Tab 2_Volumina'!C425="storage",1,0)</f>
        <v>0</v>
      </c>
      <c r="V422" s="1362">
        <f t="shared" si="119"/>
        <v>1.3205410094041967</v>
      </c>
      <c r="W422" s="1362">
        <f t="shared" si="117"/>
        <v>1.3912995394931029</v>
      </c>
      <c r="X422" s="1355">
        <f t="shared" si="118"/>
        <v>1.391</v>
      </c>
      <c r="Y422" s="1355">
        <f>X422+'TAR_Tab 13_Overige tarieven'!$T$15+'TAR_Tab 13_Overige tarieven'!$T$16</f>
        <v>1.544</v>
      </c>
      <c r="Z422" s="960"/>
    </row>
    <row r="423" spans="1:26">
      <c r="A423" s="155">
        <v>301122</v>
      </c>
      <c r="B423" s="156" t="s">
        <v>353</v>
      </c>
      <c r="C423" s="839">
        <v>0.89856317570502919</v>
      </c>
      <c r="D423" s="1356">
        <f t="shared" si="110"/>
        <v>0.85686984435231583</v>
      </c>
      <c r="E423" s="1356">
        <f t="shared" si="111"/>
        <v>0.90540498296169658</v>
      </c>
      <c r="F423" s="1357"/>
      <c r="G423" s="1358">
        <f t="shared" si="112"/>
        <v>0.86013473381361172</v>
      </c>
      <c r="H423" s="1358">
        <f t="shared" si="113"/>
        <v>0.95067523210978144</v>
      </c>
      <c r="I423" s="833">
        <v>0.91019147017848201</v>
      </c>
      <c r="J423" s="1359" t="b">
        <f t="shared" si="114"/>
        <v>1</v>
      </c>
      <c r="K423" s="1583"/>
      <c r="L423" s="17"/>
      <c r="M423" s="1361">
        <f t="shared" si="115"/>
        <v>0.91019147017848201</v>
      </c>
      <c r="N423" s="1350"/>
      <c r="O423" s="1358">
        <f t="shared" si="116"/>
        <v>2.8623003523783816E-3</v>
      </c>
      <c r="P423" s="1358">
        <f t="shared" si="105"/>
        <v>2.2687749350305026E-3</v>
      </c>
      <c r="Q423" s="1358">
        <f t="shared" si="106"/>
        <v>6.2743659155349244E-3</v>
      </c>
      <c r="R423" s="1358">
        <f t="shared" si="107"/>
        <v>0</v>
      </c>
      <c r="S423" s="1358">
        <f t="shared" si="108"/>
        <v>5.8865340462458754E-2</v>
      </c>
      <c r="T423" s="1358">
        <f t="shared" si="109"/>
        <v>0.98046225184388447</v>
      </c>
      <c r="U423" s="595">
        <f>IF('TAR_Tab 2_Volumina'!C426="storage",1,0)</f>
        <v>0</v>
      </c>
      <c r="V423" s="1362">
        <f t="shared" si="119"/>
        <v>0.98046225184388447</v>
      </c>
      <c r="W423" s="1362">
        <f t="shared" si="117"/>
        <v>1.0329983467126331</v>
      </c>
      <c r="X423" s="1355">
        <f t="shared" si="118"/>
        <v>1.0329999999999999</v>
      </c>
      <c r="Y423" s="1355">
        <f>X423+'TAR_Tab 13_Overige tarieven'!$T$15+'TAR_Tab 13_Overige tarieven'!$T$16</f>
        <v>1.1859999999999999</v>
      </c>
      <c r="Z423" s="960"/>
    </row>
    <row r="424" spans="1:26">
      <c r="A424" s="155">
        <v>301129</v>
      </c>
      <c r="B424" s="156" t="s">
        <v>354</v>
      </c>
      <c r="C424" s="839">
        <v>3.2871734138210313</v>
      </c>
      <c r="D424" s="1356">
        <f t="shared" si="110"/>
        <v>3.1346485674197355</v>
      </c>
      <c r="E424" s="1356">
        <f t="shared" si="111"/>
        <v>3.312202490823835</v>
      </c>
      <c r="F424" s="1357"/>
      <c r="G424" s="1358">
        <f t="shared" si="112"/>
        <v>3.1465923662826429</v>
      </c>
      <c r="H424" s="1358">
        <f t="shared" si="113"/>
        <v>3.4778126153650271</v>
      </c>
      <c r="I424" s="833">
        <v>3.3297126825944536</v>
      </c>
      <c r="J424" s="1359" t="b">
        <f t="shared" si="114"/>
        <v>1</v>
      </c>
      <c r="K424" s="1583"/>
      <c r="L424" s="17"/>
      <c r="M424" s="1361">
        <f t="shared" si="115"/>
        <v>3.3297126825944536</v>
      </c>
      <c r="N424" s="1350"/>
      <c r="O424" s="1358">
        <f t="shared" si="116"/>
        <v>1.0471025160057785E-2</v>
      </c>
      <c r="P424" s="1358">
        <f t="shared" si="105"/>
        <v>8.2997577132228172E-3</v>
      </c>
      <c r="Q424" s="1358">
        <f t="shared" si="106"/>
        <v>2.2953231763530216E-2</v>
      </c>
      <c r="R424" s="1358">
        <f t="shared" si="107"/>
        <v>0</v>
      </c>
      <c r="S424" s="1358">
        <f t="shared" si="108"/>
        <v>0.21534443809350826</v>
      </c>
      <c r="T424" s="1358">
        <f t="shared" si="109"/>
        <v>3.5867811353247729</v>
      </c>
      <c r="U424" s="595">
        <f>IF('TAR_Tab 2_Volumina'!C427="storage",1,0)</f>
        <v>0</v>
      </c>
      <c r="V424" s="1362">
        <f t="shared" si="119"/>
        <v>3.5867811353247729</v>
      </c>
      <c r="W424" s="1362">
        <f t="shared" si="117"/>
        <v>3.7789715777864625</v>
      </c>
      <c r="X424" s="1355">
        <f t="shared" si="118"/>
        <v>3.7789999999999999</v>
      </c>
      <c r="Y424" s="1355">
        <f>X424+'TAR_Tab 13_Overige tarieven'!$T$15+'TAR_Tab 13_Overige tarieven'!$T$16</f>
        <v>3.9319999999999999</v>
      </c>
      <c r="Z424" s="960"/>
    </row>
    <row r="425" spans="1:26">
      <c r="A425" s="155">
        <v>301144</v>
      </c>
      <c r="B425" s="156" t="s">
        <v>355</v>
      </c>
      <c r="C425" s="839">
        <v>2.9894103319186081</v>
      </c>
      <c r="D425" s="1356">
        <f t="shared" si="110"/>
        <v>2.8507016925175845</v>
      </c>
      <c r="E425" s="1356">
        <f t="shared" si="111"/>
        <v>3.0121721920249156</v>
      </c>
      <c r="F425" s="1357"/>
      <c r="G425" s="1358">
        <f t="shared" si="112"/>
        <v>2.8615635824236696</v>
      </c>
      <c r="H425" s="1358">
        <f t="shared" si="113"/>
        <v>3.1627808016261616</v>
      </c>
      <c r="I425" s="833">
        <v>3.0280962524875843</v>
      </c>
      <c r="J425" s="1359" t="b">
        <f t="shared" si="114"/>
        <v>1</v>
      </c>
      <c r="K425" s="1583"/>
      <c r="L425" s="17"/>
      <c r="M425" s="1361">
        <f t="shared" si="115"/>
        <v>3.0280962524875843</v>
      </c>
      <c r="N425" s="1350"/>
      <c r="O425" s="1358">
        <f t="shared" si="116"/>
        <v>9.5225249351449867E-3</v>
      </c>
      <c r="P425" s="1358">
        <f t="shared" si="105"/>
        <v>7.5479381026900367E-3</v>
      </c>
      <c r="Q425" s="1358">
        <f t="shared" si="106"/>
        <v>2.0874051821032219E-2</v>
      </c>
      <c r="R425" s="1358">
        <f t="shared" si="107"/>
        <v>0</v>
      </c>
      <c r="S425" s="1358">
        <f t="shared" si="108"/>
        <v>0.19583782390404469</v>
      </c>
      <c r="T425" s="1358">
        <f t="shared" si="109"/>
        <v>3.2618785912504964</v>
      </c>
      <c r="U425" s="595">
        <f>IF('TAR_Tab 2_Volumina'!C428="storage",1,0)</f>
        <v>0</v>
      </c>
      <c r="V425" s="1362">
        <f t="shared" si="119"/>
        <v>3.2618785912504964</v>
      </c>
      <c r="W425" s="1362">
        <f t="shared" si="117"/>
        <v>3.4366597853229863</v>
      </c>
      <c r="X425" s="1355">
        <f t="shared" si="118"/>
        <v>3.4369999999999998</v>
      </c>
      <c r="Y425" s="1355">
        <f>X425+'TAR_Tab 13_Overige tarieven'!$T$15+'TAR_Tab 13_Overige tarieven'!$T$16</f>
        <v>3.59</v>
      </c>
      <c r="Z425" s="960"/>
    </row>
    <row r="426" spans="1:26">
      <c r="A426" s="155">
        <v>301148</v>
      </c>
      <c r="B426" s="156" t="s">
        <v>356</v>
      </c>
      <c r="C426" s="839">
        <v>1.3349820633988079</v>
      </c>
      <c r="D426" s="1356">
        <f t="shared" si="110"/>
        <v>1.2730388956571033</v>
      </c>
      <c r="E426" s="1356">
        <f t="shared" si="111"/>
        <v>1.345146835577143</v>
      </c>
      <c r="F426" s="1357"/>
      <c r="G426" s="1358">
        <f t="shared" si="112"/>
        <v>1.2778894937982859</v>
      </c>
      <c r="H426" s="1358">
        <f t="shared" si="113"/>
        <v>1.4124041773560001</v>
      </c>
      <c r="I426" s="833">
        <v>1.3522580490720455</v>
      </c>
      <c r="J426" s="1359" t="b">
        <f t="shared" si="114"/>
        <v>1</v>
      </c>
      <c r="K426" s="1583"/>
      <c r="L426" s="17"/>
      <c r="M426" s="1361">
        <f t="shared" si="115"/>
        <v>1.3522580490720455</v>
      </c>
      <c r="N426" s="1350"/>
      <c r="O426" s="1358">
        <f t="shared" si="116"/>
        <v>4.2524774370896138E-3</v>
      </c>
      <c r="P426" s="1358">
        <f t="shared" si="105"/>
        <v>3.3706854743719991E-3</v>
      </c>
      <c r="Q426" s="1358">
        <f t="shared" si="106"/>
        <v>9.3217329431154027E-3</v>
      </c>
      <c r="R426" s="1358">
        <f t="shared" si="107"/>
        <v>0</v>
      </c>
      <c r="S426" s="1358">
        <f t="shared" si="108"/>
        <v>8.7455368523852467E-2</v>
      </c>
      <c r="T426" s="1358">
        <f t="shared" si="109"/>
        <v>1.4566583134504749</v>
      </c>
      <c r="U426" s="595">
        <f>IF('TAR_Tab 2_Volumina'!C429="storage",1,0)</f>
        <v>0</v>
      </c>
      <c r="V426" s="1362">
        <f t="shared" si="119"/>
        <v>1.4566583134504749</v>
      </c>
      <c r="W426" s="1362">
        <f t="shared" si="117"/>
        <v>1.5347104151023914</v>
      </c>
      <c r="X426" s="1355">
        <f t="shared" si="118"/>
        <v>1.5349999999999999</v>
      </c>
      <c r="Y426" s="1355">
        <f>X426+'TAR_Tab 13_Overige tarieven'!$T$15+'TAR_Tab 13_Overige tarieven'!$T$16</f>
        <v>1.6879999999999999</v>
      </c>
      <c r="Z426" s="960"/>
    </row>
    <row r="427" spans="1:26">
      <c r="A427" s="155">
        <v>301152</v>
      </c>
      <c r="B427" s="156" t="s">
        <v>258</v>
      </c>
      <c r="C427" s="839">
        <v>1.2111657353429914</v>
      </c>
      <c r="D427" s="1356">
        <f t="shared" si="110"/>
        <v>1.1549676452230766</v>
      </c>
      <c r="E427" s="1356">
        <f t="shared" si="111"/>
        <v>1.2203877497112019</v>
      </c>
      <c r="F427" s="1357"/>
      <c r="G427" s="1358">
        <f t="shared" si="112"/>
        <v>1.1593683622256417</v>
      </c>
      <c r="H427" s="1358">
        <f t="shared" si="113"/>
        <v>1.2814071371967621</v>
      </c>
      <c r="I427" s="833">
        <v>1.2268394155109705</v>
      </c>
      <c r="J427" s="1359" t="b">
        <f t="shared" si="114"/>
        <v>1</v>
      </c>
      <c r="K427" s="1583"/>
      <c r="L427" s="17"/>
      <c r="M427" s="1361">
        <f t="shared" si="115"/>
        <v>1.2268394155109705</v>
      </c>
      <c r="N427" s="1350"/>
      <c r="O427" s="1358">
        <f t="shared" si="116"/>
        <v>3.8580705339285835E-3</v>
      </c>
      <c r="P427" s="1358">
        <f t="shared" si="105"/>
        <v>3.0580626235411244E-3</v>
      </c>
      <c r="Q427" s="1358">
        <f t="shared" si="106"/>
        <v>8.4571649644303633E-3</v>
      </c>
      <c r="R427" s="1358">
        <f t="shared" si="107"/>
        <v>0</v>
      </c>
      <c r="S427" s="1358">
        <f t="shared" si="108"/>
        <v>7.9344096547790857E-2</v>
      </c>
      <c r="T427" s="1358">
        <f t="shared" si="109"/>
        <v>1.3215568101806614</v>
      </c>
      <c r="U427" s="595">
        <f>IF('TAR_Tab 2_Volumina'!C430="storage",1,0)</f>
        <v>0</v>
      </c>
      <c r="V427" s="1362">
        <f t="shared" si="119"/>
        <v>1.3215568101806614</v>
      </c>
      <c r="W427" s="1362">
        <f t="shared" si="117"/>
        <v>1.3923697699080975</v>
      </c>
      <c r="X427" s="1355">
        <f t="shared" si="118"/>
        <v>1.3919999999999999</v>
      </c>
      <c r="Y427" s="1355">
        <f>X427+'TAR_Tab 13_Overige tarieven'!$T$15+'TAR_Tab 13_Overige tarieven'!$T$16</f>
        <v>1.5449999999999999</v>
      </c>
      <c r="Z427" s="960"/>
    </row>
    <row r="428" spans="1:26">
      <c r="A428" s="155">
        <v>301153</v>
      </c>
      <c r="B428" s="156" t="s">
        <v>259</v>
      </c>
      <c r="C428" s="839">
        <v>1.3043659002169778</v>
      </c>
      <c r="D428" s="1356">
        <f t="shared" si="110"/>
        <v>1.2438433224469101</v>
      </c>
      <c r="E428" s="1356">
        <f t="shared" si="111"/>
        <v>1.3142975559121401</v>
      </c>
      <c r="F428" s="1357"/>
      <c r="G428" s="1358">
        <f t="shared" si="112"/>
        <v>1.248582678116533</v>
      </c>
      <c r="H428" s="1358">
        <f t="shared" si="113"/>
        <v>1.3800124337077473</v>
      </c>
      <c r="I428" s="833">
        <v>1.3212456825171512</v>
      </c>
      <c r="J428" s="1359" t="b">
        <f t="shared" si="114"/>
        <v>1</v>
      </c>
      <c r="K428" s="1583"/>
      <c r="L428" s="17"/>
      <c r="M428" s="1361">
        <f t="shared" si="115"/>
        <v>1.3212456825171512</v>
      </c>
      <c r="N428" s="1350"/>
      <c r="O428" s="1358">
        <f t="shared" si="116"/>
        <v>4.154952124420231E-3</v>
      </c>
      <c r="P428" s="1358">
        <f t="shared" si="105"/>
        <v>3.2933829702055679E-3</v>
      </c>
      <c r="Q428" s="1358">
        <f t="shared" si="106"/>
        <v>9.1079505225506972E-3</v>
      </c>
      <c r="R428" s="1358">
        <f t="shared" si="107"/>
        <v>0</v>
      </c>
      <c r="S428" s="1358">
        <f t="shared" si="108"/>
        <v>8.5449687768085286E-2</v>
      </c>
      <c r="T428" s="1358">
        <f t="shared" si="109"/>
        <v>1.4232516559024129</v>
      </c>
      <c r="U428" s="595">
        <f>IF('TAR_Tab 2_Volumina'!C431="storage",1,0)</f>
        <v>0</v>
      </c>
      <c r="V428" s="1362">
        <f t="shared" si="119"/>
        <v>1.4232516559024129</v>
      </c>
      <c r="W428" s="1362">
        <f t="shared" si="117"/>
        <v>1.4995137290989837</v>
      </c>
      <c r="X428" s="1355">
        <f t="shared" si="118"/>
        <v>1.5</v>
      </c>
      <c r="Y428" s="1355">
        <f>X428+'TAR_Tab 13_Overige tarieven'!$T$15+'TAR_Tab 13_Overige tarieven'!$T$16</f>
        <v>1.653</v>
      </c>
      <c r="Z428" s="960"/>
    </row>
    <row r="429" spans="1:26">
      <c r="A429" s="155">
        <v>301159</v>
      </c>
      <c r="B429" s="156" t="s">
        <v>260</v>
      </c>
      <c r="C429" s="839">
        <v>1.290372702820014</v>
      </c>
      <c r="D429" s="1356">
        <f t="shared" si="110"/>
        <v>1.2304994094091655</v>
      </c>
      <c r="E429" s="1356">
        <f t="shared" si="111"/>
        <v>1.3001978120172974</v>
      </c>
      <c r="F429" s="1357"/>
      <c r="G429" s="1358">
        <f t="shared" si="112"/>
        <v>1.2351879214164325</v>
      </c>
      <c r="H429" s="1358">
        <f t="shared" si="113"/>
        <v>1.3652077026181624</v>
      </c>
      <c r="I429" s="833">
        <v>1.3070713993330594</v>
      </c>
      <c r="J429" s="1359" t="b">
        <f t="shared" si="114"/>
        <v>1</v>
      </c>
      <c r="K429" s="1583"/>
      <c r="L429" s="17"/>
      <c r="M429" s="1361">
        <f t="shared" si="115"/>
        <v>1.3070713993330594</v>
      </c>
      <c r="N429" s="1350"/>
      <c r="O429" s="1358">
        <f t="shared" si="116"/>
        <v>4.1103779253843058E-3</v>
      </c>
      <c r="P429" s="1358">
        <f t="shared" si="105"/>
        <v>3.2580516586478074E-3</v>
      </c>
      <c r="Q429" s="1358">
        <f t="shared" si="106"/>
        <v>9.0102407085156707E-3</v>
      </c>
      <c r="R429" s="1358">
        <f t="shared" si="107"/>
        <v>0</v>
      </c>
      <c r="S429" s="1358">
        <f t="shared" si="108"/>
        <v>8.4532986136856794E-2</v>
      </c>
      <c r="T429" s="1358">
        <f t="shared" si="109"/>
        <v>1.4079830557624642</v>
      </c>
      <c r="U429" s="595">
        <f>IF('TAR_Tab 2_Volumina'!C432="storage",1,0)</f>
        <v>0</v>
      </c>
      <c r="V429" s="1362">
        <f t="shared" si="119"/>
        <v>1.4079830557624642</v>
      </c>
      <c r="W429" s="1362">
        <f t="shared" si="117"/>
        <v>1.4834269917753169</v>
      </c>
      <c r="X429" s="1355">
        <f t="shared" si="118"/>
        <v>1.4830000000000001</v>
      </c>
      <c r="Y429" s="1355">
        <f>X429+'TAR_Tab 13_Overige tarieven'!$T$15+'TAR_Tab 13_Overige tarieven'!$T$16</f>
        <v>1.6360000000000001</v>
      </c>
      <c r="Z429" s="960"/>
    </row>
    <row r="430" spans="1:26">
      <c r="A430" s="155">
        <v>301164</v>
      </c>
      <c r="B430" s="156" t="s">
        <v>261</v>
      </c>
      <c r="C430" s="839">
        <v>1.1366897485424998</v>
      </c>
      <c r="D430" s="1356">
        <f t="shared" si="110"/>
        <v>1.0839473442101277</v>
      </c>
      <c r="E430" s="1356">
        <f t="shared" si="111"/>
        <v>1.1453446905437179</v>
      </c>
      <c r="F430" s="1357"/>
      <c r="G430" s="1358">
        <f t="shared" si="112"/>
        <v>1.0880774560165321</v>
      </c>
      <c r="H430" s="1358">
        <f t="shared" si="113"/>
        <v>1.2026119250709038</v>
      </c>
      <c r="I430" s="833">
        <v>1.1513996359253609</v>
      </c>
      <c r="J430" s="1359" t="b">
        <f t="shared" si="114"/>
        <v>1</v>
      </c>
      <c r="K430" s="1583"/>
      <c r="L430" s="17"/>
      <c r="M430" s="1361">
        <f t="shared" si="115"/>
        <v>1.1513996359253609</v>
      </c>
      <c r="N430" s="1350"/>
      <c r="O430" s="1358">
        <f t="shared" si="116"/>
        <v>3.6208332989445037E-3</v>
      </c>
      <c r="P430" s="1358">
        <f t="shared" si="105"/>
        <v>2.8700188034924763E-3</v>
      </c>
      <c r="Q430" s="1358">
        <f t="shared" si="106"/>
        <v>7.9371240749957495E-3</v>
      </c>
      <c r="R430" s="1358">
        <f t="shared" si="107"/>
        <v>0</v>
      </c>
      <c r="S430" s="1358">
        <f t="shared" si="108"/>
        <v>7.4465135960686088E-2</v>
      </c>
      <c r="T430" s="1358">
        <f t="shared" si="109"/>
        <v>1.2402927480634796</v>
      </c>
      <c r="U430" s="595">
        <f>IF('TAR_Tab 2_Volumina'!C433="storage",1,0)</f>
        <v>0</v>
      </c>
      <c r="V430" s="1362">
        <f t="shared" si="119"/>
        <v>1.2402927480634796</v>
      </c>
      <c r="W430" s="1362">
        <f t="shared" si="117"/>
        <v>1.3067513367085213</v>
      </c>
      <c r="X430" s="1355">
        <f t="shared" si="118"/>
        <v>1.3069999999999999</v>
      </c>
      <c r="Y430" s="1355">
        <f>X430+'TAR_Tab 13_Overige tarieven'!$T$15+'TAR_Tab 13_Overige tarieven'!$T$16</f>
        <v>1.46</v>
      </c>
      <c r="Z430" s="960"/>
    </row>
    <row r="431" spans="1:26">
      <c r="A431" s="155">
        <v>301177</v>
      </c>
      <c r="B431" s="156" t="s">
        <v>262</v>
      </c>
      <c r="C431" s="839">
        <v>0.86957726681131853</v>
      </c>
      <c r="D431" s="1356">
        <f t="shared" si="110"/>
        <v>0.8292288816312734</v>
      </c>
      <c r="E431" s="1356">
        <f t="shared" si="111"/>
        <v>0.87619837060809347</v>
      </c>
      <c r="F431" s="1357"/>
      <c r="G431" s="1358">
        <f t="shared" si="112"/>
        <v>0.83238845207768875</v>
      </c>
      <c r="H431" s="1358">
        <f t="shared" si="113"/>
        <v>0.92000828913849819</v>
      </c>
      <c r="I431" s="833">
        <v>0.8808304550114342</v>
      </c>
      <c r="J431" s="1359" t="b">
        <f t="shared" si="114"/>
        <v>1</v>
      </c>
      <c r="K431" s="1583"/>
      <c r="L431" s="17"/>
      <c r="M431" s="1361">
        <f t="shared" si="115"/>
        <v>0.8808304550114342</v>
      </c>
      <c r="N431" s="1350"/>
      <c r="O431" s="1358">
        <f t="shared" si="116"/>
        <v>2.7699680829468207E-3</v>
      </c>
      <c r="P431" s="1358">
        <f t="shared" si="105"/>
        <v>2.1955886468037122E-3</v>
      </c>
      <c r="Q431" s="1358">
        <f t="shared" si="106"/>
        <v>6.0719670150337982E-3</v>
      </c>
      <c r="R431" s="1358">
        <f t="shared" si="107"/>
        <v>0</v>
      </c>
      <c r="S431" s="1358">
        <f t="shared" si="108"/>
        <v>5.696645851205686E-2</v>
      </c>
      <c r="T431" s="1358">
        <f t="shared" si="109"/>
        <v>0.94883443726827532</v>
      </c>
      <c r="U431" s="595">
        <f>IF('TAR_Tab 2_Volumina'!C434="storage",1,0)</f>
        <v>0</v>
      </c>
      <c r="V431" s="1362">
        <f t="shared" si="119"/>
        <v>0.94883443726827532</v>
      </c>
      <c r="W431" s="1362">
        <f t="shared" si="117"/>
        <v>0.99967581939932249</v>
      </c>
      <c r="X431" s="1355">
        <f t="shared" si="118"/>
        <v>1</v>
      </c>
      <c r="Y431" s="1355">
        <f>X431+'TAR_Tab 13_Overige tarieven'!$T$15+'TAR_Tab 13_Overige tarieven'!$T$16</f>
        <v>1.153</v>
      </c>
      <c r="Z431" s="960"/>
    </row>
    <row r="432" spans="1:26">
      <c r="A432" s="155">
        <v>301178</v>
      </c>
      <c r="B432" s="156" t="s">
        <v>263</v>
      </c>
      <c r="C432" s="839">
        <v>1.2294023427332432</v>
      </c>
      <c r="D432" s="1356">
        <f t="shared" si="110"/>
        <v>1.1723580740304207</v>
      </c>
      <c r="E432" s="1356">
        <f t="shared" si="111"/>
        <v>1.2387632136183389</v>
      </c>
      <c r="F432" s="1357"/>
      <c r="G432" s="1358">
        <f t="shared" si="112"/>
        <v>1.1768250529374218</v>
      </c>
      <c r="H432" s="1358">
        <f t="shared" si="113"/>
        <v>1.3007013742992559</v>
      </c>
      <c r="I432" s="833">
        <v>1.2453120226023722</v>
      </c>
      <c r="J432" s="1359" t="b">
        <f t="shared" si="114"/>
        <v>1</v>
      </c>
      <c r="K432" s="1583"/>
      <c r="L432" s="17"/>
      <c r="M432" s="1361">
        <f t="shared" si="115"/>
        <v>1.2453120226023722</v>
      </c>
      <c r="N432" s="1350"/>
      <c r="O432" s="1358">
        <f t="shared" si="116"/>
        <v>3.9161617724420561E-3</v>
      </c>
      <c r="P432" s="1358">
        <f t="shared" si="105"/>
        <v>3.1041080868604199E-3</v>
      </c>
      <c r="Q432" s="1358">
        <f t="shared" si="106"/>
        <v>8.5845050902201951E-3</v>
      </c>
      <c r="R432" s="1358">
        <f t="shared" si="107"/>
        <v>0</v>
      </c>
      <c r="S432" s="1358">
        <f t="shared" si="108"/>
        <v>8.0538786172218296E-2</v>
      </c>
      <c r="T432" s="1358">
        <f t="shared" si="109"/>
        <v>1.3414555837241131</v>
      </c>
      <c r="U432" s="595">
        <f>IF('TAR_Tab 2_Volumina'!C435="storage",1,0)</f>
        <v>0</v>
      </c>
      <c r="V432" s="1362">
        <f t="shared" si="119"/>
        <v>1.3414555837241131</v>
      </c>
      <c r="W432" s="1362">
        <f t="shared" si="117"/>
        <v>1.413334779150766</v>
      </c>
      <c r="X432" s="1355">
        <f t="shared" si="118"/>
        <v>1.413</v>
      </c>
      <c r="Y432" s="1355">
        <f>X432+'TAR_Tab 13_Overige tarieven'!$T$15+'TAR_Tab 13_Overige tarieven'!$T$16</f>
        <v>1.5660000000000001</v>
      </c>
      <c r="Z432" s="960"/>
    </row>
    <row r="433" spans="1:26">
      <c r="A433" s="155">
        <v>301180</v>
      </c>
      <c r="B433" s="156" t="s">
        <v>357</v>
      </c>
      <c r="C433" s="839">
        <v>1.5462483123644943</v>
      </c>
      <c r="D433" s="1356">
        <f t="shared" si="110"/>
        <v>1.4745023906707817</v>
      </c>
      <c r="E433" s="1356">
        <f t="shared" si="111"/>
        <v>1.5580217003801389</v>
      </c>
      <c r="F433" s="1357"/>
      <c r="G433" s="1358">
        <f t="shared" si="112"/>
        <v>1.4801206153611319</v>
      </c>
      <c r="H433" s="1358">
        <f t="shared" si="113"/>
        <v>1.6359227853991458</v>
      </c>
      <c r="I433" s="833">
        <v>1.566258291842171</v>
      </c>
      <c r="J433" s="1359" t="b">
        <f t="shared" si="114"/>
        <v>1</v>
      </c>
      <c r="K433" s="1583"/>
      <c r="L433" s="17"/>
      <c r="M433" s="1361">
        <f t="shared" si="115"/>
        <v>1.566258291842171</v>
      </c>
      <c r="N433" s="1350"/>
      <c r="O433" s="1358">
        <f t="shared" si="116"/>
        <v>4.9254489934698071E-3</v>
      </c>
      <c r="P433" s="1358">
        <f t="shared" si="105"/>
        <v>3.904109927132578E-3</v>
      </c>
      <c r="Q433" s="1358">
        <f t="shared" si="106"/>
        <v>1.0796934450870444E-2</v>
      </c>
      <c r="R433" s="1358">
        <f t="shared" si="107"/>
        <v>0</v>
      </c>
      <c r="S433" s="1358">
        <f t="shared" si="108"/>
        <v>0.10129553025074939</v>
      </c>
      <c r="T433" s="1358">
        <f t="shared" si="109"/>
        <v>1.6871803154643934</v>
      </c>
      <c r="U433" s="595">
        <f>IF('TAR_Tab 2_Volumina'!C436="storage",1,0)</f>
        <v>0</v>
      </c>
      <c r="V433" s="1362">
        <f t="shared" si="119"/>
        <v>1.6871803154643934</v>
      </c>
      <c r="W433" s="1362">
        <f t="shared" si="117"/>
        <v>1.7775844742652325</v>
      </c>
      <c r="X433" s="1355">
        <f t="shared" si="118"/>
        <v>1.778</v>
      </c>
      <c r="Y433" s="1355">
        <f>X433+'TAR_Tab 13_Overige tarieven'!$T$15+'TAR_Tab 13_Overige tarieven'!$T$16</f>
        <v>1.931</v>
      </c>
      <c r="Z433" s="960"/>
    </row>
    <row r="434" spans="1:26">
      <c r="A434" s="155">
        <v>301182</v>
      </c>
      <c r="B434" s="156" t="s">
        <v>264</v>
      </c>
      <c r="C434" s="839">
        <v>1.248403728743237</v>
      </c>
      <c r="D434" s="1356">
        <f t="shared" si="110"/>
        <v>1.1904777957295509</v>
      </c>
      <c r="E434" s="1356">
        <f t="shared" si="111"/>
        <v>1.2579092792949438</v>
      </c>
      <c r="F434" s="1357"/>
      <c r="G434" s="1358">
        <f t="shared" si="112"/>
        <v>1.1950138153301966</v>
      </c>
      <c r="H434" s="1358">
        <f t="shared" si="113"/>
        <v>1.320804743259691</v>
      </c>
      <c r="I434" s="833">
        <v>1.2645593053037754</v>
      </c>
      <c r="J434" s="1359" t="b">
        <f t="shared" si="114"/>
        <v>1</v>
      </c>
      <c r="K434" s="1583"/>
      <c r="L434" s="17"/>
      <c r="M434" s="1361">
        <f t="shared" si="115"/>
        <v>1.2645593053037754</v>
      </c>
      <c r="N434" s="1350"/>
      <c r="O434" s="1358">
        <f t="shared" si="116"/>
        <v>3.9766891514206237E-3</v>
      </c>
      <c r="P434" s="1358">
        <f t="shared" si="105"/>
        <v>3.1520845335654486E-3</v>
      </c>
      <c r="Q434" s="1358">
        <f t="shared" si="106"/>
        <v>8.7171854091476712E-3</v>
      </c>
      <c r="R434" s="1358">
        <f t="shared" si="107"/>
        <v>0</v>
      </c>
      <c r="S434" s="1358">
        <f t="shared" si="108"/>
        <v>8.1783576841343242E-2</v>
      </c>
      <c r="T434" s="1358">
        <f t="shared" si="109"/>
        <v>1.3621888412392524</v>
      </c>
      <c r="U434" s="595">
        <f>IF('TAR_Tab 2_Volumina'!C437="storage",1,0)</f>
        <v>0</v>
      </c>
      <c r="V434" s="1362">
        <f t="shared" si="119"/>
        <v>1.3621888412392524</v>
      </c>
      <c r="W434" s="1362">
        <f t="shared" si="117"/>
        <v>1.4351789865078857</v>
      </c>
      <c r="X434" s="1355">
        <f t="shared" si="118"/>
        <v>1.4350000000000001</v>
      </c>
      <c r="Y434" s="1355">
        <f>X434+'TAR_Tab 13_Overige tarieven'!$T$15+'TAR_Tab 13_Overige tarieven'!$T$16</f>
        <v>1.5880000000000001</v>
      </c>
      <c r="Z434" s="960"/>
    </row>
    <row r="435" spans="1:26">
      <c r="A435" s="155">
        <v>301183</v>
      </c>
      <c r="B435" s="156" t="s">
        <v>225</v>
      </c>
      <c r="C435" s="839">
        <v>1.248403728743237</v>
      </c>
      <c r="D435" s="1356">
        <f t="shared" si="110"/>
        <v>1.1904777957295509</v>
      </c>
      <c r="E435" s="1356">
        <f t="shared" si="111"/>
        <v>1.2579092792949438</v>
      </c>
      <c r="F435" s="1357"/>
      <c r="G435" s="1358">
        <f t="shared" si="112"/>
        <v>1.1950138153301966</v>
      </c>
      <c r="H435" s="1358">
        <f t="shared" si="113"/>
        <v>1.320804743259691</v>
      </c>
      <c r="I435" s="833">
        <v>1.2645593053037754</v>
      </c>
      <c r="J435" s="1359" t="b">
        <f t="shared" si="114"/>
        <v>1</v>
      </c>
      <c r="K435" s="1583"/>
      <c r="L435" s="17"/>
      <c r="M435" s="1361">
        <f t="shared" si="115"/>
        <v>1.2645593053037754</v>
      </c>
      <c r="N435" s="1350"/>
      <c r="O435" s="1358">
        <f t="shared" si="116"/>
        <v>3.9766891514206237E-3</v>
      </c>
      <c r="P435" s="1358">
        <f t="shared" si="105"/>
        <v>3.1520845335654486E-3</v>
      </c>
      <c r="Q435" s="1358">
        <f t="shared" si="106"/>
        <v>8.7171854091476712E-3</v>
      </c>
      <c r="R435" s="1358">
        <f t="shared" si="107"/>
        <v>0</v>
      </c>
      <c r="S435" s="1358">
        <f t="shared" si="108"/>
        <v>8.1783576841343242E-2</v>
      </c>
      <c r="T435" s="1358">
        <f t="shared" si="109"/>
        <v>1.3621888412392524</v>
      </c>
      <c r="U435" s="595">
        <f>IF('TAR_Tab 2_Volumina'!C438="storage",1,0)</f>
        <v>0</v>
      </c>
      <c r="V435" s="1362">
        <f t="shared" si="119"/>
        <v>1.3621888412392524</v>
      </c>
      <c r="W435" s="1362">
        <f t="shared" si="117"/>
        <v>1.4351789865078857</v>
      </c>
      <c r="X435" s="1355">
        <f t="shared" si="118"/>
        <v>1.4350000000000001</v>
      </c>
      <c r="Y435" s="1355">
        <f>X435+'TAR_Tab 13_Overige tarieven'!$T$15+'TAR_Tab 13_Overige tarieven'!$T$16</f>
        <v>1.5880000000000001</v>
      </c>
      <c r="Z435" s="960"/>
    </row>
    <row r="436" spans="1:26">
      <c r="A436" s="155">
        <v>301184</v>
      </c>
      <c r="B436" s="156" t="s">
        <v>494</v>
      </c>
      <c r="C436" s="839">
        <v>2.3053619674182362</v>
      </c>
      <c r="D436" s="1356">
        <f t="shared" si="110"/>
        <v>2.19839317213003</v>
      </c>
      <c r="E436" s="1356">
        <f t="shared" si="111"/>
        <v>2.3229153711903767</v>
      </c>
      <c r="F436" s="1357"/>
      <c r="G436" s="1358">
        <f t="shared" si="112"/>
        <v>2.2067696026308576</v>
      </c>
      <c r="H436" s="1358">
        <f t="shared" si="113"/>
        <v>2.4390611397498958</v>
      </c>
      <c r="I436" s="833">
        <v>2.3351956269202563</v>
      </c>
      <c r="J436" s="1359" t="b">
        <f t="shared" si="114"/>
        <v>1</v>
      </c>
      <c r="K436" s="1583"/>
      <c r="L436" s="17"/>
      <c r="M436" s="1361">
        <f t="shared" si="115"/>
        <v>2.3351956269202563</v>
      </c>
      <c r="N436" s="1350"/>
      <c r="O436" s="1358">
        <f t="shared" si="116"/>
        <v>7.3435441715308698E-3</v>
      </c>
      <c r="P436" s="1358">
        <f t="shared" si="105"/>
        <v>5.8207898890885144E-3</v>
      </c>
      <c r="Q436" s="1358">
        <f t="shared" si="106"/>
        <v>1.6097571036104676E-2</v>
      </c>
      <c r="R436" s="1358">
        <f t="shared" si="107"/>
        <v>0</v>
      </c>
      <c r="S436" s="1358">
        <f t="shared" si="108"/>
        <v>0.15102546016845267</v>
      </c>
      <c r="T436" s="1358">
        <f t="shared" si="109"/>
        <v>2.5154829921854334</v>
      </c>
      <c r="U436" s="595">
        <f>IF('TAR_Tab 2_Volumina'!C439="storage",1,0)</f>
        <v>0</v>
      </c>
      <c r="V436" s="1362">
        <f t="shared" si="119"/>
        <v>2.5154829921854334</v>
      </c>
      <c r="W436" s="1362">
        <f t="shared" si="117"/>
        <v>2.6502700815095213</v>
      </c>
      <c r="X436" s="1355">
        <f t="shared" si="118"/>
        <v>2.65</v>
      </c>
      <c r="Y436" s="1355">
        <f>X436+'TAR_Tab 13_Overige tarieven'!$T$15+'TAR_Tab 13_Overige tarieven'!$T$16</f>
        <v>2.8029999999999999</v>
      </c>
      <c r="Z436" s="960"/>
    </row>
    <row r="437" spans="1:26">
      <c r="A437" s="155">
        <v>301185</v>
      </c>
      <c r="B437" s="156" t="s">
        <v>1123</v>
      </c>
      <c r="C437" s="839">
        <v>0.74246693920090279</v>
      </c>
      <c r="D437" s="1356">
        <f t="shared" si="110"/>
        <v>0.70801647322198091</v>
      </c>
      <c r="E437" s="1356">
        <f t="shared" si="111"/>
        <v>0.74812020413519598</v>
      </c>
      <c r="F437" s="1357"/>
      <c r="G437" s="1358">
        <f t="shared" si="112"/>
        <v>0.71071419392843616</v>
      </c>
      <c r="H437" s="1358">
        <f t="shared" si="113"/>
        <v>0.7855262143419558</v>
      </c>
      <c r="I437" s="833">
        <v>0.7520751942899867</v>
      </c>
      <c r="J437" s="1359" t="b">
        <f t="shared" si="114"/>
        <v>1</v>
      </c>
      <c r="K437" s="1583"/>
      <c r="L437" s="17"/>
      <c r="M437" s="1361">
        <f t="shared" si="115"/>
        <v>0.7520751942899867</v>
      </c>
      <c r="N437" s="1350"/>
      <c r="O437" s="1358">
        <f t="shared" si="116"/>
        <v>2.3650684105061396E-3</v>
      </c>
      <c r="P437" s="1358">
        <f t="shared" si="105"/>
        <v>1.8746488029916673E-3</v>
      </c>
      <c r="Q437" s="1358">
        <f t="shared" si="106"/>
        <v>5.1843981399288183E-3</v>
      </c>
      <c r="R437" s="1358">
        <f t="shared" si="107"/>
        <v>0</v>
      </c>
      <c r="S437" s="1358">
        <f t="shared" si="108"/>
        <v>4.8639394913873042E-2</v>
      </c>
      <c r="T437" s="1358">
        <f t="shared" si="109"/>
        <v>0.81013870455728632</v>
      </c>
      <c r="U437" s="595">
        <f>IF('TAR_Tab 2_Volumina'!C440="storage",1,0)</f>
        <v>1</v>
      </c>
      <c r="V437" s="1362">
        <f t="shared" si="119"/>
        <v>0.60760402841796468</v>
      </c>
      <c r="W437" s="1362">
        <f t="shared" si="117"/>
        <v>0.60760402841796468</v>
      </c>
      <c r="X437" s="1355">
        <f t="shared" si="118"/>
        <v>0.60799999999999998</v>
      </c>
      <c r="Y437" s="1355">
        <f>X437+'TAR_Tab 13_Overige tarieven'!$T$15+'TAR_Tab 13_Overige tarieven'!$T$16</f>
        <v>0.76100000000000001</v>
      </c>
      <c r="Z437" s="960"/>
    </row>
    <row r="438" spans="1:26">
      <c r="A438" s="155">
        <v>301186</v>
      </c>
      <c r="B438" s="156" t="s">
        <v>358</v>
      </c>
      <c r="C438" s="839">
        <v>0.88546382948872837</v>
      </c>
      <c r="D438" s="1356">
        <f t="shared" si="110"/>
        <v>0.84437830780045142</v>
      </c>
      <c r="E438" s="1356">
        <f t="shared" si="111"/>
        <v>0.89220589617687107</v>
      </c>
      <c r="F438" s="1357"/>
      <c r="G438" s="1358">
        <f t="shared" si="112"/>
        <v>0.84759560136802747</v>
      </c>
      <c r="H438" s="1358">
        <f t="shared" si="113"/>
        <v>0.93681619098571467</v>
      </c>
      <c r="I438" s="833">
        <v>0.89692260549165936</v>
      </c>
      <c r="J438" s="1359" t="b">
        <f t="shared" si="114"/>
        <v>1</v>
      </c>
      <c r="K438" s="1583"/>
      <c r="L438" s="17"/>
      <c r="M438" s="1361">
        <f t="shared" si="115"/>
        <v>0.89692260549165936</v>
      </c>
      <c r="N438" s="1350"/>
      <c r="O438" s="1358">
        <f t="shared" si="116"/>
        <v>2.8205734440155663E-3</v>
      </c>
      <c r="P438" s="1358">
        <f t="shared" si="105"/>
        <v>2.2357005011293899E-3</v>
      </c>
      <c r="Q438" s="1358">
        <f t="shared" si="106"/>
        <v>6.1828975651311135E-3</v>
      </c>
      <c r="R438" s="1358">
        <f t="shared" si="107"/>
        <v>0</v>
      </c>
      <c r="S438" s="1358">
        <f t="shared" si="108"/>
        <v>5.8007195486449531E-2</v>
      </c>
      <c r="T438" s="1358">
        <f t="shared" si="109"/>
        <v>0.96616897248838496</v>
      </c>
      <c r="U438" s="595">
        <f>IF('TAR_Tab 2_Volumina'!C441="storage",1,0)</f>
        <v>0</v>
      </c>
      <c r="V438" s="1362">
        <f t="shared" si="119"/>
        <v>0.96616897248838496</v>
      </c>
      <c r="W438" s="1362">
        <f t="shared" si="117"/>
        <v>1.0179391907731103</v>
      </c>
      <c r="X438" s="1355">
        <f t="shared" si="118"/>
        <v>1.018</v>
      </c>
      <c r="Y438" s="1355">
        <f>X438+'TAR_Tab 13_Overige tarieven'!$T$15+'TAR_Tab 13_Overige tarieven'!$T$16</f>
        <v>1.171</v>
      </c>
      <c r="Z438" s="960"/>
    </row>
    <row r="439" spans="1:26">
      <c r="A439" s="155">
        <v>301187</v>
      </c>
      <c r="B439" s="156" t="s">
        <v>359</v>
      </c>
      <c r="C439" s="839">
        <v>1.0661102963743887</v>
      </c>
      <c r="D439" s="1356">
        <f t="shared" si="110"/>
        <v>1.0166427786226171</v>
      </c>
      <c r="E439" s="1356">
        <f t="shared" si="111"/>
        <v>1.0742278348617844</v>
      </c>
      <c r="F439" s="1357"/>
      <c r="G439" s="1358">
        <f t="shared" si="112"/>
        <v>1.020516443118695</v>
      </c>
      <c r="H439" s="1358">
        <f t="shared" si="113"/>
        <v>1.1279392266048738</v>
      </c>
      <c r="I439" s="833">
        <v>1.0799068159765797</v>
      </c>
      <c r="J439" s="1359" t="b">
        <f t="shared" si="114"/>
        <v>1</v>
      </c>
      <c r="K439" s="1583"/>
      <c r="L439" s="17"/>
      <c r="M439" s="1361">
        <f t="shared" si="115"/>
        <v>1.0799068159765797</v>
      </c>
      <c r="N439" s="1350"/>
      <c r="O439" s="1358">
        <f t="shared" si="116"/>
        <v>3.3960081600187416E-3</v>
      </c>
      <c r="P439" s="1358">
        <f t="shared" si="105"/>
        <v>2.6918133123965894E-3</v>
      </c>
      <c r="Q439" s="1358">
        <f t="shared" si="106"/>
        <v>7.4442913827665576E-3</v>
      </c>
      <c r="R439" s="1358">
        <f t="shared" si="107"/>
        <v>0</v>
      </c>
      <c r="S439" s="1358">
        <f t="shared" si="108"/>
        <v>6.9841439381678361E-2</v>
      </c>
      <c r="T439" s="1358">
        <f t="shared" si="109"/>
        <v>1.1632803682134401</v>
      </c>
      <c r="U439" s="595">
        <f>IF('TAR_Tab 2_Volumina'!C442="storage",1,0)</f>
        <v>0</v>
      </c>
      <c r="V439" s="1362">
        <f t="shared" si="119"/>
        <v>1.1632803682134401</v>
      </c>
      <c r="W439" s="1362">
        <f t="shared" si="117"/>
        <v>1.2256124036064204</v>
      </c>
      <c r="X439" s="1355">
        <f t="shared" si="118"/>
        <v>1.226</v>
      </c>
      <c r="Y439" s="1355">
        <f>X439+'TAR_Tab 13_Overige tarieven'!$T$15+'TAR_Tab 13_Overige tarieven'!$T$16</f>
        <v>1.379</v>
      </c>
      <c r="Z439" s="960"/>
    </row>
    <row r="440" spans="1:26">
      <c r="A440" s="155">
        <v>301188</v>
      </c>
      <c r="B440" s="156" t="s">
        <v>360</v>
      </c>
      <c r="C440" s="839">
        <v>1.1450814294391585</v>
      </c>
      <c r="D440" s="1356">
        <f t="shared" si="110"/>
        <v>1.0919496511131814</v>
      </c>
      <c r="E440" s="1356">
        <f t="shared" si="111"/>
        <v>1.1538002670737686</v>
      </c>
      <c r="F440" s="1357"/>
      <c r="G440" s="1358">
        <f t="shared" si="112"/>
        <v>1.0961102537200802</v>
      </c>
      <c r="H440" s="1358">
        <f t="shared" si="113"/>
        <v>1.211490280427457</v>
      </c>
      <c r="I440" s="833">
        <v>1.1598999134563264</v>
      </c>
      <c r="J440" s="1359" t="b">
        <f t="shared" si="114"/>
        <v>1</v>
      </c>
      <c r="K440" s="1583"/>
      <c r="L440" s="17"/>
      <c r="M440" s="1361">
        <f t="shared" si="115"/>
        <v>1.1598999134563264</v>
      </c>
      <c r="N440" s="1350"/>
      <c r="O440" s="1358">
        <f t="shared" si="116"/>
        <v>3.64756432002013E-3</v>
      </c>
      <c r="P440" s="1358">
        <f t="shared" si="105"/>
        <v>2.8912068910926332E-3</v>
      </c>
      <c r="Q440" s="1358">
        <f t="shared" si="106"/>
        <v>7.9957203740825995E-3</v>
      </c>
      <c r="R440" s="1358">
        <f t="shared" si="107"/>
        <v>0</v>
      </c>
      <c r="S440" s="1358">
        <f t="shared" si="108"/>
        <v>7.5014879335876763E-2</v>
      </c>
      <c r="T440" s="1358">
        <f t="shared" ref="T440:T487" si="120">M440+O440+P440+Q440+R440+S440</f>
        <v>1.2494492843773986</v>
      </c>
      <c r="U440" s="595">
        <f>IF('TAR_Tab 2_Volumina'!C443="storage",1,0)</f>
        <v>0</v>
      </c>
      <c r="V440" s="1362">
        <f t="shared" si="119"/>
        <v>1.2494492843773986</v>
      </c>
      <c r="W440" s="1362">
        <f t="shared" si="117"/>
        <v>1.3163985075772664</v>
      </c>
      <c r="X440" s="1355">
        <f t="shared" si="118"/>
        <v>1.3160000000000001</v>
      </c>
      <c r="Y440" s="1355">
        <f>X440+'TAR_Tab 13_Overige tarieven'!$T$15+'TAR_Tab 13_Overige tarieven'!$T$16</f>
        <v>1.4690000000000001</v>
      </c>
      <c r="Z440" s="960"/>
    </row>
    <row r="441" spans="1:26">
      <c r="A441" s="155">
        <v>301189</v>
      </c>
      <c r="B441" s="156" t="s">
        <v>361</v>
      </c>
      <c r="C441" s="839">
        <v>1.1213900895197273</v>
      </c>
      <c r="D441" s="1356">
        <f t="shared" si="110"/>
        <v>1.0693575893660119</v>
      </c>
      <c r="E441" s="1356">
        <f t="shared" si="111"/>
        <v>1.1299285374101731</v>
      </c>
      <c r="F441" s="1357"/>
      <c r="G441" s="1358">
        <f t="shared" si="112"/>
        <v>1.0734321105396645</v>
      </c>
      <c r="H441" s="1358">
        <f t="shared" si="113"/>
        <v>1.1864249642806817</v>
      </c>
      <c r="I441" s="833">
        <v>1.1359019842124021</v>
      </c>
      <c r="J441" s="1359" t="b">
        <f t="shared" ref="J441:J488" si="121">IF(I441&gt;0,AND(I441&gt;=G441,I441&lt;=H441),"")</f>
        <v>1</v>
      </c>
      <c r="K441" s="1583"/>
      <c r="L441" s="17"/>
      <c r="M441" s="1361">
        <f t="shared" ref="M441:M488" si="122">IF(I441&gt;0,I441,E441)</f>
        <v>1.1359019842124021</v>
      </c>
      <c r="N441" s="1350"/>
      <c r="O441" s="1358">
        <f t="shared" si="116"/>
        <v>3.5720974720197126E-3</v>
      </c>
      <c r="P441" s="1358">
        <f t="shared" si="105"/>
        <v>2.8313888174838196E-3</v>
      </c>
      <c r="Q441" s="1358">
        <f t="shared" si="106"/>
        <v>7.8302916766877853E-3</v>
      </c>
      <c r="R441" s="1358">
        <f t="shared" si="107"/>
        <v>0</v>
      </c>
      <c r="S441" s="1358">
        <f t="shared" si="108"/>
        <v>7.3462847349617222E-2</v>
      </c>
      <c r="T441" s="1358">
        <f t="shared" si="120"/>
        <v>1.2235986095282105</v>
      </c>
      <c r="U441" s="595">
        <f>IF('TAR_Tab 2_Volumina'!C444="storage",1,0)</f>
        <v>0</v>
      </c>
      <c r="V441" s="1362">
        <f t="shared" si="119"/>
        <v>1.2235986095282105</v>
      </c>
      <c r="W441" s="1362">
        <f t="shared" si="117"/>
        <v>1.2891626763860122</v>
      </c>
      <c r="X441" s="1355">
        <f t="shared" si="118"/>
        <v>1.2889999999999999</v>
      </c>
      <c r="Y441" s="1355">
        <f>X441+'TAR_Tab 13_Overige tarieven'!$T$15+'TAR_Tab 13_Overige tarieven'!$T$16</f>
        <v>1.4419999999999999</v>
      </c>
      <c r="Z441" s="960"/>
    </row>
    <row r="442" spans="1:26">
      <c r="A442" s="155">
        <v>301190</v>
      </c>
      <c r="B442" s="156" t="s">
        <v>362</v>
      </c>
      <c r="C442" s="839">
        <v>0.97924205000314213</v>
      </c>
      <c r="D442" s="1356">
        <f t="shared" si="110"/>
        <v>0.93380521888299639</v>
      </c>
      <c r="E442" s="1356">
        <f t="shared" si="111"/>
        <v>0.98669815942860206</v>
      </c>
      <c r="F442" s="1357"/>
      <c r="G442" s="1358">
        <f t="shared" si="112"/>
        <v>0.93736325145717192</v>
      </c>
      <c r="H442" s="1358">
        <f t="shared" si="113"/>
        <v>1.0360330674000322</v>
      </c>
      <c r="I442" s="833">
        <v>0.99191440874885839</v>
      </c>
      <c r="J442" s="1359" t="b">
        <f t="shared" si="121"/>
        <v>1</v>
      </c>
      <c r="K442" s="1583"/>
      <c r="L442" s="17"/>
      <c r="M442" s="1361">
        <f t="shared" si="122"/>
        <v>0.99191440874885839</v>
      </c>
      <c r="N442" s="1350"/>
      <c r="O442" s="1358">
        <f t="shared" si="116"/>
        <v>3.1192963840172144E-3</v>
      </c>
      <c r="P442" s="1358">
        <f t="shared" si="105"/>
        <v>2.4724803758309414E-3</v>
      </c>
      <c r="Q442" s="1358">
        <f t="shared" si="106"/>
        <v>6.8377194923189121E-3</v>
      </c>
      <c r="R442" s="1358">
        <f t="shared" si="107"/>
        <v>0</v>
      </c>
      <c r="S442" s="1358">
        <f t="shared" si="108"/>
        <v>6.4150655432060125E-2</v>
      </c>
      <c r="T442" s="1358">
        <f t="shared" si="120"/>
        <v>1.0684945604330855</v>
      </c>
      <c r="U442" s="595">
        <f>IF('TAR_Tab 2_Volumina'!C445="storage",1,0)</f>
        <v>0</v>
      </c>
      <c r="V442" s="1362">
        <f t="shared" si="119"/>
        <v>1.0684945604330855</v>
      </c>
      <c r="W442" s="1362">
        <f t="shared" si="117"/>
        <v>1.1257476892384897</v>
      </c>
      <c r="X442" s="1355">
        <f t="shared" si="118"/>
        <v>1.1259999999999999</v>
      </c>
      <c r="Y442" s="1355">
        <f>X442+'TAR_Tab 13_Overige tarieven'!$T$15+'TAR_Tab 13_Overige tarieven'!$T$16</f>
        <v>1.2789999999999999</v>
      </c>
      <c r="Z442" s="960"/>
    </row>
    <row r="443" spans="1:26">
      <c r="A443" s="155">
        <v>301191</v>
      </c>
      <c r="B443" s="156" t="s">
        <v>1124</v>
      </c>
      <c r="C443" s="839">
        <v>2.0532494596840083</v>
      </c>
      <c r="D443" s="1356">
        <f t="shared" si="110"/>
        <v>1.9579786847546703</v>
      </c>
      <c r="E443" s="1356">
        <f t="shared" si="111"/>
        <v>2.0688832375115855</v>
      </c>
      <c r="F443" s="1357"/>
      <c r="G443" s="1358">
        <f t="shared" si="112"/>
        <v>1.9654390756360061</v>
      </c>
      <c r="H443" s="1358">
        <f t="shared" si="113"/>
        <v>2.1723273993871648</v>
      </c>
      <c r="I443" s="833">
        <v>2.0798205344734133</v>
      </c>
      <c r="J443" s="1359" t="b">
        <f t="shared" si="121"/>
        <v>1</v>
      </c>
      <c r="K443" s="1583"/>
      <c r="L443" s="17"/>
      <c r="M443" s="1361">
        <f t="shared" si="122"/>
        <v>2.0798205344734133</v>
      </c>
      <c r="N443" s="1350"/>
      <c r="O443" s="1358">
        <f t="shared" si="116"/>
        <v>6.5404601600360969E-3</v>
      </c>
      <c r="P443" s="1358">
        <f t="shared" si="105"/>
        <v>5.1842330460971373E-3</v>
      </c>
      <c r="Q443" s="1358">
        <f t="shared" si="106"/>
        <v>1.4337153774217078E-2</v>
      </c>
      <c r="R443" s="1358">
        <f t="shared" si="107"/>
        <v>0</v>
      </c>
      <c r="S443" s="1358">
        <f t="shared" si="108"/>
        <v>0.13450943880915836</v>
      </c>
      <c r="T443" s="1358">
        <f t="shared" si="120"/>
        <v>2.2403918202629218</v>
      </c>
      <c r="U443" s="595">
        <f>IF('TAR_Tab 2_Volumina'!C446="storage",1,0)</f>
        <v>0</v>
      </c>
      <c r="V443" s="1362">
        <f t="shared" si="119"/>
        <v>2.2403918202629218</v>
      </c>
      <c r="W443" s="1362">
        <f t="shared" si="117"/>
        <v>2.3604387032419951</v>
      </c>
      <c r="X443" s="1355">
        <f t="shared" si="118"/>
        <v>2.36</v>
      </c>
      <c r="Y443" s="1355">
        <f>X443+'TAR_Tab 13_Overige tarieven'!$T$15+'TAR_Tab 13_Overige tarieven'!$T$16</f>
        <v>2.5129999999999999</v>
      </c>
      <c r="Z443" s="960"/>
    </row>
    <row r="444" spans="1:26">
      <c r="A444" s="155">
        <v>301193</v>
      </c>
      <c r="B444" s="156" t="s">
        <v>363</v>
      </c>
      <c r="C444" s="839">
        <v>2.0295581197645767</v>
      </c>
      <c r="D444" s="1356">
        <f t="shared" si="110"/>
        <v>1.9353866230075003</v>
      </c>
      <c r="E444" s="1356">
        <f t="shared" si="111"/>
        <v>2.0450115078479896</v>
      </c>
      <c r="F444" s="1357"/>
      <c r="G444" s="1358">
        <f t="shared" si="112"/>
        <v>1.9427609324555899</v>
      </c>
      <c r="H444" s="1358">
        <f t="shared" si="113"/>
        <v>2.1472620832403893</v>
      </c>
      <c r="I444" s="833">
        <v>2.0558226052294888</v>
      </c>
      <c r="J444" s="1359" t="b">
        <f t="shared" si="121"/>
        <v>1</v>
      </c>
      <c r="K444" s="1583"/>
      <c r="L444" s="17"/>
      <c r="M444" s="1361">
        <f t="shared" si="122"/>
        <v>2.0558226052294888</v>
      </c>
      <c r="N444" s="1350"/>
      <c r="O444" s="1358">
        <f t="shared" si="116"/>
        <v>6.464993312035679E-3</v>
      </c>
      <c r="P444" s="1358">
        <f t="shared" si="105"/>
        <v>5.1244149724883224E-3</v>
      </c>
      <c r="Q444" s="1358">
        <f t="shared" si="106"/>
        <v>1.4171725076822262E-2</v>
      </c>
      <c r="R444" s="1358">
        <f t="shared" si="107"/>
        <v>0</v>
      </c>
      <c r="S444" s="1358">
        <f t="shared" si="108"/>
        <v>0.1329574068228988</v>
      </c>
      <c r="T444" s="1358">
        <f t="shared" si="120"/>
        <v>2.2145411454137336</v>
      </c>
      <c r="U444" s="595">
        <f>IF('TAR_Tab 2_Volumina'!C447="storage",1,0)</f>
        <v>0</v>
      </c>
      <c r="V444" s="1362">
        <f t="shared" si="119"/>
        <v>2.2145411454137336</v>
      </c>
      <c r="W444" s="1362">
        <f t="shared" si="117"/>
        <v>2.333202872050741</v>
      </c>
      <c r="X444" s="1355">
        <f t="shared" si="118"/>
        <v>2.3330000000000002</v>
      </c>
      <c r="Y444" s="1355">
        <f>X444+'TAR_Tab 13_Overige tarieven'!$T$15+'TAR_Tab 13_Overige tarieven'!$T$16</f>
        <v>2.4860000000000002</v>
      </c>
      <c r="Z444" s="960"/>
    </row>
    <row r="445" spans="1:26">
      <c r="A445" s="155">
        <v>301194</v>
      </c>
      <c r="B445" s="156" t="s">
        <v>364</v>
      </c>
      <c r="C445" s="839">
        <v>1.5863326354385583</v>
      </c>
      <c r="D445" s="1356">
        <f t="shared" si="110"/>
        <v>1.5127268011542092</v>
      </c>
      <c r="E445" s="1356">
        <f t="shared" si="111"/>
        <v>1.5984112320582295</v>
      </c>
      <c r="F445" s="1357"/>
      <c r="G445" s="1358">
        <f t="shared" si="112"/>
        <v>1.518490670455318</v>
      </c>
      <c r="H445" s="1358">
        <f t="shared" si="113"/>
        <v>1.678331793661141</v>
      </c>
      <c r="I445" s="833">
        <v>1.606861345624411</v>
      </c>
      <c r="J445" s="1359" t="b">
        <f t="shared" si="121"/>
        <v>1</v>
      </c>
      <c r="K445" s="1583"/>
      <c r="L445" s="17"/>
      <c r="M445" s="1361">
        <f t="shared" si="122"/>
        <v>1.606861345624411</v>
      </c>
      <c r="N445" s="1350"/>
      <c r="O445" s="1358">
        <f t="shared" si="116"/>
        <v>5.0531343640278876E-3</v>
      </c>
      <c r="P445" s="1358">
        <f t="shared" si="105"/>
        <v>4.005318512056778E-3</v>
      </c>
      <c r="Q445" s="1358">
        <f t="shared" si="106"/>
        <v>1.1076829863060982E-2</v>
      </c>
      <c r="R445" s="1358">
        <f t="shared" si="107"/>
        <v>0</v>
      </c>
      <c r="S445" s="1358">
        <f t="shared" si="108"/>
        <v>0.10392147507996032</v>
      </c>
      <c r="T445" s="1358">
        <f t="shared" si="120"/>
        <v>1.730918103443517</v>
      </c>
      <c r="U445" s="595">
        <f>IF('TAR_Tab 2_Volumina'!C448="storage",1,0)</f>
        <v>0</v>
      </c>
      <c r="V445" s="1362">
        <f t="shared" si="119"/>
        <v>1.730918103443517</v>
      </c>
      <c r="W445" s="1362">
        <f t="shared" si="117"/>
        <v>1.8236658635143685</v>
      </c>
      <c r="X445" s="1355">
        <f t="shared" si="118"/>
        <v>1.8240000000000001</v>
      </c>
      <c r="Y445" s="1355">
        <f>X445+'TAR_Tab 13_Overige tarieven'!$T$15+'TAR_Tab 13_Overige tarieven'!$T$16</f>
        <v>1.9770000000000001</v>
      </c>
      <c r="Z445" s="960"/>
    </row>
    <row r="446" spans="1:26">
      <c r="A446" s="155">
        <v>301195</v>
      </c>
      <c r="B446" s="156" t="s">
        <v>365</v>
      </c>
      <c r="C446" s="839">
        <v>1.8064646688566033</v>
      </c>
      <c r="D446" s="1356">
        <f t="shared" si="110"/>
        <v>1.7226447082216569</v>
      </c>
      <c r="E446" s="1356">
        <f t="shared" si="111"/>
        <v>1.820219386849135</v>
      </c>
      <c r="F446" s="1357"/>
      <c r="G446" s="1358">
        <f t="shared" si="112"/>
        <v>1.7292084175066782</v>
      </c>
      <c r="H446" s="1358">
        <f t="shared" si="113"/>
        <v>1.9112303561915918</v>
      </c>
      <c r="I446" s="833">
        <v>1.8298421048492046</v>
      </c>
      <c r="J446" s="1359" t="b">
        <f t="shared" si="121"/>
        <v>1</v>
      </c>
      <c r="K446" s="1583"/>
      <c r="L446" s="17"/>
      <c r="M446" s="1361">
        <f t="shared" si="122"/>
        <v>1.8298421048492046</v>
      </c>
      <c r="N446" s="1350"/>
      <c r="O446" s="1358">
        <f t="shared" si="116"/>
        <v>5.7543471600317569E-3</v>
      </c>
      <c r="P446" s="1358">
        <f t="shared" si="105"/>
        <v>4.5611281126719996E-3</v>
      </c>
      <c r="Q446" s="1358">
        <f t="shared" si="106"/>
        <v>1.2613938176354445E-2</v>
      </c>
      <c r="R446" s="1358">
        <f t="shared" si="107"/>
        <v>0</v>
      </c>
      <c r="S446" s="1358">
        <f t="shared" si="108"/>
        <v>0.11834243895228834</v>
      </c>
      <c r="T446" s="1358">
        <f t="shared" si="120"/>
        <v>1.9711139572505509</v>
      </c>
      <c r="U446" s="595">
        <f>IF('TAR_Tab 2_Volumina'!C449="storage",1,0)</f>
        <v>0</v>
      </c>
      <c r="V446" s="1362">
        <f t="shared" si="119"/>
        <v>1.9711139572505509</v>
      </c>
      <c r="W446" s="1362">
        <f t="shared" si="117"/>
        <v>2.0767321283331013</v>
      </c>
      <c r="X446" s="1355">
        <f t="shared" si="118"/>
        <v>2.077</v>
      </c>
      <c r="Y446" s="1355">
        <f>X446+'TAR_Tab 13_Overige tarieven'!$T$15+'TAR_Tab 13_Overige tarieven'!$T$16</f>
        <v>2.23</v>
      </c>
      <c r="Z446" s="960"/>
    </row>
    <row r="447" spans="1:26">
      <c r="A447" s="168">
        <v>301196</v>
      </c>
      <c r="B447" s="163" t="s">
        <v>366</v>
      </c>
      <c r="C447" s="839">
        <v>1.78869616391703</v>
      </c>
      <c r="D447" s="1356">
        <f t="shared" si="110"/>
        <v>1.7057006619112798</v>
      </c>
      <c r="E447" s="1356">
        <f t="shared" si="111"/>
        <v>1.8023155896014385</v>
      </c>
      <c r="F447" s="1357"/>
      <c r="G447" s="1358">
        <f t="shared" si="112"/>
        <v>1.7121998101213665</v>
      </c>
      <c r="H447" s="1358">
        <f t="shared" si="113"/>
        <v>1.8924313690815104</v>
      </c>
      <c r="I447" s="833">
        <v>1.8118436579162616</v>
      </c>
      <c r="J447" s="1359" t="b">
        <f t="shared" si="121"/>
        <v>1</v>
      </c>
      <c r="K447" s="1583"/>
      <c r="L447" s="17"/>
      <c r="M447" s="1361">
        <f t="shared" si="122"/>
        <v>1.8118436579162616</v>
      </c>
      <c r="N447" s="1350"/>
      <c r="O447" s="1358">
        <f t="shared" si="116"/>
        <v>5.6977470240314448E-3</v>
      </c>
      <c r="P447" s="1358">
        <f t="shared" si="105"/>
        <v>4.5162645574653897E-3</v>
      </c>
      <c r="Q447" s="1358">
        <f t="shared" si="106"/>
        <v>1.2489866653308337E-2</v>
      </c>
      <c r="R447" s="1358">
        <f t="shared" si="107"/>
        <v>0</v>
      </c>
      <c r="S447" s="1358">
        <f t="shared" si="108"/>
        <v>0.11717841496259369</v>
      </c>
      <c r="T447" s="1358">
        <f t="shared" si="120"/>
        <v>1.9517259511136604</v>
      </c>
      <c r="U447" s="595">
        <f>IF('TAR_Tab 2_Volumina'!C450="storage",1,0)</f>
        <v>0</v>
      </c>
      <c r="V447" s="1362">
        <f t="shared" si="119"/>
        <v>1.9517259511136604</v>
      </c>
      <c r="W447" s="1362">
        <f t="shared" si="117"/>
        <v>2.056305254939661</v>
      </c>
      <c r="X447" s="1355">
        <f t="shared" si="118"/>
        <v>2.056</v>
      </c>
      <c r="Y447" s="1355">
        <f>X447+'TAR_Tab 13_Overige tarieven'!$T$15+'TAR_Tab 13_Overige tarieven'!$T$16</f>
        <v>2.2090000000000001</v>
      </c>
      <c r="Z447" s="960"/>
    </row>
    <row r="448" spans="1:26">
      <c r="A448" s="155">
        <v>301197</v>
      </c>
      <c r="B448" s="156" t="s">
        <v>1125</v>
      </c>
      <c r="C448" s="839">
        <v>2.1213620619523721</v>
      </c>
      <c r="D448" s="1356">
        <f t="shared" si="110"/>
        <v>2.0229308622777822</v>
      </c>
      <c r="E448" s="1356">
        <f t="shared" si="111"/>
        <v>2.1375144602944216</v>
      </c>
      <c r="F448" s="1357"/>
      <c r="G448" s="1358">
        <f t="shared" si="112"/>
        <v>2.0306387372797006</v>
      </c>
      <c r="H448" s="1358">
        <f t="shared" si="113"/>
        <v>2.2443901833091426</v>
      </c>
      <c r="I448" s="833">
        <v>2.1488145810496948</v>
      </c>
      <c r="J448" s="1359" t="b">
        <f t="shared" si="121"/>
        <v>1</v>
      </c>
      <c r="K448" s="1583"/>
      <c r="L448" s="17"/>
      <c r="M448" s="1361">
        <f t="shared" si="122"/>
        <v>2.1488145810496948</v>
      </c>
      <c r="N448" s="1350"/>
      <c r="O448" s="1358">
        <f t="shared" si="116"/>
        <v>6.7574273480372942E-3</v>
      </c>
      <c r="P448" s="1358">
        <f t="shared" si="105"/>
        <v>5.3562100077224747E-3</v>
      </c>
      <c r="Q448" s="1358">
        <f t="shared" si="106"/>
        <v>1.4812761279227163E-2</v>
      </c>
      <c r="R448" s="1358">
        <f t="shared" si="107"/>
        <v>0</v>
      </c>
      <c r="S448" s="1358">
        <f t="shared" si="108"/>
        <v>0.13897153076965449</v>
      </c>
      <c r="T448" s="1358">
        <f t="shared" si="120"/>
        <v>2.3147125104543367</v>
      </c>
      <c r="U448" s="595">
        <f>IF('TAR_Tab 2_Volumina'!C451="storage",1,0)</f>
        <v>0</v>
      </c>
      <c r="V448" s="1362">
        <f t="shared" si="119"/>
        <v>2.3147125104543367</v>
      </c>
      <c r="W448" s="1362">
        <f t="shared" si="117"/>
        <v>2.4387417179168507</v>
      </c>
      <c r="X448" s="1355">
        <f t="shared" si="118"/>
        <v>2.4390000000000001</v>
      </c>
      <c r="Y448" s="1355">
        <f>X448+'TAR_Tab 13_Overige tarieven'!$T$15+'TAR_Tab 13_Overige tarieven'!$T$16</f>
        <v>2.5920000000000001</v>
      </c>
      <c r="Z448" s="960"/>
    </row>
    <row r="449" spans="1:26">
      <c r="A449" s="155">
        <v>301198</v>
      </c>
      <c r="B449" s="156" t="s">
        <v>1126</v>
      </c>
      <c r="C449" s="839">
        <v>1.3245712012916877</v>
      </c>
      <c r="D449" s="1356">
        <f t="shared" si="110"/>
        <v>1.2631110975517534</v>
      </c>
      <c r="E449" s="1356">
        <f t="shared" si="111"/>
        <v>1.3346567034600352</v>
      </c>
      <c r="F449" s="1357"/>
      <c r="G449" s="1358">
        <f t="shared" si="112"/>
        <v>1.2679238682870333</v>
      </c>
      <c r="H449" s="1358">
        <f t="shared" si="113"/>
        <v>1.4013895386330371</v>
      </c>
      <c r="I449" s="833">
        <v>1.3417124601326031</v>
      </c>
      <c r="J449" s="1359" t="b">
        <f t="shared" si="121"/>
        <v>1</v>
      </c>
      <c r="K449" s="1583"/>
      <c r="L449" s="17"/>
      <c r="M449" s="1361">
        <f t="shared" si="122"/>
        <v>1.3417124601326031</v>
      </c>
      <c r="N449" s="1350"/>
      <c r="O449" s="1358">
        <f t="shared" si="116"/>
        <v>4.2193144775076212E-3</v>
      </c>
      <c r="P449" s="1358">
        <f t="shared" si="105"/>
        <v>3.3443991723741896E-3</v>
      </c>
      <c r="Q449" s="1358">
        <f t="shared" si="106"/>
        <v>9.2490373774363425E-3</v>
      </c>
      <c r="R449" s="1358">
        <f t="shared" si="107"/>
        <v>0</v>
      </c>
      <c r="S449" s="1358">
        <f t="shared" si="108"/>
        <v>8.6773347538558365E-2</v>
      </c>
      <c r="T449" s="1358">
        <f t="shared" si="120"/>
        <v>1.4452985586984797</v>
      </c>
      <c r="U449" s="595">
        <f>IF('TAR_Tab 2_Volumina'!C452="storage",1,0)</f>
        <v>1</v>
      </c>
      <c r="V449" s="1362">
        <f t="shared" si="119"/>
        <v>1.0839739190238598</v>
      </c>
      <c r="W449" s="1362">
        <f t="shared" si="117"/>
        <v>1.0839739190238598</v>
      </c>
      <c r="X449" s="1355">
        <f t="shared" si="118"/>
        <v>1.0840000000000001</v>
      </c>
      <c r="Y449" s="1355">
        <f>X449+'TAR_Tab 13_Overige tarieven'!$T$15+'TAR_Tab 13_Overige tarieven'!$T$16</f>
        <v>1.2370000000000001</v>
      </c>
      <c r="Z449" s="960"/>
    </row>
    <row r="450" spans="1:26">
      <c r="A450" s="155">
        <v>301199</v>
      </c>
      <c r="B450" s="156" t="s">
        <v>1127</v>
      </c>
      <c r="C450" s="839">
        <v>1.3673352885033145</v>
      </c>
      <c r="D450" s="1356">
        <f t="shared" si="110"/>
        <v>1.3038909311167608</v>
      </c>
      <c r="E450" s="1356">
        <f t="shared" si="111"/>
        <v>1.3777464034389331</v>
      </c>
      <c r="F450" s="1357"/>
      <c r="G450" s="1358">
        <f t="shared" si="112"/>
        <v>1.3088590832669864</v>
      </c>
      <c r="H450" s="1358">
        <f t="shared" si="113"/>
        <v>1.4466337236108797</v>
      </c>
      <c r="I450" s="833">
        <v>1.3850299568455653</v>
      </c>
      <c r="J450" s="1359" t="b">
        <f t="shared" si="121"/>
        <v>1</v>
      </c>
      <c r="K450" s="1583"/>
      <c r="L450" s="17"/>
      <c r="M450" s="1361">
        <f t="shared" si="122"/>
        <v>1.3850299568455653</v>
      </c>
      <c r="N450" s="1350"/>
      <c r="O450" s="1358">
        <f t="shared" si="116"/>
        <v>4.3555360200818972E-3</v>
      </c>
      <c r="P450" s="1358">
        <f t="shared" si="105"/>
        <v>3.4523738722154916E-3</v>
      </c>
      <c r="Q450" s="1358">
        <f t="shared" si="106"/>
        <v>9.5476446857083157E-3</v>
      </c>
      <c r="R450" s="1358">
        <f t="shared" si="107"/>
        <v>0</v>
      </c>
      <c r="S450" s="1358">
        <f t="shared" si="108"/>
        <v>8.9574845108613535E-2</v>
      </c>
      <c r="T450" s="1358">
        <f t="shared" si="120"/>
        <v>1.4919603565321846</v>
      </c>
      <c r="U450" s="595">
        <f>IF('TAR_Tab 2_Volumina'!C453="storage",1,0)</f>
        <v>0</v>
      </c>
      <c r="V450" s="1362">
        <f t="shared" si="119"/>
        <v>1.4919603565321846</v>
      </c>
      <c r="W450" s="1362">
        <f t="shared" si="117"/>
        <v>1.5719040470554864</v>
      </c>
      <c r="X450" s="1355">
        <f t="shared" si="118"/>
        <v>1.5720000000000001</v>
      </c>
      <c r="Y450" s="1355">
        <f>X450+'TAR_Tab 13_Overige tarieven'!$T$15+'TAR_Tab 13_Overige tarieven'!$T$16</f>
        <v>1.7250000000000001</v>
      </c>
      <c r="Z450" s="960"/>
    </row>
    <row r="451" spans="1:26">
      <c r="A451" s="155">
        <v>301203</v>
      </c>
      <c r="B451" s="156" t="s">
        <v>367</v>
      </c>
      <c r="C451" s="839">
        <v>2.041403789724292</v>
      </c>
      <c r="D451" s="1356">
        <f t="shared" si="110"/>
        <v>1.9466826538810849</v>
      </c>
      <c r="E451" s="1356">
        <f t="shared" si="111"/>
        <v>2.0569473726797867</v>
      </c>
      <c r="F451" s="1357"/>
      <c r="G451" s="1358">
        <f t="shared" si="112"/>
        <v>1.9541000040457972</v>
      </c>
      <c r="H451" s="1358">
        <f t="shared" si="113"/>
        <v>2.1597947413137759</v>
      </c>
      <c r="I451" s="833">
        <v>2.0678215698514499</v>
      </c>
      <c r="J451" s="1359" t="b">
        <f t="shared" si="121"/>
        <v>1</v>
      </c>
      <c r="K451" s="1583"/>
      <c r="L451" s="17"/>
      <c r="M451" s="1361">
        <f t="shared" si="122"/>
        <v>2.0678215698514499</v>
      </c>
      <c r="N451" s="1350"/>
      <c r="O451" s="1358">
        <f t="shared" si="116"/>
        <v>6.5027267360358845E-3</v>
      </c>
      <c r="P451" s="1358">
        <f t="shared" si="105"/>
        <v>5.1543240092927272E-3</v>
      </c>
      <c r="Q451" s="1358">
        <f t="shared" si="106"/>
        <v>1.4254439425519662E-2</v>
      </c>
      <c r="R451" s="1358">
        <f t="shared" si="107"/>
        <v>0</v>
      </c>
      <c r="S451" s="1358">
        <f t="shared" si="108"/>
        <v>0.13373342281602851</v>
      </c>
      <c r="T451" s="1358">
        <f t="shared" si="120"/>
        <v>2.2274664828383273</v>
      </c>
      <c r="U451" s="595">
        <f>IF('TAR_Tab 2_Volumina'!C454="storage",1,0)</f>
        <v>0</v>
      </c>
      <c r="V451" s="1362">
        <f t="shared" si="119"/>
        <v>2.2274664828383273</v>
      </c>
      <c r="W451" s="1362">
        <f t="shared" si="117"/>
        <v>2.3468207876463674</v>
      </c>
      <c r="X451" s="1355">
        <f t="shared" si="118"/>
        <v>2.347</v>
      </c>
      <c r="Y451" s="1355">
        <f>X451+'TAR_Tab 13_Overige tarieven'!$T$15+'TAR_Tab 13_Overige tarieven'!$T$16</f>
        <v>2.5</v>
      </c>
      <c r="Z451" s="960"/>
    </row>
    <row r="452" spans="1:26">
      <c r="A452" s="155">
        <v>301206</v>
      </c>
      <c r="B452" s="156" t="s">
        <v>368</v>
      </c>
      <c r="C452" s="839">
        <v>0.85881107207936869</v>
      </c>
      <c r="D452" s="1356">
        <f t="shared" si="110"/>
        <v>0.81896223833488602</v>
      </c>
      <c r="E452" s="1356">
        <f t="shared" si="111"/>
        <v>0.86535020030532639</v>
      </c>
      <c r="F452" s="1357"/>
      <c r="G452" s="1358">
        <f t="shared" si="112"/>
        <v>0.82208269029005998</v>
      </c>
      <c r="H452" s="1358">
        <f t="shared" si="113"/>
        <v>0.9086177103205928</v>
      </c>
      <c r="I452" s="833">
        <v>0.86992493509224478</v>
      </c>
      <c r="J452" s="1359" t="b">
        <f t="shared" si="121"/>
        <v>1</v>
      </c>
      <c r="K452" s="1583"/>
      <c r="L452" s="17"/>
      <c r="M452" s="1361">
        <f t="shared" si="122"/>
        <v>0.86992493509224478</v>
      </c>
      <c r="N452" s="1350"/>
      <c r="O452" s="1358">
        <f t="shared" si="116"/>
        <v>2.7356732400150977E-3</v>
      </c>
      <c r="P452" s="1358">
        <f t="shared" si="105"/>
        <v>2.1684051683194751E-3</v>
      </c>
      <c r="Q452" s="1358">
        <f t="shared" si="106"/>
        <v>5.9967902805619496E-3</v>
      </c>
      <c r="R452" s="1358">
        <f t="shared" si="107"/>
        <v>0</v>
      </c>
      <c r="S452" s="1358">
        <f t="shared" si="108"/>
        <v>5.6261159501907569E-2</v>
      </c>
      <c r="T452" s="1358">
        <f t="shared" si="120"/>
        <v>0.93708696328304897</v>
      </c>
      <c r="U452" s="595">
        <f>IF('TAR_Tab 2_Volumina'!C455="storage",1,0)</f>
        <v>0</v>
      </c>
      <c r="V452" s="1362">
        <f t="shared" si="119"/>
        <v>0.93708696328304897</v>
      </c>
      <c r="W452" s="1362">
        <f t="shared" si="117"/>
        <v>0.98729888068294991</v>
      </c>
      <c r="X452" s="1355">
        <f t="shared" si="118"/>
        <v>0.98699999999999999</v>
      </c>
      <c r="Y452" s="1355">
        <f>X452+'TAR_Tab 13_Overige tarieven'!$T$15+'TAR_Tab 13_Overige tarieven'!$T$16</f>
        <v>1.1399999999999999</v>
      </c>
      <c r="Z452" s="960"/>
    </row>
    <row r="453" spans="1:26">
      <c r="A453" s="155">
        <v>301207</v>
      </c>
      <c r="B453" s="156" t="s">
        <v>369</v>
      </c>
      <c r="C453" s="839">
        <v>0.94469217928730553</v>
      </c>
      <c r="D453" s="1356">
        <f t="shared" si="110"/>
        <v>0.90085846216837451</v>
      </c>
      <c r="E453" s="1356">
        <f t="shared" si="111"/>
        <v>0.95188522033585898</v>
      </c>
      <c r="F453" s="1357"/>
      <c r="G453" s="1358">
        <f t="shared" si="112"/>
        <v>0.904290959319066</v>
      </c>
      <c r="H453" s="1358">
        <f t="shared" si="113"/>
        <v>0.99947948135265197</v>
      </c>
      <c r="I453" s="833">
        <v>0.95691742860146922</v>
      </c>
      <c r="J453" s="1359" t="b">
        <f t="shared" si="121"/>
        <v>1</v>
      </c>
      <c r="K453" s="1583"/>
      <c r="L453" s="17"/>
      <c r="M453" s="1361">
        <f t="shared" si="122"/>
        <v>0.95691742860146922</v>
      </c>
      <c r="N453" s="1350"/>
      <c r="O453" s="1358">
        <f t="shared" si="116"/>
        <v>3.0092405640166071E-3</v>
      </c>
      <c r="P453" s="1358">
        <f t="shared" ref="P453:P516" si="123">$P$7*M453</f>
        <v>2.3852456851514224E-3</v>
      </c>
      <c r="Q453" s="1358">
        <f t="shared" ref="Q453:Q516" si="124">$Q$7*M453</f>
        <v>6.5964693086181438E-3</v>
      </c>
      <c r="R453" s="1358">
        <f t="shared" ref="R453:R516" si="125">$R$7*M453</f>
        <v>0</v>
      </c>
      <c r="S453" s="1358">
        <f t="shared" ref="S453:S516" si="126">$S$7*M453</f>
        <v>6.1887275452098323E-2</v>
      </c>
      <c r="T453" s="1358">
        <f t="shared" si="120"/>
        <v>1.0307956596113537</v>
      </c>
      <c r="U453" s="595">
        <f>IF('TAR_Tab 2_Volumina'!C456="storage",1,0)</f>
        <v>0</v>
      </c>
      <c r="V453" s="1362">
        <f t="shared" si="119"/>
        <v>1.0307956596113537</v>
      </c>
      <c r="W453" s="1362">
        <f t="shared" si="117"/>
        <v>1.0860287687512447</v>
      </c>
      <c r="X453" s="1355">
        <f t="shared" si="118"/>
        <v>1.0860000000000001</v>
      </c>
      <c r="Y453" s="1355">
        <f>X453+'TAR_Tab 13_Overige tarieven'!$T$15+'TAR_Tab 13_Overige tarieven'!$T$16</f>
        <v>1.2390000000000001</v>
      </c>
      <c r="Z453" s="960"/>
    </row>
    <row r="454" spans="1:26">
      <c r="A454" s="155">
        <v>301210</v>
      </c>
      <c r="B454" s="156" t="s">
        <v>1128</v>
      </c>
      <c r="C454" s="839">
        <v>1.8745772711249666</v>
      </c>
      <c r="D454" s="1356">
        <f t="shared" ref="D454:D517" si="127">C454*$D$7</f>
        <v>1.7875968857447682</v>
      </c>
      <c r="E454" s="1356">
        <f t="shared" ref="E454:E517" si="128">D454*$E$7</f>
        <v>1.8888506096319708</v>
      </c>
      <c r="F454" s="1357"/>
      <c r="G454" s="1358">
        <f t="shared" ref="G454:G517" si="129">E454*$G$7</f>
        <v>1.7944080791503723</v>
      </c>
      <c r="H454" s="1358">
        <f t="shared" ref="H454:H517" si="130">E454*$H$7</f>
        <v>1.9832931401135694</v>
      </c>
      <c r="I454" s="833">
        <v>1.8988361514254857</v>
      </c>
      <c r="J454" s="1359" t="b">
        <f t="shared" si="121"/>
        <v>1</v>
      </c>
      <c r="K454" s="1583"/>
      <c r="L454" s="17"/>
      <c r="M454" s="1361">
        <f t="shared" si="122"/>
        <v>1.8988361514254857</v>
      </c>
      <c r="N454" s="1350"/>
      <c r="O454" s="1358">
        <f t="shared" ref="O454:O517" si="131">$O$7*M454</f>
        <v>5.9713143480329533E-3</v>
      </c>
      <c r="P454" s="1358">
        <f t="shared" si="123"/>
        <v>4.7331050742973361E-3</v>
      </c>
      <c r="Q454" s="1358">
        <f t="shared" si="124"/>
        <v>1.3089545681364528E-2</v>
      </c>
      <c r="R454" s="1358">
        <f t="shared" si="125"/>
        <v>0</v>
      </c>
      <c r="S454" s="1358">
        <f t="shared" si="126"/>
        <v>0.12280453091278443</v>
      </c>
      <c r="T454" s="1358">
        <f t="shared" si="120"/>
        <v>2.0454346474419647</v>
      </c>
      <c r="U454" s="595">
        <f>IF('TAR_Tab 2_Volumina'!C457="storage",1,0)</f>
        <v>0</v>
      </c>
      <c r="V454" s="1362">
        <f t="shared" si="119"/>
        <v>2.0454346474419647</v>
      </c>
      <c r="W454" s="1362">
        <f t="shared" si="117"/>
        <v>2.1550351430079551</v>
      </c>
      <c r="X454" s="1355">
        <f t="shared" si="118"/>
        <v>2.1549999999999998</v>
      </c>
      <c r="Y454" s="1355">
        <f>X454+'TAR_Tab 13_Overige tarieven'!$T$15+'TAR_Tab 13_Overige tarieven'!$T$16</f>
        <v>2.3079999999999998</v>
      </c>
      <c r="Z454" s="960"/>
    </row>
    <row r="455" spans="1:26">
      <c r="A455" s="155">
        <v>301214</v>
      </c>
      <c r="B455" s="156" t="s">
        <v>495</v>
      </c>
      <c r="C455" s="839">
        <v>1.1392702895181044</v>
      </c>
      <c r="D455" s="1356">
        <f t="shared" si="127"/>
        <v>1.0864081480844643</v>
      </c>
      <c r="E455" s="1356">
        <f t="shared" si="128"/>
        <v>1.1479448801811534</v>
      </c>
      <c r="F455" s="1357"/>
      <c r="G455" s="1358">
        <f t="shared" si="129"/>
        <v>1.0905476361720956</v>
      </c>
      <c r="H455" s="1358">
        <f t="shared" si="130"/>
        <v>1.2053421241902111</v>
      </c>
      <c r="I455" s="833">
        <v>1.0905476361720956</v>
      </c>
      <c r="J455" s="1359" t="b">
        <f t="shared" si="121"/>
        <v>1</v>
      </c>
      <c r="K455" s="1583"/>
      <c r="L455" s="17"/>
      <c r="M455" s="1361">
        <f t="shared" si="122"/>
        <v>1.0905476361720956</v>
      </c>
      <c r="N455" s="1350"/>
      <c r="O455" s="1358">
        <f t="shared" si="131"/>
        <v>3.4294705955535943E-3</v>
      </c>
      <c r="P455" s="1358">
        <f t="shared" si="123"/>
        <v>2.7183369911375241E-3</v>
      </c>
      <c r="Q455" s="1358">
        <f t="shared" si="124"/>
        <v>7.5176434210305378E-3</v>
      </c>
      <c r="R455" s="1358">
        <f t="shared" si="125"/>
        <v>0</v>
      </c>
      <c r="S455" s="1358">
        <f t="shared" si="126"/>
        <v>7.0529619313188838E-2</v>
      </c>
      <c r="T455" s="1358">
        <f t="shared" si="120"/>
        <v>1.1747427064930058</v>
      </c>
      <c r="U455" s="595">
        <f>IF('TAR_Tab 2_Volumina'!C458="storage",1,0)</f>
        <v>0</v>
      </c>
      <c r="V455" s="1362">
        <f t="shared" si="119"/>
        <v>1.1747427064930058</v>
      </c>
      <c r="W455" s="1362">
        <f t="shared" si="117"/>
        <v>1.2376889281946795</v>
      </c>
      <c r="X455" s="1355">
        <f t="shared" si="118"/>
        <v>1.238</v>
      </c>
      <c r="Y455" s="1355">
        <f>X455+'TAR_Tab 13_Overige tarieven'!$T$15+'TAR_Tab 13_Overige tarieven'!$T$16</f>
        <v>1.391</v>
      </c>
      <c r="Z455" s="960"/>
    </row>
    <row r="456" spans="1:26">
      <c r="A456" s="155">
        <v>301220</v>
      </c>
      <c r="B456" s="156" t="s">
        <v>370</v>
      </c>
      <c r="C456" s="839">
        <v>1.1490299860923967</v>
      </c>
      <c r="D456" s="1356">
        <f t="shared" si="127"/>
        <v>1.0957149947377094</v>
      </c>
      <c r="E456" s="1356">
        <f t="shared" si="128"/>
        <v>1.1577788886843676</v>
      </c>
      <c r="F456" s="1357"/>
      <c r="G456" s="1358">
        <f t="shared" si="129"/>
        <v>1.0998899442501493</v>
      </c>
      <c r="H456" s="1358">
        <f t="shared" si="130"/>
        <v>1.2156678331185859</v>
      </c>
      <c r="I456" s="833">
        <v>1.1638995683303135</v>
      </c>
      <c r="J456" s="1359" t="b">
        <f t="shared" si="121"/>
        <v>1</v>
      </c>
      <c r="K456" s="1583"/>
      <c r="L456" s="17"/>
      <c r="M456" s="1361">
        <f t="shared" si="122"/>
        <v>1.1638995683303135</v>
      </c>
      <c r="N456" s="1350"/>
      <c r="O456" s="1358">
        <f t="shared" si="131"/>
        <v>3.660142128020199E-3</v>
      </c>
      <c r="P456" s="1358">
        <f t="shared" si="123"/>
        <v>2.9011765700274351E-3</v>
      </c>
      <c r="Q456" s="1358">
        <f t="shared" si="124"/>
        <v>8.0232918236483996E-3</v>
      </c>
      <c r="R456" s="1358">
        <f t="shared" si="125"/>
        <v>0</v>
      </c>
      <c r="S456" s="1358">
        <f t="shared" si="126"/>
        <v>7.5273551333586666E-2</v>
      </c>
      <c r="T456" s="1358">
        <f t="shared" si="120"/>
        <v>1.2537577301855964</v>
      </c>
      <c r="U456" s="595">
        <f>IF('TAR_Tab 2_Volumina'!C459="storage",1,0)</f>
        <v>0</v>
      </c>
      <c r="V456" s="1362">
        <f t="shared" si="119"/>
        <v>1.2537577301855964</v>
      </c>
      <c r="W456" s="1362">
        <f t="shared" si="117"/>
        <v>1.3209378127758087</v>
      </c>
      <c r="X456" s="1355">
        <f t="shared" si="118"/>
        <v>1.321</v>
      </c>
      <c r="Y456" s="1355">
        <f>X456+'TAR_Tab 13_Overige tarieven'!$T$15+'TAR_Tab 13_Overige tarieven'!$T$16</f>
        <v>1.474</v>
      </c>
      <c r="Z456" s="960"/>
    </row>
    <row r="457" spans="1:26">
      <c r="A457" s="155">
        <v>301222</v>
      </c>
      <c r="B457" s="156" t="s">
        <v>371</v>
      </c>
      <c r="C457" s="839">
        <v>1.8982686110443983</v>
      </c>
      <c r="D457" s="1356">
        <f t="shared" si="127"/>
        <v>1.8101889474919381</v>
      </c>
      <c r="E457" s="1356">
        <f t="shared" si="128"/>
        <v>1.9127223392955668</v>
      </c>
      <c r="F457" s="1357"/>
      <c r="G457" s="1358">
        <f t="shared" si="129"/>
        <v>1.8170862223307884</v>
      </c>
      <c r="H457" s="1358">
        <f t="shared" si="130"/>
        <v>2.0083584562603454</v>
      </c>
      <c r="I457" s="833">
        <v>1.9228340806694104</v>
      </c>
      <c r="J457" s="1359" t="b">
        <f t="shared" si="121"/>
        <v>1</v>
      </c>
      <c r="K457" s="1583"/>
      <c r="L457" s="17"/>
      <c r="M457" s="1361">
        <f t="shared" si="122"/>
        <v>1.9228340806694104</v>
      </c>
      <c r="N457" s="1350"/>
      <c r="O457" s="1358">
        <f t="shared" si="131"/>
        <v>6.046781196033372E-3</v>
      </c>
      <c r="P457" s="1358">
        <f t="shared" si="123"/>
        <v>4.792923147906151E-3</v>
      </c>
      <c r="Q457" s="1358">
        <f t="shared" si="124"/>
        <v>1.3254974378759346E-2</v>
      </c>
      <c r="R457" s="1358">
        <f t="shared" si="125"/>
        <v>0</v>
      </c>
      <c r="S457" s="1358">
        <f t="shared" si="126"/>
        <v>0.124356562899044</v>
      </c>
      <c r="T457" s="1358">
        <f t="shared" si="120"/>
        <v>2.0712853222911534</v>
      </c>
      <c r="U457" s="595">
        <f>IF('TAR_Tab 2_Volumina'!C460="storage",1,0)</f>
        <v>0</v>
      </c>
      <c r="V457" s="1362">
        <f t="shared" si="119"/>
        <v>2.0712853222911534</v>
      </c>
      <c r="W457" s="1362">
        <f t="shared" si="117"/>
        <v>2.1822709741992101</v>
      </c>
      <c r="X457" s="1355">
        <f t="shared" si="118"/>
        <v>2.1819999999999999</v>
      </c>
      <c r="Y457" s="1355">
        <f>X457+'TAR_Tab 13_Overige tarieven'!$T$15+'TAR_Tab 13_Overige tarieven'!$T$16</f>
        <v>2.335</v>
      </c>
      <c r="Z457" s="960"/>
    </row>
    <row r="458" spans="1:26">
      <c r="A458" s="155">
        <v>301229</v>
      </c>
      <c r="B458" s="156" t="s">
        <v>373</v>
      </c>
      <c r="C458" s="839">
        <v>2.106554974502727</v>
      </c>
      <c r="D458" s="1356">
        <f t="shared" si="127"/>
        <v>2.0088108236858004</v>
      </c>
      <c r="E458" s="1356">
        <f t="shared" si="128"/>
        <v>2.122594629254674</v>
      </c>
      <c r="F458" s="1357"/>
      <c r="G458" s="1358">
        <f t="shared" si="129"/>
        <v>2.0164648977919404</v>
      </c>
      <c r="H458" s="1358">
        <f t="shared" si="130"/>
        <v>2.2287243607174076</v>
      </c>
      <c r="I458" s="833">
        <v>2.1338158752722416</v>
      </c>
      <c r="J458" s="1359" t="b">
        <f t="shared" si="121"/>
        <v>1</v>
      </c>
      <c r="K458" s="1583"/>
      <c r="L458" s="17"/>
      <c r="M458" s="1361">
        <f t="shared" si="122"/>
        <v>2.1338158752722416</v>
      </c>
      <c r="N458" s="1350"/>
      <c r="O458" s="1358">
        <f t="shared" si="131"/>
        <v>6.7102605680370315E-3</v>
      </c>
      <c r="P458" s="1358">
        <f t="shared" si="123"/>
        <v>5.3188237117169643E-3</v>
      </c>
      <c r="Q458" s="1358">
        <f t="shared" si="124"/>
        <v>1.47093683433554E-2</v>
      </c>
      <c r="R458" s="1358">
        <f t="shared" si="125"/>
        <v>0</v>
      </c>
      <c r="S458" s="1358">
        <f t="shared" si="126"/>
        <v>0.13800151077824224</v>
      </c>
      <c r="T458" s="1358">
        <f t="shared" si="120"/>
        <v>2.2985558386735931</v>
      </c>
      <c r="U458" s="595">
        <f>IF('TAR_Tab 2_Volumina'!C461="storage",1,0)</f>
        <v>0</v>
      </c>
      <c r="V458" s="1362">
        <f t="shared" si="119"/>
        <v>2.2985558386735931</v>
      </c>
      <c r="W458" s="1362">
        <f t="shared" ref="W458:W521" si="132">IF(U458=0,V458*(1+$W$7),V458)</f>
        <v>2.4217193234223156</v>
      </c>
      <c r="X458" s="1355">
        <f t="shared" ref="X458:X521" si="133">ROUND(W458,3)</f>
        <v>2.4220000000000002</v>
      </c>
      <c r="Y458" s="1355">
        <f>X458+'TAR_Tab 13_Overige tarieven'!$T$15+'TAR_Tab 13_Overige tarieven'!$T$16</f>
        <v>2.5750000000000002</v>
      </c>
      <c r="Z458" s="960"/>
    </row>
    <row r="459" spans="1:26">
      <c r="A459" s="155">
        <v>301230</v>
      </c>
      <c r="B459" s="156" t="s">
        <v>374</v>
      </c>
      <c r="C459" s="839">
        <v>2.9456232633159036</v>
      </c>
      <c r="D459" s="1356">
        <f t="shared" si="127"/>
        <v>2.8089463438980458</v>
      </c>
      <c r="E459" s="1356">
        <f t="shared" si="128"/>
        <v>2.9680517215070048</v>
      </c>
      <c r="F459" s="1357"/>
      <c r="G459" s="1358">
        <f t="shared" si="129"/>
        <v>2.8196491354316544</v>
      </c>
      <c r="H459" s="1358">
        <f t="shared" si="130"/>
        <v>3.1164543075823552</v>
      </c>
      <c r="I459" s="833">
        <v>2.98374253599455</v>
      </c>
      <c r="J459" s="1359" t="b">
        <f t="shared" si="121"/>
        <v>1</v>
      </c>
      <c r="K459" s="1583"/>
      <c r="L459" s="17"/>
      <c r="M459" s="1361">
        <f t="shared" si="122"/>
        <v>2.98374253599455</v>
      </c>
      <c r="N459" s="1350"/>
      <c r="O459" s="1358">
        <f t="shared" si="131"/>
        <v>9.3830447680517837E-3</v>
      </c>
      <c r="P459" s="1358">
        <f t="shared" si="123"/>
        <v>7.4373804853624294E-3</v>
      </c>
      <c r="Q459" s="1358">
        <f t="shared" si="124"/>
        <v>2.0568301376088342E-2</v>
      </c>
      <c r="R459" s="1358">
        <f t="shared" si="125"/>
        <v>0</v>
      </c>
      <c r="S459" s="1358">
        <f t="shared" si="126"/>
        <v>0.19296931029160022</v>
      </c>
      <c r="T459" s="1358">
        <f t="shared" si="120"/>
        <v>3.2141005729156524</v>
      </c>
      <c r="U459" s="595">
        <f>IF('TAR_Tab 2_Volumina'!C462="storage",1,0)</f>
        <v>0</v>
      </c>
      <c r="V459" s="1362">
        <f t="shared" ref="V459:V522" si="134">IF(U459=1,T459*$V$7,T459)</f>
        <v>3.2141005729156524</v>
      </c>
      <c r="W459" s="1362">
        <f t="shared" si="132"/>
        <v>3.3863216781125538</v>
      </c>
      <c r="X459" s="1355">
        <f t="shared" si="133"/>
        <v>3.3860000000000001</v>
      </c>
      <c r="Y459" s="1355">
        <f>X459+'TAR_Tab 13_Overige tarieven'!$T$15+'TAR_Tab 13_Overige tarieven'!$T$16</f>
        <v>3.5390000000000001</v>
      </c>
      <c r="Z459" s="960"/>
    </row>
    <row r="460" spans="1:26">
      <c r="A460" s="155">
        <v>301232</v>
      </c>
      <c r="B460" s="156" t="s">
        <v>375</v>
      </c>
      <c r="C460" s="839">
        <v>2.5073334748064324</v>
      </c>
      <c r="D460" s="1356">
        <f t="shared" si="127"/>
        <v>2.3909932015754141</v>
      </c>
      <c r="E460" s="1356">
        <f t="shared" si="128"/>
        <v>2.5264247227304928</v>
      </c>
      <c r="F460" s="1357"/>
      <c r="G460" s="1358">
        <f t="shared" si="129"/>
        <v>2.4001034865939679</v>
      </c>
      <c r="H460" s="1358">
        <f t="shared" si="130"/>
        <v>2.6527459588670177</v>
      </c>
      <c r="I460" s="833">
        <v>2.5397808449819554</v>
      </c>
      <c r="J460" s="1359" t="b">
        <f t="shared" si="121"/>
        <v>1</v>
      </c>
      <c r="K460" s="1583"/>
      <c r="L460" s="17"/>
      <c r="M460" s="1361">
        <f t="shared" si="122"/>
        <v>2.5397808449819554</v>
      </c>
      <c r="N460" s="1350"/>
      <c r="O460" s="1358">
        <f t="shared" si="131"/>
        <v>7.9869080800440764E-3</v>
      </c>
      <c r="P460" s="1358">
        <f t="shared" si="123"/>
        <v>6.330746123599385E-3</v>
      </c>
      <c r="Q460" s="1358">
        <f t="shared" si="124"/>
        <v>1.7507870474284308E-2</v>
      </c>
      <c r="R460" s="1358">
        <f t="shared" si="125"/>
        <v>0</v>
      </c>
      <c r="S460" s="1358">
        <f t="shared" si="126"/>
        <v>0.16425671854579907</v>
      </c>
      <c r="T460" s="1358">
        <f t="shared" si="120"/>
        <v>2.7358630882056825</v>
      </c>
      <c r="U460" s="595">
        <f>IF('TAR_Tab 2_Volumina'!C463="storage",1,0)</f>
        <v>0</v>
      </c>
      <c r="V460" s="1362">
        <f t="shared" si="134"/>
        <v>2.7358630882056825</v>
      </c>
      <c r="W460" s="1362">
        <f t="shared" si="132"/>
        <v>2.8824588010743586</v>
      </c>
      <c r="X460" s="1355">
        <f t="shared" si="133"/>
        <v>2.8820000000000001</v>
      </c>
      <c r="Y460" s="1355">
        <f>X460+'TAR_Tab 13_Overige tarieven'!$T$15+'TAR_Tab 13_Overige tarieven'!$T$16</f>
        <v>3.0350000000000001</v>
      </c>
      <c r="Z460" s="960"/>
    </row>
    <row r="461" spans="1:26">
      <c r="A461" s="155">
        <v>301233</v>
      </c>
      <c r="B461" s="156" t="s">
        <v>376</v>
      </c>
      <c r="C461" s="839">
        <v>2.2901628588783169</v>
      </c>
      <c r="D461" s="1356">
        <f t="shared" si="127"/>
        <v>2.1838993022263629</v>
      </c>
      <c r="E461" s="1356">
        <f t="shared" si="128"/>
        <v>2.3076005341475372</v>
      </c>
      <c r="F461" s="1357"/>
      <c r="G461" s="1358">
        <f t="shared" si="129"/>
        <v>2.1922205074401604</v>
      </c>
      <c r="H461" s="1358">
        <f t="shared" si="130"/>
        <v>2.422980560854914</v>
      </c>
      <c r="I461" s="833">
        <v>2.3197998269126527</v>
      </c>
      <c r="J461" s="1359" t="b">
        <f t="shared" si="121"/>
        <v>1</v>
      </c>
      <c r="K461" s="1583"/>
      <c r="L461" s="17"/>
      <c r="M461" s="1361">
        <f t="shared" si="122"/>
        <v>2.3197998269126527</v>
      </c>
      <c r="N461" s="1350"/>
      <c r="O461" s="1358">
        <f t="shared" si="131"/>
        <v>7.2951286400402601E-3</v>
      </c>
      <c r="P461" s="1358">
        <f t="shared" si="123"/>
        <v>5.7824137821852663E-3</v>
      </c>
      <c r="Q461" s="1358">
        <f t="shared" si="124"/>
        <v>1.5991440748165199E-2</v>
      </c>
      <c r="R461" s="1358">
        <f t="shared" si="125"/>
        <v>0</v>
      </c>
      <c r="S461" s="1358">
        <f t="shared" si="126"/>
        <v>0.15002975867175353</v>
      </c>
      <c r="T461" s="1358">
        <f t="shared" si="120"/>
        <v>2.4988985687547971</v>
      </c>
      <c r="U461" s="595">
        <f>IF('TAR_Tab 2_Volumina'!C464="storage",1,0)</f>
        <v>0</v>
      </c>
      <c r="V461" s="1362">
        <f t="shared" si="134"/>
        <v>2.4988985687547971</v>
      </c>
      <c r="W461" s="1362">
        <f t="shared" si="132"/>
        <v>2.6327970151545328</v>
      </c>
      <c r="X461" s="1355">
        <f t="shared" si="133"/>
        <v>2.633</v>
      </c>
      <c r="Y461" s="1355">
        <f>X461+'TAR_Tab 13_Overige tarieven'!$T$15+'TAR_Tab 13_Overige tarieven'!$T$16</f>
        <v>2.786</v>
      </c>
      <c r="Z461" s="960"/>
    </row>
    <row r="462" spans="1:26">
      <c r="A462" s="155">
        <v>301234</v>
      </c>
      <c r="B462" s="156" t="s">
        <v>377</v>
      </c>
      <c r="C462" s="839">
        <v>2.7363497606942651</v>
      </c>
      <c r="D462" s="1356">
        <f t="shared" si="127"/>
        <v>2.6093831317980514</v>
      </c>
      <c r="E462" s="1356">
        <f t="shared" si="128"/>
        <v>2.7571847761452477</v>
      </c>
      <c r="F462" s="1357"/>
      <c r="G462" s="1358">
        <f t="shared" si="129"/>
        <v>2.6193255373379851</v>
      </c>
      <c r="H462" s="1358">
        <f t="shared" si="130"/>
        <v>2.8950440149525103</v>
      </c>
      <c r="I462" s="833">
        <v>2.771760827673222</v>
      </c>
      <c r="J462" s="1359" t="b">
        <f t="shared" si="121"/>
        <v>1</v>
      </c>
      <c r="K462" s="1583"/>
      <c r="L462" s="17"/>
      <c r="M462" s="1361">
        <f t="shared" si="122"/>
        <v>2.771760827673222</v>
      </c>
      <c r="N462" s="1350"/>
      <c r="O462" s="1358">
        <f t="shared" si="131"/>
        <v>8.7164209440481061E-3</v>
      </c>
      <c r="P462" s="1358">
        <f t="shared" si="123"/>
        <v>6.9089875018179155E-3</v>
      </c>
      <c r="Q462" s="1358">
        <f t="shared" si="124"/>
        <v>1.9107014549100836E-2</v>
      </c>
      <c r="R462" s="1358">
        <f t="shared" si="125"/>
        <v>0</v>
      </c>
      <c r="S462" s="1358">
        <f t="shared" si="126"/>
        <v>0.17925969441297451</v>
      </c>
      <c r="T462" s="1358">
        <f t="shared" si="120"/>
        <v>2.9857529450811633</v>
      </c>
      <c r="U462" s="595">
        <f>IF('TAR_Tab 2_Volumina'!C465="storage",1,0)</f>
        <v>0</v>
      </c>
      <c r="V462" s="1362">
        <f t="shared" si="134"/>
        <v>2.9857529450811633</v>
      </c>
      <c r="W462" s="1362">
        <f t="shared" si="132"/>
        <v>3.145738502589813</v>
      </c>
      <c r="X462" s="1355">
        <f t="shared" si="133"/>
        <v>3.1459999999999999</v>
      </c>
      <c r="Y462" s="1355">
        <f>X462+'TAR_Tab 13_Overige tarieven'!$T$15+'TAR_Tab 13_Overige tarieven'!$T$16</f>
        <v>3.2989999999999999</v>
      </c>
      <c r="Z462" s="960"/>
    </row>
    <row r="463" spans="1:26">
      <c r="A463" s="155">
        <v>301235</v>
      </c>
      <c r="B463" s="156" t="s">
        <v>378</v>
      </c>
      <c r="C463" s="839">
        <v>2.1391305668919451</v>
      </c>
      <c r="D463" s="1356">
        <f t="shared" si="127"/>
        <v>2.0398749085881587</v>
      </c>
      <c r="E463" s="1356">
        <f t="shared" si="128"/>
        <v>2.1554182575421179</v>
      </c>
      <c r="F463" s="1357"/>
      <c r="G463" s="1358">
        <f t="shared" si="129"/>
        <v>2.0476473446650121</v>
      </c>
      <c r="H463" s="1358">
        <f t="shared" si="130"/>
        <v>2.2631891704192237</v>
      </c>
      <c r="I463" s="833">
        <v>2.1668130279826374</v>
      </c>
      <c r="J463" s="1359" t="b">
        <f t="shared" si="121"/>
        <v>1</v>
      </c>
      <c r="K463" s="1583"/>
      <c r="L463" s="17"/>
      <c r="M463" s="1361">
        <f t="shared" si="122"/>
        <v>2.1668130279826374</v>
      </c>
      <c r="N463" s="1350"/>
      <c r="O463" s="1358">
        <f t="shared" si="131"/>
        <v>6.8140274840376054E-3</v>
      </c>
      <c r="P463" s="1358">
        <f t="shared" si="123"/>
        <v>5.4010735629290837E-3</v>
      </c>
      <c r="Q463" s="1358">
        <f t="shared" si="124"/>
        <v>1.4936832802273269E-2</v>
      </c>
      <c r="R463" s="1358">
        <f t="shared" si="125"/>
        <v>0</v>
      </c>
      <c r="S463" s="1358">
        <f t="shared" si="126"/>
        <v>0.14013555475934908</v>
      </c>
      <c r="T463" s="1358">
        <f t="shared" si="120"/>
        <v>2.3341005165912265</v>
      </c>
      <c r="U463" s="595">
        <f>IF('TAR_Tab 2_Volumina'!C466="storage",1,0)</f>
        <v>0</v>
      </c>
      <c r="V463" s="1362">
        <f t="shared" si="134"/>
        <v>2.3341005165912265</v>
      </c>
      <c r="W463" s="1362">
        <f t="shared" si="132"/>
        <v>2.4591685913102901</v>
      </c>
      <c r="X463" s="1355">
        <f t="shared" si="133"/>
        <v>2.4590000000000001</v>
      </c>
      <c r="Y463" s="1355">
        <f>X463+'TAR_Tab 13_Overige tarieven'!$T$15+'TAR_Tab 13_Overige tarieven'!$T$16</f>
        <v>2.6120000000000001</v>
      </c>
      <c r="Z463" s="960"/>
    </row>
    <row r="464" spans="1:26">
      <c r="A464" s="155">
        <v>301238</v>
      </c>
      <c r="B464" s="156" t="s">
        <v>379</v>
      </c>
      <c r="C464" s="839">
        <v>2.0621337121537948</v>
      </c>
      <c r="D464" s="1356">
        <f t="shared" si="127"/>
        <v>1.9664507079098588</v>
      </c>
      <c r="E464" s="1356">
        <f t="shared" si="128"/>
        <v>2.0778351361354335</v>
      </c>
      <c r="F464" s="1357"/>
      <c r="G464" s="1358">
        <f t="shared" si="129"/>
        <v>1.9739433793286616</v>
      </c>
      <c r="H464" s="1358">
        <f t="shared" si="130"/>
        <v>2.1817268929422053</v>
      </c>
      <c r="I464" s="833">
        <v>2.0888197579398846</v>
      </c>
      <c r="J464" s="1359" t="b">
        <f t="shared" si="121"/>
        <v>1</v>
      </c>
      <c r="K464" s="1583"/>
      <c r="L464" s="17"/>
      <c r="M464" s="1361">
        <f t="shared" si="122"/>
        <v>2.0888197579398846</v>
      </c>
      <c r="N464" s="1350"/>
      <c r="O464" s="1358">
        <f t="shared" si="131"/>
        <v>6.5687602280362521E-3</v>
      </c>
      <c r="P464" s="1358">
        <f t="shared" si="123"/>
        <v>5.2066648237004409E-3</v>
      </c>
      <c r="Q464" s="1358">
        <f t="shared" si="124"/>
        <v>1.4399189535740131E-2</v>
      </c>
      <c r="R464" s="1358">
        <f t="shared" si="125"/>
        <v>0</v>
      </c>
      <c r="S464" s="1358">
        <f t="shared" si="126"/>
        <v>0.13509145080400567</v>
      </c>
      <c r="T464" s="1358">
        <f t="shared" si="120"/>
        <v>2.250085823331367</v>
      </c>
      <c r="U464" s="595">
        <f>IF('TAR_Tab 2_Volumina'!C467="storage",1,0)</f>
        <v>0</v>
      </c>
      <c r="V464" s="1362">
        <f t="shared" si="134"/>
        <v>2.250085823331367</v>
      </c>
      <c r="W464" s="1362">
        <f t="shared" si="132"/>
        <v>2.370652139938715</v>
      </c>
      <c r="X464" s="1355">
        <f t="shared" si="133"/>
        <v>2.371</v>
      </c>
      <c r="Y464" s="1355">
        <f>X464+'TAR_Tab 13_Overige tarieven'!$T$15+'TAR_Tab 13_Overige tarieven'!$T$16</f>
        <v>2.524</v>
      </c>
      <c r="Z464" s="960"/>
    </row>
    <row r="465" spans="1:26">
      <c r="A465" s="155">
        <v>301239</v>
      </c>
      <c r="B465" s="156" t="s">
        <v>380</v>
      </c>
      <c r="C465" s="839">
        <v>2.0887864695631539</v>
      </c>
      <c r="D465" s="1356">
        <f t="shared" si="127"/>
        <v>1.9918667773754235</v>
      </c>
      <c r="E465" s="1356">
        <f t="shared" si="128"/>
        <v>2.1046908320069773</v>
      </c>
      <c r="F465" s="1357"/>
      <c r="G465" s="1358">
        <f t="shared" si="129"/>
        <v>1.9994562904066282</v>
      </c>
      <c r="H465" s="1358">
        <f t="shared" si="130"/>
        <v>2.2099253736073261</v>
      </c>
      <c r="I465" s="833">
        <v>2.1158174283392981</v>
      </c>
      <c r="J465" s="1359" t="b">
        <f t="shared" si="121"/>
        <v>1</v>
      </c>
      <c r="K465" s="1583"/>
      <c r="L465" s="17"/>
      <c r="M465" s="1361">
        <f t="shared" si="122"/>
        <v>2.1158174283392981</v>
      </c>
      <c r="N465" s="1350"/>
      <c r="O465" s="1358">
        <f t="shared" si="131"/>
        <v>6.6536604320367176E-3</v>
      </c>
      <c r="P465" s="1358">
        <f t="shared" si="123"/>
        <v>5.2739601565103536E-3</v>
      </c>
      <c r="Q465" s="1358">
        <f t="shared" si="124"/>
        <v>1.4585296820309289E-2</v>
      </c>
      <c r="R465" s="1358">
        <f t="shared" si="125"/>
        <v>0</v>
      </c>
      <c r="S465" s="1358">
        <f t="shared" si="126"/>
        <v>0.13683748678854757</v>
      </c>
      <c r="T465" s="1358">
        <f t="shared" si="120"/>
        <v>2.2791678325367015</v>
      </c>
      <c r="U465" s="595">
        <f>IF('TAR_Tab 2_Volumina'!C468="storage",1,0)</f>
        <v>0</v>
      </c>
      <c r="V465" s="1362">
        <f t="shared" si="134"/>
        <v>2.2791678325367015</v>
      </c>
      <c r="W465" s="1362">
        <f t="shared" si="132"/>
        <v>2.4012924500288744</v>
      </c>
      <c r="X465" s="1355">
        <f t="shared" si="133"/>
        <v>2.4009999999999998</v>
      </c>
      <c r="Y465" s="1355">
        <f>X465+'TAR_Tab 13_Overige tarieven'!$T$15+'TAR_Tab 13_Overige tarieven'!$T$16</f>
        <v>2.5539999999999998</v>
      </c>
      <c r="Z465" s="960"/>
    </row>
    <row r="466" spans="1:26">
      <c r="A466" s="155">
        <v>301240</v>
      </c>
      <c r="B466" s="156" t="s">
        <v>381</v>
      </c>
      <c r="C466" s="839">
        <v>2.5083206139697425</v>
      </c>
      <c r="D466" s="1356">
        <f t="shared" si="127"/>
        <v>2.3919345374815464</v>
      </c>
      <c r="E466" s="1356">
        <f t="shared" si="128"/>
        <v>2.5274193781331431</v>
      </c>
      <c r="F466" s="1357"/>
      <c r="G466" s="1358">
        <f t="shared" si="129"/>
        <v>2.4010484092264859</v>
      </c>
      <c r="H466" s="1358">
        <f t="shared" si="130"/>
        <v>2.6537903470398003</v>
      </c>
      <c r="I466" s="833">
        <v>2.5407807587004529</v>
      </c>
      <c r="J466" s="1359" t="b">
        <f t="shared" si="121"/>
        <v>1</v>
      </c>
      <c r="K466" s="1583"/>
      <c r="L466" s="17"/>
      <c r="M466" s="1361">
        <f t="shared" si="122"/>
        <v>2.5407807587004529</v>
      </c>
      <c r="N466" s="1350"/>
      <c r="O466" s="1358">
        <f t="shared" si="131"/>
        <v>7.9900525320440955E-3</v>
      </c>
      <c r="P466" s="1358">
        <f t="shared" si="123"/>
        <v>6.3332385433330874E-3</v>
      </c>
      <c r="Q466" s="1358">
        <f t="shared" si="124"/>
        <v>1.7514763336675763E-2</v>
      </c>
      <c r="R466" s="1358">
        <f t="shared" si="125"/>
        <v>0</v>
      </c>
      <c r="S466" s="1358">
        <f t="shared" si="126"/>
        <v>0.1643213865452266</v>
      </c>
      <c r="T466" s="1358">
        <f t="shared" si="120"/>
        <v>2.7369401996577327</v>
      </c>
      <c r="U466" s="595">
        <f>IF('TAR_Tab 2_Volumina'!C469="storage",1,0)</f>
        <v>0</v>
      </c>
      <c r="V466" s="1362">
        <f t="shared" si="134"/>
        <v>2.7369401996577327</v>
      </c>
      <c r="W466" s="1362">
        <f t="shared" si="132"/>
        <v>2.8835936273739948</v>
      </c>
      <c r="X466" s="1355">
        <f t="shared" si="133"/>
        <v>2.8839999999999999</v>
      </c>
      <c r="Y466" s="1355">
        <f>X466+'TAR_Tab 13_Overige tarieven'!$T$15+'TAR_Tab 13_Overige tarieven'!$T$16</f>
        <v>3.0369999999999999</v>
      </c>
      <c r="Z466" s="960"/>
    </row>
    <row r="467" spans="1:26" s="171" customFormat="1">
      <c r="A467" s="155">
        <v>301241</v>
      </c>
      <c r="B467" s="156" t="s">
        <v>382</v>
      </c>
      <c r="C467" s="839">
        <v>2.521153423092767</v>
      </c>
      <c r="D467" s="1356">
        <f t="shared" si="127"/>
        <v>2.4041719042612626</v>
      </c>
      <c r="E467" s="1356">
        <f t="shared" si="128"/>
        <v>2.5403498983675901</v>
      </c>
      <c r="F467" s="1357"/>
      <c r="G467" s="1358">
        <f t="shared" si="129"/>
        <v>2.4133324034492105</v>
      </c>
      <c r="H467" s="1358">
        <f t="shared" si="130"/>
        <v>2.6673673932859696</v>
      </c>
      <c r="I467" s="833">
        <v>2.5537796370409112</v>
      </c>
      <c r="J467" s="1359" t="b">
        <f t="shared" si="121"/>
        <v>1</v>
      </c>
      <c r="K467" s="1583"/>
      <c r="L467" s="17"/>
      <c r="M467" s="1361">
        <f t="shared" si="122"/>
        <v>2.5537796370409112</v>
      </c>
      <c r="N467" s="1350"/>
      <c r="O467" s="1358">
        <f t="shared" si="131"/>
        <v>8.0309304080443192E-3</v>
      </c>
      <c r="P467" s="1358">
        <f t="shared" si="123"/>
        <v>6.365639999871193E-3</v>
      </c>
      <c r="Q467" s="1358">
        <f t="shared" si="124"/>
        <v>1.7604370547764616E-2</v>
      </c>
      <c r="R467" s="1358">
        <f t="shared" si="125"/>
        <v>0</v>
      </c>
      <c r="S467" s="1358">
        <f t="shared" si="126"/>
        <v>0.16516207053778378</v>
      </c>
      <c r="T467" s="1358">
        <f t="shared" si="120"/>
        <v>2.7509426485343744</v>
      </c>
      <c r="U467" s="595">
        <f>IF('TAR_Tab 2_Volumina'!C470="storage",1,0)</f>
        <v>0</v>
      </c>
      <c r="V467" s="1362">
        <f t="shared" si="134"/>
        <v>2.7509426485343744</v>
      </c>
      <c r="W467" s="1362">
        <f t="shared" si="132"/>
        <v>2.8983463692692557</v>
      </c>
      <c r="X467" s="1355">
        <f t="shared" si="133"/>
        <v>2.8980000000000001</v>
      </c>
      <c r="Y467" s="1355">
        <f>X467+'TAR_Tab 13_Overige tarieven'!$T$15+'TAR_Tab 13_Overige tarieven'!$T$16</f>
        <v>3.0510000000000002</v>
      </c>
      <c r="Z467" s="960"/>
    </row>
    <row r="468" spans="1:26">
      <c r="A468" s="155">
        <v>301242</v>
      </c>
      <c r="B468" s="156" t="s">
        <v>383</v>
      </c>
      <c r="C468" s="839">
        <v>2.3780182444128735</v>
      </c>
      <c r="D468" s="1356">
        <f t="shared" si="127"/>
        <v>2.2676781978721161</v>
      </c>
      <c r="E468" s="1356">
        <f t="shared" si="128"/>
        <v>2.3961248649833702</v>
      </c>
      <c r="F468" s="1357"/>
      <c r="G468" s="1358">
        <f t="shared" si="129"/>
        <v>2.2763186217342017</v>
      </c>
      <c r="H468" s="1358">
        <f t="shared" si="130"/>
        <v>2.5159311082325386</v>
      </c>
      <c r="I468" s="833">
        <v>2.4087921478588719</v>
      </c>
      <c r="J468" s="1359" t="b">
        <f t="shared" si="121"/>
        <v>1</v>
      </c>
      <c r="K468" s="1583"/>
      <c r="L468" s="17"/>
      <c r="M468" s="1361">
        <f t="shared" si="122"/>
        <v>2.4087921478588719</v>
      </c>
      <c r="N468" s="1350"/>
      <c r="O468" s="1358">
        <f t="shared" si="131"/>
        <v>7.5749848680418076E-3</v>
      </c>
      <c r="P468" s="1358">
        <f t="shared" si="123"/>
        <v>6.0042391384846176E-3</v>
      </c>
      <c r="Q468" s="1358">
        <f t="shared" si="124"/>
        <v>1.66049055010043E-2</v>
      </c>
      <c r="R468" s="1358">
        <f t="shared" si="125"/>
        <v>0</v>
      </c>
      <c r="S468" s="1358">
        <f t="shared" si="126"/>
        <v>0.15578521062079931</v>
      </c>
      <c r="T468" s="1358">
        <f t="shared" si="120"/>
        <v>2.5947614879872019</v>
      </c>
      <c r="U468" s="595">
        <f>IF('TAR_Tab 2_Volumina'!C471="storage",1,0)</f>
        <v>0</v>
      </c>
      <c r="V468" s="1362">
        <f t="shared" si="134"/>
        <v>2.5947614879872019</v>
      </c>
      <c r="W468" s="1362">
        <f t="shared" si="132"/>
        <v>2.7337965558220998</v>
      </c>
      <c r="X468" s="1355">
        <f t="shared" si="133"/>
        <v>2.734</v>
      </c>
      <c r="Y468" s="1355">
        <f>X468+'TAR_Tab 13_Overige tarieven'!$T$15+'TAR_Tab 13_Overige tarieven'!$T$16</f>
        <v>2.887</v>
      </c>
      <c r="Z468" s="960"/>
    </row>
    <row r="469" spans="1:26">
      <c r="A469" s="155">
        <v>301243</v>
      </c>
      <c r="B469" s="156" t="s">
        <v>384</v>
      </c>
      <c r="C469" s="839">
        <v>2.5251019797460064</v>
      </c>
      <c r="D469" s="1356">
        <f t="shared" si="127"/>
        <v>2.4079372478857919</v>
      </c>
      <c r="E469" s="1356">
        <f t="shared" si="128"/>
        <v>2.5443285199781904</v>
      </c>
      <c r="F469" s="1357"/>
      <c r="G469" s="1358">
        <f t="shared" si="129"/>
        <v>2.4171120939792807</v>
      </c>
      <c r="H469" s="1358">
        <f t="shared" si="130"/>
        <v>2.6715449459771001</v>
      </c>
      <c r="I469" s="833">
        <v>2.5577792919148998</v>
      </c>
      <c r="J469" s="1359" t="b">
        <f t="shared" si="121"/>
        <v>1</v>
      </c>
      <c r="K469" s="1583"/>
      <c r="L469" s="17"/>
      <c r="M469" s="1361">
        <f t="shared" si="122"/>
        <v>2.5577792919148998</v>
      </c>
      <c r="N469" s="1350"/>
      <c r="O469" s="1358">
        <f t="shared" si="131"/>
        <v>8.043508216044392E-3</v>
      </c>
      <c r="P469" s="1358">
        <f t="shared" si="123"/>
        <v>6.3756096788059984E-3</v>
      </c>
      <c r="Q469" s="1358">
        <f t="shared" si="124"/>
        <v>1.7631941997330428E-2</v>
      </c>
      <c r="R469" s="1358">
        <f t="shared" si="125"/>
        <v>0</v>
      </c>
      <c r="S469" s="1358">
        <f t="shared" si="126"/>
        <v>0.1654207425354938</v>
      </c>
      <c r="T469" s="1358">
        <f t="shared" si="120"/>
        <v>2.7552510943425745</v>
      </c>
      <c r="U469" s="595">
        <f>IF('TAR_Tab 2_Volumina'!C472="storage",1,0)</f>
        <v>0</v>
      </c>
      <c r="V469" s="1362">
        <f t="shared" si="134"/>
        <v>2.7552510943425745</v>
      </c>
      <c r="W469" s="1362">
        <f t="shared" si="132"/>
        <v>2.9028856744678002</v>
      </c>
      <c r="X469" s="1355">
        <f t="shared" si="133"/>
        <v>2.903</v>
      </c>
      <c r="Y469" s="1355">
        <f>X469+'TAR_Tab 13_Overige tarieven'!$T$15+'TAR_Tab 13_Overige tarieven'!$T$16</f>
        <v>3.056</v>
      </c>
      <c r="Z469" s="960"/>
    </row>
    <row r="470" spans="1:26">
      <c r="A470" s="155">
        <v>301244</v>
      </c>
      <c r="B470" s="156" t="s">
        <v>385</v>
      </c>
      <c r="C470" s="839">
        <v>2.2003331950171408</v>
      </c>
      <c r="D470" s="1356">
        <f t="shared" si="127"/>
        <v>2.0982377347683454</v>
      </c>
      <c r="E470" s="1356">
        <f t="shared" si="128"/>
        <v>2.2170868925064049</v>
      </c>
      <c r="F470" s="1357"/>
      <c r="G470" s="1358">
        <f t="shared" si="129"/>
        <v>2.1062325478810844</v>
      </c>
      <c r="H470" s="1358">
        <f t="shared" si="130"/>
        <v>2.3279412371317254</v>
      </c>
      <c r="I470" s="833">
        <v>2.2288076785294404</v>
      </c>
      <c r="J470" s="1359" t="b">
        <f t="shared" si="121"/>
        <v>1</v>
      </c>
      <c r="K470" s="1583"/>
      <c r="L470" s="17"/>
      <c r="M470" s="1361">
        <f t="shared" si="122"/>
        <v>2.2288076785294404</v>
      </c>
      <c r="N470" s="1350"/>
      <c r="O470" s="1358">
        <f t="shared" si="131"/>
        <v>7.0089835080386796E-3</v>
      </c>
      <c r="P470" s="1358">
        <f t="shared" si="123"/>
        <v>5.5556035864185154E-3</v>
      </c>
      <c r="Q470" s="1358">
        <f t="shared" si="124"/>
        <v>1.5364190270543197E-2</v>
      </c>
      <c r="R470" s="1358">
        <f t="shared" si="125"/>
        <v>0</v>
      </c>
      <c r="S470" s="1358">
        <f t="shared" si="126"/>
        <v>0.14414497072385279</v>
      </c>
      <c r="T470" s="1358">
        <f t="shared" si="120"/>
        <v>2.4008814266182932</v>
      </c>
      <c r="U470" s="595">
        <f>IF('TAR_Tab 2_Volumina'!C473="storage",1,0)</f>
        <v>0</v>
      </c>
      <c r="V470" s="1362">
        <f t="shared" si="134"/>
        <v>2.4008814266182932</v>
      </c>
      <c r="W470" s="1362">
        <f t="shared" si="132"/>
        <v>2.5295278218876942</v>
      </c>
      <c r="X470" s="1355">
        <f t="shared" si="133"/>
        <v>2.5299999999999998</v>
      </c>
      <c r="Y470" s="1355">
        <f>X470+'TAR_Tab 13_Overige tarieven'!$T$15+'TAR_Tab 13_Overige tarieven'!$T$16</f>
        <v>2.6829999999999998</v>
      </c>
      <c r="Z470" s="960"/>
    </row>
    <row r="471" spans="1:26">
      <c r="A471" s="155">
        <v>301245</v>
      </c>
      <c r="B471" s="156" t="s">
        <v>386</v>
      </c>
      <c r="C471" s="839">
        <v>2.198358916690522</v>
      </c>
      <c r="D471" s="1356">
        <f t="shared" si="127"/>
        <v>2.0963550629560816</v>
      </c>
      <c r="E471" s="1356">
        <f t="shared" si="128"/>
        <v>2.2150975817011056</v>
      </c>
      <c r="F471" s="1357"/>
      <c r="G471" s="1358">
        <f t="shared" si="129"/>
        <v>2.1043427026160502</v>
      </c>
      <c r="H471" s="1358">
        <f t="shared" si="130"/>
        <v>2.325852460786161</v>
      </c>
      <c r="I471" s="833">
        <v>2.2268078510924472</v>
      </c>
      <c r="J471" s="1359" t="b">
        <f t="shared" si="121"/>
        <v>1</v>
      </c>
      <c r="K471" s="1583"/>
      <c r="L471" s="17"/>
      <c r="M471" s="1361">
        <f t="shared" si="122"/>
        <v>2.2268078510924472</v>
      </c>
      <c r="N471" s="1350"/>
      <c r="O471" s="1358">
        <f t="shared" si="131"/>
        <v>7.0026946040386458E-3</v>
      </c>
      <c r="P471" s="1358">
        <f t="shared" si="123"/>
        <v>5.5506187469511158E-3</v>
      </c>
      <c r="Q471" s="1358">
        <f t="shared" si="124"/>
        <v>1.53504045457603E-2</v>
      </c>
      <c r="R471" s="1358">
        <f t="shared" si="125"/>
        <v>0</v>
      </c>
      <c r="S471" s="1358">
        <f t="shared" si="126"/>
        <v>0.14401563472499787</v>
      </c>
      <c r="T471" s="1358">
        <f t="shared" si="120"/>
        <v>2.3987272037141949</v>
      </c>
      <c r="U471" s="595">
        <f>IF('TAR_Tab 2_Volumina'!C474="storage",1,0)</f>
        <v>0</v>
      </c>
      <c r="V471" s="1362">
        <f t="shared" si="134"/>
        <v>2.3987272037141949</v>
      </c>
      <c r="W471" s="1362">
        <f t="shared" si="132"/>
        <v>2.527258169288424</v>
      </c>
      <c r="X471" s="1355">
        <f t="shared" si="133"/>
        <v>2.5270000000000001</v>
      </c>
      <c r="Y471" s="1355">
        <f>X471+'TAR_Tab 13_Overige tarieven'!$T$15+'TAR_Tab 13_Overige tarieven'!$T$16</f>
        <v>2.68</v>
      </c>
      <c r="Z471" s="960"/>
    </row>
    <row r="472" spans="1:26">
      <c r="A472" s="155">
        <v>301246</v>
      </c>
      <c r="B472" s="156" t="s">
        <v>387</v>
      </c>
      <c r="C472" s="839">
        <v>0.26060473911373949</v>
      </c>
      <c r="D472" s="1356">
        <f t="shared" si="127"/>
        <v>0.24851267921886197</v>
      </c>
      <c r="E472" s="1356">
        <f t="shared" si="128"/>
        <v>0.26258902629954733</v>
      </c>
      <c r="F472" s="1357"/>
      <c r="G472" s="1358">
        <f t="shared" si="129"/>
        <v>0.24945957498456994</v>
      </c>
      <c r="H472" s="1358">
        <f t="shared" si="130"/>
        <v>0.27571847761452473</v>
      </c>
      <c r="I472" s="833">
        <v>0.26397722168316395</v>
      </c>
      <c r="J472" s="1359" t="b">
        <f t="shared" si="121"/>
        <v>1</v>
      </c>
      <c r="K472" s="1583"/>
      <c r="L472" s="17"/>
      <c r="M472" s="1361">
        <f t="shared" si="122"/>
        <v>0.26397722168316395</v>
      </c>
      <c r="N472" s="1350"/>
      <c r="O472" s="1358">
        <f t="shared" si="131"/>
        <v>8.3013532800458136E-4</v>
      </c>
      <c r="P472" s="1358">
        <f t="shared" si="123"/>
        <v>6.5799880969694417E-4</v>
      </c>
      <c r="Q472" s="1358">
        <f t="shared" si="124"/>
        <v>1.8197156713429365E-3</v>
      </c>
      <c r="R472" s="1358">
        <f t="shared" si="125"/>
        <v>0</v>
      </c>
      <c r="S472" s="1358">
        <f t="shared" si="126"/>
        <v>1.7072351848854712E-2</v>
      </c>
      <c r="T472" s="1358">
        <f t="shared" si="120"/>
        <v>0.28435742334106312</v>
      </c>
      <c r="U472" s="595">
        <f>IF('TAR_Tab 2_Volumina'!C475="storage",1,0)</f>
        <v>0</v>
      </c>
      <c r="V472" s="1362">
        <f t="shared" si="134"/>
        <v>0.28435742334106312</v>
      </c>
      <c r="W472" s="1362">
        <f t="shared" si="132"/>
        <v>0.29959414310379168</v>
      </c>
      <c r="X472" s="1355">
        <f t="shared" si="133"/>
        <v>0.3</v>
      </c>
      <c r="Y472" s="1355">
        <f>X472+'TAR_Tab 13_Overige tarieven'!$T$15+'TAR_Tab 13_Overige tarieven'!$T$16</f>
        <v>0.45299999999999996</v>
      </c>
      <c r="Z472" s="960"/>
    </row>
    <row r="473" spans="1:26">
      <c r="A473" s="155">
        <v>301247</v>
      </c>
      <c r="B473" s="156" t="s">
        <v>388</v>
      </c>
      <c r="C473" s="839">
        <v>0.33464017636196092</v>
      </c>
      <c r="D473" s="1356">
        <f t="shared" si="127"/>
        <v>0.31911287217876594</v>
      </c>
      <c r="E473" s="1356">
        <f t="shared" si="128"/>
        <v>0.33718818149828239</v>
      </c>
      <c r="F473" s="1357"/>
      <c r="G473" s="1358">
        <f t="shared" si="129"/>
        <v>0.32032877242336827</v>
      </c>
      <c r="H473" s="1358">
        <f t="shared" si="130"/>
        <v>0.35404759057319651</v>
      </c>
      <c r="I473" s="833">
        <v>0.33897075057042647</v>
      </c>
      <c r="J473" s="1359" t="b">
        <f t="shared" si="121"/>
        <v>1</v>
      </c>
      <c r="K473" s="1583"/>
      <c r="L473" s="17"/>
      <c r="M473" s="1361">
        <f t="shared" si="122"/>
        <v>0.33897075057042647</v>
      </c>
      <c r="N473" s="1350"/>
      <c r="O473" s="1358">
        <f t="shared" si="131"/>
        <v>1.065969228005883E-3</v>
      </c>
      <c r="P473" s="1358">
        <f t="shared" si="123"/>
        <v>8.4493028972448521E-4</v>
      </c>
      <c r="Q473" s="1358">
        <f t="shared" si="124"/>
        <v>2.3366803507017253E-3</v>
      </c>
      <c r="R473" s="1358">
        <f t="shared" si="125"/>
        <v>0</v>
      </c>
      <c r="S473" s="1358">
        <f t="shared" si="126"/>
        <v>2.1922451805915712E-2</v>
      </c>
      <c r="T473" s="1358">
        <f t="shared" si="120"/>
        <v>0.36514078224477431</v>
      </c>
      <c r="U473" s="595">
        <f>IF('TAR_Tab 2_Volumina'!C476="storage",1,0)</f>
        <v>0</v>
      </c>
      <c r="V473" s="1362">
        <f t="shared" si="134"/>
        <v>0.36514078224477431</v>
      </c>
      <c r="W473" s="1362">
        <f t="shared" si="132"/>
        <v>0.38470611557645984</v>
      </c>
      <c r="X473" s="1355">
        <f t="shared" si="133"/>
        <v>0.38500000000000001</v>
      </c>
      <c r="Y473" s="1355">
        <f>X473+'TAR_Tab 13_Overige tarieven'!$T$15+'TAR_Tab 13_Overige tarieven'!$T$16</f>
        <v>0.53800000000000003</v>
      </c>
      <c r="Z473" s="960"/>
    </row>
    <row r="474" spans="1:26">
      <c r="A474" s="155">
        <v>301248</v>
      </c>
      <c r="B474" s="156" t="s">
        <v>389</v>
      </c>
      <c r="C474" s="839">
        <v>0.79958272228079141</v>
      </c>
      <c r="D474" s="1356">
        <f t="shared" si="127"/>
        <v>0.76248208396696271</v>
      </c>
      <c r="E474" s="1356">
        <f t="shared" si="128"/>
        <v>0.80567087614633826</v>
      </c>
      <c r="F474" s="1357"/>
      <c r="G474" s="1358">
        <f t="shared" si="129"/>
        <v>0.76538733233902134</v>
      </c>
      <c r="H474" s="1358">
        <f t="shared" si="130"/>
        <v>0.84595441995365517</v>
      </c>
      <c r="I474" s="833">
        <v>0.8099301119824347</v>
      </c>
      <c r="J474" s="1359" t="b">
        <f t="shared" si="121"/>
        <v>1</v>
      </c>
      <c r="K474" s="1583"/>
      <c r="L474" s="17"/>
      <c r="M474" s="1361">
        <f t="shared" si="122"/>
        <v>0.8099301119824347</v>
      </c>
      <c r="N474" s="1350"/>
      <c r="O474" s="1358">
        <f t="shared" si="131"/>
        <v>2.5470061200140561E-3</v>
      </c>
      <c r="P474" s="1358">
        <f t="shared" si="123"/>
        <v>2.0188599842974422E-3</v>
      </c>
      <c r="Q474" s="1358">
        <f t="shared" si="124"/>
        <v>5.5832185370749176E-3</v>
      </c>
      <c r="R474" s="1358">
        <f t="shared" si="125"/>
        <v>0</v>
      </c>
      <c r="S474" s="1358">
        <f t="shared" si="126"/>
        <v>5.2381079536258764E-2</v>
      </c>
      <c r="T474" s="1358">
        <f t="shared" si="120"/>
        <v>0.87246027616007982</v>
      </c>
      <c r="U474" s="595">
        <f>IF('TAR_Tab 2_Volumina'!C477="storage",1,0)</f>
        <v>0</v>
      </c>
      <c r="V474" s="1362">
        <f t="shared" si="134"/>
        <v>0.87246027616007982</v>
      </c>
      <c r="W474" s="1362">
        <f t="shared" si="132"/>
        <v>0.91920930270481516</v>
      </c>
      <c r="X474" s="1355">
        <f t="shared" si="133"/>
        <v>0.91900000000000004</v>
      </c>
      <c r="Y474" s="1355">
        <f>X474+'TAR_Tab 13_Overige tarieven'!$T$15+'TAR_Tab 13_Overige tarieven'!$T$16</f>
        <v>1.0720000000000001</v>
      </c>
      <c r="Z474" s="960"/>
    </row>
    <row r="475" spans="1:26">
      <c r="A475" s="155">
        <v>301249</v>
      </c>
      <c r="B475" s="156" t="s">
        <v>390</v>
      </c>
      <c r="C475" s="839">
        <v>1.2743966598327188</v>
      </c>
      <c r="D475" s="1356">
        <f t="shared" si="127"/>
        <v>1.2152646548164807</v>
      </c>
      <c r="E475" s="1356">
        <f t="shared" si="128"/>
        <v>1.284100124820893</v>
      </c>
      <c r="F475" s="1357"/>
      <c r="G475" s="1358">
        <f t="shared" si="129"/>
        <v>1.2198951185798483</v>
      </c>
      <c r="H475" s="1358">
        <f t="shared" si="130"/>
        <v>1.3483051310619376</v>
      </c>
      <c r="I475" s="833">
        <v>1.2908886105794122</v>
      </c>
      <c r="J475" s="1359" t="b">
        <f t="shared" si="121"/>
        <v>1</v>
      </c>
      <c r="K475" s="1583"/>
      <c r="L475" s="17"/>
      <c r="M475" s="1361">
        <f t="shared" si="122"/>
        <v>1.2908886105794122</v>
      </c>
      <c r="N475" s="1350"/>
      <c r="O475" s="1358">
        <f t="shared" si="131"/>
        <v>4.0594875320224058E-3</v>
      </c>
      <c r="P475" s="1358">
        <f t="shared" si="123"/>
        <v>3.2177138762074066E-3</v>
      </c>
      <c r="Q475" s="1358">
        <f t="shared" si="124"/>
        <v>8.8986853473626212E-3</v>
      </c>
      <c r="R475" s="1358">
        <f t="shared" si="125"/>
        <v>0</v>
      </c>
      <c r="S475" s="1358">
        <f t="shared" si="126"/>
        <v>8.3486387260876677E-2</v>
      </c>
      <c r="T475" s="1358">
        <f t="shared" si="120"/>
        <v>1.3905508845958814</v>
      </c>
      <c r="U475" s="595">
        <f>IF('TAR_Tab 2_Volumina'!C478="storage",1,0)</f>
        <v>0</v>
      </c>
      <c r="V475" s="1362">
        <f t="shared" si="134"/>
        <v>1.3905508845958814</v>
      </c>
      <c r="W475" s="1362">
        <f t="shared" si="132"/>
        <v>1.4650607528295274</v>
      </c>
      <c r="X475" s="1355">
        <f t="shared" si="133"/>
        <v>1.4650000000000001</v>
      </c>
      <c r="Y475" s="1355">
        <f>X475+'TAR_Tab 13_Overige tarieven'!$T$15+'TAR_Tab 13_Overige tarieven'!$T$16</f>
        <v>1.6180000000000001</v>
      </c>
      <c r="Z475" s="960"/>
    </row>
    <row r="476" spans="1:26">
      <c r="A476" s="155">
        <v>301250</v>
      </c>
      <c r="B476" s="156" t="s">
        <v>391</v>
      </c>
      <c r="C476" s="839">
        <v>0.33464017636196092</v>
      </c>
      <c r="D476" s="1356">
        <f t="shared" si="127"/>
        <v>0.31911287217876594</v>
      </c>
      <c r="E476" s="1356">
        <f t="shared" si="128"/>
        <v>0.33718818149828239</v>
      </c>
      <c r="F476" s="1357"/>
      <c r="G476" s="1358">
        <f t="shared" si="129"/>
        <v>0.32032877242336827</v>
      </c>
      <c r="H476" s="1358">
        <f t="shared" si="130"/>
        <v>0.35404759057319651</v>
      </c>
      <c r="I476" s="833">
        <v>0.33897075057042647</v>
      </c>
      <c r="J476" s="1359" t="b">
        <f t="shared" si="121"/>
        <v>1</v>
      </c>
      <c r="K476" s="1583"/>
      <c r="L476" s="17"/>
      <c r="M476" s="1361">
        <f t="shared" si="122"/>
        <v>0.33897075057042647</v>
      </c>
      <c r="N476" s="1350"/>
      <c r="O476" s="1358">
        <f t="shared" si="131"/>
        <v>1.065969228005883E-3</v>
      </c>
      <c r="P476" s="1358">
        <f t="shared" si="123"/>
        <v>8.4493028972448521E-4</v>
      </c>
      <c r="Q476" s="1358">
        <f t="shared" si="124"/>
        <v>2.3366803507017253E-3</v>
      </c>
      <c r="R476" s="1358">
        <f t="shared" si="125"/>
        <v>0</v>
      </c>
      <c r="S476" s="1358">
        <f t="shared" si="126"/>
        <v>2.1922451805915712E-2</v>
      </c>
      <c r="T476" s="1358">
        <f t="shared" si="120"/>
        <v>0.36514078224477431</v>
      </c>
      <c r="U476" s="595">
        <f>IF('TAR_Tab 2_Volumina'!C479="storage",1,0)</f>
        <v>0</v>
      </c>
      <c r="V476" s="1362">
        <f t="shared" si="134"/>
        <v>0.36514078224477431</v>
      </c>
      <c r="W476" s="1362">
        <f t="shared" si="132"/>
        <v>0.38470611557645984</v>
      </c>
      <c r="X476" s="1355">
        <f t="shared" si="133"/>
        <v>0.38500000000000001</v>
      </c>
      <c r="Y476" s="1355">
        <f>X476+'TAR_Tab 13_Overige tarieven'!$T$15+'TAR_Tab 13_Overige tarieven'!$T$16</f>
        <v>0.53800000000000003</v>
      </c>
      <c r="Z476" s="960"/>
    </row>
    <row r="477" spans="1:26">
      <c r="A477" s="155">
        <v>301251</v>
      </c>
      <c r="B477" s="156" t="s">
        <v>392</v>
      </c>
      <c r="C477" s="839">
        <v>0.93580792681751923</v>
      </c>
      <c r="D477" s="1356">
        <f t="shared" si="127"/>
        <v>0.89238643901318637</v>
      </c>
      <c r="E477" s="1356">
        <f t="shared" si="128"/>
        <v>0.94293332171201116</v>
      </c>
      <c r="F477" s="1357"/>
      <c r="G477" s="1358">
        <f t="shared" si="129"/>
        <v>0.89578665562641058</v>
      </c>
      <c r="H477" s="1358">
        <f t="shared" si="130"/>
        <v>0.99007998779761175</v>
      </c>
      <c r="I477" s="833">
        <v>0.94791820513499803</v>
      </c>
      <c r="J477" s="1359" t="b">
        <f t="shared" si="121"/>
        <v>1</v>
      </c>
      <c r="K477" s="1583"/>
      <c r="L477" s="17"/>
      <c r="M477" s="1361">
        <f t="shared" si="122"/>
        <v>0.94791820513499803</v>
      </c>
      <c r="N477" s="1350"/>
      <c r="O477" s="1358">
        <f t="shared" si="131"/>
        <v>2.9809404960164519E-3</v>
      </c>
      <c r="P477" s="1358">
        <f t="shared" si="123"/>
        <v>2.3628139075481183E-3</v>
      </c>
      <c r="Q477" s="1358">
        <f t="shared" si="124"/>
        <v>6.5344335470950915E-3</v>
      </c>
      <c r="R477" s="1358">
        <f t="shared" si="125"/>
        <v>0</v>
      </c>
      <c r="S477" s="1358">
        <f t="shared" si="126"/>
        <v>6.130526345725102E-2</v>
      </c>
      <c r="T477" s="1358">
        <f t="shared" si="120"/>
        <v>1.0211016565429087</v>
      </c>
      <c r="U477" s="595">
        <f>IF('TAR_Tab 2_Volumina'!C480="storage",1,0)</f>
        <v>0</v>
      </c>
      <c r="V477" s="1362">
        <f t="shared" si="134"/>
        <v>1.0211016565429087</v>
      </c>
      <c r="W477" s="1362">
        <f t="shared" si="132"/>
        <v>1.075815332054525</v>
      </c>
      <c r="X477" s="1355">
        <f t="shared" si="133"/>
        <v>1.0760000000000001</v>
      </c>
      <c r="Y477" s="1355">
        <f>X477+'TAR_Tab 13_Overige tarieven'!$T$15+'TAR_Tab 13_Overige tarieven'!$T$16</f>
        <v>1.2290000000000001</v>
      </c>
      <c r="Z477" s="960"/>
    </row>
    <row r="478" spans="1:26">
      <c r="A478" s="155">
        <v>301252</v>
      </c>
      <c r="B478" s="156" t="s">
        <v>393</v>
      </c>
      <c r="C478" s="839">
        <v>1.0177404773722174</v>
      </c>
      <c r="D478" s="1356">
        <f t="shared" si="127"/>
        <v>0.97051731922214657</v>
      </c>
      <c r="E478" s="1356">
        <f t="shared" si="128"/>
        <v>1.0254897201319444</v>
      </c>
      <c r="F478" s="1357"/>
      <c r="G478" s="1358">
        <f t="shared" si="129"/>
        <v>0.97421523412534716</v>
      </c>
      <c r="H478" s="1358">
        <f t="shared" si="130"/>
        <v>1.0767642061385416</v>
      </c>
      <c r="I478" s="833">
        <v>1.0309110437702351</v>
      </c>
      <c r="J478" s="1359" t="b">
        <f t="shared" si="121"/>
        <v>1</v>
      </c>
      <c r="K478" s="1583"/>
      <c r="L478" s="17"/>
      <c r="M478" s="1361">
        <f t="shared" si="122"/>
        <v>1.0309110437702351</v>
      </c>
      <c r="N478" s="1350"/>
      <c r="O478" s="1358">
        <f t="shared" si="131"/>
        <v>3.241930012017892E-3</v>
      </c>
      <c r="P478" s="1358">
        <f t="shared" si="123"/>
        <v>2.5696847454452633E-3</v>
      </c>
      <c r="Q478" s="1358">
        <f t="shared" si="124"/>
        <v>7.1065411255854839E-3</v>
      </c>
      <c r="R478" s="1358">
        <f t="shared" si="125"/>
        <v>0</v>
      </c>
      <c r="S478" s="1358">
        <f t="shared" si="126"/>
        <v>6.6672707409731857E-2</v>
      </c>
      <c r="T478" s="1358">
        <f t="shared" si="120"/>
        <v>1.1105019070630155</v>
      </c>
      <c r="U478" s="595">
        <f>IF('TAR_Tab 2_Volumina'!C481="storage",1,0)</f>
        <v>0</v>
      </c>
      <c r="V478" s="1362">
        <f t="shared" si="134"/>
        <v>1.1105019070630155</v>
      </c>
      <c r="W478" s="1362">
        <f t="shared" si="132"/>
        <v>1.1700059149242774</v>
      </c>
      <c r="X478" s="1355">
        <f t="shared" si="133"/>
        <v>1.17</v>
      </c>
      <c r="Y478" s="1355">
        <f>X478+'TAR_Tab 13_Overige tarieven'!$T$15+'TAR_Tab 13_Overige tarieven'!$T$16</f>
        <v>1.323</v>
      </c>
      <c r="Z478" s="960"/>
    </row>
    <row r="479" spans="1:26">
      <c r="A479" s="155">
        <v>301253</v>
      </c>
      <c r="B479" s="156" t="s">
        <v>394</v>
      </c>
      <c r="C479" s="839">
        <v>0.33464017636196092</v>
      </c>
      <c r="D479" s="1356">
        <f t="shared" si="127"/>
        <v>0.31911287217876594</v>
      </c>
      <c r="E479" s="1356">
        <f t="shared" si="128"/>
        <v>0.33718818149828239</v>
      </c>
      <c r="F479" s="1357"/>
      <c r="G479" s="1358">
        <f t="shared" si="129"/>
        <v>0.32032877242336827</v>
      </c>
      <c r="H479" s="1358">
        <f t="shared" si="130"/>
        <v>0.35404759057319651</v>
      </c>
      <c r="I479" s="833">
        <v>0.33897075057042647</v>
      </c>
      <c r="J479" s="1359" t="b">
        <f t="shared" si="121"/>
        <v>1</v>
      </c>
      <c r="K479" s="1583"/>
      <c r="L479" s="17"/>
      <c r="M479" s="1361">
        <f t="shared" si="122"/>
        <v>0.33897075057042647</v>
      </c>
      <c r="N479" s="1350"/>
      <c r="O479" s="1358">
        <f t="shared" si="131"/>
        <v>1.065969228005883E-3</v>
      </c>
      <c r="P479" s="1358">
        <f t="shared" si="123"/>
        <v>8.4493028972448521E-4</v>
      </c>
      <c r="Q479" s="1358">
        <f t="shared" si="124"/>
        <v>2.3366803507017253E-3</v>
      </c>
      <c r="R479" s="1358">
        <f t="shared" si="125"/>
        <v>0</v>
      </c>
      <c r="S479" s="1358">
        <f t="shared" si="126"/>
        <v>2.1922451805915712E-2</v>
      </c>
      <c r="T479" s="1358">
        <f t="shared" si="120"/>
        <v>0.36514078224477431</v>
      </c>
      <c r="U479" s="595">
        <f>IF('TAR_Tab 2_Volumina'!C482="storage",1,0)</f>
        <v>0</v>
      </c>
      <c r="V479" s="1362">
        <f t="shared" si="134"/>
        <v>0.36514078224477431</v>
      </c>
      <c r="W479" s="1362">
        <f t="shared" si="132"/>
        <v>0.38470611557645984</v>
      </c>
      <c r="X479" s="1355">
        <f t="shared" si="133"/>
        <v>0.38500000000000001</v>
      </c>
      <c r="Y479" s="1355">
        <f>X479+'TAR_Tab 13_Overige tarieven'!$T$15+'TAR_Tab 13_Overige tarieven'!$T$16</f>
        <v>0.53800000000000003</v>
      </c>
      <c r="Z479" s="960"/>
    </row>
    <row r="480" spans="1:26">
      <c r="A480" s="155">
        <v>301254</v>
      </c>
      <c r="B480" s="156" t="s">
        <v>395</v>
      </c>
      <c r="C480" s="839">
        <v>1.1796313001549947</v>
      </c>
      <c r="D480" s="1356">
        <f t="shared" si="127"/>
        <v>1.124896407827803</v>
      </c>
      <c r="E480" s="1356">
        <f t="shared" si="128"/>
        <v>1.1886132061665113</v>
      </c>
      <c r="F480" s="1357"/>
      <c r="G480" s="1358">
        <f t="shared" si="129"/>
        <v>1.1291825458581857</v>
      </c>
      <c r="H480" s="1358">
        <f t="shared" si="130"/>
        <v>1.248043866474837</v>
      </c>
      <c r="I480" s="833">
        <v>1.1948968936037152</v>
      </c>
      <c r="J480" s="1359" t="b">
        <f t="shared" si="121"/>
        <v>1</v>
      </c>
      <c r="K480" s="1583"/>
      <c r="L480" s="17"/>
      <c r="M480" s="1361">
        <f t="shared" si="122"/>
        <v>1.1948968936037152</v>
      </c>
      <c r="N480" s="1350"/>
      <c r="O480" s="1358">
        <f t="shared" si="131"/>
        <v>3.7576201400207365E-3</v>
      </c>
      <c r="P480" s="1358">
        <f t="shared" si="123"/>
        <v>2.9784415817721518E-3</v>
      </c>
      <c r="Q480" s="1358">
        <f t="shared" si="124"/>
        <v>8.2369705577833643E-3</v>
      </c>
      <c r="R480" s="1358">
        <f t="shared" si="125"/>
        <v>0</v>
      </c>
      <c r="S480" s="1358">
        <f t="shared" si="126"/>
        <v>7.7278259315838538E-2</v>
      </c>
      <c r="T480" s="1358">
        <f t="shared" si="120"/>
        <v>1.28714818519913</v>
      </c>
      <c r="U480" s="595">
        <f>IF('TAR_Tab 2_Volumina'!C483="storage",1,0)</f>
        <v>0</v>
      </c>
      <c r="V480" s="1362">
        <f t="shared" si="134"/>
        <v>1.28714818519913</v>
      </c>
      <c r="W480" s="1362">
        <f t="shared" si="132"/>
        <v>1.356117428064511</v>
      </c>
      <c r="X480" s="1355">
        <f t="shared" si="133"/>
        <v>1.3560000000000001</v>
      </c>
      <c r="Y480" s="1355">
        <f>X480+'TAR_Tab 13_Overige tarieven'!$T$15+'TAR_Tab 13_Overige tarieven'!$T$16</f>
        <v>1.5090000000000001</v>
      </c>
      <c r="Z480" s="960"/>
    </row>
    <row r="481" spans="1:26">
      <c r="A481" s="155">
        <v>301255</v>
      </c>
      <c r="B481" s="156" t="s">
        <v>396</v>
      </c>
      <c r="C481" s="839">
        <v>0.95752498841033074</v>
      </c>
      <c r="D481" s="1356">
        <f t="shared" si="127"/>
        <v>0.91309582894809138</v>
      </c>
      <c r="E481" s="1356">
        <f t="shared" si="128"/>
        <v>0.96481574057030661</v>
      </c>
      <c r="F481" s="1357"/>
      <c r="G481" s="1358">
        <f t="shared" si="129"/>
        <v>0.91657495354179119</v>
      </c>
      <c r="H481" s="1358">
        <f t="shared" si="130"/>
        <v>1.0130565275988219</v>
      </c>
      <c r="I481" s="833">
        <v>0.96991630694192821</v>
      </c>
      <c r="J481" s="1359" t="b">
        <f t="shared" si="121"/>
        <v>1</v>
      </c>
      <c r="K481" s="1583"/>
      <c r="L481" s="17"/>
      <c r="M481" s="1361">
        <f t="shared" si="122"/>
        <v>0.96991630694192821</v>
      </c>
      <c r="N481" s="1350"/>
      <c r="O481" s="1358">
        <f t="shared" si="131"/>
        <v>3.0501184400168334E-3</v>
      </c>
      <c r="P481" s="1358">
        <f t="shared" si="123"/>
        <v>2.4176471416895301E-3</v>
      </c>
      <c r="Q481" s="1358">
        <f t="shared" si="124"/>
        <v>6.6860765197070014E-3</v>
      </c>
      <c r="R481" s="1358">
        <f t="shared" si="125"/>
        <v>0</v>
      </c>
      <c r="S481" s="1358">
        <f t="shared" si="126"/>
        <v>6.2727959444655576E-2</v>
      </c>
      <c r="T481" s="1358">
        <f t="shared" si="120"/>
        <v>1.0447981084879971</v>
      </c>
      <c r="U481" s="595">
        <f>IF('TAR_Tab 2_Volumina'!C484="storage",1,0)</f>
        <v>0</v>
      </c>
      <c r="V481" s="1362">
        <f t="shared" si="134"/>
        <v>1.0447981084879971</v>
      </c>
      <c r="W481" s="1362">
        <f t="shared" si="132"/>
        <v>1.1007815106465073</v>
      </c>
      <c r="X481" s="1355">
        <f t="shared" si="133"/>
        <v>1.101</v>
      </c>
      <c r="Y481" s="1355">
        <f>X481+'TAR_Tab 13_Overige tarieven'!$T$15+'TAR_Tab 13_Overige tarieven'!$T$16</f>
        <v>1.254</v>
      </c>
      <c r="Z481" s="960"/>
    </row>
    <row r="482" spans="1:26">
      <c r="A482" s="155">
        <v>301256</v>
      </c>
      <c r="B482" s="156" t="s">
        <v>397</v>
      </c>
      <c r="C482" s="839">
        <v>1.7166350049954278</v>
      </c>
      <c r="D482" s="1356">
        <f t="shared" si="127"/>
        <v>1.6369831407636399</v>
      </c>
      <c r="E482" s="1356">
        <f t="shared" si="128"/>
        <v>1.7297057452080029</v>
      </c>
      <c r="F482" s="1357"/>
      <c r="G482" s="1358">
        <f t="shared" si="129"/>
        <v>1.6432204579476026</v>
      </c>
      <c r="H482" s="1358">
        <f t="shared" si="130"/>
        <v>1.8161910324684032</v>
      </c>
      <c r="I482" s="833">
        <v>1.7388499564659927</v>
      </c>
      <c r="J482" s="1359" t="b">
        <f t="shared" si="121"/>
        <v>1</v>
      </c>
      <c r="K482" s="1583"/>
      <c r="L482" s="17"/>
      <c r="M482" s="1361">
        <f t="shared" si="122"/>
        <v>1.7388499564659927</v>
      </c>
      <c r="N482" s="1350"/>
      <c r="O482" s="1358">
        <f t="shared" si="131"/>
        <v>5.4682020280301781E-3</v>
      </c>
      <c r="P482" s="1358">
        <f t="shared" si="123"/>
        <v>4.3343179169052495E-3</v>
      </c>
      <c r="Q482" s="1358">
        <f t="shared" si="124"/>
        <v>1.1986687698732448E-2</v>
      </c>
      <c r="R482" s="1358">
        <f t="shared" si="125"/>
        <v>0</v>
      </c>
      <c r="S482" s="1358">
        <f t="shared" si="126"/>
        <v>0.11245765100438766</v>
      </c>
      <c r="T482" s="1358">
        <f t="shared" si="120"/>
        <v>1.8730968151140484</v>
      </c>
      <c r="U482" s="595">
        <f>IF('TAR_Tab 2_Volumina'!C485="storage",1,0)</f>
        <v>0</v>
      </c>
      <c r="V482" s="1362">
        <f t="shared" si="134"/>
        <v>1.8730968151140484</v>
      </c>
      <c r="W482" s="1362">
        <f t="shared" si="132"/>
        <v>1.973462935066264</v>
      </c>
      <c r="X482" s="1355">
        <f t="shared" si="133"/>
        <v>1.9730000000000001</v>
      </c>
      <c r="Y482" s="1355">
        <f>X482+'TAR_Tab 13_Overige tarieven'!$T$15+'TAR_Tab 13_Overige tarieven'!$T$16</f>
        <v>2.1260000000000003</v>
      </c>
      <c r="Z482" s="960"/>
    </row>
    <row r="483" spans="1:26">
      <c r="A483" s="155">
        <v>301257</v>
      </c>
      <c r="B483" s="156" t="s">
        <v>398</v>
      </c>
      <c r="C483" s="839">
        <v>1.3800205503068477</v>
      </c>
      <c r="D483" s="1356">
        <f t="shared" si="127"/>
        <v>1.31598759677261</v>
      </c>
      <c r="E483" s="1356">
        <f t="shared" si="128"/>
        <v>1.3905282529044212</v>
      </c>
      <c r="F483" s="1357"/>
      <c r="G483" s="1358">
        <f t="shared" si="129"/>
        <v>1.3210018402592001</v>
      </c>
      <c r="H483" s="1358">
        <f t="shared" si="130"/>
        <v>1.4600546655496422</v>
      </c>
      <c r="I483" s="833">
        <v>1.3978793784585728</v>
      </c>
      <c r="J483" s="1359" t="b">
        <f t="shared" si="121"/>
        <v>1</v>
      </c>
      <c r="K483" s="1583"/>
      <c r="L483" s="17"/>
      <c r="M483" s="1361">
        <f t="shared" si="122"/>
        <v>1.3978793784585728</v>
      </c>
      <c r="N483" s="1350"/>
      <c r="O483" s="1358">
        <f t="shared" si="131"/>
        <v>4.3959438960242602E-3</v>
      </c>
      <c r="P483" s="1358">
        <f t="shared" si="123"/>
        <v>3.4844027877133639E-3</v>
      </c>
      <c r="Q483" s="1358">
        <f t="shared" si="124"/>
        <v>9.6362216232478235E-3</v>
      </c>
      <c r="R483" s="1358">
        <f t="shared" si="125"/>
        <v>0</v>
      </c>
      <c r="S483" s="1358">
        <f t="shared" si="126"/>
        <v>9.0405863199617006E-2</v>
      </c>
      <c r="T483" s="1358">
        <f t="shared" si="120"/>
        <v>1.5058018099651751</v>
      </c>
      <c r="U483" s="595">
        <f>IF('TAR_Tab 2_Volumina'!C486="storage",1,0)</f>
        <v>0</v>
      </c>
      <c r="V483" s="1362">
        <f t="shared" si="134"/>
        <v>1.5058018099651751</v>
      </c>
      <c r="W483" s="1362">
        <f t="shared" si="132"/>
        <v>1.5864871668905332</v>
      </c>
      <c r="X483" s="1355">
        <f t="shared" si="133"/>
        <v>1.5860000000000001</v>
      </c>
      <c r="Y483" s="1355">
        <f>X483+'TAR_Tab 13_Overige tarieven'!$T$15+'TAR_Tab 13_Overige tarieven'!$T$16</f>
        <v>1.7390000000000001</v>
      </c>
      <c r="Z483" s="960"/>
    </row>
    <row r="484" spans="1:26">
      <c r="A484" s="155">
        <v>301259</v>
      </c>
      <c r="B484" s="156" t="s">
        <v>399</v>
      </c>
      <c r="C484" s="839">
        <v>1.4076604468795171</v>
      </c>
      <c r="D484" s="1356">
        <f t="shared" si="127"/>
        <v>1.3423450021443075</v>
      </c>
      <c r="E484" s="1356">
        <f t="shared" si="128"/>
        <v>1.4183786041786157</v>
      </c>
      <c r="F484" s="1357"/>
      <c r="G484" s="1358">
        <f t="shared" si="129"/>
        <v>1.3474596739696849</v>
      </c>
      <c r="H484" s="1358">
        <f t="shared" si="130"/>
        <v>1.4892975343875465</v>
      </c>
      <c r="I484" s="833">
        <v>1.4258769625764842</v>
      </c>
      <c r="J484" s="1359" t="b">
        <f t="shared" si="121"/>
        <v>1</v>
      </c>
      <c r="K484" s="1583"/>
      <c r="L484" s="17"/>
      <c r="M484" s="1361">
        <f t="shared" si="122"/>
        <v>1.4258769625764842</v>
      </c>
      <c r="N484" s="1350"/>
      <c r="O484" s="1358">
        <f t="shared" si="131"/>
        <v>4.4839885520247466E-3</v>
      </c>
      <c r="P484" s="1358">
        <f t="shared" si="123"/>
        <v>3.5541905402569794E-3</v>
      </c>
      <c r="Q484" s="1358">
        <f t="shared" si="124"/>
        <v>9.8292217702084378E-3</v>
      </c>
      <c r="R484" s="1358">
        <f t="shared" si="125"/>
        <v>0</v>
      </c>
      <c r="S484" s="1358">
        <f t="shared" si="126"/>
        <v>9.2216567183586451E-2</v>
      </c>
      <c r="T484" s="1358">
        <f t="shared" si="120"/>
        <v>1.5359609306225608</v>
      </c>
      <c r="U484" s="595">
        <f>IF('TAR_Tab 2_Volumina'!C487="storage",1,0)</f>
        <v>0</v>
      </c>
      <c r="V484" s="1362">
        <f t="shared" si="134"/>
        <v>1.5359609306225608</v>
      </c>
      <c r="W484" s="1362">
        <f t="shared" si="132"/>
        <v>1.6182623032803294</v>
      </c>
      <c r="X484" s="1355">
        <f t="shared" si="133"/>
        <v>1.6180000000000001</v>
      </c>
      <c r="Y484" s="1355">
        <f>X484+'TAR_Tab 13_Overige tarieven'!$T$15+'TAR_Tab 13_Overige tarieven'!$T$16</f>
        <v>1.7710000000000001</v>
      </c>
      <c r="Z484" s="960"/>
    </row>
    <row r="485" spans="1:26">
      <c r="A485" s="155">
        <v>301260</v>
      </c>
      <c r="B485" s="156" t="s">
        <v>400</v>
      </c>
      <c r="C485" s="839">
        <v>1.8834615235947534</v>
      </c>
      <c r="D485" s="1356">
        <f t="shared" si="127"/>
        <v>1.7960689088999569</v>
      </c>
      <c r="E485" s="1356">
        <f t="shared" si="128"/>
        <v>1.8978025082558192</v>
      </c>
      <c r="F485" s="1357"/>
      <c r="G485" s="1358">
        <f t="shared" si="129"/>
        <v>1.8029123828430282</v>
      </c>
      <c r="H485" s="1358">
        <f t="shared" si="130"/>
        <v>1.9926926336686102</v>
      </c>
      <c r="I485" s="833">
        <v>1.9078353748919574</v>
      </c>
      <c r="J485" s="1359" t="b">
        <f t="shared" si="121"/>
        <v>1</v>
      </c>
      <c r="K485" s="1583"/>
      <c r="L485" s="17"/>
      <c r="M485" s="1361">
        <f t="shared" si="122"/>
        <v>1.9078353748919574</v>
      </c>
      <c r="N485" s="1350"/>
      <c r="O485" s="1358">
        <f t="shared" si="131"/>
        <v>5.9996144160331102E-3</v>
      </c>
      <c r="P485" s="1358">
        <f t="shared" si="123"/>
        <v>4.7555368519006415E-3</v>
      </c>
      <c r="Q485" s="1358">
        <f t="shared" si="124"/>
        <v>1.3151581442887585E-2</v>
      </c>
      <c r="R485" s="1358">
        <f t="shared" si="125"/>
        <v>0</v>
      </c>
      <c r="S485" s="1358">
        <f t="shared" si="126"/>
        <v>0.12338654290763176</v>
      </c>
      <c r="T485" s="1358">
        <f t="shared" si="120"/>
        <v>2.0551286505104103</v>
      </c>
      <c r="U485" s="595">
        <f>IF('TAR_Tab 2_Volumina'!C488="storage",1,0)</f>
        <v>0</v>
      </c>
      <c r="V485" s="1362">
        <f t="shared" si="134"/>
        <v>2.0551286505104103</v>
      </c>
      <c r="W485" s="1362">
        <f t="shared" si="132"/>
        <v>2.1652485797046754</v>
      </c>
      <c r="X485" s="1355">
        <f t="shared" si="133"/>
        <v>2.165</v>
      </c>
      <c r="Y485" s="1355">
        <f>X485+'TAR_Tab 13_Overige tarieven'!$T$15+'TAR_Tab 13_Overige tarieven'!$T$16</f>
        <v>2.3180000000000001</v>
      </c>
      <c r="Z485" s="960"/>
    </row>
    <row r="486" spans="1:26">
      <c r="A486" s="155">
        <v>301263</v>
      </c>
      <c r="B486" s="156" t="s">
        <v>401</v>
      </c>
      <c r="C486" s="839">
        <v>1.6860336909328295</v>
      </c>
      <c r="D486" s="1356">
        <f t="shared" si="127"/>
        <v>1.6078017276735461</v>
      </c>
      <c r="E486" s="1356">
        <f t="shared" si="128"/>
        <v>1.698871427725859</v>
      </c>
      <c r="F486" s="1357"/>
      <c r="G486" s="1358">
        <f t="shared" si="129"/>
        <v>1.613927856339566</v>
      </c>
      <c r="H486" s="1358">
        <f t="shared" si="130"/>
        <v>1.7838149991121519</v>
      </c>
      <c r="I486" s="833">
        <v>1.7078526311925906</v>
      </c>
      <c r="J486" s="1359" t="b">
        <f t="shared" si="121"/>
        <v>1</v>
      </c>
      <c r="K486" s="1583"/>
      <c r="L486" s="17"/>
      <c r="M486" s="1361">
        <f t="shared" si="122"/>
        <v>1.7078526311925906</v>
      </c>
      <c r="N486" s="1350"/>
      <c r="O486" s="1358">
        <f t="shared" si="131"/>
        <v>5.3707240160296389E-3</v>
      </c>
      <c r="P486" s="1358">
        <f t="shared" si="123"/>
        <v>4.2570529051605315E-3</v>
      </c>
      <c r="Q486" s="1358">
        <f t="shared" si="124"/>
        <v>1.177300896459748E-2</v>
      </c>
      <c r="R486" s="1358">
        <f t="shared" si="125"/>
        <v>0</v>
      </c>
      <c r="S486" s="1358">
        <f t="shared" si="126"/>
        <v>0.11045294302213576</v>
      </c>
      <c r="T486" s="1358">
        <f t="shared" si="120"/>
        <v>1.8397063601005139</v>
      </c>
      <c r="U486" s="595">
        <f>IF('TAR_Tab 2_Volumina'!C489="storage",1,0)</f>
        <v>0</v>
      </c>
      <c r="V486" s="1362">
        <f t="shared" si="134"/>
        <v>1.8397063601005139</v>
      </c>
      <c r="W486" s="1362">
        <f t="shared" si="132"/>
        <v>1.9382833197775606</v>
      </c>
      <c r="X486" s="1355">
        <f t="shared" si="133"/>
        <v>1.9379999999999999</v>
      </c>
      <c r="Y486" s="1355">
        <f>X486+'TAR_Tab 13_Overige tarieven'!$T$15+'TAR_Tab 13_Overige tarieven'!$T$16</f>
        <v>2.0910000000000002</v>
      </c>
      <c r="Z486" s="960"/>
    </row>
    <row r="487" spans="1:26">
      <c r="A487" s="155">
        <v>301264</v>
      </c>
      <c r="B487" s="156" t="s">
        <v>402</v>
      </c>
      <c r="C487" s="839">
        <v>1.1549528210722544</v>
      </c>
      <c r="D487" s="1356">
        <f t="shared" si="127"/>
        <v>1.1013630101745018</v>
      </c>
      <c r="E487" s="1356">
        <f t="shared" si="128"/>
        <v>1.1637468211002664</v>
      </c>
      <c r="F487" s="1357"/>
      <c r="G487" s="1358">
        <f t="shared" si="129"/>
        <v>1.1055594800452531</v>
      </c>
      <c r="H487" s="1358">
        <f t="shared" si="130"/>
        <v>1.2219341621552797</v>
      </c>
      <c r="I487" s="833">
        <v>1.1698990506412945</v>
      </c>
      <c r="J487" s="1359" t="b">
        <f t="shared" si="121"/>
        <v>1</v>
      </c>
      <c r="K487" s="1583"/>
      <c r="L487" s="17"/>
      <c r="M487" s="1361">
        <f t="shared" si="122"/>
        <v>1.1698990506412945</v>
      </c>
      <c r="N487" s="1350"/>
      <c r="O487" s="1358">
        <f t="shared" si="131"/>
        <v>3.679008840020303E-3</v>
      </c>
      <c r="P487" s="1358">
        <f t="shared" si="123"/>
        <v>2.9161310884296384E-3</v>
      </c>
      <c r="Q487" s="1358">
        <f t="shared" si="124"/>
        <v>8.0646489979971023E-3</v>
      </c>
      <c r="R487" s="1358">
        <f t="shared" si="125"/>
        <v>0</v>
      </c>
      <c r="S487" s="1358">
        <f t="shared" si="126"/>
        <v>7.5661559330151548E-2</v>
      </c>
      <c r="T487" s="1358">
        <f t="shared" si="120"/>
        <v>1.2602203988978931</v>
      </c>
      <c r="U487" s="595">
        <f>IF('TAR_Tab 2_Volumina'!C490="storage",1,0)</f>
        <v>0</v>
      </c>
      <c r="V487" s="1362">
        <f t="shared" si="134"/>
        <v>1.2602203988978931</v>
      </c>
      <c r="W487" s="1362">
        <f t="shared" si="132"/>
        <v>1.3277467705736219</v>
      </c>
      <c r="X487" s="1355">
        <f t="shared" si="133"/>
        <v>1.3280000000000001</v>
      </c>
      <c r="Y487" s="1355">
        <f>X487+'TAR_Tab 13_Overige tarieven'!$T$15+'TAR_Tab 13_Overige tarieven'!$T$16</f>
        <v>1.4810000000000001</v>
      </c>
      <c r="Z487" s="960"/>
    </row>
    <row r="488" spans="1:26">
      <c r="A488" s="155">
        <v>301265</v>
      </c>
      <c r="B488" s="156" t="s">
        <v>403</v>
      </c>
      <c r="C488" s="839">
        <v>1.5784355221320814</v>
      </c>
      <c r="D488" s="1356">
        <f t="shared" si="127"/>
        <v>1.5051961139051528</v>
      </c>
      <c r="E488" s="1356">
        <f t="shared" si="128"/>
        <v>1.5904539888370313</v>
      </c>
      <c r="F488" s="1357"/>
      <c r="G488" s="1358">
        <f t="shared" si="129"/>
        <v>1.5109312893951796</v>
      </c>
      <c r="H488" s="1358">
        <f t="shared" si="130"/>
        <v>1.6699766882788829</v>
      </c>
      <c r="I488" s="833">
        <v>1.5988620358764365</v>
      </c>
      <c r="J488" s="1359" t="b">
        <f t="shared" si="121"/>
        <v>1</v>
      </c>
      <c r="K488" s="1583"/>
      <c r="L488" s="17"/>
      <c r="M488" s="1361">
        <f t="shared" si="122"/>
        <v>1.5988620358764365</v>
      </c>
      <c r="N488" s="1350"/>
      <c r="O488" s="1358">
        <f t="shared" si="131"/>
        <v>5.0279787480277498E-3</v>
      </c>
      <c r="P488" s="1358">
        <f t="shared" si="123"/>
        <v>3.9853791541871741E-3</v>
      </c>
      <c r="Q488" s="1358">
        <f t="shared" si="124"/>
        <v>1.1021686963929378E-2</v>
      </c>
      <c r="R488" s="1358">
        <f t="shared" si="125"/>
        <v>0</v>
      </c>
      <c r="S488" s="1358">
        <f t="shared" si="126"/>
        <v>0.1034041310845405</v>
      </c>
      <c r="T488" s="1358">
        <f t="shared" ref="T488:T543" si="135">M488+O488+P488+Q488+R488+S488</f>
        <v>1.7223012118271215</v>
      </c>
      <c r="U488" s="595">
        <f>IF('TAR_Tab 2_Volumina'!C491="storage",1,0)</f>
        <v>0</v>
      </c>
      <c r="V488" s="1362">
        <f t="shared" si="134"/>
        <v>1.7223012118271215</v>
      </c>
      <c r="W488" s="1362">
        <f t="shared" si="132"/>
        <v>1.8145872531172842</v>
      </c>
      <c r="X488" s="1355">
        <f t="shared" si="133"/>
        <v>1.8149999999999999</v>
      </c>
      <c r="Y488" s="1355">
        <f>X488+'TAR_Tab 13_Overige tarieven'!$T$15+'TAR_Tab 13_Overige tarieven'!$T$16</f>
        <v>1.968</v>
      </c>
      <c r="Z488" s="960"/>
    </row>
    <row r="489" spans="1:26">
      <c r="A489" s="155">
        <v>301266</v>
      </c>
      <c r="B489" s="156" t="s">
        <v>404</v>
      </c>
      <c r="C489" s="839">
        <v>1.882474384431444</v>
      </c>
      <c r="D489" s="1356">
        <f t="shared" si="127"/>
        <v>1.795127572993825</v>
      </c>
      <c r="E489" s="1356">
        <f t="shared" si="128"/>
        <v>1.8968078528531698</v>
      </c>
      <c r="F489" s="1357"/>
      <c r="G489" s="1358">
        <f t="shared" si="129"/>
        <v>1.8019674602105111</v>
      </c>
      <c r="H489" s="1358">
        <f t="shared" si="130"/>
        <v>1.9916482454958284</v>
      </c>
      <c r="I489" s="833">
        <v>1.906835461173461</v>
      </c>
      <c r="J489" s="1359" t="b">
        <f t="shared" ref="J489:J543" si="136">IF(I489&gt;0,AND(I489&gt;=G489,I489&lt;=H489),"")</f>
        <v>1</v>
      </c>
      <c r="K489" s="1583"/>
      <c r="L489" s="17"/>
      <c r="M489" s="1361">
        <f t="shared" ref="M489:M543" si="137">IF(I489&gt;0,I489,E489)</f>
        <v>1.906835461173461</v>
      </c>
      <c r="N489" s="1350"/>
      <c r="O489" s="1358">
        <f t="shared" si="131"/>
        <v>5.9964699640330946E-3</v>
      </c>
      <c r="P489" s="1358">
        <f t="shared" si="123"/>
        <v>4.7530444321669417E-3</v>
      </c>
      <c r="Q489" s="1358">
        <f t="shared" si="124"/>
        <v>1.3144688580496137E-2</v>
      </c>
      <c r="R489" s="1358">
        <f t="shared" si="125"/>
        <v>0</v>
      </c>
      <c r="S489" s="1358">
        <f t="shared" si="126"/>
        <v>0.12332187490820432</v>
      </c>
      <c r="T489" s="1358">
        <f t="shared" si="135"/>
        <v>2.0540515390583614</v>
      </c>
      <c r="U489" s="595">
        <f>IF('TAR_Tab 2_Volumina'!C492="storage",1,0)</f>
        <v>0</v>
      </c>
      <c r="V489" s="1362">
        <f t="shared" si="134"/>
        <v>2.0540515390583614</v>
      </c>
      <c r="W489" s="1362">
        <f t="shared" si="132"/>
        <v>2.1641137534050405</v>
      </c>
      <c r="X489" s="1355">
        <f t="shared" si="133"/>
        <v>2.1640000000000001</v>
      </c>
      <c r="Y489" s="1355">
        <f>X489+'TAR_Tab 13_Overige tarieven'!$T$15+'TAR_Tab 13_Overige tarieven'!$T$16</f>
        <v>2.3170000000000002</v>
      </c>
      <c r="Z489" s="960"/>
    </row>
    <row r="490" spans="1:26">
      <c r="A490" s="155">
        <v>301267</v>
      </c>
      <c r="B490" s="156" t="s">
        <v>405</v>
      </c>
      <c r="C490" s="839">
        <v>0.88546382948872837</v>
      </c>
      <c r="D490" s="1356">
        <f t="shared" si="127"/>
        <v>0.84437830780045142</v>
      </c>
      <c r="E490" s="1356">
        <f t="shared" si="128"/>
        <v>0.89220589617687107</v>
      </c>
      <c r="F490" s="1357"/>
      <c r="G490" s="1358">
        <f t="shared" si="129"/>
        <v>0.84759560136802747</v>
      </c>
      <c r="H490" s="1358">
        <f t="shared" si="130"/>
        <v>0.93681619098571467</v>
      </c>
      <c r="I490" s="833">
        <v>0.89692260549165936</v>
      </c>
      <c r="J490" s="1359" t="b">
        <f t="shared" si="136"/>
        <v>1</v>
      </c>
      <c r="K490" s="1583"/>
      <c r="L490" s="17"/>
      <c r="M490" s="1361">
        <f t="shared" si="137"/>
        <v>0.89692260549165936</v>
      </c>
      <c r="N490" s="1350"/>
      <c r="O490" s="1358">
        <f t="shared" si="131"/>
        <v>2.8205734440155663E-3</v>
      </c>
      <c r="P490" s="1358">
        <f t="shared" si="123"/>
        <v>2.2357005011293899E-3</v>
      </c>
      <c r="Q490" s="1358">
        <f t="shared" si="124"/>
        <v>6.1828975651311135E-3</v>
      </c>
      <c r="R490" s="1358">
        <f t="shared" si="125"/>
        <v>0</v>
      </c>
      <c r="S490" s="1358">
        <f t="shared" si="126"/>
        <v>5.8007195486449531E-2</v>
      </c>
      <c r="T490" s="1358">
        <f t="shared" si="135"/>
        <v>0.96616897248838496</v>
      </c>
      <c r="U490" s="595">
        <f>IF('TAR_Tab 2_Volumina'!C493="storage",1,0)</f>
        <v>0</v>
      </c>
      <c r="V490" s="1362">
        <f t="shared" si="134"/>
        <v>0.96616897248838496</v>
      </c>
      <c r="W490" s="1362">
        <f t="shared" si="132"/>
        <v>1.0179391907731103</v>
      </c>
      <c r="X490" s="1355">
        <f t="shared" si="133"/>
        <v>1.018</v>
      </c>
      <c r="Y490" s="1355">
        <f>X490+'TAR_Tab 13_Overige tarieven'!$T$15+'TAR_Tab 13_Overige tarieven'!$T$16</f>
        <v>1.171</v>
      </c>
      <c r="Z490" s="960"/>
    </row>
    <row r="491" spans="1:26">
      <c r="A491" s="155">
        <v>301269</v>
      </c>
      <c r="B491" s="156" t="s">
        <v>406</v>
      </c>
      <c r="C491" s="839">
        <v>1.3829819677967767</v>
      </c>
      <c r="D491" s="1356">
        <f t="shared" si="127"/>
        <v>1.3188116044910063</v>
      </c>
      <c r="E491" s="1356">
        <f t="shared" si="128"/>
        <v>1.3935122191123708</v>
      </c>
      <c r="F491" s="1357"/>
      <c r="G491" s="1358">
        <f t="shared" si="129"/>
        <v>1.3238366081567521</v>
      </c>
      <c r="H491" s="1358">
        <f t="shared" si="130"/>
        <v>1.4631878300679895</v>
      </c>
      <c r="I491" s="833">
        <v>1.4008791196140635</v>
      </c>
      <c r="J491" s="1359" t="b">
        <f t="shared" si="136"/>
        <v>1</v>
      </c>
      <c r="K491" s="1583"/>
      <c r="L491" s="17"/>
      <c r="M491" s="1361">
        <f t="shared" si="137"/>
        <v>1.4008791196140635</v>
      </c>
      <c r="N491" s="1350"/>
      <c r="O491" s="1358">
        <f t="shared" si="131"/>
        <v>4.4053772520243131E-3</v>
      </c>
      <c r="P491" s="1358">
        <f t="shared" si="123"/>
        <v>3.491880046914466E-3</v>
      </c>
      <c r="Q491" s="1358">
        <f t="shared" si="124"/>
        <v>9.6569002104221757E-3</v>
      </c>
      <c r="R491" s="1358">
        <f t="shared" si="125"/>
        <v>0</v>
      </c>
      <c r="S491" s="1358">
        <f t="shared" si="126"/>
        <v>9.0599867197899461E-2</v>
      </c>
      <c r="T491" s="1358">
        <f t="shared" si="135"/>
        <v>1.5090331443213236</v>
      </c>
      <c r="U491" s="595">
        <f>IF('TAR_Tab 2_Volumina'!C494="storage",1,0)</f>
        <v>0</v>
      </c>
      <c r="V491" s="1362">
        <f t="shared" si="134"/>
        <v>1.5090331443213236</v>
      </c>
      <c r="W491" s="1362">
        <f t="shared" si="132"/>
        <v>1.5898916457894399</v>
      </c>
      <c r="X491" s="1355">
        <f t="shared" si="133"/>
        <v>1.59</v>
      </c>
      <c r="Y491" s="1355">
        <f>X491+'TAR_Tab 13_Overige tarieven'!$T$15+'TAR_Tab 13_Overige tarieven'!$T$16</f>
        <v>1.7430000000000001</v>
      </c>
      <c r="Z491" s="960"/>
    </row>
    <row r="492" spans="1:26">
      <c r="A492" s="155">
        <v>301271</v>
      </c>
      <c r="B492" s="156" t="s">
        <v>407</v>
      </c>
      <c r="C492" s="839">
        <v>1.5567184605392697</v>
      </c>
      <c r="D492" s="1356">
        <f t="shared" si="127"/>
        <v>1.4844867239702475</v>
      </c>
      <c r="E492" s="1356">
        <f t="shared" si="128"/>
        <v>1.5685715699787355</v>
      </c>
      <c r="F492" s="1357"/>
      <c r="G492" s="1358">
        <f t="shared" si="129"/>
        <v>1.4901429914797986</v>
      </c>
      <c r="H492" s="1358">
        <f t="shared" si="130"/>
        <v>1.6470001484776724</v>
      </c>
      <c r="I492" s="833">
        <v>1.5768639340695059</v>
      </c>
      <c r="J492" s="1359" t="b">
        <f t="shared" si="136"/>
        <v>1</v>
      </c>
      <c r="K492" s="1583"/>
      <c r="L492" s="17"/>
      <c r="M492" s="1361">
        <f t="shared" si="137"/>
        <v>1.5768639340695059</v>
      </c>
      <c r="N492" s="1350"/>
      <c r="O492" s="1358">
        <f t="shared" si="131"/>
        <v>4.9588008040273666E-3</v>
      </c>
      <c r="P492" s="1358">
        <f t="shared" si="123"/>
        <v>3.9305459200457615E-3</v>
      </c>
      <c r="Q492" s="1358">
        <f t="shared" si="124"/>
        <v>1.0870043991317465E-2</v>
      </c>
      <c r="R492" s="1358">
        <f t="shared" si="125"/>
        <v>0</v>
      </c>
      <c r="S492" s="1358">
        <f t="shared" si="126"/>
        <v>0.10198143509713591</v>
      </c>
      <c r="T492" s="1358">
        <f t="shared" si="135"/>
        <v>1.6986047598820324</v>
      </c>
      <c r="U492" s="595">
        <f>IF('TAR_Tab 2_Volumina'!C495="storage",1,0)</f>
        <v>0</v>
      </c>
      <c r="V492" s="1362">
        <f t="shared" si="134"/>
        <v>1.6986047598820324</v>
      </c>
      <c r="W492" s="1362">
        <f t="shared" si="132"/>
        <v>1.7896210745253009</v>
      </c>
      <c r="X492" s="1355">
        <f t="shared" si="133"/>
        <v>1.79</v>
      </c>
      <c r="Y492" s="1355">
        <f>X492+'TAR_Tab 13_Overige tarieven'!$T$15+'TAR_Tab 13_Overige tarieven'!$T$16</f>
        <v>1.9430000000000001</v>
      </c>
      <c r="Z492" s="960"/>
    </row>
    <row r="493" spans="1:26">
      <c r="A493" s="155">
        <v>301272</v>
      </c>
      <c r="B493" s="156" t="s">
        <v>408</v>
      </c>
      <c r="C493" s="839">
        <v>2.0236352847847194</v>
      </c>
      <c r="D493" s="1356">
        <f t="shared" si="127"/>
        <v>1.9297386075707084</v>
      </c>
      <c r="E493" s="1356">
        <f t="shared" si="128"/>
        <v>2.0390435754320908</v>
      </c>
      <c r="F493" s="1357"/>
      <c r="G493" s="1358">
        <f t="shared" si="129"/>
        <v>1.9370913966604861</v>
      </c>
      <c r="H493" s="1358">
        <f t="shared" si="130"/>
        <v>2.1409957542036953</v>
      </c>
      <c r="I493" s="833">
        <v>2.0498231229185078</v>
      </c>
      <c r="J493" s="1359" t="b">
        <f t="shared" si="136"/>
        <v>1</v>
      </c>
      <c r="K493" s="1583"/>
      <c r="L493" s="17"/>
      <c r="M493" s="1361">
        <f t="shared" si="137"/>
        <v>2.0498231229185078</v>
      </c>
      <c r="N493" s="1350"/>
      <c r="O493" s="1358">
        <f t="shared" si="131"/>
        <v>6.4461266000355741E-3</v>
      </c>
      <c r="P493" s="1358">
        <f t="shared" si="123"/>
        <v>5.1094604540861191E-3</v>
      </c>
      <c r="Q493" s="1358">
        <f t="shared" si="124"/>
        <v>1.4130367902473559E-2</v>
      </c>
      <c r="R493" s="1358">
        <f t="shared" si="125"/>
        <v>0</v>
      </c>
      <c r="S493" s="1358">
        <f t="shared" si="126"/>
        <v>0.13256939882633392</v>
      </c>
      <c r="T493" s="1358">
        <f t="shared" si="135"/>
        <v>2.208078476701437</v>
      </c>
      <c r="U493" s="595">
        <f>IF('TAR_Tab 2_Volumina'!C496="storage",1,0)</f>
        <v>0</v>
      </c>
      <c r="V493" s="1362">
        <f t="shared" si="134"/>
        <v>2.208078476701437</v>
      </c>
      <c r="W493" s="1362">
        <f t="shared" si="132"/>
        <v>2.3263939142529275</v>
      </c>
      <c r="X493" s="1355">
        <f t="shared" si="133"/>
        <v>2.3260000000000001</v>
      </c>
      <c r="Y493" s="1355">
        <f>X493+'TAR_Tab 13_Overige tarieven'!$T$15+'TAR_Tab 13_Overige tarieven'!$T$16</f>
        <v>2.4790000000000001</v>
      </c>
      <c r="Z493" s="960"/>
    </row>
    <row r="494" spans="1:26">
      <c r="A494" s="155">
        <v>301273</v>
      </c>
      <c r="B494" s="156" t="s">
        <v>409</v>
      </c>
      <c r="C494" s="839">
        <v>1.1450814294391585</v>
      </c>
      <c r="D494" s="1356">
        <f t="shared" si="127"/>
        <v>1.0919496511131814</v>
      </c>
      <c r="E494" s="1356">
        <f t="shared" si="128"/>
        <v>1.1538002670737686</v>
      </c>
      <c r="F494" s="1357"/>
      <c r="G494" s="1358">
        <f t="shared" si="129"/>
        <v>1.0961102537200802</v>
      </c>
      <c r="H494" s="1358">
        <f t="shared" si="130"/>
        <v>1.211490280427457</v>
      </c>
      <c r="I494" s="833">
        <v>1.1598999134563264</v>
      </c>
      <c r="J494" s="1359" t="b">
        <f t="shared" si="136"/>
        <v>1</v>
      </c>
      <c r="K494" s="1583"/>
      <c r="L494" s="17"/>
      <c r="M494" s="1361">
        <f t="shared" si="137"/>
        <v>1.1598999134563264</v>
      </c>
      <c r="N494" s="1350"/>
      <c r="O494" s="1358">
        <f t="shared" si="131"/>
        <v>3.64756432002013E-3</v>
      </c>
      <c r="P494" s="1358">
        <f t="shared" si="123"/>
        <v>2.8912068910926332E-3</v>
      </c>
      <c r="Q494" s="1358">
        <f t="shared" si="124"/>
        <v>7.9957203740825995E-3</v>
      </c>
      <c r="R494" s="1358">
        <f t="shared" si="125"/>
        <v>0</v>
      </c>
      <c r="S494" s="1358">
        <f t="shared" si="126"/>
        <v>7.5014879335876763E-2</v>
      </c>
      <c r="T494" s="1358">
        <f t="shared" si="135"/>
        <v>1.2494492843773986</v>
      </c>
      <c r="U494" s="595">
        <f>IF('TAR_Tab 2_Volumina'!C497="storage",1,0)</f>
        <v>0</v>
      </c>
      <c r="V494" s="1362">
        <f t="shared" si="134"/>
        <v>1.2494492843773986</v>
      </c>
      <c r="W494" s="1362">
        <f t="shared" si="132"/>
        <v>1.3163985075772664</v>
      </c>
      <c r="X494" s="1355">
        <f t="shared" si="133"/>
        <v>1.3160000000000001</v>
      </c>
      <c r="Y494" s="1355">
        <f>X494+'TAR_Tab 13_Overige tarieven'!$T$15+'TAR_Tab 13_Overige tarieven'!$T$16</f>
        <v>1.4690000000000001</v>
      </c>
      <c r="Z494" s="960"/>
    </row>
    <row r="495" spans="1:26">
      <c r="A495" s="155">
        <v>301275</v>
      </c>
      <c r="B495" s="156" t="s">
        <v>410</v>
      </c>
      <c r="C495" s="839">
        <v>1.4056861685528979</v>
      </c>
      <c r="D495" s="1356">
        <f t="shared" si="127"/>
        <v>1.3404623303320433</v>
      </c>
      <c r="E495" s="1356">
        <f t="shared" si="128"/>
        <v>1.416389293373316</v>
      </c>
      <c r="F495" s="1357"/>
      <c r="G495" s="1358">
        <f t="shared" si="129"/>
        <v>1.34556982870465</v>
      </c>
      <c r="H495" s="1358">
        <f t="shared" si="130"/>
        <v>1.4872087580419819</v>
      </c>
      <c r="I495" s="833">
        <v>1.4238771351394903</v>
      </c>
      <c r="J495" s="1359" t="b">
        <f t="shared" si="136"/>
        <v>1</v>
      </c>
      <c r="K495" s="1583"/>
      <c r="L495" s="17"/>
      <c r="M495" s="1361">
        <f t="shared" si="137"/>
        <v>1.4238771351394903</v>
      </c>
      <c r="N495" s="1350"/>
      <c r="O495" s="1358">
        <f t="shared" si="131"/>
        <v>4.4776996480247111E-3</v>
      </c>
      <c r="P495" s="1358">
        <f t="shared" si="123"/>
        <v>3.5492057007895776E-3</v>
      </c>
      <c r="Q495" s="1358">
        <f t="shared" si="124"/>
        <v>9.8154360454255352E-3</v>
      </c>
      <c r="R495" s="1358">
        <f t="shared" si="125"/>
        <v>0</v>
      </c>
      <c r="S495" s="1358">
        <f t="shared" si="126"/>
        <v>9.2087231184731472E-2</v>
      </c>
      <c r="T495" s="1358">
        <f t="shared" si="135"/>
        <v>1.5338067077184614</v>
      </c>
      <c r="U495" s="595">
        <f>IF('TAR_Tab 2_Volumina'!C498="storage",1,0)</f>
        <v>0</v>
      </c>
      <c r="V495" s="1362">
        <f t="shared" si="134"/>
        <v>1.5338067077184614</v>
      </c>
      <c r="W495" s="1362">
        <f t="shared" si="132"/>
        <v>1.6159926506810578</v>
      </c>
      <c r="X495" s="1355">
        <f t="shared" si="133"/>
        <v>1.6160000000000001</v>
      </c>
      <c r="Y495" s="1355">
        <f>X495+'TAR_Tab 13_Overige tarieven'!$T$15+'TAR_Tab 13_Overige tarieven'!$T$16</f>
        <v>1.7690000000000001</v>
      </c>
      <c r="Z495" s="960"/>
    </row>
    <row r="496" spans="1:26">
      <c r="A496" s="155">
        <v>301276</v>
      </c>
      <c r="B496" s="156" t="s">
        <v>56</v>
      </c>
      <c r="C496" s="839">
        <v>0.3742738554539502</v>
      </c>
      <c r="D496" s="1356">
        <f t="shared" si="127"/>
        <v>0.35690754856088691</v>
      </c>
      <c r="E496" s="1356">
        <f t="shared" si="128"/>
        <v>0.37712363791717718</v>
      </c>
      <c r="F496" s="1357"/>
      <c r="G496" s="1358">
        <f t="shared" si="129"/>
        <v>0.35826745602131832</v>
      </c>
      <c r="H496" s="1358">
        <f t="shared" si="130"/>
        <v>0.39597981981303604</v>
      </c>
      <c r="I496" s="833">
        <v>0.37911732859262881</v>
      </c>
      <c r="J496" s="1359" t="b">
        <f t="shared" si="136"/>
        <v>1</v>
      </c>
      <c r="K496" s="1583"/>
      <c r="L496" s="17"/>
      <c r="M496" s="1361">
        <f t="shared" si="137"/>
        <v>0.37911732859262881</v>
      </c>
      <c r="N496" s="1350"/>
      <c r="O496" s="1358">
        <f t="shared" si="131"/>
        <v>1.1922191085911213E-3</v>
      </c>
      <c r="P496" s="1358">
        <f t="shared" si="123"/>
        <v>9.450010472829562E-4</v>
      </c>
      <c r="Q496" s="1358">
        <f t="shared" si="124"/>
        <v>2.6134290667916217E-3</v>
      </c>
      <c r="R496" s="1358">
        <f t="shared" si="125"/>
        <v>0</v>
      </c>
      <c r="S496" s="1358">
        <f t="shared" si="126"/>
        <v>2.4518874713742117E-2</v>
      </c>
      <c r="T496" s="1358">
        <f t="shared" si="135"/>
        <v>0.40838685252903661</v>
      </c>
      <c r="U496" s="595">
        <f>IF('TAR_Tab 2_Volumina'!C499="storage",1,0)</f>
        <v>1</v>
      </c>
      <c r="V496" s="1362">
        <f t="shared" si="134"/>
        <v>0.30629013939677746</v>
      </c>
      <c r="W496" s="1362">
        <f t="shared" si="132"/>
        <v>0.30629013939677746</v>
      </c>
      <c r="X496" s="1355">
        <f t="shared" si="133"/>
        <v>0.30599999999999999</v>
      </c>
      <c r="Y496" s="1355">
        <f>X496+'TAR_Tab 13_Overige tarieven'!$T$15+'TAR_Tab 13_Overige tarieven'!$T$16</f>
        <v>0.45899999999999996</v>
      </c>
      <c r="Z496" s="960"/>
    </row>
    <row r="497" spans="1:26">
      <c r="A497" s="155">
        <v>301304</v>
      </c>
      <c r="B497" s="156" t="s">
        <v>284</v>
      </c>
      <c r="C497" s="839">
        <v>1.2148895346830162</v>
      </c>
      <c r="D497" s="1356">
        <f t="shared" si="127"/>
        <v>1.1585186602737243</v>
      </c>
      <c r="E497" s="1356">
        <f t="shared" si="128"/>
        <v>1.2241399026695763</v>
      </c>
      <c r="F497" s="1357"/>
      <c r="G497" s="1358">
        <f t="shared" si="129"/>
        <v>1.1629329075360975</v>
      </c>
      <c r="H497" s="1358">
        <f t="shared" si="130"/>
        <v>1.2853468978030551</v>
      </c>
      <c r="I497" s="833">
        <v>1.2306114044902512</v>
      </c>
      <c r="J497" s="1359" t="b">
        <f t="shared" si="136"/>
        <v>1</v>
      </c>
      <c r="K497" s="1583"/>
      <c r="L497" s="17"/>
      <c r="M497" s="1361">
        <f t="shared" si="137"/>
        <v>1.2306114044902512</v>
      </c>
      <c r="N497" s="1350"/>
      <c r="O497" s="1358">
        <f t="shared" si="131"/>
        <v>3.8699323956777882E-3</v>
      </c>
      <c r="P497" s="1358">
        <f t="shared" si="123"/>
        <v>3.0674648145435574E-3</v>
      </c>
      <c r="Q497" s="1358">
        <f t="shared" si="124"/>
        <v>8.4831670089020959E-3</v>
      </c>
      <c r="R497" s="1358">
        <f t="shared" si="125"/>
        <v>0</v>
      </c>
      <c r="S497" s="1358">
        <f t="shared" si="126"/>
        <v>7.9588044577146105E-2</v>
      </c>
      <c r="T497" s="1358">
        <f t="shared" si="135"/>
        <v>1.3256200132865206</v>
      </c>
      <c r="U497" s="595">
        <f>IF('TAR_Tab 2_Volumina'!C500="storage",1,0)</f>
        <v>0</v>
      </c>
      <c r="V497" s="1362">
        <f t="shared" si="134"/>
        <v>1.3256200132865206</v>
      </c>
      <c r="W497" s="1362">
        <f t="shared" si="132"/>
        <v>1.3966506915680763</v>
      </c>
      <c r="X497" s="1355">
        <f t="shared" si="133"/>
        <v>1.397</v>
      </c>
      <c r="Y497" s="1355">
        <f>X497+'TAR_Tab 13_Overige tarieven'!$T$15+'TAR_Tab 13_Overige tarieven'!$T$16</f>
        <v>1.55</v>
      </c>
      <c r="Z497" s="960"/>
    </row>
    <row r="498" spans="1:26">
      <c r="A498" s="155">
        <v>301305</v>
      </c>
      <c r="B498" s="156" t="s">
        <v>265</v>
      </c>
      <c r="C498" s="839">
        <v>1.8079045795819289</v>
      </c>
      <c r="D498" s="1356">
        <f t="shared" si="127"/>
        <v>1.7240178070893273</v>
      </c>
      <c r="E498" s="1356">
        <f t="shared" si="128"/>
        <v>1.8216702612906641</v>
      </c>
      <c r="F498" s="1357"/>
      <c r="G498" s="1358">
        <f t="shared" si="129"/>
        <v>1.7305867482261308</v>
      </c>
      <c r="H498" s="1358">
        <f t="shared" si="130"/>
        <v>1.9127537743551974</v>
      </c>
      <c r="I498" s="833">
        <v>1.8313006494406647</v>
      </c>
      <c r="J498" s="1359" t="b">
        <f t="shared" si="136"/>
        <v>1</v>
      </c>
      <c r="K498" s="1583"/>
      <c r="L498" s="17"/>
      <c r="M498" s="1361">
        <f t="shared" si="137"/>
        <v>1.8313006494406647</v>
      </c>
      <c r="N498" s="1350"/>
      <c r="O498" s="1358">
        <f t="shared" si="131"/>
        <v>5.7589338792385161E-3</v>
      </c>
      <c r="P498" s="1358">
        <f t="shared" si="123"/>
        <v>4.5647637316809098E-3</v>
      </c>
      <c r="Q498" s="1358">
        <f t="shared" si="124"/>
        <v>1.2623992591025186E-2</v>
      </c>
      <c r="R498" s="1358">
        <f t="shared" si="125"/>
        <v>0</v>
      </c>
      <c r="S498" s="1358">
        <f t="shared" si="126"/>
        <v>0.11843676825196761</v>
      </c>
      <c r="T498" s="1358">
        <f t="shared" si="135"/>
        <v>1.9726851078945771</v>
      </c>
      <c r="U498" s="595">
        <f>IF('TAR_Tab 2_Volumina'!C501="storage",1,0)</f>
        <v>0</v>
      </c>
      <c r="V498" s="1362">
        <f t="shared" si="134"/>
        <v>1.9726851078945771</v>
      </c>
      <c r="W498" s="1362">
        <f t="shared" si="132"/>
        <v>2.0783874659196968</v>
      </c>
      <c r="X498" s="1355">
        <f t="shared" si="133"/>
        <v>2.0779999999999998</v>
      </c>
      <c r="Y498" s="1355">
        <f>X498+'TAR_Tab 13_Overige tarieven'!$T$15+'TAR_Tab 13_Overige tarieven'!$T$16</f>
        <v>2.2309999999999999</v>
      </c>
      <c r="Z498" s="960"/>
    </row>
    <row r="499" spans="1:26">
      <c r="A499" s="155">
        <v>301306</v>
      </c>
      <c r="B499" s="156" t="s">
        <v>266</v>
      </c>
      <c r="C499" s="839">
        <v>1.2294023427332432</v>
      </c>
      <c r="D499" s="1356">
        <f t="shared" si="127"/>
        <v>1.1723580740304207</v>
      </c>
      <c r="E499" s="1356">
        <f t="shared" si="128"/>
        <v>1.2387632136183389</v>
      </c>
      <c r="F499" s="1357"/>
      <c r="G499" s="1358">
        <f t="shared" si="129"/>
        <v>1.1768250529374218</v>
      </c>
      <c r="H499" s="1358">
        <f t="shared" si="130"/>
        <v>1.3007013742992559</v>
      </c>
      <c r="I499" s="833">
        <v>1.2453120226023722</v>
      </c>
      <c r="J499" s="1359" t="b">
        <f t="shared" si="136"/>
        <v>1</v>
      </c>
      <c r="K499" s="1583"/>
      <c r="L499" s="17"/>
      <c r="M499" s="1361">
        <f t="shared" si="137"/>
        <v>1.2453120226023722</v>
      </c>
      <c r="N499" s="1350"/>
      <c r="O499" s="1358">
        <f t="shared" si="131"/>
        <v>3.9161617724420561E-3</v>
      </c>
      <c r="P499" s="1358">
        <f t="shared" si="123"/>
        <v>3.1041080868604199E-3</v>
      </c>
      <c r="Q499" s="1358">
        <f t="shared" si="124"/>
        <v>8.5845050902201951E-3</v>
      </c>
      <c r="R499" s="1358">
        <f t="shared" si="125"/>
        <v>0</v>
      </c>
      <c r="S499" s="1358">
        <f t="shared" si="126"/>
        <v>8.0538786172218296E-2</v>
      </c>
      <c r="T499" s="1358">
        <f t="shared" si="135"/>
        <v>1.3414555837241131</v>
      </c>
      <c r="U499" s="595">
        <f>IF('TAR_Tab 2_Volumina'!C502="storage",1,0)</f>
        <v>0</v>
      </c>
      <c r="V499" s="1362">
        <f t="shared" si="134"/>
        <v>1.3414555837241131</v>
      </c>
      <c r="W499" s="1362">
        <f t="shared" si="132"/>
        <v>1.413334779150766</v>
      </c>
      <c r="X499" s="1355">
        <f t="shared" si="133"/>
        <v>1.413</v>
      </c>
      <c r="Y499" s="1355">
        <f>X499+'TAR_Tab 13_Overige tarieven'!$T$15+'TAR_Tab 13_Overige tarieven'!$T$16</f>
        <v>1.5660000000000001</v>
      </c>
      <c r="Z499" s="960"/>
    </row>
    <row r="500" spans="1:26">
      <c r="A500" s="155">
        <v>301309</v>
      </c>
      <c r="B500" s="156" t="s">
        <v>57</v>
      </c>
      <c r="C500" s="839">
        <v>1.3245712012916877</v>
      </c>
      <c r="D500" s="1356">
        <f t="shared" si="127"/>
        <v>1.2631110975517534</v>
      </c>
      <c r="E500" s="1356">
        <f t="shared" si="128"/>
        <v>1.3346567034600352</v>
      </c>
      <c r="F500" s="1357"/>
      <c r="G500" s="1358">
        <f t="shared" si="129"/>
        <v>1.2679238682870333</v>
      </c>
      <c r="H500" s="1358">
        <f t="shared" si="130"/>
        <v>1.4013895386330371</v>
      </c>
      <c r="I500" s="833">
        <v>1.3417124601326031</v>
      </c>
      <c r="J500" s="1359" t="b">
        <f t="shared" si="136"/>
        <v>1</v>
      </c>
      <c r="K500" s="1583"/>
      <c r="L500" s="17"/>
      <c r="M500" s="1361">
        <f t="shared" si="137"/>
        <v>1.3417124601326031</v>
      </c>
      <c r="N500" s="1350"/>
      <c r="O500" s="1358">
        <f t="shared" si="131"/>
        <v>4.2193144775076212E-3</v>
      </c>
      <c r="P500" s="1358">
        <f t="shared" si="123"/>
        <v>3.3443991723741896E-3</v>
      </c>
      <c r="Q500" s="1358">
        <f t="shared" si="124"/>
        <v>9.2490373774363425E-3</v>
      </c>
      <c r="R500" s="1358">
        <f t="shared" si="125"/>
        <v>0</v>
      </c>
      <c r="S500" s="1358">
        <f t="shared" si="126"/>
        <v>8.6773347538558365E-2</v>
      </c>
      <c r="T500" s="1358">
        <f t="shared" si="135"/>
        <v>1.4452985586984797</v>
      </c>
      <c r="U500" s="595">
        <f>IF('TAR_Tab 2_Volumina'!C503="storage",1,0)</f>
        <v>1</v>
      </c>
      <c r="V500" s="1362">
        <f t="shared" si="134"/>
        <v>1.0839739190238598</v>
      </c>
      <c r="W500" s="1362">
        <f t="shared" si="132"/>
        <v>1.0839739190238598</v>
      </c>
      <c r="X500" s="1355">
        <f t="shared" si="133"/>
        <v>1.0840000000000001</v>
      </c>
      <c r="Y500" s="1355">
        <f>X500+'TAR_Tab 13_Overige tarieven'!$T$15+'TAR_Tab 13_Overige tarieven'!$T$16</f>
        <v>1.2370000000000001</v>
      </c>
      <c r="Z500" s="960"/>
    </row>
    <row r="501" spans="1:26">
      <c r="A501" s="155">
        <v>301312</v>
      </c>
      <c r="B501" s="156" t="s">
        <v>411</v>
      </c>
      <c r="C501" s="839">
        <v>2.3053619674182362</v>
      </c>
      <c r="D501" s="1356">
        <f t="shared" si="127"/>
        <v>2.19839317213003</v>
      </c>
      <c r="E501" s="1356">
        <f t="shared" si="128"/>
        <v>2.3229153711903767</v>
      </c>
      <c r="F501" s="1357"/>
      <c r="G501" s="1358">
        <f t="shared" si="129"/>
        <v>2.2067696026308576</v>
      </c>
      <c r="H501" s="1358">
        <f t="shared" si="130"/>
        <v>2.4390611397498958</v>
      </c>
      <c r="I501" s="833">
        <v>2.3351956269202563</v>
      </c>
      <c r="J501" s="1359" t="b">
        <f t="shared" si="136"/>
        <v>1</v>
      </c>
      <c r="K501" s="1583"/>
      <c r="L501" s="17"/>
      <c r="M501" s="1361">
        <f t="shared" si="137"/>
        <v>2.3351956269202563</v>
      </c>
      <c r="N501" s="1350"/>
      <c r="O501" s="1358">
        <f t="shared" si="131"/>
        <v>7.3435441715308698E-3</v>
      </c>
      <c r="P501" s="1358">
        <f t="shared" si="123"/>
        <v>5.8207898890885144E-3</v>
      </c>
      <c r="Q501" s="1358">
        <f t="shared" si="124"/>
        <v>1.6097571036104676E-2</v>
      </c>
      <c r="R501" s="1358">
        <f t="shared" si="125"/>
        <v>0</v>
      </c>
      <c r="S501" s="1358">
        <f t="shared" si="126"/>
        <v>0.15102546016845267</v>
      </c>
      <c r="T501" s="1358">
        <f t="shared" si="135"/>
        <v>2.5154829921854334</v>
      </c>
      <c r="U501" s="595">
        <f>IF('TAR_Tab 2_Volumina'!C504="storage",1,0)</f>
        <v>0</v>
      </c>
      <c r="V501" s="1362">
        <f t="shared" si="134"/>
        <v>2.5154829921854334</v>
      </c>
      <c r="W501" s="1362">
        <f t="shared" si="132"/>
        <v>2.6502700815095213</v>
      </c>
      <c r="X501" s="1355">
        <f t="shared" si="133"/>
        <v>2.65</v>
      </c>
      <c r="Y501" s="1355">
        <f>X501+'TAR_Tab 13_Overige tarieven'!$T$15+'TAR_Tab 13_Overige tarieven'!$T$16</f>
        <v>2.8029999999999999</v>
      </c>
      <c r="Z501" s="960"/>
    </row>
    <row r="502" spans="1:26">
      <c r="A502" s="155">
        <v>301313</v>
      </c>
      <c r="B502" s="156" t="s">
        <v>267</v>
      </c>
      <c r="C502" s="839">
        <v>1.2472664262092286</v>
      </c>
      <c r="D502" s="1356">
        <f t="shared" si="127"/>
        <v>1.1893932640331204</v>
      </c>
      <c r="E502" s="1356">
        <f t="shared" si="128"/>
        <v>1.256763317153085</v>
      </c>
      <c r="F502" s="1350"/>
      <c r="G502" s="1358">
        <f t="shared" si="129"/>
        <v>1.1939251512954308</v>
      </c>
      <c r="H502" s="1358">
        <f t="shared" si="130"/>
        <v>1.3196014830107392</v>
      </c>
      <c r="I502" s="833">
        <v>1.263407284952335</v>
      </c>
      <c r="J502" s="1359" t="b">
        <f t="shared" si="136"/>
        <v>1</v>
      </c>
      <c r="K502" s="1583"/>
      <c r="M502" s="1361">
        <f t="shared" si="137"/>
        <v>1.263407284952335</v>
      </c>
      <c r="N502" s="1350"/>
      <c r="O502" s="1358">
        <f t="shared" si="131"/>
        <v>3.9730663661431166E-3</v>
      </c>
      <c r="P502" s="1358">
        <f t="shared" si="123"/>
        <v>3.1492129675448613E-3</v>
      </c>
      <c r="Q502" s="1358">
        <f t="shared" si="124"/>
        <v>8.7092440061968587E-3</v>
      </c>
      <c r="R502" s="1358">
        <f t="shared" si="125"/>
        <v>0</v>
      </c>
      <c r="S502" s="1358">
        <f t="shared" si="126"/>
        <v>8.1709071561488322E-2</v>
      </c>
      <c r="T502" s="1358">
        <f t="shared" si="135"/>
        <v>1.360947879853708</v>
      </c>
      <c r="U502" s="595">
        <f>IF('TAR_Tab 2_Volumina'!C505="storage",1,0)</f>
        <v>0</v>
      </c>
      <c r="V502" s="1362">
        <f t="shared" si="134"/>
        <v>1.360947879853708</v>
      </c>
      <c r="W502" s="1362">
        <f t="shared" si="132"/>
        <v>1.4338715307061036</v>
      </c>
      <c r="X502" s="1355">
        <f t="shared" si="133"/>
        <v>1.4339999999999999</v>
      </c>
      <c r="Y502" s="1355">
        <f>X502+'TAR_Tab 13_Overige tarieven'!$T$15+'TAR_Tab 13_Overige tarieven'!$T$16</f>
        <v>1.587</v>
      </c>
      <c r="Z502" s="960"/>
    </row>
    <row r="503" spans="1:26">
      <c r="A503" s="155">
        <v>301319</v>
      </c>
      <c r="B503" s="156" t="s">
        <v>268</v>
      </c>
      <c r="C503" s="839">
        <v>0.77462342733192169</v>
      </c>
      <c r="D503" s="1356">
        <f t="shared" si="127"/>
        <v>0.73868090030372058</v>
      </c>
      <c r="E503" s="1356">
        <f t="shared" si="128"/>
        <v>0.7805215370359454</v>
      </c>
      <c r="F503" s="1350"/>
      <c r="G503" s="1358">
        <f t="shared" si="129"/>
        <v>0.74149546018414814</v>
      </c>
      <c r="H503" s="1358">
        <f t="shared" si="130"/>
        <v>0.81954761388774267</v>
      </c>
      <c r="I503" s="833">
        <v>0.78464781911938108</v>
      </c>
      <c r="J503" s="1359" t="b">
        <f t="shared" si="136"/>
        <v>1</v>
      </c>
      <c r="K503" s="1583"/>
      <c r="M503" s="1361">
        <f t="shared" si="137"/>
        <v>0.78464781911938108</v>
      </c>
      <c r="N503" s="1350"/>
      <c r="O503" s="1358">
        <f t="shared" si="131"/>
        <v>2.467500303774467E-3</v>
      </c>
      <c r="P503" s="1358">
        <f t="shared" si="123"/>
        <v>1.9558404612331918E-3</v>
      </c>
      <c r="Q503" s="1358">
        <f t="shared" si="124"/>
        <v>5.408936134081832E-3</v>
      </c>
      <c r="R503" s="1358">
        <f t="shared" si="125"/>
        <v>0</v>
      </c>
      <c r="S503" s="1358">
        <f t="shared" si="126"/>
        <v>5.0745983157292035E-2</v>
      </c>
      <c r="T503" s="1358">
        <f t="shared" si="135"/>
        <v>0.84522607917576265</v>
      </c>
      <c r="U503" s="595">
        <f>IF('TAR_Tab 2_Volumina'!C506="storage",1,0)</f>
        <v>0</v>
      </c>
      <c r="V503" s="1362">
        <f t="shared" si="134"/>
        <v>0.84522607917576265</v>
      </c>
      <c r="W503" s="1362">
        <f t="shared" si="132"/>
        <v>0.8905158161315806</v>
      </c>
      <c r="X503" s="1355">
        <f t="shared" si="133"/>
        <v>0.89100000000000001</v>
      </c>
      <c r="Y503" s="1355">
        <f>X503+'TAR_Tab 13_Overige tarieven'!$T$15+'TAR_Tab 13_Overige tarieven'!$T$16</f>
        <v>1.044</v>
      </c>
      <c r="Z503" s="960"/>
    </row>
    <row r="504" spans="1:26">
      <c r="A504" s="155">
        <v>301320</v>
      </c>
      <c r="B504" s="156" t="s">
        <v>1130</v>
      </c>
      <c r="C504" s="839">
        <v>0.37050283424030839</v>
      </c>
      <c r="D504" s="1356">
        <f t="shared" si="127"/>
        <v>0.35331150273155809</v>
      </c>
      <c r="E504" s="1356">
        <f t="shared" si="128"/>
        <v>0.37332390353010236</v>
      </c>
      <c r="F504" s="1350"/>
      <c r="G504" s="1358">
        <f t="shared" si="129"/>
        <v>0.35465770835359722</v>
      </c>
      <c r="H504" s="1358">
        <f t="shared" si="130"/>
        <v>0.3919900987066075</v>
      </c>
      <c r="I504" s="833">
        <v>0.37529750664207334</v>
      </c>
      <c r="J504" s="1359" t="b">
        <f t="shared" si="136"/>
        <v>1</v>
      </c>
      <c r="K504" s="1583"/>
      <c r="M504" s="1361">
        <f t="shared" si="137"/>
        <v>0.37529750664207334</v>
      </c>
      <c r="N504" s="1350"/>
      <c r="O504" s="1358">
        <f t="shared" si="131"/>
        <v>1.1802068253811352E-3</v>
      </c>
      <c r="P504" s="1358">
        <f t="shared" si="123"/>
        <v>9.3547962615164173E-4</v>
      </c>
      <c r="Q504" s="1358">
        <f t="shared" si="124"/>
        <v>2.5870972877811266E-3</v>
      </c>
      <c r="R504" s="1358">
        <f t="shared" si="125"/>
        <v>0</v>
      </c>
      <c r="S504" s="1358">
        <f t="shared" si="126"/>
        <v>2.4271833154913481E-2</v>
      </c>
      <c r="T504" s="1358">
        <f t="shared" si="135"/>
        <v>0.40427212353630071</v>
      </c>
      <c r="U504" s="595">
        <f>IF('TAR_Tab 2_Volumina'!C507="storage",1,0)</f>
        <v>1</v>
      </c>
      <c r="V504" s="1362">
        <f t="shared" si="134"/>
        <v>0.30320409265222553</v>
      </c>
      <c r="W504" s="1362">
        <f t="shared" si="132"/>
        <v>0.30320409265222553</v>
      </c>
      <c r="X504" s="1355">
        <f t="shared" si="133"/>
        <v>0.30299999999999999</v>
      </c>
      <c r="Y504" s="1355">
        <f>X504+'TAR_Tab 13_Overige tarieven'!$T$15+'TAR_Tab 13_Overige tarieven'!$T$16</f>
        <v>0.45599999999999996</v>
      </c>
      <c r="Z504" s="960"/>
    </row>
    <row r="505" spans="1:26">
      <c r="A505" s="155">
        <v>301321</v>
      </c>
      <c r="B505" s="156" t="s">
        <v>269</v>
      </c>
      <c r="C505" s="839">
        <v>1.145068297057555</v>
      </c>
      <c r="D505" s="1356">
        <f t="shared" si="127"/>
        <v>1.0919371280740844</v>
      </c>
      <c r="E505" s="1356">
        <f t="shared" si="128"/>
        <v>1.1537870347000598</v>
      </c>
      <c r="F505" s="1350"/>
      <c r="G505" s="1358">
        <f t="shared" si="129"/>
        <v>1.0960976829650568</v>
      </c>
      <c r="H505" s="1358">
        <f t="shared" si="130"/>
        <v>1.2114763864350628</v>
      </c>
      <c r="I505" s="833">
        <v>1.159886611128742</v>
      </c>
      <c r="J505" s="1359" t="b">
        <f t="shared" si="136"/>
        <v>1</v>
      </c>
      <c r="K505" s="1583"/>
      <c r="M505" s="1361">
        <f t="shared" si="137"/>
        <v>1.159886611128742</v>
      </c>
      <c r="N505" s="1350"/>
      <c r="O505" s="1358">
        <f t="shared" si="131"/>
        <v>3.6475224878802126E-3</v>
      </c>
      <c r="P505" s="1358">
        <f t="shared" si="123"/>
        <v>2.8911737332479493E-3</v>
      </c>
      <c r="Q505" s="1358">
        <f t="shared" si="124"/>
        <v>7.995628675057145E-3</v>
      </c>
      <c r="R505" s="1358">
        <f t="shared" si="125"/>
        <v>0</v>
      </c>
      <c r="S505" s="1358">
        <f t="shared" si="126"/>
        <v>7.5014019026735379E-2</v>
      </c>
      <c r="T505" s="1358">
        <f t="shared" si="135"/>
        <v>1.2494349550516628</v>
      </c>
      <c r="U505" s="595">
        <f>IF('TAR_Tab 2_Volumina'!C508="storage",1,0)</f>
        <v>0</v>
      </c>
      <c r="V505" s="1362">
        <f t="shared" si="134"/>
        <v>1.2494349550516628</v>
      </c>
      <c r="W505" s="1362">
        <f t="shared" si="132"/>
        <v>1.316383410443474</v>
      </c>
      <c r="X505" s="1355">
        <f t="shared" si="133"/>
        <v>1.3160000000000001</v>
      </c>
      <c r="Y505" s="1355">
        <f>X505+'TAR_Tab 13_Overige tarieven'!$T$15+'TAR_Tab 13_Overige tarieven'!$T$16</f>
        <v>1.4690000000000001</v>
      </c>
      <c r="Z505" s="960"/>
    </row>
    <row r="506" spans="1:26">
      <c r="A506" s="155">
        <v>301323</v>
      </c>
      <c r="B506" s="156" t="s">
        <v>412</v>
      </c>
      <c r="C506" s="839">
        <v>1.3563292103874167</v>
      </c>
      <c r="D506" s="1356">
        <f t="shared" si="127"/>
        <v>1.2933955350254407</v>
      </c>
      <c r="E506" s="1356">
        <f t="shared" si="128"/>
        <v>1.3666565232408259</v>
      </c>
      <c r="F506" s="1350"/>
      <c r="G506" s="1358">
        <f t="shared" si="129"/>
        <v>1.2983236970787846</v>
      </c>
      <c r="H506" s="1358">
        <f t="shared" si="130"/>
        <v>1.4349893494028672</v>
      </c>
      <c r="I506" s="833">
        <v>1.3738814492146487</v>
      </c>
      <c r="J506" s="1359" t="b">
        <f t="shared" si="136"/>
        <v>1</v>
      </c>
      <c r="K506" s="1583"/>
      <c r="M506" s="1361">
        <f t="shared" si="137"/>
        <v>1.3738814492146487</v>
      </c>
      <c r="N506" s="1350"/>
      <c r="O506" s="1358">
        <f t="shared" si="131"/>
        <v>4.3204770480238441E-3</v>
      </c>
      <c r="P506" s="1358">
        <f t="shared" si="123"/>
        <v>3.4245847141045503E-3</v>
      </c>
      <c r="Q506" s="1358">
        <f t="shared" si="124"/>
        <v>9.4707929258530093E-3</v>
      </c>
      <c r="R506" s="1358">
        <f t="shared" si="125"/>
        <v>0</v>
      </c>
      <c r="S506" s="1358">
        <f t="shared" si="126"/>
        <v>8.8853831213357479E-2</v>
      </c>
      <c r="T506" s="1358">
        <f t="shared" si="135"/>
        <v>1.4799511351159877</v>
      </c>
      <c r="U506" s="595">
        <f>IF('TAR_Tab 2_Volumina'!C509="storage",1,0)</f>
        <v>0</v>
      </c>
      <c r="V506" s="1362">
        <f t="shared" si="134"/>
        <v>1.4799511351159877</v>
      </c>
      <c r="W506" s="1362">
        <f t="shared" si="132"/>
        <v>1.5592513356992794</v>
      </c>
      <c r="X506" s="1355">
        <f t="shared" si="133"/>
        <v>1.5589999999999999</v>
      </c>
      <c r="Y506" s="1355">
        <f>X506+'TAR_Tab 13_Overige tarieven'!$T$15+'TAR_Tab 13_Overige tarieven'!$T$16</f>
        <v>1.712</v>
      </c>
      <c r="Z506" s="960"/>
    </row>
    <row r="507" spans="1:26">
      <c r="A507" s="155">
        <v>301324</v>
      </c>
      <c r="B507" s="156" t="s">
        <v>413</v>
      </c>
      <c r="C507" s="839">
        <v>1.4056861685528979</v>
      </c>
      <c r="D507" s="1356">
        <f t="shared" si="127"/>
        <v>1.3404623303320433</v>
      </c>
      <c r="E507" s="1356">
        <f t="shared" si="128"/>
        <v>1.416389293373316</v>
      </c>
      <c r="F507" s="1350"/>
      <c r="G507" s="1358">
        <f t="shared" si="129"/>
        <v>1.34556982870465</v>
      </c>
      <c r="H507" s="1358">
        <f t="shared" si="130"/>
        <v>1.4872087580419819</v>
      </c>
      <c r="I507" s="833">
        <v>1.4238771351394903</v>
      </c>
      <c r="J507" s="1359" t="b">
        <f t="shared" si="136"/>
        <v>1</v>
      </c>
      <c r="K507" s="1583"/>
      <c r="M507" s="1361">
        <f t="shared" si="137"/>
        <v>1.4238771351394903</v>
      </c>
      <c r="N507" s="1350"/>
      <c r="O507" s="1358">
        <f t="shared" si="131"/>
        <v>4.4776996480247111E-3</v>
      </c>
      <c r="P507" s="1358">
        <f t="shared" si="123"/>
        <v>3.5492057007895776E-3</v>
      </c>
      <c r="Q507" s="1358">
        <f t="shared" si="124"/>
        <v>9.8154360454255352E-3</v>
      </c>
      <c r="R507" s="1358">
        <f t="shared" si="125"/>
        <v>0</v>
      </c>
      <c r="S507" s="1358">
        <f t="shared" si="126"/>
        <v>9.2087231184731472E-2</v>
      </c>
      <c r="T507" s="1358">
        <f t="shared" si="135"/>
        <v>1.5338067077184614</v>
      </c>
      <c r="U507" s="595">
        <f>IF('TAR_Tab 2_Volumina'!C510="storage",1,0)</f>
        <v>0</v>
      </c>
      <c r="V507" s="1362">
        <f t="shared" si="134"/>
        <v>1.5338067077184614</v>
      </c>
      <c r="W507" s="1362">
        <f t="shared" si="132"/>
        <v>1.6159926506810578</v>
      </c>
      <c r="X507" s="1355">
        <f t="shared" si="133"/>
        <v>1.6160000000000001</v>
      </c>
      <c r="Y507" s="1355">
        <f>X507+'TAR_Tab 13_Overige tarieven'!$T$15+'TAR_Tab 13_Overige tarieven'!$T$16</f>
        <v>1.7690000000000001</v>
      </c>
      <c r="Z507" s="960"/>
    </row>
    <row r="508" spans="1:26">
      <c r="A508" s="155">
        <v>301325</v>
      </c>
      <c r="B508" s="156" t="s">
        <v>414</v>
      </c>
      <c r="C508" s="839">
        <v>1.8953071935544687</v>
      </c>
      <c r="D508" s="1356">
        <f t="shared" si="127"/>
        <v>1.8073649397735414</v>
      </c>
      <c r="E508" s="1356">
        <f t="shared" si="128"/>
        <v>1.9097383730876167</v>
      </c>
      <c r="F508" s="1350"/>
      <c r="G508" s="1358">
        <f t="shared" si="129"/>
        <v>1.8142514544332358</v>
      </c>
      <c r="H508" s="1358">
        <f t="shared" si="130"/>
        <v>2.0052252917419975</v>
      </c>
      <c r="I508" s="833">
        <v>1.9198343395139192</v>
      </c>
      <c r="J508" s="1359" t="b">
        <f t="shared" si="136"/>
        <v>1</v>
      </c>
      <c r="K508" s="1583"/>
      <c r="M508" s="1361">
        <f t="shared" si="137"/>
        <v>1.9198343395139192</v>
      </c>
      <c r="N508" s="1350"/>
      <c r="O508" s="1358">
        <f t="shared" si="131"/>
        <v>6.0373478400333183E-3</v>
      </c>
      <c r="P508" s="1358">
        <f t="shared" si="123"/>
        <v>4.7854458887050472E-3</v>
      </c>
      <c r="Q508" s="1358">
        <f t="shared" si="124"/>
        <v>1.323429579158499E-2</v>
      </c>
      <c r="R508" s="1358">
        <f t="shared" si="125"/>
        <v>0</v>
      </c>
      <c r="S508" s="1358">
        <f t="shared" si="126"/>
        <v>0.12416255890076151</v>
      </c>
      <c r="T508" s="1358">
        <f t="shared" si="135"/>
        <v>2.0680539879350039</v>
      </c>
      <c r="U508" s="595">
        <f>IF('TAR_Tab 2_Volumina'!C511="storage",1,0)</f>
        <v>0</v>
      </c>
      <c r="V508" s="1362">
        <f t="shared" si="134"/>
        <v>2.0680539879350039</v>
      </c>
      <c r="W508" s="1362">
        <f t="shared" si="132"/>
        <v>2.1788664953003023</v>
      </c>
      <c r="X508" s="1355">
        <f t="shared" si="133"/>
        <v>2.1789999999999998</v>
      </c>
      <c r="Y508" s="1355">
        <f>X508+'TAR_Tab 13_Overige tarieven'!$T$15+'TAR_Tab 13_Overige tarieven'!$T$16</f>
        <v>2.3319999999999999</v>
      </c>
      <c r="Z508" s="960"/>
    </row>
    <row r="509" spans="1:26">
      <c r="A509" s="155">
        <v>301326</v>
      </c>
      <c r="B509" s="156" t="s">
        <v>25</v>
      </c>
      <c r="C509" s="839">
        <v>1.3237536179981995</v>
      </c>
      <c r="D509" s="1356">
        <f t="shared" si="127"/>
        <v>1.2623314501230831</v>
      </c>
      <c r="E509" s="1356">
        <f t="shared" si="128"/>
        <v>1.3338328949533826</v>
      </c>
      <c r="F509" s="1350"/>
      <c r="G509" s="1358">
        <f t="shared" si="129"/>
        <v>1.2671412502057136</v>
      </c>
      <c r="H509" s="1358">
        <f t="shared" si="130"/>
        <v>1.4005245397010517</v>
      </c>
      <c r="I509" s="833">
        <v>1.3408842965042533</v>
      </c>
      <c r="J509" s="1359" t="b">
        <f t="shared" si="136"/>
        <v>1</v>
      </c>
      <c r="K509" s="1583"/>
      <c r="M509" s="1361">
        <f t="shared" si="137"/>
        <v>1.3408842965042533</v>
      </c>
      <c r="N509" s="1350"/>
      <c r="O509" s="1358">
        <f t="shared" si="131"/>
        <v>4.2167101320232719E-3</v>
      </c>
      <c r="P509" s="1358">
        <f t="shared" si="123"/>
        <v>3.3423348628924326E-3</v>
      </c>
      <c r="Q509" s="1358">
        <f t="shared" si="124"/>
        <v>9.2433284669351436E-3</v>
      </c>
      <c r="R509" s="1358">
        <f t="shared" si="125"/>
        <v>0</v>
      </c>
      <c r="S509" s="1358">
        <f t="shared" si="126"/>
        <v>8.6719787232250642E-2</v>
      </c>
      <c r="T509" s="1358">
        <f t="shared" si="135"/>
        <v>1.4444064571983548</v>
      </c>
      <c r="U509" s="595">
        <f>IF('TAR_Tab 2_Volumina'!C512="storage",1,0)</f>
        <v>0</v>
      </c>
      <c r="V509" s="1362">
        <f t="shared" si="134"/>
        <v>1.4444064571983548</v>
      </c>
      <c r="W509" s="1362">
        <f t="shared" si="132"/>
        <v>1.5218020678113056</v>
      </c>
      <c r="X509" s="1355">
        <f t="shared" si="133"/>
        <v>1.522</v>
      </c>
      <c r="Y509" s="1355">
        <f>X509+'TAR_Tab 13_Overige tarieven'!$T$15+'TAR_Tab 13_Overige tarieven'!$T$16</f>
        <v>1.675</v>
      </c>
      <c r="Z509" s="960"/>
    </row>
    <row r="510" spans="1:26">
      <c r="A510" s="155">
        <v>301327</v>
      </c>
      <c r="B510" s="156" t="s">
        <v>26</v>
      </c>
      <c r="C510" s="839">
        <v>1.527104285639981</v>
      </c>
      <c r="D510" s="1356">
        <f t="shared" si="127"/>
        <v>1.456246646786286</v>
      </c>
      <c r="E510" s="1356">
        <f t="shared" si="128"/>
        <v>1.5387319078992416</v>
      </c>
      <c r="F510" s="1350"/>
      <c r="G510" s="1358">
        <f t="shared" si="129"/>
        <v>1.4617953125042795</v>
      </c>
      <c r="H510" s="1358">
        <f t="shared" si="130"/>
        <v>1.6156685032942038</v>
      </c>
      <c r="I510" s="833">
        <v>1.546866522514601</v>
      </c>
      <c r="J510" s="1359" t="b">
        <f t="shared" si="136"/>
        <v>1</v>
      </c>
      <c r="K510" s="1583"/>
      <c r="M510" s="1361">
        <f t="shared" si="137"/>
        <v>1.546866522514601</v>
      </c>
      <c r="N510" s="1350"/>
      <c r="O510" s="1358">
        <f t="shared" si="131"/>
        <v>4.8644672440268464E-3</v>
      </c>
      <c r="P510" s="1358">
        <f t="shared" si="123"/>
        <v>3.855773328034745E-3</v>
      </c>
      <c r="Q510" s="1358">
        <f t="shared" si="124"/>
        <v>1.066325811957395E-2</v>
      </c>
      <c r="R510" s="1358">
        <f t="shared" si="125"/>
        <v>0</v>
      </c>
      <c r="S510" s="1358">
        <f t="shared" si="126"/>
        <v>0.10004139511431152</v>
      </c>
      <c r="T510" s="1358">
        <f t="shared" si="135"/>
        <v>1.666291416320548</v>
      </c>
      <c r="U510" s="595">
        <f>IF('TAR_Tab 2_Volumina'!C513="storage",1,0)</f>
        <v>0</v>
      </c>
      <c r="V510" s="1362">
        <f t="shared" si="134"/>
        <v>1.666291416320548</v>
      </c>
      <c r="W510" s="1362">
        <f t="shared" si="132"/>
        <v>1.7555762855362338</v>
      </c>
      <c r="X510" s="1355">
        <f t="shared" si="133"/>
        <v>1.756</v>
      </c>
      <c r="Y510" s="1355">
        <f>X510+'TAR_Tab 13_Overige tarieven'!$T$15+'TAR_Tab 13_Overige tarieven'!$T$16</f>
        <v>1.909</v>
      </c>
      <c r="Z510" s="960"/>
    </row>
    <row r="511" spans="1:26">
      <c r="A511" s="155">
        <v>301328</v>
      </c>
      <c r="B511" s="156" t="s">
        <v>27</v>
      </c>
      <c r="C511" s="839">
        <v>0.74331578997214331</v>
      </c>
      <c r="D511" s="1356">
        <f t="shared" si="127"/>
        <v>0.70882593731743582</v>
      </c>
      <c r="E511" s="1356">
        <f t="shared" si="128"/>
        <v>0.74897551819529973</v>
      </c>
      <c r="F511" s="1350"/>
      <c r="G511" s="1358">
        <f t="shared" si="129"/>
        <v>0.7115267422855347</v>
      </c>
      <c r="H511" s="1358">
        <f t="shared" si="130"/>
        <v>0.78642429410506476</v>
      </c>
      <c r="I511" s="833">
        <v>0.75293503002811524</v>
      </c>
      <c r="J511" s="1359" t="b">
        <f t="shared" si="136"/>
        <v>1</v>
      </c>
      <c r="K511" s="1583"/>
      <c r="M511" s="1361">
        <f t="shared" si="137"/>
        <v>0.75293503002811524</v>
      </c>
      <c r="N511" s="1350"/>
      <c r="O511" s="1358">
        <f t="shared" si="131"/>
        <v>2.3677723560130669E-3</v>
      </c>
      <c r="P511" s="1358">
        <f t="shared" si="123"/>
        <v>1.8767920594765109E-3</v>
      </c>
      <c r="Q511" s="1358">
        <f t="shared" si="124"/>
        <v>5.1903253807622386E-3</v>
      </c>
      <c r="R511" s="1358">
        <f t="shared" si="125"/>
        <v>0</v>
      </c>
      <c r="S511" s="1358">
        <f t="shared" si="126"/>
        <v>4.8695003568892406E-2</v>
      </c>
      <c r="T511" s="1358">
        <f t="shared" si="135"/>
        <v>0.81106492339325953</v>
      </c>
      <c r="U511" s="595">
        <f>IF('TAR_Tab 2_Volumina'!C514="storage",1,0)</f>
        <v>0</v>
      </c>
      <c r="V511" s="1362">
        <f t="shared" si="134"/>
        <v>0.81106492339325953</v>
      </c>
      <c r="W511" s="1362">
        <f t="shared" si="132"/>
        <v>0.85452420362558756</v>
      </c>
      <c r="X511" s="1355">
        <f t="shared" si="133"/>
        <v>0.85499999999999998</v>
      </c>
      <c r="Y511" s="1355">
        <f>X511+'TAR_Tab 13_Overige tarieven'!$T$15+'TAR_Tab 13_Overige tarieven'!$T$16</f>
        <v>1.008</v>
      </c>
      <c r="Z511" s="960"/>
    </row>
    <row r="512" spans="1:26">
      <c r="A512" s="155">
        <v>301331</v>
      </c>
      <c r="B512" s="156" t="s">
        <v>270</v>
      </c>
      <c r="C512" s="839">
        <v>0.77462342733192169</v>
      </c>
      <c r="D512" s="1356">
        <f t="shared" si="127"/>
        <v>0.73868090030372058</v>
      </c>
      <c r="E512" s="1356">
        <f t="shared" si="128"/>
        <v>0.7805215370359454</v>
      </c>
      <c r="F512" s="1350"/>
      <c r="G512" s="1358">
        <f t="shared" si="129"/>
        <v>0.74149546018414814</v>
      </c>
      <c r="H512" s="1358">
        <f t="shared" si="130"/>
        <v>0.81954761388774267</v>
      </c>
      <c r="I512" s="833">
        <v>0.78464781911938108</v>
      </c>
      <c r="J512" s="1359" t="b">
        <f t="shared" si="136"/>
        <v>1</v>
      </c>
      <c r="K512" s="1583"/>
      <c r="M512" s="1361">
        <f t="shared" si="137"/>
        <v>0.78464781911938108</v>
      </c>
      <c r="N512" s="1350"/>
      <c r="O512" s="1358">
        <f t="shared" si="131"/>
        <v>2.467500303774467E-3</v>
      </c>
      <c r="P512" s="1358">
        <f t="shared" si="123"/>
        <v>1.9558404612331918E-3</v>
      </c>
      <c r="Q512" s="1358">
        <f t="shared" si="124"/>
        <v>5.408936134081832E-3</v>
      </c>
      <c r="R512" s="1358">
        <f t="shared" si="125"/>
        <v>0</v>
      </c>
      <c r="S512" s="1358">
        <f t="shared" si="126"/>
        <v>5.0745983157292035E-2</v>
      </c>
      <c r="T512" s="1358">
        <f t="shared" si="135"/>
        <v>0.84522607917576265</v>
      </c>
      <c r="U512" s="595">
        <f>IF('TAR_Tab 2_Volumina'!C515="storage",1,0)</f>
        <v>0</v>
      </c>
      <c r="V512" s="1362">
        <f t="shared" si="134"/>
        <v>0.84522607917576265</v>
      </c>
      <c r="W512" s="1362">
        <f t="shared" si="132"/>
        <v>0.8905158161315806</v>
      </c>
      <c r="X512" s="1355">
        <f t="shared" si="133"/>
        <v>0.89100000000000001</v>
      </c>
      <c r="Y512" s="1355">
        <f>X512+'TAR_Tab 13_Overige tarieven'!$T$15+'TAR_Tab 13_Overige tarieven'!$T$16</f>
        <v>1.044</v>
      </c>
      <c r="Z512" s="960"/>
    </row>
    <row r="513" spans="1:26">
      <c r="A513" s="155">
        <v>301337</v>
      </c>
      <c r="B513" s="156" t="s">
        <v>795</v>
      </c>
      <c r="C513" s="839">
        <v>1.4023182819957243</v>
      </c>
      <c r="D513" s="1356">
        <f t="shared" si="127"/>
        <v>1.3372507137111227</v>
      </c>
      <c r="E513" s="1356">
        <f t="shared" si="128"/>
        <v>1.4129957631760406</v>
      </c>
      <c r="F513" s="1350"/>
      <c r="G513" s="1358">
        <f t="shared" si="129"/>
        <v>1.3423459750172384</v>
      </c>
      <c r="H513" s="1358">
        <f t="shared" si="130"/>
        <v>1.4836455513348428</v>
      </c>
      <c r="I513" s="833">
        <v>1.4204656648057958</v>
      </c>
      <c r="J513" s="1359" t="b">
        <f t="shared" si="136"/>
        <v>1</v>
      </c>
      <c r="K513" s="1583"/>
      <c r="M513" s="1361">
        <f t="shared" si="137"/>
        <v>1.4204656648057958</v>
      </c>
      <c r="N513" s="1350"/>
      <c r="O513" s="1358">
        <f t="shared" si="131"/>
        <v>4.4669715176717129E-3</v>
      </c>
      <c r="P513" s="1358">
        <f t="shared" si="123"/>
        <v>3.5407021511098947E-3</v>
      </c>
      <c r="Q513" s="1358">
        <f t="shared" si="124"/>
        <v>9.7919192207958847E-3</v>
      </c>
      <c r="R513" s="1358">
        <f t="shared" si="125"/>
        <v>0</v>
      </c>
      <c r="S513" s="1358">
        <f t="shared" si="126"/>
        <v>9.1866599186684814E-2</v>
      </c>
      <c r="T513" s="1358">
        <f t="shared" si="135"/>
        <v>1.5301318568820579</v>
      </c>
      <c r="U513" s="595">
        <f>IF('TAR_Tab 2_Volumina'!C516="storage",1,0)</f>
        <v>0</v>
      </c>
      <c r="V513" s="1362">
        <f t="shared" si="134"/>
        <v>1.5301318568820579</v>
      </c>
      <c r="W513" s="1362">
        <f t="shared" si="132"/>
        <v>1.6121208903646547</v>
      </c>
      <c r="X513" s="1355">
        <f t="shared" si="133"/>
        <v>1.6120000000000001</v>
      </c>
      <c r="Y513" s="1355">
        <f>X513+'TAR_Tab 13_Overige tarieven'!$T$15+'TAR_Tab 13_Overige tarieven'!$T$16</f>
        <v>1.7650000000000001</v>
      </c>
      <c r="Z513" s="960"/>
    </row>
    <row r="514" spans="1:26">
      <c r="A514" s="155">
        <v>301338</v>
      </c>
      <c r="B514" s="156" t="s">
        <v>271</v>
      </c>
      <c r="C514" s="839">
        <v>1.2294023427332432</v>
      </c>
      <c r="D514" s="1356">
        <f t="shared" si="127"/>
        <v>1.1723580740304207</v>
      </c>
      <c r="E514" s="1356">
        <f t="shared" si="128"/>
        <v>1.2387632136183389</v>
      </c>
      <c r="F514" s="1350"/>
      <c r="G514" s="1358">
        <f t="shared" si="129"/>
        <v>1.1768250529374218</v>
      </c>
      <c r="H514" s="1358">
        <f t="shared" si="130"/>
        <v>1.3007013742992559</v>
      </c>
      <c r="I514" s="833">
        <v>1.2453120226023722</v>
      </c>
      <c r="J514" s="1359" t="b">
        <f t="shared" si="136"/>
        <v>1</v>
      </c>
      <c r="K514" s="1583"/>
      <c r="M514" s="1361">
        <f t="shared" si="137"/>
        <v>1.2453120226023722</v>
      </c>
      <c r="N514" s="1350"/>
      <c r="O514" s="1358">
        <f t="shared" si="131"/>
        <v>3.9161617724420561E-3</v>
      </c>
      <c r="P514" s="1358">
        <f t="shared" si="123"/>
        <v>3.1041080868604199E-3</v>
      </c>
      <c r="Q514" s="1358">
        <f t="shared" si="124"/>
        <v>8.5845050902201951E-3</v>
      </c>
      <c r="R514" s="1358">
        <f t="shared" si="125"/>
        <v>0</v>
      </c>
      <c r="S514" s="1358">
        <f t="shared" si="126"/>
        <v>8.0538786172218296E-2</v>
      </c>
      <c r="T514" s="1358">
        <f t="shared" si="135"/>
        <v>1.3414555837241131</v>
      </c>
      <c r="U514" s="595">
        <f>IF('TAR_Tab 2_Volumina'!C517="storage",1,0)</f>
        <v>0</v>
      </c>
      <c r="V514" s="1362">
        <f t="shared" si="134"/>
        <v>1.3414555837241131</v>
      </c>
      <c r="W514" s="1362">
        <f t="shared" si="132"/>
        <v>1.413334779150766</v>
      </c>
      <c r="X514" s="1355">
        <f t="shared" si="133"/>
        <v>1.413</v>
      </c>
      <c r="Y514" s="1355">
        <f>X514+'TAR_Tab 13_Overige tarieven'!$T$15+'TAR_Tab 13_Overige tarieven'!$T$16</f>
        <v>1.5660000000000001</v>
      </c>
      <c r="Z514" s="960"/>
    </row>
    <row r="515" spans="1:26">
      <c r="A515" s="155">
        <v>301343</v>
      </c>
      <c r="B515" s="156" t="s">
        <v>272</v>
      </c>
      <c r="C515" s="839">
        <v>1.2148895346830162</v>
      </c>
      <c r="D515" s="1356">
        <f t="shared" si="127"/>
        <v>1.1585186602737243</v>
      </c>
      <c r="E515" s="1356">
        <f t="shared" si="128"/>
        <v>1.2241399026695763</v>
      </c>
      <c r="F515" s="1350"/>
      <c r="G515" s="1358">
        <f t="shared" si="129"/>
        <v>1.1629329075360975</v>
      </c>
      <c r="H515" s="1358">
        <f t="shared" si="130"/>
        <v>1.2853468978030551</v>
      </c>
      <c r="I515" s="833">
        <v>1.2306114044902512</v>
      </c>
      <c r="J515" s="1359" t="b">
        <f t="shared" si="136"/>
        <v>1</v>
      </c>
      <c r="K515" s="1583"/>
      <c r="M515" s="1361">
        <f t="shared" si="137"/>
        <v>1.2306114044902512</v>
      </c>
      <c r="N515" s="1350"/>
      <c r="O515" s="1358">
        <f t="shared" si="131"/>
        <v>3.8699323956777882E-3</v>
      </c>
      <c r="P515" s="1358">
        <f t="shared" si="123"/>
        <v>3.0674648145435574E-3</v>
      </c>
      <c r="Q515" s="1358">
        <f t="shared" si="124"/>
        <v>8.4831670089020959E-3</v>
      </c>
      <c r="R515" s="1358">
        <f t="shared" si="125"/>
        <v>0</v>
      </c>
      <c r="S515" s="1358">
        <f t="shared" si="126"/>
        <v>7.9588044577146105E-2</v>
      </c>
      <c r="T515" s="1358">
        <f t="shared" si="135"/>
        <v>1.3256200132865206</v>
      </c>
      <c r="U515" s="595">
        <f>IF('TAR_Tab 2_Volumina'!C518="storage",1,0)</f>
        <v>0</v>
      </c>
      <c r="V515" s="1362">
        <f t="shared" si="134"/>
        <v>1.3256200132865206</v>
      </c>
      <c r="W515" s="1362">
        <f t="shared" si="132"/>
        <v>1.3966506915680763</v>
      </c>
      <c r="X515" s="1355">
        <f t="shared" si="133"/>
        <v>1.397</v>
      </c>
      <c r="Y515" s="1355">
        <f>X515+'TAR_Tab 13_Overige tarieven'!$T$15+'TAR_Tab 13_Overige tarieven'!$T$16</f>
        <v>1.55</v>
      </c>
      <c r="Z515" s="960"/>
    </row>
    <row r="516" spans="1:26">
      <c r="A516" s="155">
        <v>301344</v>
      </c>
      <c r="B516" s="156" t="s">
        <v>215</v>
      </c>
      <c r="C516" s="839">
        <v>1.3043659002169778</v>
      </c>
      <c r="D516" s="1356">
        <f t="shared" si="127"/>
        <v>1.2438433224469101</v>
      </c>
      <c r="E516" s="1356">
        <f t="shared" si="128"/>
        <v>1.3142975559121401</v>
      </c>
      <c r="F516" s="1350"/>
      <c r="G516" s="1358">
        <f t="shared" si="129"/>
        <v>1.248582678116533</v>
      </c>
      <c r="H516" s="1358">
        <f t="shared" si="130"/>
        <v>1.3800124337077473</v>
      </c>
      <c r="I516" s="833">
        <v>1.3212456825171512</v>
      </c>
      <c r="J516" s="1359" t="b">
        <f t="shared" si="136"/>
        <v>1</v>
      </c>
      <c r="K516" s="1583"/>
      <c r="M516" s="1361">
        <f t="shared" si="137"/>
        <v>1.3212456825171512</v>
      </c>
      <c r="N516" s="1350"/>
      <c r="O516" s="1358">
        <f t="shared" si="131"/>
        <v>4.154952124420231E-3</v>
      </c>
      <c r="P516" s="1358">
        <f t="shared" si="123"/>
        <v>3.2933829702055679E-3</v>
      </c>
      <c r="Q516" s="1358">
        <f t="shared" si="124"/>
        <v>9.1079505225506972E-3</v>
      </c>
      <c r="R516" s="1358">
        <f t="shared" si="125"/>
        <v>0</v>
      </c>
      <c r="S516" s="1358">
        <f t="shared" si="126"/>
        <v>8.5449687768085286E-2</v>
      </c>
      <c r="T516" s="1358">
        <f t="shared" si="135"/>
        <v>1.4232516559024129</v>
      </c>
      <c r="U516" s="595">
        <f>IF('TAR_Tab 2_Volumina'!C519="storage",1,0)</f>
        <v>0</v>
      </c>
      <c r="V516" s="1362">
        <f t="shared" si="134"/>
        <v>1.4232516559024129</v>
      </c>
      <c r="W516" s="1362">
        <f t="shared" si="132"/>
        <v>1.4995137290989837</v>
      </c>
      <c r="X516" s="1355">
        <f t="shared" si="133"/>
        <v>1.5</v>
      </c>
      <c r="Y516" s="1355">
        <f>X516+'TAR_Tab 13_Overige tarieven'!$T$15+'TAR_Tab 13_Overige tarieven'!$T$16</f>
        <v>1.653</v>
      </c>
      <c r="Z516" s="960"/>
    </row>
    <row r="517" spans="1:26">
      <c r="A517" s="155">
        <v>301348</v>
      </c>
      <c r="B517" s="156" t="s">
        <v>28</v>
      </c>
      <c r="C517" s="839">
        <v>1.3613386581246953</v>
      </c>
      <c r="D517" s="1356">
        <f t="shared" si="127"/>
        <v>1.2981725443877095</v>
      </c>
      <c r="E517" s="1356">
        <f t="shared" si="128"/>
        <v>1.3717041137340147</v>
      </c>
      <c r="F517" s="1350"/>
      <c r="G517" s="1358">
        <f t="shared" si="129"/>
        <v>1.3031189080473138</v>
      </c>
      <c r="H517" s="1358">
        <f t="shared" si="130"/>
        <v>1.4402893194207156</v>
      </c>
      <c r="I517" s="833">
        <v>1.3789557241505188</v>
      </c>
      <c r="J517" s="1359" t="b">
        <f t="shared" si="136"/>
        <v>1</v>
      </c>
      <c r="K517" s="1583"/>
      <c r="M517" s="1361">
        <f t="shared" si="137"/>
        <v>1.3789557241505188</v>
      </c>
      <c r="N517" s="1350"/>
      <c r="O517" s="1358">
        <f t="shared" si="131"/>
        <v>4.3364342388049855E-3</v>
      </c>
      <c r="P517" s="1358">
        <f t="shared" ref="P517:P570" si="138">$P$7*M517</f>
        <v>3.4372330284045054E-3</v>
      </c>
      <c r="Q517" s="1358">
        <f t="shared" ref="Q517:Q570" si="139">$Q$7*M517</f>
        <v>9.5057722227886686E-3</v>
      </c>
      <c r="R517" s="1358">
        <f t="shared" ref="R517:R570" si="140">$R$7*M517</f>
        <v>0</v>
      </c>
      <c r="S517" s="1358">
        <f t="shared" ref="S517:S570" si="141">$S$7*M517</f>
        <v>8.918200273713757E-2</v>
      </c>
      <c r="T517" s="1358">
        <f t="shared" si="135"/>
        <v>1.4854171663776545</v>
      </c>
      <c r="U517" s="595">
        <f>IF('TAR_Tab 2_Volumina'!C520="storage",1,0)</f>
        <v>1</v>
      </c>
      <c r="V517" s="1362">
        <f t="shared" si="134"/>
        <v>1.1140628747832408</v>
      </c>
      <c r="W517" s="1362">
        <f t="shared" si="132"/>
        <v>1.1140628747832408</v>
      </c>
      <c r="X517" s="1355">
        <f t="shared" si="133"/>
        <v>1.1140000000000001</v>
      </c>
      <c r="Y517" s="1355">
        <f>X517+'TAR_Tab 13_Overige tarieven'!$T$15+'TAR_Tab 13_Overige tarieven'!$T$16</f>
        <v>1.2670000000000001</v>
      </c>
      <c r="Z517" s="960"/>
    </row>
    <row r="518" spans="1:26">
      <c r="A518" s="155">
        <v>301354</v>
      </c>
      <c r="B518" s="156" t="s">
        <v>31</v>
      </c>
      <c r="C518" s="839">
        <v>2.1639480260304649</v>
      </c>
      <c r="D518" s="1356">
        <f t="shared" ref="D518:D570" si="142">C518*$D$7</f>
        <v>2.0635408376226514</v>
      </c>
      <c r="E518" s="1356">
        <f t="shared" ref="E518:E570" si="143">D518*$E$7</f>
        <v>2.1804246808810599</v>
      </c>
      <c r="F518" s="1350"/>
      <c r="G518" s="1358">
        <f t="shared" ref="G518:G570" si="144">E518*$G$7</f>
        <v>2.0714034468370066</v>
      </c>
      <c r="H518" s="1358">
        <f t="shared" ref="H518:H570" si="145">E518*$H$7</f>
        <v>2.2894459149251132</v>
      </c>
      <c r="I518" s="833">
        <v>2.191951649539948</v>
      </c>
      <c r="J518" s="1359" t="b">
        <f t="shared" si="136"/>
        <v>1</v>
      </c>
      <c r="K518" s="1583"/>
      <c r="M518" s="1361">
        <f t="shared" si="137"/>
        <v>2.191951649539948</v>
      </c>
      <c r="N518" s="1350"/>
      <c r="O518" s="1358">
        <f t="shared" ref="O518:O570" si="146">$O$7*M518</f>
        <v>6.8930814937699612E-3</v>
      </c>
      <c r="P518" s="1358">
        <f t="shared" si="138"/>
        <v>5.4637349658965932E-3</v>
      </c>
      <c r="Q518" s="1358">
        <f t="shared" si="139"/>
        <v>1.511012481327376E-2</v>
      </c>
      <c r="R518" s="1358">
        <f t="shared" si="140"/>
        <v>0</v>
      </c>
      <c r="S518" s="1358">
        <f t="shared" si="141"/>
        <v>0.1417613594006932</v>
      </c>
      <c r="T518" s="1358">
        <f t="shared" si="135"/>
        <v>2.3611799502135815</v>
      </c>
      <c r="U518" s="595">
        <f>IF('TAR_Tab 2_Volumina'!C521="storage",1,0)</f>
        <v>0</v>
      </c>
      <c r="V518" s="1362">
        <f t="shared" si="134"/>
        <v>2.3611799502135815</v>
      </c>
      <c r="W518" s="1362">
        <f t="shared" si="132"/>
        <v>2.487699021838544</v>
      </c>
      <c r="X518" s="1355">
        <f t="shared" si="133"/>
        <v>2.488</v>
      </c>
      <c r="Y518" s="1355">
        <f>X518+'TAR_Tab 13_Overige tarieven'!$T$15+'TAR_Tab 13_Overige tarieven'!$T$16</f>
        <v>2.641</v>
      </c>
      <c r="Z518" s="960"/>
    </row>
    <row r="519" spans="1:26">
      <c r="A519" s="155">
        <v>301355</v>
      </c>
      <c r="B519" s="156" t="s">
        <v>29</v>
      </c>
      <c r="C519" s="839">
        <v>0.70100522575962532</v>
      </c>
      <c r="D519" s="1356">
        <f t="shared" si="142"/>
        <v>0.6684785832843787</v>
      </c>
      <c r="E519" s="1356">
        <f t="shared" si="143"/>
        <v>0.70634279441393932</v>
      </c>
      <c r="F519" s="1350"/>
      <c r="G519" s="1358">
        <f t="shared" si="144"/>
        <v>0.67102565469324238</v>
      </c>
      <c r="H519" s="1358">
        <f t="shared" si="145"/>
        <v>0.74165993413463627</v>
      </c>
      <c r="I519" s="833">
        <v>0.71007692534954714</v>
      </c>
      <c r="J519" s="1359" t="b">
        <f t="shared" si="136"/>
        <v>1</v>
      </c>
      <c r="K519" s="1583"/>
      <c r="M519" s="1361">
        <f t="shared" si="137"/>
        <v>0.71007692534954714</v>
      </c>
      <c r="N519" s="1350"/>
      <c r="O519" s="1358">
        <f t="shared" si="146"/>
        <v>2.2329954742876428E-3</v>
      </c>
      <c r="P519" s="1358">
        <f t="shared" si="138"/>
        <v>1.7699624562078915E-3</v>
      </c>
      <c r="Q519" s="1358">
        <f t="shared" si="139"/>
        <v>4.8948848718032775E-3</v>
      </c>
      <c r="R519" s="1358">
        <f t="shared" si="140"/>
        <v>0</v>
      </c>
      <c r="S519" s="1358">
        <f t="shared" si="141"/>
        <v>4.5923216526123384E-2</v>
      </c>
      <c r="T519" s="1358">
        <f t="shared" si="135"/>
        <v>0.76489798467796932</v>
      </c>
      <c r="U519" s="595">
        <f>IF('TAR_Tab 2_Volumina'!C522="storage",1,0)</f>
        <v>0</v>
      </c>
      <c r="V519" s="1362">
        <f t="shared" si="134"/>
        <v>0.76489798467796932</v>
      </c>
      <c r="W519" s="1362">
        <f t="shared" si="132"/>
        <v>0.80588350249100493</v>
      </c>
      <c r="X519" s="1355">
        <f t="shared" si="133"/>
        <v>0.80600000000000005</v>
      </c>
      <c r="Y519" s="1355">
        <f>X519+'TAR_Tab 13_Overige tarieven'!$T$15+'TAR_Tab 13_Overige tarieven'!$T$16</f>
        <v>0.95900000000000007</v>
      </c>
      <c r="Z519" s="960"/>
    </row>
    <row r="520" spans="1:26">
      <c r="A520" s="155">
        <v>301356</v>
      </c>
      <c r="B520" s="156" t="s">
        <v>1131</v>
      </c>
      <c r="C520" s="839">
        <v>1.2294023427332432</v>
      </c>
      <c r="D520" s="1356">
        <f t="shared" si="142"/>
        <v>1.1723580740304207</v>
      </c>
      <c r="E520" s="1356">
        <f t="shared" si="143"/>
        <v>1.2387632136183389</v>
      </c>
      <c r="F520" s="1350"/>
      <c r="G520" s="1358">
        <f t="shared" si="144"/>
        <v>1.1768250529374218</v>
      </c>
      <c r="H520" s="1358">
        <f t="shared" si="145"/>
        <v>1.3007013742992559</v>
      </c>
      <c r="I520" s="833">
        <v>1.2453120226023722</v>
      </c>
      <c r="J520" s="1359" t="b">
        <f t="shared" si="136"/>
        <v>1</v>
      </c>
      <c r="K520" s="1583"/>
      <c r="M520" s="1361">
        <f t="shared" si="137"/>
        <v>1.2453120226023722</v>
      </c>
      <c r="N520" s="1350"/>
      <c r="O520" s="1358">
        <f t="shared" si="146"/>
        <v>3.9161617724420561E-3</v>
      </c>
      <c r="P520" s="1358">
        <f t="shared" si="138"/>
        <v>3.1041080868604199E-3</v>
      </c>
      <c r="Q520" s="1358">
        <f t="shared" si="139"/>
        <v>8.5845050902201951E-3</v>
      </c>
      <c r="R520" s="1358">
        <f t="shared" si="140"/>
        <v>0</v>
      </c>
      <c r="S520" s="1358">
        <f t="shared" si="141"/>
        <v>8.0538786172218296E-2</v>
      </c>
      <c r="T520" s="1358">
        <f t="shared" si="135"/>
        <v>1.3414555837241131</v>
      </c>
      <c r="U520" s="595">
        <f>IF('TAR_Tab 2_Volumina'!C523="storage",1,0)</f>
        <v>0</v>
      </c>
      <c r="V520" s="1362">
        <f t="shared" si="134"/>
        <v>1.3414555837241131</v>
      </c>
      <c r="W520" s="1362">
        <f t="shared" si="132"/>
        <v>1.413334779150766</v>
      </c>
      <c r="X520" s="1355">
        <f t="shared" si="133"/>
        <v>1.413</v>
      </c>
      <c r="Y520" s="1355">
        <f>X520+'TAR_Tab 13_Overige tarieven'!$T$15+'TAR_Tab 13_Overige tarieven'!$T$16</f>
        <v>1.5660000000000001</v>
      </c>
      <c r="Z520" s="960"/>
    </row>
    <row r="521" spans="1:26">
      <c r="A521" s="155">
        <v>301360</v>
      </c>
      <c r="B521" s="156" t="s">
        <v>212</v>
      </c>
      <c r="C521" s="839">
        <v>0.78154414652726611</v>
      </c>
      <c r="D521" s="1356">
        <f t="shared" si="142"/>
        <v>0.74528049812840091</v>
      </c>
      <c r="E521" s="1356">
        <f t="shared" si="143"/>
        <v>0.78749495172125894</v>
      </c>
      <c r="F521" s="1350"/>
      <c r="G521" s="1358">
        <f t="shared" si="144"/>
        <v>0.74812020413519598</v>
      </c>
      <c r="H521" s="1358">
        <f t="shared" si="145"/>
        <v>0.8268696993073219</v>
      </c>
      <c r="I521" s="833">
        <v>0.79165809925261765</v>
      </c>
      <c r="J521" s="1359" t="b">
        <f t="shared" si="136"/>
        <v>1</v>
      </c>
      <c r="K521" s="1583"/>
      <c r="M521" s="1361">
        <f t="shared" si="137"/>
        <v>0.79165809925261765</v>
      </c>
      <c r="N521" s="1350"/>
      <c r="O521" s="1358">
        <f t="shared" si="146"/>
        <v>2.4895456952696206E-3</v>
      </c>
      <c r="P521" s="1358">
        <f t="shared" si="138"/>
        <v>1.9733145294649132E-3</v>
      </c>
      <c r="Q521" s="1358">
        <f t="shared" si="139"/>
        <v>5.4572611999250727E-3</v>
      </c>
      <c r="R521" s="1358">
        <f t="shared" si="140"/>
        <v>0</v>
      </c>
      <c r="S521" s="1358">
        <f t="shared" si="141"/>
        <v>5.1199363067234785E-2</v>
      </c>
      <c r="T521" s="1358">
        <f t="shared" si="135"/>
        <v>0.85277758374451207</v>
      </c>
      <c r="U521" s="595">
        <f>IF('TAR_Tab 2_Volumina'!C524="storage",1,0)</f>
        <v>1</v>
      </c>
      <c r="V521" s="1362">
        <f t="shared" si="134"/>
        <v>0.63958318780838408</v>
      </c>
      <c r="W521" s="1362">
        <f t="shared" si="132"/>
        <v>0.63958318780838408</v>
      </c>
      <c r="X521" s="1355">
        <f t="shared" si="133"/>
        <v>0.64</v>
      </c>
      <c r="Y521" s="1355">
        <f>X521+'TAR_Tab 13_Overige tarieven'!$T$15+'TAR_Tab 13_Overige tarieven'!$T$16</f>
        <v>0.79300000000000004</v>
      </c>
      <c r="Z521" s="960"/>
    </row>
    <row r="522" spans="1:26">
      <c r="A522" s="155">
        <v>301361</v>
      </c>
      <c r="B522" s="156" t="s">
        <v>58</v>
      </c>
      <c r="C522" s="839">
        <v>0.74246693920090279</v>
      </c>
      <c r="D522" s="1356">
        <f t="shared" si="142"/>
        <v>0.70801647322198091</v>
      </c>
      <c r="E522" s="1356">
        <f t="shared" si="143"/>
        <v>0.74812020413519598</v>
      </c>
      <c r="F522" s="1350"/>
      <c r="G522" s="1358">
        <f t="shared" si="144"/>
        <v>0.71071419392843616</v>
      </c>
      <c r="H522" s="1358">
        <f t="shared" si="145"/>
        <v>0.7855262143419558</v>
      </c>
      <c r="I522" s="833">
        <v>0.7520751942899867</v>
      </c>
      <c r="J522" s="1359" t="b">
        <f t="shared" si="136"/>
        <v>1</v>
      </c>
      <c r="K522" s="1583"/>
      <c r="M522" s="1361">
        <f t="shared" si="137"/>
        <v>0.7520751942899867</v>
      </c>
      <c r="N522" s="1350"/>
      <c r="O522" s="1358">
        <f t="shared" si="146"/>
        <v>2.3650684105061396E-3</v>
      </c>
      <c r="P522" s="1358">
        <f t="shared" si="138"/>
        <v>1.8746488029916673E-3</v>
      </c>
      <c r="Q522" s="1358">
        <f t="shared" si="139"/>
        <v>5.1843981399288183E-3</v>
      </c>
      <c r="R522" s="1358">
        <f t="shared" si="140"/>
        <v>0</v>
      </c>
      <c r="S522" s="1358">
        <f t="shared" si="141"/>
        <v>4.8639394913873042E-2</v>
      </c>
      <c r="T522" s="1358">
        <f t="shared" si="135"/>
        <v>0.81013870455728632</v>
      </c>
      <c r="U522" s="595">
        <f>IF('TAR_Tab 2_Volumina'!C525="storage",1,0)</f>
        <v>1</v>
      </c>
      <c r="V522" s="1362">
        <f t="shared" si="134"/>
        <v>0.60760402841796468</v>
      </c>
      <c r="W522" s="1362">
        <f t="shared" ref="W522:W570" si="147">IF(U522=0,V522*(1+$W$7),V522)</f>
        <v>0.60760402841796468</v>
      </c>
      <c r="X522" s="1355">
        <f t="shared" ref="X522:X570" si="148">ROUND(W522,3)</f>
        <v>0.60799999999999998</v>
      </c>
      <c r="Y522" s="1355">
        <f>X522+'TAR_Tab 13_Overige tarieven'!$T$15+'TAR_Tab 13_Overige tarieven'!$T$16</f>
        <v>0.76100000000000001</v>
      </c>
      <c r="Z522" s="960"/>
    </row>
    <row r="523" spans="1:26">
      <c r="A523" s="155">
        <v>301364</v>
      </c>
      <c r="B523" s="156" t="s">
        <v>30</v>
      </c>
      <c r="C523" s="839">
        <v>1.9260636702820808</v>
      </c>
      <c r="D523" s="1356">
        <f t="shared" si="142"/>
        <v>1.8366943159809923</v>
      </c>
      <c r="E523" s="1356">
        <f t="shared" si="143"/>
        <v>1.9407290346687307</v>
      </c>
      <c r="F523" s="1350"/>
      <c r="G523" s="1358">
        <f t="shared" si="144"/>
        <v>1.8436925829352941</v>
      </c>
      <c r="H523" s="1358">
        <f t="shared" si="145"/>
        <v>2.0377654864021673</v>
      </c>
      <c r="I523" s="833">
        <v>1.950988835410383</v>
      </c>
      <c r="J523" s="1359" t="b">
        <f t="shared" si="136"/>
        <v>1</v>
      </c>
      <c r="K523" s="1583"/>
      <c r="M523" s="1361">
        <f t="shared" si="137"/>
        <v>1.950988835410383</v>
      </c>
      <c r="N523" s="1350"/>
      <c r="O523" s="1358">
        <f t="shared" si="146"/>
        <v>6.1353201101592208E-3</v>
      </c>
      <c r="P523" s="1358">
        <f t="shared" si="138"/>
        <v>4.8631026694146576E-3</v>
      </c>
      <c r="Q523" s="1358">
        <f t="shared" si="139"/>
        <v>1.3449057974678305E-2</v>
      </c>
      <c r="R523" s="1358">
        <f t="shared" si="140"/>
        <v>0</v>
      </c>
      <c r="S523" s="1358">
        <f t="shared" si="141"/>
        <v>0.12617743166980866</v>
      </c>
      <c r="T523" s="1358">
        <f t="shared" si="135"/>
        <v>2.1016137478344437</v>
      </c>
      <c r="U523" s="595">
        <f>IF('TAR_Tab 2_Volumina'!C526="storage",1,0)</f>
        <v>0</v>
      </c>
      <c r="V523" s="1362">
        <f t="shared" ref="V523:V570" si="149">IF(U523=1,T523*$V$7,T523)</f>
        <v>2.1016137478344437</v>
      </c>
      <c r="W523" s="1362">
        <f t="shared" si="147"/>
        <v>2.2142244873362</v>
      </c>
      <c r="X523" s="1355">
        <f t="shared" si="148"/>
        <v>2.214</v>
      </c>
      <c r="Y523" s="1355">
        <f>X523+'TAR_Tab 13_Overige tarieven'!$T$15+'TAR_Tab 13_Overige tarieven'!$T$16</f>
        <v>2.367</v>
      </c>
      <c r="Z523" s="960"/>
    </row>
    <row r="524" spans="1:26">
      <c r="A524" s="155">
        <v>301365</v>
      </c>
      <c r="B524" s="156" t="s">
        <v>285</v>
      </c>
      <c r="C524" s="839">
        <v>1.145068297057555</v>
      </c>
      <c r="D524" s="1356">
        <f t="shared" si="142"/>
        <v>1.0919371280740844</v>
      </c>
      <c r="E524" s="1356">
        <f t="shared" si="143"/>
        <v>1.1537870347000598</v>
      </c>
      <c r="F524" s="1350"/>
      <c r="G524" s="1358">
        <f t="shared" si="144"/>
        <v>1.0960976829650568</v>
      </c>
      <c r="H524" s="1358">
        <f t="shared" si="145"/>
        <v>1.2114763864350628</v>
      </c>
      <c r="I524" s="833">
        <v>1.159886611128742</v>
      </c>
      <c r="J524" s="1359" t="b">
        <f t="shared" si="136"/>
        <v>1</v>
      </c>
      <c r="K524" s="1583"/>
      <c r="M524" s="1361">
        <f t="shared" si="137"/>
        <v>1.159886611128742</v>
      </c>
      <c r="N524" s="1350"/>
      <c r="O524" s="1358">
        <f t="shared" si="146"/>
        <v>3.6475224878802126E-3</v>
      </c>
      <c r="P524" s="1358">
        <f t="shared" si="138"/>
        <v>2.8911737332479493E-3</v>
      </c>
      <c r="Q524" s="1358">
        <f t="shared" si="139"/>
        <v>7.995628675057145E-3</v>
      </c>
      <c r="R524" s="1358">
        <f t="shared" si="140"/>
        <v>0</v>
      </c>
      <c r="S524" s="1358">
        <f t="shared" si="141"/>
        <v>7.5014019026735379E-2</v>
      </c>
      <c r="T524" s="1358">
        <f t="shared" si="135"/>
        <v>1.2494349550516628</v>
      </c>
      <c r="U524" s="595">
        <f>IF('TAR_Tab 2_Volumina'!C527="storage",1,0)</f>
        <v>0</v>
      </c>
      <c r="V524" s="1362">
        <f t="shared" si="149"/>
        <v>1.2494349550516628</v>
      </c>
      <c r="W524" s="1362">
        <f t="shared" si="147"/>
        <v>1.316383410443474</v>
      </c>
      <c r="X524" s="1355">
        <f t="shared" si="148"/>
        <v>1.3160000000000001</v>
      </c>
      <c r="Y524" s="1355">
        <f>X524+'TAR_Tab 13_Overige tarieven'!$T$15+'TAR_Tab 13_Overige tarieven'!$T$16</f>
        <v>1.4690000000000001</v>
      </c>
      <c r="Z524" s="960"/>
    </row>
    <row r="525" spans="1:26">
      <c r="A525" s="155">
        <v>301366</v>
      </c>
      <c r="B525" s="156" t="s">
        <v>286</v>
      </c>
      <c r="C525" s="839">
        <v>1.145068297057555</v>
      </c>
      <c r="D525" s="1356">
        <f t="shared" si="142"/>
        <v>1.0919371280740844</v>
      </c>
      <c r="E525" s="1356">
        <f t="shared" si="143"/>
        <v>1.1537870347000598</v>
      </c>
      <c r="F525" s="1350"/>
      <c r="G525" s="1358">
        <f t="shared" si="144"/>
        <v>1.0960976829650568</v>
      </c>
      <c r="H525" s="1358">
        <f t="shared" si="145"/>
        <v>1.2114763864350628</v>
      </c>
      <c r="I525" s="833">
        <v>1.159886611128742</v>
      </c>
      <c r="J525" s="1359" t="b">
        <f t="shared" si="136"/>
        <v>1</v>
      </c>
      <c r="K525" s="1583"/>
      <c r="M525" s="1361">
        <f t="shared" si="137"/>
        <v>1.159886611128742</v>
      </c>
      <c r="N525" s="1350"/>
      <c r="O525" s="1358">
        <f t="shared" si="146"/>
        <v>3.6475224878802126E-3</v>
      </c>
      <c r="P525" s="1358">
        <f t="shared" si="138"/>
        <v>2.8911737332479493E-3</v>
      </c>
      <c r="Q525" s="1358">
        <f t="shared" si="139"/>
        <v>7.995628675057145E-3</v>
      </c>
      <c r="R525" s="1358">
        <f t="shared" si="140"/>
        <v>0</v>
      </c>
      <c r="S525" s="1358">
        <f t="shared" si="141"/>
        <v>7.5014019026735379E-2</v>
      </c>
      <c r="T525" s="1358">
        <f t="shared" si="135"/>
        <v>1.2494349550516628</v>
      </c>
      <c r="U525" s="595">
        <f>IF('TAR_Tab 2_Volumina'!C528="storage",1,0)</f>
        <v>0</v>
      </c>
      <c r="V525" s="1362">
        <f t="shared" si="149"/>
        <v>1.2494349550516628</v>
      </c>
      <c r="W525" s="1362">
        <f t="shared" si="147"/>
        <v>1.316383410443474</v>
      </c>
      <c r="X525" s="1355">
        <f t="shared" si="148"/>
        <v>1.3160000000000001</v>
      </c>
      <c r="Y525" s="1355">
        <f>X525+'TAR_Tab 13_Overige tarieven'!$T$15+'TAR_Tab 13_Overige tarieven'!$T$16</f>
        <v>1.4690000000000001</v>
      </c>
      <c r="Z525" s="960"/>
    </row>
    <row r="526" spans="1:26">
      <c r="A526" s="155">
        <v>301368</v>
      </c>
      <c r="B526" s="156" t="s">
        <v>1132</v>
      </c>
      <c r="C526" s="839">
        <v>1.7118715781505121</v>
      </c>
      <c r="D526" s="1356">
        <f t="shared" si="142"/>
        <v>1.6324407369243283</v>
      </c>
      <c r="E526" s="1356">
        <f t="shared" si="143"/>
        <v>1.7249060488505641</v>
      </c>
      <c r="F526" s="1350"/>
      <c r="G526" s="1358">
        <f t="shared" si="144"/>
        <v>1.6386607464080358</v>
      </c>
      <c r="H526" s="1358">
        <f t="shared" si="145"/>
        <v>1.8111513512930923</v>
      </c>
      <c r="I526" s="833">
        <v>1.7340248861756822</v>
      </c>
      <c r="J526" s="1359" t="b">
        <f t="shared" si="136"/>
        <v>1</v>
      </c>
      <c r="K526" s="1583"/>
      <c r="M526" s="1361">
        <f t="shared" si="137"/>
        <v>1.7340248861756822</v>
      </c>
      <c r="N526" s="1350"/>
      <c r="O526" s="1358">
        <f t="shared" si="146"/>
        <v>5.4530285169122391E-3</v>
      </c>
      <c r="P526" s="1358">
        <f t="shared" si="138"/>
        <v>4.3222907787776304E-3</v>
      </c>
      <c r="Q526" s="1358">
        <f t="shared" si="139"/>
        <v>1.1953426283347345E-2</v>
      </c>
      <c r="R526" s="1358">
        <f t="shared" si="140"/>
        <v>0</v>
      </c>
      <c r="S526" s="1358">
        <f t="shared" si="141"/>
        <v>0.11214559643707916</v>
      </c>
      <c r="T526" s="1358">
        <f t="shared" si="135"/>
        <v>1.8678992281917988</v>
      </c>
      <c r="U526" s="595">
        <f>IF('TAR_Tab 2_Volumina'!C529="storage",1,0)</f>
        <v>0</v>
      </c>
      <c r="V526" s="1362">
        <f t="shared" si="149"/>
        <v>1.8678992281917988</v>
      </c>
      <c r="W526" s="1362">
        <f t="shared" si="147"/>
        <v>1.9679868459180263</v>
      </c>
      <c r="X526" s="1355">
        <f t="shared" si="148"/>
        <v>1.968</v>
      </c>
      <c r="Y526" s="1355">
        <f>X526+'TAR_Tab 13_Overige tarieven'!$T$15+'TAR_Tab 13_Overige tarieven'!$T$16</f>
        <v>2.121</v>
      </c>
      <c r="Z526" s="960"/>
    </row>
    <row r="527" spans="1:26">
      <c r="A527" s="155">
        <v>301369</v>
      </c>
      <c r="B527" s="156" t="s">
        <v>32</v>
      </c>
      <c r="C527" s="839">
        <v>0.3228430542299493</v>
      </c>
      <c r="D527" s="1356">
        <f t="shared" si="142"/>
        <v>0.30786313651367964</v>
      </c>
      <c r="E527" s="1356">
        <f t="shared" si="143"/>
        <v>0.32530123414530365</v>
      </c>
      <c r="F527" s="1350"/>
      <c r="G527" s="1358">
        <f t="shared" si="144"/>
        <v>0.30903617243803844</v>
      </c>
      <c r="H527" s="1358">
        <f t="shared" si="145"/>
        <v>0.34156629585256887</v>
      </c>
      <c r="I527" s="833">
        <v>0.3270209620329807</v>
      </c>
      <c r="J527" s="1359" t="b">
        <f t="shared" si="136"/>
        <v>1</v>
      </c>
      <c r="K527" s="1583"/>
      <c r="M527" s="1361">
        <f t="shared" si="137"/>
        <v>0.3270209620329807</v>
      </c>
      <c r="N527" s="1350"/>
      <c r="O527" s="1358">
        <f t="shared" si="146"/>
        <v>1.0283904491860034E-3</v>
      </c>
      <c r="P527" s="1358">
        <f t="shared" si="138"/>
        <v>8.1514383093976887E-4</v>
      </c>
      <c r="Q527" s="1358">
        <f t="shared" si="139"/>
        <v>2.2543049952366855E-3</v>
      </c>
      <c r="R527" s="1358">
        <f t="shared" si="140"/>
        <v>0</v>
      </c>
      <c r="S527" s="1358">
        <f t="shared" si="141"/>
        <v>2.1149616206200417E-2</v>
      </c>
      <c r="T527" s="1358">
        <f t="shared" si="135"/>
        <v>0.35226841751454363</v>
      </c>
      <c r="U527" s="595">
        <f>IF('TAR_Tab 2_Volumina'!C530="storage",1,0)</f>
        <v>0</v>
      </c>
      <c r="V527" s="1362">
        <f t="shared" si="149"/>
        <v>0.35226841751454363</v>
      </c>
      <c r="W527" s="1362">
        <f t="shared" si="147"/>
        <v>0.37114401111032325</v>
      </c>
      <c r="X527" s="1355">
        <f t="shared" si="148"/>
        <v>0.371</v>
      </c>
      <c r="Y527" s="1355">
        <f>X527+'TAR_Tab 13_Overige tarieven'!$T$15+'TAR_Tab 13_Overige tarieven'!$T$16</f>
        <v>0.52400000000000002</v>
      </c>
      <c r="Z527" s="960"/>
    </row>
    <row r="528" spans="1:26">
      <c r="A528" s="155">
        <v>301374</v>
      </c>
      <c r="B528" s="156" t="s">
        <v>1133</v>
      </c>
      <c r="C528" s="839">
        <v>1.2294023427332432</v>
      </c>
      <c r="D528" s="1356">
        <f t="shared" si="142"/>
        <v>1.1723580740304207</v>
      </c>
      <c r="E528" s="1356">
        <f t="shared" si="143"/>
        <v>1.2387632136183389</v>
      </c>
      <c r="F528" s="1350"/>
      <c r="G528" s="1358">
        <f t="shared" si="144"/>
        <v>1.1768250529374218</v>
      </c>
      <c r="H528" s="1358">
        <f t="shared" si="145"/>
        <v>1.3007013742992559</v>
      </c>
      <c r="I528" s="833">
        <v>1.2453120226023722</v>
      </c>
      <c r="J528" s="1359" t="b">
        <f t="shared" si="136"/>
        <v>1</v>
      </c>
      <c r="K528" s="1583"/>
      <c r="M528" s="1361">
        <f t="shared" si="137"/>
        <v>1.2453120226023722</v>
      </c>
      <c r="N528" s="1350"/>
      <c r="O528" s="1358">
        <f t="shared" si="146"/>
        <v>3.9161617724420561E-3</v>
      </c>
      <c r="P528" s="1358">
        <f t="shared" si="138"/>
        <v>3.1041080868604199E-3</v>
      </c>
      <c r="Q528" s="1358">
        <f t="shared" si="139"/>
        <v>8.5845050902201951E-3</v>
      </c>
      <c r="R528" s="1358">
        <f t="shared" si="140"/>
        <v>0</v>
      </c>
      <c r="S528" s="1358">
        <f t="shared" si="141"/>
        <v>8.0538786172218296E-2</v>
      </c>
      <c r="T528" s="1358">
        <f t="shared" si="135"/>
        <v>1.3414555837241131</v>
      </c>
      <c r="U528" s="595">
        <f>IF('TAR_Tab 2_Volumina'!C531="storage",1,0)</f>
        <v>0</v>
      </c>
      <c r="V528" s="1362">
        <f t="shared" si="149"/>
        <v>1.3414555837241131</v>
      </c>
      <c r="W528" s="1362">
        <f t="shared" si="147"/>
        <v>1.413334779150766</v>
      </c>
      <c r="X528" s="1355">
        <f t="shared" si="148"/>
        <v>1.413</v>
      </c>
      <c r="Y528" s="1355">
        <f>X528+'TAR_Tab 13_Overige tarieven'!$T$15+'TAR_Tab 13_Overige tarieven'!$T$16</f>
        <v>1.5660000000000001</v>
      </c>
      <c r="Z528" s="960"/>
    </row>
    <row r="529" spans="1:26">
      <c r="A529" s="155">
        <v>301377</v>
      </c>
      <c r="B529" s="156" t="s">
        <v>216</v>
      </c>
      <c r="C529" s="839">
        <v>1.145068297057555</v>
      </c>
      <c r="D529" s="1356">
        <f t="shared" si="142"/>
        <v>1.0919371280740844</v>
      </c>
      <c r="E529" s="1356">
        <f t="shared" si="143"/>
        <v>1.1537870347000598</v>
      </c>
      <c r="F529" s="1350"/>
      <c r="G529" s="1358">
        <f t="shared" si="144"/>
        <v>1.0960976829650568</v>
      </c>
      <c r="H529" s="1358">
        <f t="shared" si="145"/>
        <v>1.2114763864350628</v>
      </c>
      <c r="I529" s="833">
        <v>1.159886611128742</v>
      </c>
      <c r="J529" s="1359" t="b">
        <f t="shared" si="136"/>
        <v>1</v>
      </c>
      <c r="K529" s="1583"/>
      <c r="M529" s="1361">
        <f t="shared" si="137"/>
        <v>1.159886611128742</v>
      </c>
      <c r="N529" s="1350"/>
      <c r="O529" s="1358">
        <f t="shared" si="146"/>
        <v>3.6475224878802126E-3</v>
      </c>
      <c r="P529" s="1358">
        <f t="shared" si="138"/>
        <v>2.8911737332479493E-3</v>
      </c>
      <c r="Q529" s="1358">
        <f t="shared" si="139"/>
        <v>7.995628675057145E-3</v>
      </c>
      <c r="R529" s="1358">
        <f t="shared" si="140"/>
        <v>0</v>
      </c>
      <c r="S529" s="1358">
        <f t="shared" si="141"/>
        <v>7.5014019026735379E-2</v>
      </c>
      <c r="T529" s="1358">
        <f t="shared" si="135"/>
        <v>1.2494349550516628</v>
      </c>
      <c r="U529" s="595">
        <f>IF('TAR_Tab 2_Volumina'!C532="storage",1,0)</f>
        <v>0</v>
      </c>
      <c r="V529" s="1362">
        <f t="shared" si="149"/>
        <v>1.2494349550516628</v>
      </c>
      <c r="W529" s="1362">
        <f t="shared" si="147"/>
        <v>1.316383410443474</v>
      </c>
      <c r="X529" s="1355">
        <f t="shared" si="148"/>
        <v>1.3160000000000001</v>
      </c>
      <c r="Y529" s="1355">
        <f>X529+'TAR_Tab 13_Overige tarieven'!$T$15+'TAR_Tab 13_Overige tarieven'!$T$16</f>
        <v>1.4690000000000001</v>
      </c>
      <c r="Z529" s="960"/>
    </row>
    <row r="530" spans="1:26">
      <c r="A530" s="155">
        <v>301385</v>
      </c>
      <c r="B530" s="156" t="s">
        <v>1134</v>
      </c>
      <c r="C530" s="839">
        <v>1.9387413167400924</v>
      </c>
      <c r="D530" s="1356">
        <f t="shared" si="142"/>
        <v>1.8487837196433521</v>
      </c>
      <c r="E530" s="1356">
        <f t="shared" si="143"/>
        <v>1.9535032108042083</v>
      </c>
      <c r="F530" s="1350"/>
      <c r="G530" s="1358">
        <f t="shared" si="144"/>
        <v>1.8558280502639979</v>
      </c>
      <c r="H530" s="1358">
        <f t="shared" si="145"/>
        <v>2.0511783713444189</v>
      </c>
      <c r="I530" s="833">
        <v>1.9638305431277803</v>
      </c>
      <c r="J530" s="1359" t="b">
        <f t="shared" si="136"/>
        <v>1</v>
      </c>
      <c r="K530" s="1583"/>
      <c r="M530" s="1361">
        <f t="shared" si="137"/>
        <v>1.9638305431277803</v>
      </c>
      <c r="N530" s="1350"/>
      <c r="O530" s="1358">
        <f t="shared" si="146"/>
        <v>6.1757037280340829E-3</v>
      </c>
      <c r="P530" s="1358">
        <f t="shared" si="138"/>
        <v>4.8951123569878725E-3</v>
      </c>
      <c r="Q530" s="1358">
        <f t="shared" si="139"/>
        <v>1.3537581736808815E-2</v>
      </c>
      <c r="R530" s="1358">
        <f t="shared" si="140"/>
        <v>0</v>
      </c>
      <c r="S530" s="1358">
        <f t="shared" si="141"/>
        <v>0.12700795087557065</v>
      </c>
      <c r="T530" s="1358">
        <f t="shared" si="135"/>
        <v>2.1154468918251816</v>
      </c>
      <c r="U530" s="595">
        <f>IF('TAR_Tab 2_Volumina'!C533="storage",1,0)</f>
        <v>0</v>
      </c>
      <c r="V530" s="1362">
        <f t="shared" si="149"/>
        <v>2.1154468918251816</v>
      </c>
      <c r="W530" s="1362">
        <f t="shared" si="147"/>
        <v>2.2287988524842683</v>
      </c>
      <c r="X530" s="1355">
        <f t="shared" si="148"/>
        <v>2.2290000000000001</v>
      </c>
      <c r="Y530" s="1355">
        <f>X530+'TAR_Tab 13_Overige tarieven'!$T$15+'TAR_Tab 13_Overige tarieven'!$T$16</f>
        <v>2.3820000000000001</v>
      </c>
      <c r="Z530" s="960"/>
    </row>
    <row r="531" spans="1:26">
      <c r="A531" s="155">
        <v>301389</v>
      </c>
      <c r="B531" s="156" t="s">
        <v>1135</v>
      </c>
      <c r="C531" s="839">
        <v>1.811339163904975</v>
      </c>
      <c r="D531" s="1356">
        <f t="shared" si="142"/>
        <v>1.7272930266997841</v>
      </c>
      <c r="E531" s="1356">
        <f t="shared" si="143"/>
        <v>1.8251309971015304</v>
      </c>
      <c r="F531" s="1350"/>
      <c r="G531" s="1358">
        <f t="shared" si="144"/>
        <v>1.7338744472464538</v>
      </c>
      <c r="H531" s="1358">
        <f t="shared" si="145"/>
        <v>1.916387546956607</v>
      </c>
      <c r="I531" s="833">
        <v>1.8347796806751604</v>
      </c>
      <c r="J531" s="1359" t="b">
        <f t="shared" si="136"/>
        <v>1</v>
      </c>
      <c r="K531" s="1583"/>
      <c r="M531" s="1361">
        <f t="shared" si="137"/>
        <v>1.8347796806751604</v>
      </c>
      <c r="N531" s="1350"/>
      <c r="O531" s="1358">
        <f t="shared" si="146"/>
        <v>5.7698744699325594E-3</v>
      </c>
      <c r="P531" s="1358">
        <f t="shared" si="138"/>
        <v>4.5734356860131827E-3</v>
      </c>
      <c r="Q531" s="1358">
        <f t="shared" si="139"/>
        <v>1.2647975143830828E-2</v>
      </c>
      <c r="R531" s="1358">
        <f t="shared" si="140"/>
        <v>0</v>
      </c>
      <c r="S531" s="1358">
        <f t="shared" si="141"/>
        <v>0.11866176965530745</v>
      </c>
      <c r="T531" s="1358">
        <f t="shared" si="135"/>
        <v>1.9764327356302445</v>
      </c>
      <c r="U531" s="595">
        <f>IF('TAR_Tab 2_Volumina'!C534="storage",1,0)</f>
        <v>0</v>
      </c>
      <c r="V531" s="1362">
        <f t="shared" si="149"/>
        <v>1.9764327356302445</v>
      </c>
      <c r="W531" s="1362">
        <f t="shared" si="147"/>
        <v>2.0823359027389201</v>
      </c>
      <c r="X531" s="1355">
        <f t="shared" si="148"/>
        <v>2.0819999999999999</v>
      </c>
      <c r="Y531" s="1355">
        <f>X531+'TAR_Tab 13_Overige tarieven'!$T$15+'TAR_Tab 13_Overige tarieven'!$T$16</f>
        <v>2.2349999999999999</v>
      </c>
      <c r="Z531" s="960"/>
    </row>
    <row r="532" spans="1:26">
      <c r="A532" s="155">
        <v>301390</v>
      </c>
      <c r="B532" s="156" t="s">
        <v>1136</v>
      </c>
      <c r="C532" s="839">
        <v>1.2148895346830162</v>
      </c>
      <c r="D532" s="1356">
        <f t="shared" si="142"/>
        <v>1.1585186602737243</v>
      </c>
      <c r="E532" s="1356">
        <f t="shared" si="143"/>
        <v>1.2241399026695763</v>
      </c>
      <c r="F532" s="1350"/>
      <c r="G532" s="1358">
        <f t="shared" si="144"/>
        <v>1.1629329075360975</v>
      </c>
      <c r="H532" s="1358">
        <f t="shared" si="145"/>
        <v>1.2853468978030551</v>
      </c>
      <c r="I532" s="833">
        <v>1.2306114044902512</v>
      </c>
      <c r="J532" s="1359" t="b">
        <f t="shared" si="136"/>
        <v>1</v>
      </c>
      <c r="K532" s="1583"/>
      <c r="M532" s="1361">
        <f t="shared" si="137"/>
        <v>1.2306114044902512</v>
      </c>
      <c r="N532" s="1350"/>
      <c r="O532" s="1358">
        <f t="shared" si="146"/>
        <v>3.8699323956777882E-3</v>
      </c>
      <c r="P532" s="1358">
        <f t="shared" si="138"/>
        <v>3.0674648145435574E-3</v>
      </c>
      <c r="Q532" s="1358">
        <f t="shared" si="139"/>
        <v>8.4831670089020959E-3</v>
      </c>
      <c r="R532" s="1358">
        <f t="shared" si="140"/>
        <v>0</v>
      </c>
      <c r="S532" s="1358">
        <f t="shared" si="141"/>
        <v>7.9588044577146105E-2</v>
      </c>
      <c r="T532" s="1358">
        <f t="shared" si="135"/>
        <v>1.3256200132865206</v>
      </c>
      <c r="U532" s="595">
        <f>IF('TAR_Tab 2_Volumina'!C535="storage",1,0)</f>
        <v>0</v>
      </c>
      <c r="V532" s="1362">
        <f t="shared" si="149"/>
        <v>1.3256200132865206</v>
      </c>
      <c r="W532" s="1362">
        <f t="shared" si="147"/>
        <v>1.3966506915680763</v>
      </c>
      <c r="X532" s="1355">
        <f t="shared" si="148"/>
        <v>1.397</v>
      </c>
      <c r="Y532" s="1355">
        <f>X532+'TAR_Tab 13_Overige tarieven'!$T$15+'TAR_Tab 13_Overige tarieven'!$T$16</f>
        <v>1.55</v>
      </c>
      <c r="Z532" s="960"/>
    </row>
    <row r="533" spans="1:26">
      <c r="A533" s="155">
        <v>301391</v>
      </c>
      <c r="B533" s="156" t="s">
        <v>798</v>
      </c>
      <c r="C533" s="839">
        <v>0.74246693920090279</v>
      </c>
      <c r="D533" s="1356">
        <f t="shared" si="142"/>
        <v>0.70801647322198091</v>
      </c>
      <c r="E533" s="1356">
        <f t="shared" si="143"/>
        <v>0.74812020413519598</v>
      </c>
      <c r="F533" s="1350"/>
      <c r="G533" s="1358">
        <f t="shared" si="144"/>
        <v>0.71071419392843616</v>
      </c>
      <c r="H533" s="1358">
        <f t="shared" si="145"/>
        <v>0.7855262143419558</v>
      </c>
      <c r="I533" s="833">
        <v>0.7520751942899867</v>
      </c>
      <c r="J533" s="1359" t="b">
        <f t="shared" si="136"/>
        <v>1</v>
      </c>
      <c r="K533" s="1583"/>
      <c r="M533" s="1361">
        <f t="shared" si="137"/>
        <v>0.7520751942899867</v>
      </c>
      <c r="N533" s="1350"/>
      <c r="O533" s="1358">
        <f t="shared" si="146"/>
        <v>2.3650684105061396E-3</v>
      </c>
      <c r="P533" s="1358">
        <f t="shared" si="138"/>
        <v>1.8746488029916673E-3</v>
      </c>
      <c r="Q533" s="1358">
        <f t="shared" si="139"/>
        <v>5.1843981399288183E-3</v>
      </c>
      <c r="R533" s="1358">
        <f t="shared" si="140"/>
        <v>0</v>
      </c>
      <c r="S533" s="1358">
        <f t="shared" si="141"/>
        <v>4.8639394913873042E-2</v>
      </c>
      <c r="T533" s="1358">
        <f t="shared" si="135"/>
        <v>0.81013870455728632</v>
      </c>
      <c r="U533" s="595">
        <f>IF('TAR_Tab 2_Volumina'!C536="storage",1,0)</f>
        <v>1</v>
      </c>
      <c r="V533" s="1362">
        <f t="shared" si="149"/>
        <v>0.60760402841796468</v>
      </c>
      <c r="W533" s="1362">
        <f t="shared" si="147"/>
        <v>0.60760402841796468</v>
      </c>
      <c r="X533" s="1355">
        <f t="shared" si="148"/>
        <v>0.60799999999999998</v>
      </c>
      <c r="Y533" s="1355">
        <f>X533+'TAR_Tab 13_Overige tarieven'!$T$15+'TAR_Tab 13_Overige tarieven'!$T$16</f>
        <v>0.76100000000000001</v>
      </c>
      <c r="Z533" s="960"/>
    </row>
    <row r="534" spans="1:26">
      <c r="A534" s="155">
        <v>301395</v>
      </c>
      <c r="B534" s="156" t="s">
        <v>5</v>
      </c>
      <c r="C534" s="839">
        <v>2.6136538032361929</v>
      </c>
      <c r="D534" s="1356">
        <f t="shared" si="142"/>
        <v>2.4923802667660335</v>
      </c>
      <c r="E534" s="1356">
        <f t="shared" si="143"/>
        <v>2.6335545915623637</v>
      </c>
      <c r="F534" s="1350"/>
      <c r="G534" s="1358">
        <f t="shared" si="144"/>
        <v>2.5018768619842455</v>
      </c>
      <c r="H534" s="1358">
        <f t="shared" si="145"/>
        <v>2.7652323211404819</v>
      </c>
      <c r="I534" s="833">
        <v>2.6474770634113538</v>
      </c>
      <c r="J534" s="1359" t="b">
        <f t="shared" si="136"/>
        <v>1</v>
      </c>
      <c r="K534" s="1583"/>
      <c r="M534" s="1361">
        <f t="shared" si="137"/>
        <v>2.6474770634113538</v>
      </c>
      <c r="N534" s="1350"/>
      <c r="O534" s="1358">
        <f t="shared" si="146"/>
        <v>8.3255828908504644E-3</v>
      </c>
      <c r="P534" s="1358">
        <f t="shared" si="138"/>
        <v>6.59919346569794E-3</v>
      </c>
      <c r="Q534" s="1358">
        <f t="shared" si="139"/>
        <v>1.8250269743322629E-2</v>
      </c>
      <c r="R534" s="1358">
        <f t="shared" si="140"/>
        <v>0</v>
      </c>
      <c r="S534" s="1358">
        <f t="shared" si="141"/>
        <v>0.17122181849682663</v>
      </c>
      <c r="T534" s="1358">
        <f t="shared" si="135"/>
        <v>2.8518739280080516</v>
      </c>
      <c r="U534" s="595">
        <f>IF('TAR_Tab 2_Volumina'!C537="storage",1,0)</f>
        <v>0</v>
      </c>
      <c r="V534" s="1362">
        <f t="shared" si="149"/>
        <v>2.8518739280080516</v>
      </c>
      <c r="W534" s="1362">
        <f t="shared" si="147"/>
        <v>3.0046858480526781</v>
      </c>
      <c r="X534" s="1355">
        <f t="shared" si="148"/>
        <v>3.0049999999999999</v>
      </c>
      <c r="Y534" s="1355">
        <f>X534+'TAR_Tab 13_Overige tarieven'!$T$15+'TAR_Tab 13_Overige tarieven'!$T$16</f>
        <v>3.1579999999999999</v>
      </c>
      <c r="Z534" s="960"/>
    </row>
    <row r="535" spans="1:26">
      <c r="A535" s="155">
        <v>301396</v>
      </c>
      <c r="B535" s="156" t="s">
        <v>217</v>
      </c>
      <c r="C535" s="839">
        <v>0.86557921041218577</v>
      </c>
      <c r="D535" s="1356">
        <f t="shared" si="142"/>
        <v>0.82541633504906031</v>
      </c>
      <c r="E535" s="1356">
        <f t="shared" si="143"/>
        <v>0.87216987235242371</v>
      </c>
      <c r="F535" s="1350"/>
      <c r="G535" s="1358">
        <f t="shared" si="144"/>
        <v>0.82856137873480251</v>
      </c>
      <c r="H535" s="1358">
        <f t="shared" si="145"/>
        <v>0.91577836597004492</v>
      </c>
      <c r="I535" s="833">
        <v>0.87678065981597897</v>
      </c>
      <c r="J535" s="1359" t="b">
        <f t="shared" si="136"/>
        <v>1</v>
      </c>
      <c r="K535" s="1583"/>
      <c r="M535" s="1361">
        <f t="shared" si="137"/>
        <v>0.87678065981597897</v>
      </c>
      <c r="N535" s="1350"/>
      <c r="O535" s="1358">
        <f t="shared" si="146"/>
        <v>2.7572325975079837E-3</v>
      </c>
      <c r="P535" s="1358">
        <f t="shared" si="138"/>
        <v>2.1854939863586364E-3</v>
      </c>
      <c r="Q535" s="1358">
        <f t="shared" si="139"/>
        <v>6.0440499253095019E-3</v>
      </c>
      <c r="R535" s="1358">
        <f t="shared" si="140"/>
        <v>0</v>
      </c>
      <c r="S535" s="1358">
        <f t="shared" si="141"/>
        <v>5.6704543760277268E-2</v>
      </c>
      <c r="T535" s="1358">
        <f t="shared" si="135"/>
        <v>0.94447198008543221</v>
      </c>
      <c r="U535" s="595">
        <f>IF('TAR_Tab 2_Volumina'!C538="storage",1,0)</f>
        <v>0</v>
      </c>
      <c r="V535" s="1362">
        <f t="shared" si="149"/>
        <v>0.94447198008543221</v>
      </c>
      <c r="W535" s="1362">
        <f t="shared" si="147"/>
        <v>0.99507960873541712</v>
      </c>
      <c r="X535" s="1355">
        <f t="shared" si="148"/>
        <v>0.995</v>
      </c>
      <c r="Y535" s="1355">
        <f>X535+'TAR_Tab 13_Overige tarieven'!$T$15+'TAR_Tab 13_Overige tarieven'!$T$16</f>
        <v>1.1479999999999999</v>
      </c>
      <c r="Z535" s="960"/>
    </row>
    <row r="536" spans="1:26">
      <c r="A536" s="155">
        <v>301397</v>
      </c>
      <c r="B536" s="156" t="s">
        <v>213</v>
      </c>
      <c r="C536" s="839">
        <v>1.3245712012916877</v>
      </c>
      <c r="D536" s="1356">
        <f t="shared" si="142"/>
        <v>1.2631110975517534</v>
      </c>
      <c r="E536" s="1356">
        <f t="shared" si="143"/>
        <v>1.3346567034600352</v>
      </c>
      <c r="F536" s="1350"/>
      <c r="G536" s="1358">
        <f t="shared" si="144"/>
        <v>1.2679238682870333</v>
      </c>
      <c r="H536" s="1358">
        <f t="shared" si="145"/>
        <v>1.4013895386330371</v>
      </c>
      <c r="I536" s="833">
        <v>1.3417124601326031</v>
      </c>
      <c r="J536" s="1359" t="b">
        <f t="shared" si="136"/>
        <v>1</v>
      </c>
      <c r="K536" s="1583"/>
      <c r="M536" s="1361">
        <f t="shared" si="137"/>
        <v>1.3417124601326031</v>
      </c>
      <c r="N536" s="1350"/>
      <c r="O536" s="1358">
        <f t="shared" si="146"/>
        <v>4.2193144775076212E-3</v>
      </c>
      <c r="P536" s="1358">
        <f t="shared" si="138"/>
        <v>3.3443991723741896E-3</v>
      </c>
      <c r="Q536" s="1358">
        <f t="shared" si="139"/>
        <v>9.2490373774363425E-3</v>
      </c>
      <c r="R536" s="1358">
        <f t="shared" si="140"/>
        <v>0</v>
      </c>
      <c r="S536" s="1358">
        <f t="shared" si="141"/>
        <v>8.6773347538558365E-2</v>
      </c>
      <c r="T536" s="1358">
        <f t="shared" si="135"/>
        <v>1.4452985586984797</v>
      </c>
      <c r="U536" s="595">
        <f>IF('TAR_Tab 2_Volumina'!C539="storage",1,0)</f>
        <v>1</v>
      </c>
      <c r="V536" s="1362">
        <f t="shared" si="149"/>
        <v>1.0839739190238598</v>
      </c>
      <c r="W536" s="1362">
        <f t="shared" si="147"/>
        <v>1.0839739190238598</v>
      </c>
      <c r="X536" s="1355">
        <f t="shared" si="148"/>
        <v>1.0840000000000001</v>
      </c>
      <c r="Y536" s="1355">
        <f>X536+'TAR_Tab 13_Overige tarieven'!$T$15+'TAR_Tab 13_Overige tarieven'!$T$16</f>
        <v>1.2370000000000001</v>
      </c>
      <c r="Z536" s="960"/>
    </row>
    <row r="537" spans="1:26">
      <c r="A537" s="155">
        <v>301400</v>
      </c>
      <c r="B537" s="156" t="s">
        <v>214</v>
      </c>
      <c r="C537" s="839">
        <v>0.78154414652726611</v>
      </c>
      <c r="D537" s="1356">
        <f t="shared" si="142"/>
        <v>0.74528049812840091</v>
      </c>
      <c r="E537" s="1356">
        <f t="shared" si="143"/>
        <v>0.78749495172125894</v>
      </c>
      <c r="F537" s="1350"/>
      <c r="G537" s="1358">
        <f t="shared" si="144"/>
        <v>0.74812020413519598</v>
      </c>
      <c r="H537" s="1358">
        <f t="shared" si="145"/>
        <v>0.8268696993073219</v>
      </c>
      <c r="I537" s="833">
        <v>0.79165809925261765</v>
      </c>
      <c r="J537" s="1359" t="b">
        <f t="shared" si="136"/>
        <v>1</v>
      </c>
      <c r="K537" s="1583"/>
      <c r="M537" s="1361">
        <f t="shared" si="137"/>
        <v>0.79165809925261765</v>
      </c>
      <c r="N537" s="1350"/>
      <c r="O537" s="1358">
        <f t="shared" si="146"/>
        <v>2.4895456952696206E-3</v>
      </c>
      <c r="P537" s="1358">
        <f t="shared" si="138"/>
        <v>1.9733145294649132E-3</v>
      </c>
      <c r="Q537" s="1358">
        <f t="shared" si="139"/>
        <v>5.4572611999250727E-3</v>
      </c>
      <c r="R537" s="1358">
        <f t="shared" si="140"/>
        <v>0</v>
      </c>
      <c r="S537" s="1358">
        <f t="shared" si="141"/>
        <v>5.1199363067234785E-2</v>
      </c>
      <c r="T537" s="1358">
        <f t="shared" si="135"/>
        <v>0.85277758374451207</v>
      </c>
      <c r="U537" s="595">
        <f>IF('TAR_Tab 2_Volumina'!C540="storage",1,0)</f>
        <v>1</v>
      </c>
      <c r="V537" s="1362">
        <f t="shared" si="149"/>
        <v>0.63958318780838408</v>
      </c>
      <c r="W537" s="1362">
        <f t="shared" si="147"/>
        <v>0.63958318780838408</v>
      </c>
      <c r="X537" s="1355">
        <f t="shared" si="148"/>
        <v>0.64</v>
      </c>
      <c r="Y537" s="1355">
        <f>X537+'TAR_Tab 13_Overige tarieven'!$T$15+'TAR_Tab 13_Overige tarieven'!$T$16</f>
        <v>0.79300000000000004</v>
      </c>
      <c r="Z537" s="960"/>
    </row>
    <row r="538" spans="1:26">
      <c r="A538" s="155">
        <v>301401</v>
      </c>
      <c r="B538" s="156" t="s">
        <v>627</v>
      </c>
      <c r="C538" s="839">
        <v>0.78154414652726611</v>
      </c>
      <c r="D538" s="1356">
        <f t="shared" si="142"/>
        <v>0.74528049812840091</v>
      </c>
      <c r="E538" s="1356">
        <f t="shared" si="143"/>
        <v>0.78749495172125894</v>
      </c>
      <c r="F538" s="1350"/>
      <c r="G538" s="1358">
        <f t="shared" si="144"/>
        <v>0.74812020413519598</v>
      </c>
      <c r="H538" s="1358">
        <f t="shared" si="145"/>
        <v>0.8268696993073219</v>
      </c>
      <c r="I538" s="833">
        <v>0.79165809925261765</v>
      </c>
      <c r="J538" s="1359" t="b">
        <f t="shared" si="136"/>
        <v>1</v>
      </c>
      <c r="K538" s="1583"/>
      <c r="M538" s="1361">
        <f t="shared" si="137"/>
        <v>0.79165809925261765</v>
      </c>
      <c r="N538" s="1350"/>
      <c r="O538" s="1358">
        <f t="shared" si="146"/>
        <v>2.4895456952696206E-3</v>
      </c>
      <c r="P538" s="1358">
        <f t="shared" si="138"/>
        <v>1.9733145294649132E-3</v>
      </c>
      <c r="Q538" s="1358">
        <f t="shared" si="139"/>
        <v>5.4572611999250727E-3</v>
      </c>
      <c r="R538" s="1358">
        <f t="shared" si="140"/>
        <v>0</v>
      </c>
      <c r="S538" s="1358">
        <f t="shared" si="141"/>
        <v>5.1199363067234785E-2</v>
      </c>
      <c r="T538" s="1358">
        <f t="shared" si="135"/>
        <v>0.85277758374451207</v>
      </c>
      <c r="U538" s="595">
        <f>IF('TAR_Tab 2_Volumina'!C541="storage",1,0)</f>
        <v>1</v>
      </c>
      <c r="V538" s="1362">
        <f t="shared" si="149"/>
        <v>0.63958318780838408</v>
      </c>
      <c r="W538" s="1362">
        <f t="shared" si="147"/>
        <v>0.63958318780838408</v>
      </c>
      <c r="X538" s="1355">
        <f t="shared" si="148"/>
        <v>0.64</v>
      </c>
      <c r="Y538" s="1355">
        <f>X538+'TAR_Tab 13_Overige tarieven'!$T$15+'TAR_Tab 13_Overige tarieven'!$T$16</f>
        <v>0.79300000000000004</v>
      </c>
      <c r="Z538" s="960"/>
    </row>
    <row r="539" spans="1:26">
      <c r="A539" s="155">
        <v>301418</v>
      </c>
      <c r="B539" s="156" t="s">
        <v>218</v>
      </c>
      <c r="C539" s="839">
        <v>1.6810979951162817</v>
      </c>
      <c r="D539" s="1356">
        <f t="shared" si="142"/>
        <v>1.6030950481428863</v>
      </c>
      <c r="E539" s="1356">
        <f t="shared" si="143"/>
        <v>1.6938981507126105</v>
      </c>
      <c r="F539" s="1350"/>
      <c r="G539" s="1358">
        <f t="shared" si="144"/>
        <v>1.6092032431769798</v>
      </c>
      <c r="H539" s="1358">
        <f t="shared" si="145"/>
        <v>1.7785930582482412</v>
      </c>
      <c r="I539" s="833">
        <v>1.702853062600107</v>
      </c>
      <c r="J539" s="1359" t="b">
        <f t="shared" si="136"/>
        <v>1</v>
      </c>
      <c r="K539" s="1583"/>
      <c r="M539" s="1361">
        <f t="shared" si="137"/>
        <v>1.702853062600107</v>
      </c>
      <c r="N539" s="1350"/>
      <c r="O539" s="1358">
        <f t="shared" si="146"/>
        <v>5.3550017560295539E-3</v>
      </c>
      <c r="P539" s="1358">
        <f t="shared" si="138"/>
        <v>4.2445908064920306E-3</v>
      </c>
      <c r="Q539" s="1358">
        <f t="shared" si="139"/>
        <v>1.1738544652640232E-2</v>
      </c>
      <c r="R539" s="1358">
        <f t="shared" si="140"/>
        <v>0</v>
      </c>
      <c r="S539" s="1358">
        <f t="shared" si="141"/>
        <v>0.1101296030249984</v>
      </c>
      <c r="T539" s="1358">
        <f t="shared" si="135"/>
        <v>1.8343208028402671</v>
      </c>
      <c r="U539" s="595">
        <f>IF('TAR_Tab 2_Volumina'!C542="storage",1,0)</f>
        <v>0</v>
      </c>
      <c r="V539" s="1362">
        <f t="shared" si="149"/>
        <v>1.8343208028402671</v>
      </c>
      <c r="W539" s="1362">
        <f t="shared" si="147"/>
        <v>1.9326091882793834</v>
      </c>
      <c r="X539" s="1355">
        <f t="shared" si="148"/>
        <v>1.9330000000000001</v>
      </c>
      <c r="Y539" s="1355">
        <f>X539+'TAR_Tab 13_Overige tarieven'!$T$15+'TAR_Tab 13_Overige tarieven'!$T$16</f>
        <v>2.0860000000000003</v>
      </c>
      <c r="Z539" s="960"/>
    </row>
    <row r="540" spans="1:26">
      <c r="A540" s="155">
        <v>301419</v>
      </c>
      <c r="B540" s="156" t="s">
        <v>257</v>
      </c>
      <c r="C540" s="839">
        <v>1.7284806749551433</v>
      </c>
      <c r="D540" s="1356">
        <f t="shared" si="142"/>
        <v>1.6482791716372247</v>
      </c>
      <c r="E540" s="1356">
        <f t="shared" si="143"/>
        <v>1.7416416100398007</v>
      </c>
      <c r="F540" s="1350"/>
      <c r="G540" s="1358">
        <f t="shared" si="144"/>
        <v>1.6545595295378106</v>
      </c>
      <c r="H540" s="1358">
        <f t="shared" si="145"/>
        <v>1.8287236905417907</v>
      </c>
      <c r="I540" s="833">
        <v>1.7508489210879548</v>
      </c>
      <c r="J540" s="1359" t="b">
        <f t="shared" si="136"/>
        <v>1</v>
      </c>
      <c r="K540" s="1583"/>
      <c r="M540" s="1361">
        <f t="shared" si="137"/>
        <v>1.7508489210879548</v>
      </c>
      <c r="N540" s="1350"/>
      <c r="O540" s="1358">
        <f t="shared" si="146"/>
        <v>5.5059354520303862E-3</v>
      </c>
      <c r="P540" s="1358">
        <f t="shared" si="138"/>
        <v>4.3642269537096561E-3</v>
      </c>
      <c r="Q540" s="1358">
        <f t="shared" si="139"/>
        <v>1.2069402047429855E-2</v>
      </c>
      <c r="R540" s="1358">
        <f t="shared" si="140"/>
        <v>0</v>
      </c>
      <c r="S540" s="1358">
        <f t="shared" si="141"/>
        <v>0.11323366699751743</v>
      </c>
      <c r="T540" s="1358">
        <f t="shared" si="135"/>
        <v>1.886022152538642</v>
      </c>
      <c r="U540" s="595">
        <f>IF('TAR_Tab 2_Volumina'!C543="storage",1,0)</f>
        <v>0</v>
      </c>
      <c r="V540" s="1362">
        <f t="shared" si="149"/>
        <v>1.886022152538642</v>
      </c>
      <c r="W540" s="1362">
        <f t="shared" si="147"/>
        <v>1.9870808506618909</v>
      </c>
      <c r="X540" s="1355">
        <f t="shared" si="148"/>
        <v>1.9870000000000001</v>
      </c>
      <c r="Y540" s="1355">
        <f>X540+'TAR_Tab 13_Overige tarieven'!$T$15+'TAR_Tab 13_Overige tarieven'!$T$16</f>
        <v>2.14</v>
      </c>
      <c r="Z540" s="960"/>
    </row>
    <row r="541" spans="1:26">
      <c r="A541" s="155">
        <v>301420</v>
      </c>
      <c r="B541" s="156" t="s">
        <v>219</v>
      </c>
      <c r="C541" s="839">
        <v>1.7284806749551433</v>
      </c>
      <c r="D541" s="1356">
        <f t="shared" si="142"/>
        <v>1.6482791716372247</v>
      </c>
      <c r="E541" s="1356">
        <f t="shared" si="143"/>
        <v>1.7416416100398007</v>
      </c>
      <c r="F541" s="1350"/>
      <c r="G541" s="1358">
        <f t="shared" si="144"/>
        <v>1.6545595295378106</v>
      </c>
      <c r="H541" s="1358">
        <f t="shared" si="145"/>
        <v>1.8287236905417907</v>
      </c>
      <c r="I541" s="833">
        <v>1.7508489210879548</v>
      </c>
      <c r="J541" s="1359" t="b">
        <f t="shared" si="136"/>
        <v>1</v>
      </c>
      <c r="K541" s="1583"/>
      <c r="M541" s="1361">
        <f t="shared" si="137"/>
        <v>1.7508489210879548</v>
      </c>
      <c r="N541" s="1350"/>
      <c r="O541" s="1358">
        <f t="shared" si="146"/>
        <v>5.5059354520303862E-3</v>
      </c>
      <c r="P541" s="1358">
        <f t="shared" si="138"/>
        <v>4.3642269537096561E-3</v>
      </c>
      <c r="Q541" s="1358">
        <f t="shared" si="139"/>
        <v>1.2069402047429855E-2</v>
      </c>
      <c r="R541" s="1358">
        <f t="shared" si="140"/>
        <v>0</v>
      </c>
      <c r="S541" s="1358">
        <f t="shared" si="141"/>
        <v>0.11323366699751743</v>
      </c>
      <c r="T541" s="1358">
        <f t="shared" si="135"/>
        <v>1.886022152538642</v>
      </c>
      <c r="U541" s="595">
        <f>IF('TAR_Tab 2_Volumina'!C544="storage",1,0)</f>
        <v>0</v>
      </c>
      <c r="V541" s="1362">
        <f t="shared" si="149"/>
        <v>1.886022152538642</v>
      </c>
      <c r="W541" s="1362">
        <f t="shared" si="147"/>
        <v>1.9870808506618909</v>
      </c>
      <c r="X541" s="1355">
        <f t="shared" si="148"/>
        <v>1.9870000000000001</v>
      </c>
      <c r="Y541" s="1355">
        <f>X541+'TAR_Tab 13_Overige tarieven'!$T$15+'TAR_Tab 13_Overige tarieven'!$T$16</f>
        <v>2.14</v>
      </c>
      <c r="Z541" s="960"/>
    </row>
    <row r="542" spans="1:26">
      <c r="A542" s="155">
        <v>301421</v>
      </c>
      <c r="B542" s="156" t="s">
        <v>220</v>
      </c>
      <c r="C542" s="839">
        <v>1.7284806749551433</v>
      </c>
      <c r="D542" s="1356">
        <f t="shared" si="142"/>
        <v>1.6482791716372247</v>
      </c>
      <c r="E542" s="1356">
        <f t="shared" si="143"/>
        <v>1.7416416100398007</v>
      </c>
      <c r="F542" s="1350"/>
      <c r="G542" s="1358">
        <f t="shared" si="144"/>
        <v>1.6545595295378106</v>
      </c>
      <c r="H542" s="1358">
        <f t="shared" si="145"/>
        <v>1.8287236905417907</v>
      </c>
      <c r="I542" s="833">
        <v>1.7508489210879548</v>
      </c>
      <c r="J542" s="1359" t="b">
        <f t="shared" si="136"/>
        <v>1</v>
      </c>
      <c r="K542" s="1583"/>
      <c r="M542" s="1361">
        <f t="shared" si="137"/>
        <v>1.7508489210879548</v>
      </c>
      <c r="N542" s="1350"/>
      <c r="O542" s="1358">
        <f t="shared" si="146"/>
        <v>5.5059354520303862E-3</v>
      </c>
      <c r="P542" s="1358">
        <f t="shared" si="138"/>
        <v>4.3642269537096561E-3</v>
      </c>
      <c r="Q542" s="1358">
        <f t="shared" si="139"/>
        <v>1.2069402047429855E-2</v>
      </c>
      <c r="R542" s="1358">
        <f t="shared" si="140"/>
        <v>0</v>
      </c>
      <c r="S542" s="1358">
        <f t="shared" si="141"/>
        <v>0.11323366699751743</v>
      </c>
      <c r="T542" s="1358">
        <f t="shared" si="135"/>
        <v>1.886022152538642</v>
      </c>
      <c r="U542" s="595">
        <f>IF('TAR_Tab 2_Volumina'!C545="storage",1,0)</f>
        <v>0</v>
      </c>
      <c r="V542" s="1362">
        <f t="shared" si="149"/>
        <v>1.886022152538642</v>
      </c>
      <c r="W542" s="1362">
        <f t="shared" si="147"/>
        <v>1.9870808506618909</v>
      </c>
      <c r="X542" s="1355">
        <f t="shared" si="148"/>
        <v>1.9870000000000001</v>
      </c>
      <c r="Y542" s="1355">
        <f>X542+'TAR_Tab 13_Overige tarieven'!$T$15+'TAR_Tab 13_Overige tarieven'!$T$16</f>
        <v>2.14</v>
      </c>
      <c r="Z542" s="960"/>
    </row>
    <row r="543" spans="1:26">
      <c r="A543" s="155">
        <v>301427</v>
      </c>
      <c r="B543" s="156" t="s">
        <v>221</v>
      </c>
      <c r="C543" s="839">
        <v>1.2294023427332388</v>
      </c>
      <c r="D543" s="1356">
        <f t="shared" si="142"/>
        <v>1.1723580740304165</v>
      </c>
      <c r="E543" s="1356">
        <f t="shared" si="143"/>
        <v>1.2387632136183342</v>
      </c>
      <c r="F543" s="1350"/>
      <c r="G543" s="1358">
        <f t="shared" si="144"/>
        <v>1.1768250529374173</v>
      </c>
      <c r="H543" s="1358">
        <f t="shared" si="145"/>
        <v>1.300701374299251</v>
      </c>
      <c r="I543" s="833">
        <v>1.2453120226023675</v>
      </c>
      <c r="J543" s="1359" t="b">
        <f t="shared" si="136"/>
        <v>1</v>
      </c>
      <c r="K543" s="1583"/>
      <c r="M543" s="1361">
        <f t="shared" si="137"/>
        <v>1.2453120226023675</v>
      </c>
      <c r="N543" s="1350"/>
      <c r="O543" s="1358">
        <f t="shared" si="146"/>
        <v>3.9161617724420414E-3</v>
      </c>
      <c r="P543" s="1358">
        <f t="shared" si="138"/>
        <v>3.1041080868604081E-3</v>
      </c>
      <c r="Q543" s="1358">
        <f t="shared" si="139"/>
        <v>8.5845050902201622E-3</v>
      </c>
      <c r="R543" s="1358">
        <f t="shared" si="140"/>
        <v>0</v>
      </c>
      <c r="S543" s="1358">
        <f t="shared" si="141"/>
        <v>8.0538786172217991E-2</v>
      </c>
      <c r="T543" s="1358">
        <f t="shared" si="135"/>
        <v>1.3414555837241082</v>
      </c>
      <c r="U543" s="595">
        <f>IF('TAR_Tab 2_Volumina'!C546="storage",1,0)</f>
        <v>0</v>
      </c>
      <c r="V543" s="1362">
        <f t="shared" si="149"/>
        <v>1.3414555837241082</v>
      </c>
      <c r="W543" s="1362">
        <f t="shared" si="147"/>
        <v>1.4133347791507609</v>
      </c>
      <c r="X543" s="1355">
        <f t="shared" si="148"/>
        <v>1.413</v>
      </c>
      <c r="Y543" s="1355">
        <f>X543+'TAR_Tab 13_Overige tarieven'!$T$15+'TAR_Tab 13_Overige tarieven'!$T$16</f>
        <v>1.5660000000000001</v>
      </c>
      <c r="Z543" s="960"/>
    </row>
    <row r="544" spans="1:26">
      <c r="A544" s="155">
        <v>301429</v>
      </c>
      <c r="B544" s="156" t="s">
        <v>197</v>
      </c>
      <c r="C544" s="839">
        <v>1.7021725119306617</v>
      </c>
      <c r="D544" s="1356">
        <f t="shared" si="142"/>
        <v>1.623191707377079</v>
      </c>
      <c r="E544" s="1356">
        <f t="shared" si="143"/>
        <v>1.7151331323512453</v>
      </c>
      <c r="F544" s="1350"/>
      <c r="G544" s="1358">
        <f t="shared" si="144"/>
        <v>1.629376475733683</v>
      </c>
      <c r="H544" s="1358">
        <f t="shared" si="145"/>
        <v>1.8008897889688076</v>
      </c>
      <c r="I544" s="833">
        <v>1.724200304464911</v>
      </c>
      <c r="J544" s="1359" t="b">
        <f t="shared" ref="J544:J570" si="150">IF(I544&gt;0,AND(I544&gt;=G544,I544&lt;=H544),"")</f>
        <v>1</v>
      </c>
      <c r="K544" s="1583"/>
      <c r="M544" s="1361">
        <f t="shared" ref="M544:M570" si="151">IF(I544&gt;0,I544,E544)</f>
        <v>1.724200304464911</v>
      </c>
      <c r="N544" s="1350"/>
      <c r="O544" s="1358">
        <f t="shared" si="146"/>
        <v>5.42213292558441E-3</v>
      </c>
      <c r="P544" s="1358">
        <f t="shared" si="138"/>
        <v>4.2978016844904847E-3</v>
      </c>
      <c r="Q544" s="1358">
        <f t="shared" si="139"/>
        <v>1.1885700950117884E-2</v>
      </c>
      <c r="R544" s="1358">
        <f t="shared" si="140"/>
        <v>0</v>
      </c>
      <c r="S544" s="1358">
        <f t="shared" si="141"/>
        <v>0.11151020557015269</v>
      </c>
      <c r="T544" s="1358">
        <f t="shared" ref="T544:T570" si="152">M544+O544+P544+Q544+R544+S544</f>
        <v>1.8573161455952565</v>
      </c>
      <c r="U544" s="595">
        <f>IF('TAR_Tab 2_Volumina'!C547="storage",1,0)</f>
        <v>0</v>
      </c>
      <c r="V544" s="1362">
        <f t="shared" si="149"/>
        <v>1.8573161455952565</v>
      </c>
      <c r="W544" s="1362">
        <f t="shared" si="147"/>
        <v>1.9568366901575247</v>
      </c>
      <c r="X544" s="1355">
        <f t="shared" si="148"/>
        <v>1.9570000000000001</v>
      </c>
      <c r="Y544" s="1355">
        <f>X544+'TAR_Tab 13_Overige tarieven'!$T$15+'TAR_Tab 13_Overige tarieven'!$T$16</f>
        <v>2.1100000000000003</v>
      </c>
      <c r="Z544" s="960"/>
    </row>
    <row r="545" spans="1:26">
      <c r="A545" s="155">
        <v>301431</v>
      </c>
      <c r="B545" s="156" t="s">
        <v>222</v>
      </c>
      <c r="C545" s="839">
        <v>1.3103629848156766</v>
      </c>
      <c r="D545" s="1356">
        <f t="shared" si="142"/>
        <v>1.2495621423202292</v>
      </c>
      <c r="E545" s="1356">
        <f t="shared" si="143"/>
        <v>1.3203403032956444</v>
      </c>
      <c r="F545" s="1350"/>
      <c r="G545" s="1358">
        <f t="shared" si="144"/>
        <v>1.2543232881308621</v>
      </c>
      <c r="H545" s="1358">
        <f t="shared" si="145"/>
        <v>1.3863573184604268</v>
      </c>
      <c r="I545" s="833">
        <v>1.3273203753103338</v>
      </c>
      <c r="J545" s="1359" t="b">
        <f t="shared" si="150"/>
        <v>1</v>
      </c>
      <c r="K545" s="1583"/>
      <c r="M545" s="1361">
        <f t="shared" si="151"/>
        <v>1.3273203753103338</v>
      </c>
      <c r="N545" s="1350"/>
      <c r="O545" s="1358">
        <f t="shared" si="146"/>
        <v>4.1740553525784858E-3</v>
      </c>
      <c r="P545" s="1358">
        <f t="shared" si="138"/>
        <v>3.3085249608731803E-3</v>
      </c>
      <c r="Q545" s="1358">
        <f t="shared" si="139"/>
        <v>9.1498261571371382E-3</v>
      </c>
      <c r="R545" s="1358">
        <f t="shared" si="140"/>
        <v>0</v>
      </c>
      <c r="S545" s="1358">
        <f t="shared" si="141"/>
        <v>8.5842559895754664E-2</v>
      </c>
      <c r="T545" s="1358">
        <f t="shared" si="152"/>
        <v>1.4297953416766771</v>
      </c>
      <c r="U545" s="595">
        <f>IF('TAR_Tab 2_Volumina'!C548="storage",1,0)</f>
        <v>0</v>
      </c>
      <c r="V545" s="1362">
        <f t="shared" si="149"/>
        <v>1.4297953416766771</v>
      </c>
      <c r="W545" s="1362">
        <f t="shared" si="147"/>
        <v>1.5064080450948414</v>
      </c>
      <c r="X545" s="1355">
        <f t="shared" si="148"/>
        <v>1.506</v>
      </c>
      <c r="Y545" s="1355">
        <f>X545+'TAR_Tab 13_Overige tarieven'!$T$15+'TAR_Tab 13_Overige tarieven'!$T$16</f>
        <v>1.659</v>
      </c>
      <c r="Z545" s="960"/>
    </row>
    <row r="546" spans="1:26">
      <c r="A546" s="155">
        <v>301432</v>
      </c>
      <c r="B546" s="156" t="s">
        <v>630</v>
      </c>
      <c r="C546" s="839">
        <v>2.1539376543415893</v>
      </c>
      <c r="D546" s="1356">
        <f t="shared" si="142"/>
        <v>2.0539949471801395</v>
      </c>
      <c r="E546" s="1356">
        <f t="shared" si="143"/>
        <v>2.1703380885818646</v>
      </c>
      <c r="F546" s="1350"/>
      <c r="G546" s="1358">
        <f t="shared" si="144"/>
        <v>2.0618211841527714</v>
      </c>
      <c r="H546" s="1358">
        <f t="shared" si="145"/>
        <v>2.2788549930109578</v>
      </c>
      <c r="I546" s="833">
        <v>2.1818117337600897</v>
      </c>
      <c r="J546" s="1359" t="b">
        <f t="shared" si="150"/>
        <v>1</v>
      </c>
      <c r="K546" s="1583"/>
      <c r="M546" s="1361">
        <f t="shared" si="151"/>
        <v>2.1818117337600897</v>
      </c>
      <c r="N546" s="1350"/>
      <c r="O546" s="1358">
        <f t="shared" si="146"/>
        <v>6.8611942640378655E-3</v>
      </c>
      <c r="P546" s="1358">
        <f t="shared" si="138"/>
        <v>5.4384598589345915E-3</v>
      </c>
      <c r="Q546" s="1358">
        <f t="shared" si="139"/>
        <v>1.5040225738145027E-2</v>
      </c>
      <c r="R546" s="1358">
        <f t="shared" si="140"/>
        <v>0</v>
      </c>
      <c r="S546" s="1358">
        <f t="shared" si="141"/>
        <v>0.14110557475076127</v>
      </c>
      <c r="T546" s="1358">
        <f t="shared" si="152"/>
        <v>2.3502571883719687</v>
      </c>
      <c r="U546" s="595">
        <f>IF('TAR_Tab 2_Volumina'!C549="storage",1,0)</f>
        <v>0</v>
      </c>
      <c r="V546" s="1362">
        <f t="shared" si="149"/>
        <v>2.3502571883719687</v>
      </c>
      <c r="W546" s="1362">
        <f t="shared" si="147"/>
        <v>2.4761909858048234</v>
      </c>
      <c r="X546" s="1355">
        <f t="shared" si="148"/>
        <v>2.476</v>
      </c>
      <c r="Y546" s="1355">
        <f>X546+'TAR_Tab 13_Overige tarieven'!$T$15+'TAR_Tab 13_Overige tarieven'!$T$16</f>
        <v>2.629</v>
      </c>
      <c r="Z546" s="960"/>
    </row>
    <row r="547" spans="1:26">
      <c r="A547" s="155">
        <v>301433</v>
      </c>
      <c r="B547" s="156" t="s">
        <v>631</v>
      </c>
      <c r="C547" s="839">
        <v>1.7284806749551433</v>
      </c>
      <c r="D547" s="1356">
        <f t="shared" si="142"/>
        <v>1.6482791716372247</v>
      </c>
      <c r="E547" s="1356">
        <f t="shared" si="143"/>
        <v>1.7416416100398007</v>
      </c>
      <c r="F547" s="1350"/>
      <c r="G547" s="1358">
        <f t="shared" si="144"/>
        <v>1.6545595295378106</v>
      </c>
      <c r="H547" s="1358">
        <f t="shared" si="145"/>
        <v>1.8287236905417907</v>
      </c>
      <c r="I547" s="833">
        <v>1.7508489210879548</v>
      </c>
      <c r="J547" s="1359" t="b">
        <f t="shared" si="150"/>
        <v>1</v>
      </c>
      <c r="K547" s="1583"/>
      <c r="M547" s="1361">
        <f t="shared" si="151"/>
        <v>1.7508489210879548</v>
      </c>
      <c r="N547" s="1350"/>
      <c r="O547" s="1358">
        <f t="shared" si="146"/>
        <v>5.5059354520303862E-3</v>
      </c>
      <c r="P547" s="1358">
        <f t="shared" si="138"/>
        <v>4.3642269537096561E-3</v>
      </c>
      <c r="Q547" s="1358">
        <f t="shared" si="139"/>
        <v>1.2069402047429855E-2</v>
      </c>
      <c r="R547" s="1358">
        <f t="shared" si="140"/>
        <v>0</v>
      </c>
      <c r="S547" s="1358">
        <f t="shared" si="141"/>
        <v>0.11323366699751743</v>
      </c>
      <c r="T547" s="1358">
        <f t="shared" si="152"/>
        <v>1.886022152538642</v>
      </c>
      <c r="U547" s="595">
        <f>IF('TAR_Tab 2_Volumina'!C550="storage",1,0)</f>
        <v>0</v>
      </c>
      <c r="V547" s="1362">
        <f t="shared" si="149"/>
        <v>1.886022152538642</v>
      </c>
      <c r="W547" s="1362">
        <f t="shared" si="147"/>
        <v>1.9870808506618909</v>
      </c>
      <c r="X547" s="1355">
        <f t="shared" si="148"/>
        <v>1.9870000000000001</v>
      </c>
      <c r="Y547" s="1355">
        <f>X547+'TAR_Tab 13_Overige tarieven'!$T$15+'TAR_Tab 13_Overige tarieven'!$T$16</f>
        <v>2.14</v>
      </c>
      <c r="Z547" s="960"/>
    </row>
    <row r="548" spans="1:26">
      <c r="A548" s="155">
        <v>301434</v>
      </c>
      <c r="B548" s="156" t="s">
        <v>372</v>
      </c>
      <c r="C548" s="839">
        <v>1.8258995925697317</v>
      </c>
      <c r="D548" s="1356">
        <f t="shared" si="142"/>
        <v>1.7411778514744962</v>
      </c>
      <c r="E548" s="1356">
        <f t="shared" si="143"/>
        <v>1.8398022912559848</v>
      </c>
      <c r="F548" s="1350"/>
      <c r="G548" s="1358">
        <f t="shared" si="144"/>
        <v>1.7478121766931856</v>
      </c>
      <c r="H548" s="1358">
        <f t="shared" si="145"/>
        <v>1.9317924058187841</v>
      </c>
      <c r="I548" s="833">
        <v>1.8495285356595699</v>
      </c>
      <c r="J548" s="1359" t="b">
        <f t="shared" si="150"/>
        <v>1</v>
      </c>
      <c r="K548" s="1583"/>
      <c r="M548" s="1361">
        <f t="shared" si="151"/>
        <v>1.8495285356595699</v>
      </c>
      <c r="N548" s="1350"/>
      <c r="O548" s="1358">
        <f t="shared" si="146"/>
        <v>5.8162555383145503E-3</v>
      </c>
      <c r="P548" s="1358">
        <f t="shared" si="138"/>
        <v>4.6101991952366495E-3</v>
      </c>
      <c r="Q548" s="1358">
        <f t="shared" si="139"/>
        <v>1.274964574396203E-2</v>
      </c>
      <c r="R548" s="1358">
        <f t="shared" si="140"/>
        <v>0</v>
      </c>
      <c r="S548" s="1358">
        <f t="shared" si="141"/>
        <v>0.11961563090157737</v>
      </c>
      <c r="T548" s="1358">
        <f t="shared" si="152"/>
        <v>1.9923202670386606</v>
      </c>
      <c r="U548" s="595">
        <f>IF('TAR_Tab 2_Volumina'!C551="storage",1,0)</f>
        <v>0</v>
      </c>
      <c r="V548" s="1362">
        <f t="shared" si="149"/>
        <v>1.9923202670386606</v>
      </c>
      <c r="W548" s="1362">
        <f t="shared" si="147"/>
        <v>2.0990747355163926</v>
      </c>
      <c r="X548" s="1355">
        <f t="shared" si="148"/>
        <v>2.0990000000000002</v>
      </c>
      <c r="Y548" s="1355">
        <f>X548+'TAR_Tab 13_Overige tarieven'!$T$15+'TAR_Tab 13_Overige tarieven'!$T$16</f>
        <v>2.2520000000000002</v>
      </c>
      <c r="Z548" s="960"/>
    </row>
    <row r="549" spans="1:26">
      <c r="A549" s="155">
        <v>301435</v>
      </c>
      <c r="B549" s="156" t="s">
        <v>632</v>
      </c>
      <c r="C549" s="839">
        <v>2.0927350262163924</v>
      </c>
      <c r="D549" s="1356">
        <f t="shared" si="142"/>
        <v>1.9956321209999519</v>
      </c>
      <c r="E549" s="1356">
        <f t="shared" si="143"/>
        <v>2.1086694536175767</v>
      </c>
      <c r="F549" s="1350"/>
      <c r="G549" s="1358">
        <f t="shared" si="144"/>
        <v>2.0032359809366977</v>
      </c>
      <c r="H549" s="1358">
        <f t="shared" si="145"/>
        <v>2.2141029262984557</v>
      </c>
      <c r="I549" s="833">
        <v>2.1198170832132859</v>
      </c>
      <c r="J549" s="1359" t="b">
        <f t="shared" si="150"/>
        <v>1</v>
      </c>
      <c r="K549" s="1583"/>
      <c r="M549" s="1361">
        <f t="shared" si="151"/>
        <v>2.1198170832132859</v>
      </c>
      <c r="N549" s="1350"/>
      <c r="O549" s="1358">
        <f t="shared" si="146"/>
        <v>6.6662382400367887E-3</v>
      </c>
      <c r="P549" s="1358">
        <f t="shared" si="138"/>
        <v>5.2839298354451572E-3</v>
      </c>
      <c r="Q549" s="1358">
        <f t="shared" si="139"/>
        <v>1.4612868269875094E-2</v>
      </c>
      <c r="R549" s="1358">
        <f t="shared" si="140"/>
        <v>0</v>
      </c>
      <c r="S549" s="1358">
        <f t="shared" si="141"/>
        <v>0.1370961587862575</v>
      </c>
      <c r="T549" s="1358">
        <f t="shared" si="152"/>
        <v>2.2834762783449003</v>
      </c>
      <c r="U549" s="595">
        <f>IF('TAR_Tab 2_Volumina'!C552="storage",1,0)</f>
        <v>0</v>
      </c>
      <c r="V549" s="1362">
        <f t="shared" si="149"/>
        <v>2.2834762783449003</v>
      </c>
      <c r="W549" s="1362">
        <f t="shared" si="147"/>
        <v>2.4058317552274175</v>
      </c>
      <c r="X549" s="1355">
        <f t="shared" si="148"/>
        <v>2.4060000000000001</v>
      </c>
      <c r="Y549" s="1355">
        <f>X549+'TAR_Tab 13_Overige tarieven'!$T$15+'TAR_Tab 13_Overige tarieven'!$T$16</f>
        <v>2.5590000000000002</v>
      </c>
      <c r="Z549" s="960"/>
    </row>
    <row r="550" spans="1:26">
      <c r="A550" s="155">
        <v>301436</v>
      </c>
      <c r="B550" s="156" t="s">
        <v>633</v>
      </c>
      <c r="C550" s="839">
        <v>2.0463394855408401</v>
      </c>
      <c r="D550" s="1356">
        <f t="shared" si="142"/>
        <v>1.9513893334117451</v>
      </c>
      <c r="E550" s="1356">
        <f t="shared" si="143"/>
        <v>2.061920649693036</v>
      </c>
      <c r="F550" s="1350"/>
      <c r="G550" s="1358">
        <f t="shared" si="144"/>
        <v>1.9588246172083841</v>
      </c>
      <c r="H550" s="1358">
        <f t="shared" si="145"/>
        <v>2.1650166821776877</v>
      </c>
      <c r="I550" s="833">
        <v>2.0728211384439348</v>
      </c>
      <c r="J550" s="1359" t="b">
        <f t="shared" si="150"/>
        <v>1</v>
      </c>
      <c r="K550" s="1583"/>
      <c r="M550" s="1361">
        <f t="shared" si="151"/>
        <v>2.0728211384439348</v>
      </c>
      <c r="N550" s="1350"/>
      <c r="O550" s="1358">
        <f t="shared" si="146"/>
        <v>6.5184489960359729E-3</v>
      </c>
      <c r="P550" s="1358">
        <f t="shared" si="138"/>
        <v>5.1667861079612316E-3</v>
      </c>
      <c r="Q550" s="1358">
        <f t="shared" si="139"/>
        <v>1.4288903737476918E-2</v>
      </c>
      <c r="R550" s="1358">
        <f t="shared" si="140"/>
        <v>0</v>
      </c>
      <c r="S550" s="1358">
        <f t="shared" si="141"/>
        <v>0.13405676281316595</v>
      </c>
      <c r="T550" s="1358">
        <f t="shared" si="152"/>
        <v>2.2328520400985754</v>
      </c>
      <c r="U550" s="595">
        <f>IF('TAR_Tab 2_Volumina'!C553="storage",1,0)</f>
        <v>0</v>
      </c>
      <c r="V550" s="1362">
        <f t="shared" si="149"/>
        <v>2.2328520400985754</v>
      </c>
      <c r="W550" s="1362">
        <f t="shared" si="147"/>
        <v>2.3524949191445463</v>
      </c>
      <c r="X550" s="1355">
        <f t="shared" si="148"/>
        <v>2.3519999999999999</v>
      </c>
      <c r="Y550" s="1355">
        <f>X550+'TAR_Tab 13_Overige tarieven'!$T$15+'TAR_Tab 13_Overige tarieven'!$T$16</f>
        <v>2.5049999999999999</v>
      </c>
      <c r="Z550" s="960"/>
    </row>
    <row r="551" spans="1:26">
      <c r="A551" s="155">
        <v>301437</v>
      </c>
      <c r="B551" s="156" t="s">
        <v>634</v>
      </c>
      <c r="C551" s="839">
        <v>1.9838862271349009</v>
      </c>
      <c r="D551" s="1356">
        <f t="shared" si="142"/>
        <v>1.8918339061958416</v>
      </c>
      <c r="E551" s="1356">
        <f t="shared" si="143"/>
        <v>1.998991861944122</v>
      </c>
      <c r="F551" s="1350"/>
      <c r="G551" s="1358">
        <f t="shared" si="144"/>
        <v>1.899042268846916</v>
      </c>
      <c r="H551" s="1358">
        <f t="shared" si="145"/>
        <v>2.0989414550413281</v>
      </c>
      <c r="I551" s="833">
        <v>2.0095596732260468</v>
      </c>
      <c r="J551" s="1359" t="b">
        <f t="shared" si="150"/>
        <v>1</v>
      </c>
      <c r="K551" s="1583"/>
      <c r="M551" s="1361">
        <f t="shared" si="151"/>
        <v>2.0095596732260468</v>
      </c>
      <c r="N551" s="1350"/>
      <c r="O551" s="1358">
        <f t="shared" si="146"/>
        <v>6.3195091903820852E-3</v>
      </c>
      <c r="P551" s="1358">
        <f t="shared" si="138"/>
        <v>5.0090983781349964E-3</v>
      </c>
      <c r="Q551" s="1358">
        <f t="shared" si="139"/>
        <v>1.385281353653043E-2</v>
      </c>
      <c r="R551" s="1358">
        <f t="shared" si="140"/>
        <v>0</v>
      </c>
      <c r="S551" s="1358">
        <f t="shared" si="141"/>
        <v>0.12996541740924261</v>
      </c>
      <c r="T551" s="1358">
        <f t="shared" si="152"/>
        <v>2.164706511740337</v>
      </c>
      <c r="U551" s="595">
        <f>IF('TAR_Tab 2_Volumina'!C554="storage",1,0)</f>
        <v>0</v>
      </c>
      <c r="V551" s="1362">
        <f t="shared" si="149"/>
        <v>2.164706511740337</v>
      </c>
      <c r="W551" s="1362">
        <f t="shared" si="147"/>
        <v>2.2806979499113771</v>
      </c>
      <c r="X551" s="1355">
        <f t="shared" si="148"/>
        <v>2.2810000000000001</v>
      </c>
      <c r="Y551" s="1355">
        <f>X551+'TAR_Tab 13_Overige tarieven'!$T$15+'TAR_Tab 13_Overige tarieven'!$T$16</f>
        <v>2.4340000000000002</v>
      </c>
      <c r="Z551" s="960"/>
    </row>
    <row r="552" spans="1:26">
      <c r="A552" s="155">
        <v>301438</v>
      </c>
      <c r="B552" s="156" t="s">
        <v>635</v>
      </c>
      <c r="C552" s="839">
        <v>0.79365988730093384</v>
      </c>
      <c r="D552" s="1356">
        <f t="shared" si="142"/>
        <v>0.75683406853017055</v>
      </c>
      <c r="E552" s="1356">
        <f t="shared" si="143"/>
        <v>0.7997029437304396</v>
      </c>
      <c r="F552" s="1350"/>
      <c r="G552" s="1358">
        <f t="shared" si="144"/>
        <v>0.75971779654391758</v>
      </c>
      <c r="H552" s="1358">
        <f t="shared" si="145"/>
        <v>0.83968809091696162</v>
      </c>
      <c r="I552" s="833">
        <v>0.80393062967145379</v>
      </c>
      <c r="J552" s="1359" t="b">
        <f t="shared" si="150"/>
        <v>1</v>
      </c>
      <c r="K552" s="1583"/>
      <c r="M552" s="1361">
        <f t="shared" si="151"/>
        <v>0.80393062967145379</v>
      </c>
      <c r="N552" s="1350"/>
      <c r="O552" s="1358">
        <f t="shared" si="146"/>
        <v>2.528139408013952E-3</v>
      </c>
      <c r="P552" s="1358">
        <f t="shared" si="138"/>
        <v>2.0039054658952389E-3</v>
      </c>
      <c r="Q552" s="1358">
        <f t="shared" si="139"/>
        <v>5.5418613627262149E-3</v>
      </c>
      <c r="R552" s="1358">
        <f t="shared" si="140"/>
        <v>0</v>
      </c>
      <c r="S552" s="1358">
        <f t="shared" si="141"/>
        <v>5.1993071539693889E-2</v>
      </c>
      <c r="T552" s="1358">
        <f t="shared" si="152"/>
        <v>0.86599760744778309</v>
      </c>
      <c r="U552" s="595">
        <f>IF('TAR_Tab 2_Volumina'!C555="storage",1,0)</f>
        <v>0</v>
      </c>
      <c r="V552" s="1362">
        <f t="shared" si="149"/>
        <v>0.86599760744778309</v>
      </c>
      <c r="W552" s="1362">
        <f t="shared" si="147"/>
        <v>0.91240034490700184</v>
      </c>
      <c r="X552" s="1355">
        <f t="shared" si="148"/>
        <v>0.91200000000000003</v>
      </c>
      <c r="Y552" s="1355">
        <f>X552+'TAR_Tab 13_Overige tarieven'!$T$15+'TAR_Tab 13_Overige tarieven'!$T$16</f>
        <v>1.0650000000000002</v>
      </c>
      <c r="Z552" s="960"/>
    </row>
    <row r="553" spans="1:26">
      <c r="A553" s="155">
        <v>301439</v>
      </c>
      <c r="B553" s="156" t="s">
        <v>636</v>
      </c>
      <c r="C553" s="839">
        <v>1.8834615235947534</v>
      </c>
      <c r="D553" s="1356">
        <f t="shared" si="142"/>
        <v>1.7960689088999569</v>
      </c>
      <c r="E553" s="1356">
        <f t="shared" si="143"/>
        <v>1.8978025082558192</v>
      </c>
      <c r="F553" s="1350"/>
      <c r="G553" s="1358">
        <f t="shared" si="144"/>
        <v>1.8029123828430282</v>
      </c>
      <c r="H553" s="1358">
        <f t="shared" si="145"/>
        <v>1.9926926336686102</v>
      </c>
      <c r="I553" s="833">
        <v>1.9078353748919574</v>
      </c>
      <c r="J553" s="1359" t="b">
        <f t="shared" si="150"/>
        <v>1</v>
      </c>
      <c r="K553" s="1583"/>
      <c r="M553" s="1361">
        <f t="shared" si="151"/>
        <v>1.9078353748919574</v>
      </c>
      <c r="N553" s="1350"/>
      <c r="O553" s="1358">
        <f t="shared" si="146"/>
        <v>5.9996144160331102E-3</v>
      </c>
      <c r="P553" s="1358">
        <f t="shared" si="138"/>
        <v>4.7555368519006415E-3</v>
      </c>
      <c r="Q553" s="1358">
        <f t="shared" si="139"/>
        <v>1.3151581442887585E-2</v>
      </c>
      <c r="R553" s="1358">
        <f t="shared" si="140"/>
        <v>0</v>
      </c>
      <c r="S553" s="1358">
        <f t="shared" si="141"/>
        <v>0.12338654290763176</v>
      </c>
      <c r="T553" s="1358">
        <f t="shared" si="152"/>
        <v>2.0551286505104103</v>
      </c>
      <c r="U553" s="595">
        <f>IF('TAR_Tab 2_Volumina'!C556="storage",1,0)</f>
        <v>0</v>
      </c>
      <c r="V553" s="1362">
        <f t="shared" si="149"/>
        <v>2.0551286505104103</v>
      </c>
      <c r="W553" s="1362">
        <f t="shared" si="147"/>
        <v>2.1652485797046754</v>
      </c>
      <c r="X553" s="1355">
        <f t="shared" si="148"/>
        <v>2.165</v>
      </c>
      <c r="Y553" s="1355">
        <f>X553+'TAR_Tab 13_Overige tarieven'!$T$15+'TAR_Tab 13_Overige tarieven'!$T$16</f>
        <v>2.3180000000000001</v>
      </c>
      <c r="Z553" s="960"/>
    </row>
    <row r="554" spans="1:26">
      <c r="A554" s="155">
        <v>301441</v>
      </c>
      <c r="B554" s="156" t="s">
        <v>6</v>
      </c>
      <c r="C554" s="839">
        <v>1.1708593740316606</v>
      </c>
      <c r="D554" s="1356">
        <f t="shared" si="142"/>
        <v>1.1165314990765915</v>
      </c>
      <c r="E554" s="1356">
        <f t="shared" si="143"/>
        <v>1.179774489160323</v>
      </c>
      <c r="F554" s="1350"/>
      <c r="G554" s="1358">
        <f t="shared" si="144"/>
        <v>1.1207857647023067</v>
      </c>
      <c r="H554" s="1358">
        <f t="shared" si="145"/>
        <v>1.2387632136183393</v>
      </c>
      <c r="I554" s="833">
        <v>1.1860114500974976</v>
      </c>
      <c r="J554" s="1359" t="b">
        <f t="shared" si="150"/>
        <v>1</v>
      </c>
      <c r="K554" s="1583"/>
      <c r="M554" s="1361">
        <f t="shared" si="151"/>
        <v>1.1860114500974976</v>
      </c>
      <c r="N554" s="1350"/>
      <c r="O554" s="1358">
        <f t="shared" si="146"/>
        <v>3.7296778785162448E-3</v>
      </c>
      <c r="P554" s="1358">
        <f t="shared" si="138"/>
        <v>2.9562934160575435E-3</v>
      </c>
      <c r="Q554" s="1358">
        <f t="shared" si="139"/>
        <v>8.1757191335430444E-3</v>
      </c>
      <c r="R554" s="1358">
        <f t="shared" si="140"/>
        <v>0</v>
      </c>
      <c r="S554" s="1358">
        <f t="shared" si="141"/>
        <v>7.670360587830316E-2</v>
      </c>
      <c r="T554" s="1358">
        <f t="shared" si="152"/>
        <v>1.2775767464039176</v>
      </c>
      <c r="U554" s="595">
        <f>IF('TAR_Tab 2_Volumina'!C557="storage",1,0)</f>
        <v>0</v>
      </c>
      <c r="V554" s="1362">
        <f t="shared" si="149"/>
        <v>1.2775767464039176</v>
      </c>
      <c r="W554" s="1362">
        <f t="shared" si="147"/>
        <v>1.3460331230007299</v>
      </c>
      <c r="X554" s="1355">
        <f t="shared" si="148"/>
        <v>1.3460000000000001</v>
      </c>
      <c r="Y554" s="1355">
        <f>X554+'TAR_Tab 13_Overige tarieven'!$T$15+'TAR_Tab 13_Overige tarieven'!$T$16</f>
        <v>1.4990000000000001</v>
      </c>
      <c r="Z554" s="960"/>
    </row>
    <row r="555" spans="1:26">
      <c r="A555" s="155">
        <v>301442</v>
      </c>
      <c r="B555" s="156" t="s">
        <v>1137</v>
      </c>
      <c r="C555" s="839">
        <v>1.1708593740316606</v>
      </c>
      <c r="D555" s="1356">
        <f t="shared" si="142"/>
        <v>1.1165314990765915</v>
      </c>
      <c r="E555" s="1356">
        <f t="shared" si="143"/>
        <v>1.179774489160323</v>
      </c>
      <c r="F555" s="1350"/>
      <c r="G555" s="1358">
        <f t="shared" si="144"/>
        <v>1.1207857647023067</v>
      </c>
      <c r="H555" s="1358">
        <f t="shared" si="145"/>
        <v>1.2387632136183393</v>
      </c>
      <c r="I555" s="833">
        <v>1.1860114500974976</v>
      </c>
      <c r="J555" s="1359" t="b">
        <f t="shared" si="150"/>
        <v>1</v>
      </c>
      <c r="K555" s="1583"/>
      <c r="M555" s="1361">
        <f t="shared" si="151"/>
        <v>1.1860114500974976</v>
      </c>
      <c r="N555" s="1350"/>
      <c r="O555" s="1358">
        <f t="shared" si="146"/>
        <v>3.7296778785162448E-3</v>
      </c>
      <c r="P555" s="1358">
        <f t="shared" si="138"/>
        <v>2.9562934160575435E-3</v>
      </c>
      <c r="Q555" s="1358">
        <f t="shared" si="139"/>
        <v>8.1757191335430444E-3</v>
      </c>
      <c r="R555" s="1358">
        <f t="shared" si="140"/>
        <v>0</v>
      </c>
      <c r="S555" s="1358">
        <f t="shared" si="141"/>
        <v>7.670360587830316E-2</v>
      </c>
      <c r="T555" s="1358">
        <f t="shared" si="152"/>
        <v>1.2775767464039176</v>
      </c>
      <c r="U555" s="595">
        <f>IF('TAR_Tab 2_Volumina'!C558="storage",1,0)</f>
        <v>0</v>
      </c>
      <c r="V555" s="1362">
        <f t="shared" si="149"/>
        <v>1.2775767464039176</v>
      </c>
      <c r="W555" s="1362">
        <f t="shared" si="147"/>
        <v>1.3460331230007299</v>
      </c>
      <c r="X555" s="1355">
        <f t="shared" si="148"/>
        <v>1.3460000000000001</v>
      </c>
      <c r="Y555" s="1355">
        <f>X555+'TAR_Tab 13_Overige tarieven'!$T$15+'TAR_Tab 13_Overige tarieven'!$T$16</f>
        <v>1.4990000000000001</v>
      </c>
      <c r="Z555" s="960"/>
    </row>
    <row r="556" spans="1:26">
      <c r="A556" s="168">
        <v>301443</v>
      </c>
      <c r="B556" s="163" t="s">
        <v>7</v>
      </c>
      <c r="C556" s="839">
        <v>1.1708593740316606</v>
      </c>
      <c r="D556" s="1356">
        <f t="shared" si="142"/>
        <v>1.1165314990765915</v>
      </c>
      <c r="E556" s="1356">
        <f t="shared" si="143"/>
        <v>1.179774489160323</v>
      </c>
      <c r="F556" s="1350"/>
      <c r="G556" s="1358">
        <f t="shared" si="144"/>
        <v>1.1207857647023067</v>
      </c>
      <c r="H556" s="1358">
        <f t="shared" si="145"/>
        <v>1.2387632136183393</v>
      </c>
      <c r="I556" s="833">
        <v>1.1860114500974976</v>
      </c>
      <c r="J556" s="1359" t="b">
        <f t="shared" si="150"/>
        <v>1</v>
      </c>
      <c r="K556" s="1583"/>
      <c r="M556" s="1361">
        <f t="shared" si="151"/>
        <v>1.1860114500974976</v>
      </c>
      <c r="N556" s="1350"/>
      <c r="O556" s="1358">
        <f t="shared" si="146"/>
        <v>3.7296778785162448E-3</v>
      </c>
      <c r="P556" s="1358">
        <f t="shared" si="138"/>
        <v>2.9562934160575435E-3</v>
      </c>
      <c r="Q556" s="1358">
        <f t="shared" si="139"/>
        <v>8.1757191335430444E-3</v>
      </c>
      <c r="R556" s="1358">
        <f t="shared" si="140"/>
        <v>0</v>
      </c>
      <c r="S556" s="1358">
        <f t="shared" si="141"/>
        <v>7.670360587830316E-2</v>
      </c>
      <c r="T556" s="1358">
        <f t="shared" si="152"/>
        <v>1.2775767464039176</v>
      </c>
      <c r="U556" s="595">
        <f>IF('TAR_Tab 2_Volumina'!C559="storage",1,0)</f>
        <v>0</v>
      </c>
      <c r="V556" s="1362">
        <f t="shared" si="149"/>
        <v>1.2775767464039176</v>
      </c>
      <c r="W556" s="1362">
        <f t="shared" si="147"/>
        <v>1.3460331230007299</v>
      </c>
      <c r="X556" s="1355">
        <f t="shared" si="148"/>
        <v>1.3460000000000001</v>
      </c>
      <c r="Y556" s="1355">
        <f>X556+'TAR_Tab 13_Overige tarieven'!$T$15+'TAR_Tab 13_Overige tarieven'!$T$16</f>
        <v>1.4990000000000001</v>
      </c>
      <c r="Z556" s="960"/>
    </row>
    <row r="557" spans="1:26">
      <c r="A557" s="168">
        <v>301445</v>
      </c>
      <c r="B557" s="163" t="s">
        <v>223</v>
      </c>
      <c r="C557" s="839">
        <v>2.4910292950414652</v>
      </c>
      <c r="D557" s="1356">
        <f t="shared" si="142"/>
        <v>2.3754455357515414</v>
      </c>
      <c r="E557" s="1356">
        <f t="shared" si="143"/>
        <v>2.5099964002692237</v>
      </c>
      <c r="F557" s="1350"/>
      <c r="G557" s="1358">
        <f t="shared" si="144"/>
        <v>2.3844965802557625</v>
      </c>
      <c r="H557" s="1358">
        <f t="shared" si="145"/>
        <v>2.6354962202826848</v>
      </c>
      <c r="I557" s="833">
        <v>2.523265673036827</v>
      </c>
      <c r="J557" s="1359" t="b">
        <f t="shared" si="150"/>
        <v>1</v>
      </c>
      <c r="K557" s="1583"/>
      <c r="M557" s="1361">
        <f t="shared" si="151"/>
        <v>2.523265673036827</v>
      </c>
      <c r="N557" s="1350"/>
      <c r="O557" s="1358">
        <f t="shared" si="146"/>
        <v>7.9349724335049353E-3</v>
      </c>
      <c r="P557" s="1358">
        <f t="shared" si="138"/>
        <v>6.2895798312483054E-3</v>
      </c>
      <c r="Q557" s="1358">
        <f t="shared" si="139"/>
        <v>1.7394023843836988E-2</v>
      </c>
      <c r="R557" s="1358">
        <f t="shared" si="140"/>
        <v>0</v>
      </c>
      <c r="S557" s="1358">
        <f t="shared" si="141"/>
        <v>0.16318862325903991</v>
      </c>
      <c r="T557" s="1358">
        <f t="shared" si="152"/>
        <v>2.7180728724044569</v>
      </c>
      <c r="U557" s="595">
        <f>IF('TAR_Tab 2_Volumina'!C560="storage",1,0)</f>
        <v>0</v>
      </c>
      <c r="V557" s="1362">
        <f t="shared" si="149"/>
        <v>2.7180728724044569</v>
      </c>
      <c r="W557" s="1362">
        <f t="shared" si="147"/>
        <v>2.8637153323933706</v>
      </c>
      <c r="X557" s="1355">
        <f t="shared" si="148"/>
        <v>2.8639999999999999</v>
      </c>
      <c r="Y557" s="1355">
        <f>X557+'TAR_Tab 13_Overige tarieven'!$T$15+'TAR_Tab 13_Overige tarieven'!$T$16</f>
        <v>3.0169999999999999</v>
      </c>
      <c r="Z557" s="960"/>
    </row>
    <row r="558" spans="1:26">
      <c r="A558" s="168">
        <v>301446</v>
      </c>
      <c r="B558" s="163" t="s">
        <v>287</v>
      </c>
      <c r="C558" s="839">
        <v>1.0674810585683772</v>
      </c>
      <c r="D558" s="1356">
        <f t="shared" si="142"/>
        <v>1.0179499374508045</v>
      </c>
      <c r="E558" s="1356">
        <f t="shared" si="143"/>
        <v>1.0756090342637286</v>
      </c>
      <c r="F558" s="1350"/>
      <c r="G558" s="1358">
        <f t="shared" si="144"/>
        <v>1.021828582550542</v>
      </c>
      <c r="H558" s="1358">
        <f t="shared" si="145"/>
        <v>1.1293894859769151</v>
      </c>
      <c r="I558" s="833">
        <v>1.0812953171864503</v>
      </c>
      <c r="J558" s="1359" t="b">
        <f t="shared" si="150"/>
        <v>1</v>
      </c>
      <c r="K558" s="1583"/>
      <c r="M558" s="1361">
        <f t="shared" si="151"/>
        <v>1.0812953171864503</v>
      </c>
      <c r="N558" s="1350"/>
      <c r="O558" s="1358">
        <f t="shared" si="146"/>
        <v>3.400374612169201E-3</v>
      </c>
      <c r="P558" s="1358">
        <f t="shared" si="138"/>
        <v>2.6952743388349016E-3</v>
      </c>
      <c r="Q558" s="1358">
        <f t="shared" si="139"/>
        <v>7.4538629563863177E-3</v>
      </c>
      <c r="R558" s="1358">
        <f t="shared" si="140"/>
        <v>0</v>
      </c>
      <c r="S558" s="1358">
        <f t="shared" si="141"/>
        <v>6.9931238725145672E-2</v>
      </c>
      <c r="T558" s="1358">
        <f t="shared" si="152"/>
        <v>1.1647760678189862</v>
      </c>
      <c r="U558" s="595">
        <f>IF('TAR_Tab 2_Volumina'!C561="storage",1,0)</f>
        <v>0</v>
      </c>
      <c r="V558" s="1362">
        <f t="shared" si="149"/>
        <v>1.1647760678189862</v>
      </c>
      <c r="W558" s="1362">
        <f t="shared" si="147"/>
        <v>1.2271882472626165</v>
      </c>
      <c r="X558" s="1355">
        <f t="shared" si="148"/>
        <v>1.2270000000000001</v>
      </c>
      <c r="Y558" s="1355">
        <f>X558+'TAR_Tab 13_Overige tarieven'!$T$15+'TAR_Tab 13_Overige tarieven'!$T$16</f>
        <v>1.3800000000000001</v>
      </c>
      <c r="Z558" s="960"/>
    </row>
    <row r="559" spans="1:26">
      <c r="A559" s="168">
        <v>301450</v>
      </c>
      <c r="B559" s="163" t="s">
        <v>637</v>
      </c>
      <c r="C559" s="839">
        <v>2.0450066292091718</v>
      </c>
      <c r="D559" s="1356">
        <f t="shared" si="142"/>
        <v>1.9501183216138662</v>
      </c>
      <c r="E559" s="1356">
        <f t="shared" si="143"/>
        <v>2.0605776447748592</v>
      </c>
      <c r="F559" s="1350"/>
      <c r="G559" s="1358">
        <f t="shared" si="144"/>
        <v>1.9575487625361161</v>
      </c>
      <c r="H559" s="1358">
        <f t="shared" si="145"/>
        <v>2.1636065270136022</v>
      </c>
      <c r="I559" s="833">
        <v>2.0714710336356599</v>
      </c>
      <c r="J559" s="1359" t="b">
        <f t="shared" si="150"/>
        <v>1</v>
      </c>
      <c r="K559" s="1583"/>
      <c r="M559" s="1361">
        <f t="shared" si="151"/>
        <v>2.0714710336356599</v>
      </c>
      <c r="N559" s="1350"/>
      <c r="O559" s="1358">
        <f t="shared" si="146"/>
        <v>6.5142032899454571E-3</v>
      </c>
      <c r="P559" s="1358">
        <f t="shared" si="138"/>
        <v>5.1634207897298078E-3</v>
      </c>
      <c r="Q559" s="1358">
        <f t="shared" si="139"/>
        <v>1.4279596847807014E-2</v>
      </c>
      <c r="R559" s="1358">
        <f t="shared" si="140"/>
        <v>0</v>
      </c>
      <c r="S559" s="1358">
        <f t="shared" si="141"/>
        <v>0.1339694467024321</v>
      </c>
      <c r="T559" s="1358">
        <f t="shared" si="152"/>
        <v>2.2313977012655739</v>
      </c>
      <c r="U559" s="595">
        <f>IF('TAR_Tab 2_Volumina'!C562="storage",1,0)</f>
        <v>0</v>
      </c>
      <c r="V559" s="1362">
        <f t="shared" si="149"/>
        <v>2.2313977012655739</v>
      </c>
      <c r="W559" s="1362">
        <f t="shared" si="147"/>
        <v>2.3509626524945806</v>
      </c>
      <c r="X559" s="1355">
        <f t="shared" si="148"/>
        <v>2.351</v>
      </c>
      <c r="Y559" s="1355">
        <f>X559+'TAR_Tab 13_Overige tarieven'!$T$15+'TAR_Tab 13_Overige tarieven'!$T$16</f>
        <v>2.504</v>
      </c>
      <c r="Z559" s="960"/>
    </row>
    <row r="560" spans="1:26">
      <c r="A560" s="168">
        <v>301451</v>
      </c>
      <c r="B560" s="163" t="s">
        <v>638</v>
      </c>
      <c r="C560" s="839">
        <v>0.95653784924702101</v>
      </c>
      <c r="D560" s="1356">
        <f t="shared" si="142"/>
        <v>0.91215449304195928</v>
      </c>
      <c r="E560" s="1356">
        <f t="shared" si="143"/>
        <v>0.96382108516765674</v>
      </c>
      <c r="F560" s="1350"/>
      <c r="G560" s="1358">
        <f t="shared" si="144"/>
        <v>0.91563003090927386</v>
      </c>
      <c r="H560" s="1358">
        <f t="shared" si="145"/>
        <v>1.0120121394260395</v>
      </c>
      <c r="I560" s="833">
        <v>0.96891639322343137</v>
      </c>
      <c r="J560" s="1359" t="b">
        <f t="shared" si="150"/>
        <v>1</v>
      </c>
      <c r="K560" s="1583"/>
      <c r="M560" s="1361">
        <f t="shared" si="151"/>
        <v>0.96891639322343137</v>
      </c>
      <c r="N560" s="1350"/>
      <c r="O560" s="1358">
        <f t="shared" si="146"/>
        <v>3.0469739880168161E-3</v>
      </c>
      <c r="P560" s="1358">
        <f t="shared" si="138"/>
        <v>2.4151547219558294E-3</v>
      </c>
      <c r="Q560" s="1358">
        <f t="shared" si="139"/>
        <v>6.6791836573155509E-3</v>
      </c>
      <c r="R560" s="1358">
        <f t="shared" si="140"/>
        <v>0</v>
      </c>
      <c r="S560" s="1358">
        <f t="shared" si="141"/>
        <v>6.2663291445228086E-2</v>
      </c>
      <c r="T560" s="1358">
        <f t="shared" si="152"/>
        <v>1.0437209970359476</v>
      </c>
      <c r="U560" s="595">
        <f>IF('TAR_Tab 2_Volumina'!C563="storage",1,0)</f>
        <v>0</v>
      </c>
      <c r="V560" s="1362">
        <f t="shared" si="149"/>
        <v>1.0437209970359476</v>
      </c>
      <c r="W560" s="1362">
        <f t="shared" si="147"/>
        <v>1.0996466843468717</v>
      </c>
      <c r="X560" s="1355">
        <f t="shared" si="148"/>
        <v>1.1000000000000001</v>
      </c>
      <c r="Y560" s="1355">
        <f>X560+'TAR_Tab 13_Overige tarieven'!$T$15+'TAR_Tab 13_Overige tarieven'!$T$16</f>
        <v>1.2530000000000001</v>
      </c>
      <c r="Z560" s="960"/>
    </row>
    <row r="561" spans="1:26">
      <c r="A561" s="168">
        <v>301453</v>
      </c>
      <c r="B561" s="163" t="s">
        <v>639</v>
      </c>
      <c r="C561" s="839">
        <v>0.74246693920090279</v>
      </c>
      <c r="D561" s="1356">
        <f t="shared" si="142"/>
        <v>0.70801647322198091</v>
      </c>
      <c r="E561" s="1356">
        <f t="shared" si="143"/>
        <v>0.74812020413519598</v>
      </c>
      <c r="F561" s="1350"/>
      <c r="G561" s="1358">
        <f t="shared" si="144"/>
        <v>0.71071419392843616</v>
      </c>
      <c r="H561" s="1358">
        <f t="shared" si="145"/>
        <v>0.7855262143419558</v>
      </c>
      <c r="I561" s="833">
        <v>0.7520751942899867</v>
      </c>
      <c r="J561" s="1359" t="b">
        <f t="shared" si="150"/>
        <v>1</v>
      </c>
      <c r="K561" s="1583"/>
      <c r="M561" s="1361">
        <f t="shared" si="151"/>
        <v>0.7520751942899867</v>
      </c>
      <c r="N561" s="1350"/>
      <c r="O561" s="1358">
        <f t="shared" si="146"/>
        <v>2.3650684105061396E-3</v>
      </c>
      <c r="P561" s="1358">
        <f t="shared" si="138"/>
        <v>1.8746488029916673E-3</v>
      </c>
      <c r="Q561" s="1358">
        <f t="shared" si="139"/>
        <v>5.1843981399288183E-3</v>
      </c>
      <c r="R561" s="1358">
        <f t="shared" si="140"/>
        <v>0</v>
      </c>
      <c r="S561" s="1358">
        <f t="shared" si="141"/>
        <v>4.8639394913873042E-2</v>
      </c>
      <c r="T561" s="1358">
        <f t="shared" si="152"/>
        <v>0.81013870455728632</v>
      </c>
      <c r="U561" s="595">
        <f>IF('TAR_Tab 2_Volumina'!C564="storage",1,0)</f>
        <v>1</v>
      </c>
      <c r="V561" s="1362">
        <f t="shared" si="149"/>
        <v>0.60760402841796468</v>
      </c>
      <c r="W561" s="1362">
        <f t="shared" si="147"/>
        <v>0.60760402841796468</v>
      </c>
      <c r="X561" s="1355">
        <f t="shared" si="148"/>
        <v>0.60799999999999998</v>
      </c>
      <c r="Y561" s="1355">
        <f>X561+'TAR_Tab 13_Overige tarieven'!$T$15+'TAR_Tab 13_Overige tarieven'!$T$16</f>
        <v>0.76100000000000001</v>
      </c>
      <c r="Z561" s="960"/>
    </row>
    <row r="562" spans="1:26">
      <c r="A562" s="168">
        <v>301455</v>
      </c>
      <c r="B562" s="163" t="s">
        <v>784</v>
      </c>
      <c r="C562" s="839">
        <v>3.2667029710365538</v>
      </c>
      <c r="D562" s="1356">
        <f t="shared" si="142"/>
        <v>3.1151279531804579</v>
      </c>
      <c r="E562" s="1356">
        <f t="shared" si="143"/>
        <v>3.2915761827337491</v>
      </c>
      <c r="F562" s="1350"/>
      <c r="G562" s="1358">
        <f t="shared" si="144"/>
        <v>3.1269973735970615</v>
      </c>
      <c r="H562" s="1358">
        <f t="shared" si="145"/>
        <v>3.4561549918704366</v>
      </c>
      <c r="I562" s="833">
        <v>3.3089773320737863</v>
      </c>
      <c r="J562" s="1359" t="b">
        <f t="shared" si="150"/>
        <v>1</v>
      </c>
      <c r="K562" s="1583"/>
      <c r="M562" s="1361">
        <f t="shared" si="151"/>
        <v>3.3089773320737863</v>
      </c>
      <c r="N562" s="1350"/>
      <c r="O562" s="1358">
        <f t="shared" si="146"/>
        <v>1.0405818219489164E-2</v>
      </c>
      <c r="P562" s="1358">
        <f t="shared" si="138"/>
        <v>8.2480720568837863E-3</v>
      </c>
      <c r="Q562" s="1358">
        <f t="shared" si="139"/>
        <v>2.2810293512825635E-2</v>
      </c>
      <c r="R562" s="1358">
        <f t="shared" si="140"/>
        <v>0</v>
      </c>
      <c r="S562" s="1358">
        <f t="shared" si="141"/>
        <v>0.21400340875188176</v>
      </c>
      <c r="T562" s="1358">
        <f t="shared" si="152"/>
        <v>3.5644449246148664</v>
      </c>
      <c r="U562" s="595">
        <f>IF('TAR_Tab 2_Volumina'!C565="storage",1,0)</f>
        <v>0</v>
      </c>
      <c r="V562" s="1362">
        <f t="shared" si="149"/>
        <v>3.5644449246148664</v>
      </c>
      <c r="W562" s="1362">
        <f t="shared" si="147"/>
        <v>3.7554385262163827</v>
      </c>
      <c r="X562" s="1355">
        <f t="shared" si="148"/>
        <v>3.7549999999999999</v>
      </c>
      <c r="Y562" s="1355">
        <f>X562+'TAR_Tab 13_Overige tarieven'!$T$15+'TAR_Tab 13_Overige tarieven'!$T$16</f>
        <v>3.9079999999999999</v>
      </c>
      <c r="Z562" s="960"/>
    </row>
    <row r="563" spans="1:26">
      <c r="A563" s="168">
        <v>301456</v>
      </c>
      <c r="B563" s="163" t="s">
        <v>785</v>
      </c>
      <c r="C563" s="839">
        <v>2.2668537378912346</v>
      </c>
      <c r="D563" s="1356">
        <f t="shared" si="142"/>
        <v>2.1616717244530812</v>
      </c>
      <c r="E563" s="1356">
        <f t="shared" si="143"/>
        <v>2.2841139336938712</v>
      </c>
      <c r="F563" s="1350"/>
      <c r="G563" s="1358">
        <f t="shared" si="144"/>
        <v>2.1699082370091776</v>
      </c>
      <c r="H563" s="1358">
        <f t="shared" si="145"/>
        <v>2.3983196303785648</v>
      </c>
      <c r="I563" s="833">
        <v>2.2961890628913539</v>
      </c>
      <c r="J563" s="1359" t="b">
        <f t="shared" si="150"/>
        <v>1</v>
      </c>
      <c r="K563" s="1583"/>
      <c r="M563" s="1361">
        <f t="shared" si="151"/>
        <v>2.2961890628913539</v>
      </c>
      <c r="N563" s="1350"/>
      <c r="O563" s="1358">
        <f t="shared" si="146"/>
        <v>7.2208793195485685E-3</v>
      </c>
      <c r="P563" s="1358">
        <f t="shared" si="138"/>
        <v>5.7235607700844848E-3</v>
      </c>
      <c r="Q563" s="1358">
        <f t="shared" si="139"/>
        <v>1.5828680957649995E-2</v>
      </c>
      <c r="R563" s="1358">
        <f t="shared" si="140"/>
        <v>0</v>
      </c>
      <c r="S563" s="1358">
        <f t="shared" si="141"/>
        <v>0.14850276604632276</v>
      </c>
      <c r="T563" s="1358">
        <f t="shared" si="152"/>
        <v>2.4734649499849595</v>
      </c>
      <c r="U563" s="595">
        <f>IF('TAR_Tab 2_Volumina'!C566="storage",1,0)</f>
        <v>0</v>
      </c>
      <c r="V563" s="1362">
        <f t="shared" si="149"/>
        <v>2.4734649499849595</v>
      </c>
      <c r="W563" s="1362">
        <f t="shared" si="147"/>
        <v>2.6060005871525855</v>
      </c>
      <c r="X563" s="1355">
        <f t="shared" si="148"/>
        <v>2.6059999999999999</v>
      </c>
      <c r="Y563" s="1355">
        <f>X563+'TAR_Tab 13_Overige tarieven'!$T$15+'TAR_Tab 13_Overige tarieven'!$T$16</f>
        <v>2.7589999999999999</v>
      </c>
      <c r="Z563" s="960"/>
    </row>
    <row r="564" spans="1:26">
      <c r="A564" s="155">
        <v>301457</v>
      </c>
      <c r="B564" s="156" t="s">
        <v>786</v>
      </c>
      <c r="C564" s="839">
        <v>1.9058461347375635</v>
      </c>
      <c r="D564" s="1356">
        <f t="shared" si="142"/>
        <v>1.8174148740857405</v>
      </c>
      <c r="E564" s="1356">
        <f t="shared" si="143"/>
        <v>1.9203575594957705</v>
      </c>
      <c r="F564" s="1350"/>
      <c r="G564" s="1358">
        <f t="shared" si="144"/>
        <v>1.8243396815209818</v>
      </c>
      <c r="H564" s="1358">
        <f t="shared" si="145"/>
        <v>2.0163754374705589</v>
      </c>
      <c r="I564" s="833">
        <v>1.9305096649990074</v>
      </c>
      <c r="J564" s="1359" t="b">
        <f t="shared" si="150"/>
        <v>1</v>
      </c>
      <c r="K564" s="1583"/>
      <c r="M564" s="1361">
        <f t="shared" si="151"/>
        <v>1.9305096649990074</v>
      </c>
      <c r="N564" s="1350"/>
      <c r="O564" s="1358">
        <f t="shared" si="146"/>
        <v>6.0709187851573478E-3</v>
      </c>
      <c r="P564" s="1358">
        <f t="shared" si="138"/>
        <v>4.8120555765316219E-3</v>
      </c>
      <c r="Q564" s="1358">
        <f t="shared" si="139"/>
        <v>1.3307885690584751E-2</v>
      </c>
      <c r="R564" s="1358">
        <f t="shared" si="140"/>
        <v>0</v>
      </c>
      <c r="S564" s="1358">
        <f t="shared" si="141"/>
        <v>0.12485297041286243</v>
      </c>
      <c r="T564" s="1358">
        <f t="shared" si="152"/>
        <v>2.0795534954641437</v>
      </c>
      <c r="U564" s="595">
        <f>IF('TAR_Tab 2_Volumina'!C567="storage",1,0)</f>
        <v>0</v>
      </c>
      <c r="V564" s="1362">
        <f t="shared" si="149"/>
        <v>2.0795534954641437</v>
      </c>
      <c r="W564" s="1362">
        <f t="shared" si="147"/>
        <v>2.1909821807775054</v>
      </c>
      <c r="X564" s="1355">
        <f t="shared" si="148"/>
        <v>2.1909999999999998</v>
      </c>
      <c r="Y564" s="1355">
        <f>X564+'TAR_Tab 13_Overige tarieven'!$T$15+'TAR_Tab 13_Overige tarieven'!$T$16</f>
        <v>2.3439999999999999</v>
      </c>
      <c r="Z564" s="960"/>
    </row>
    <row r="565" spans="1:26">
      <c r="A565" s="1250">
        <v>301460</v>
      </c>
      <c r="B565" s="858" t="s">
        <v>462</v>
      </c>
      <c r="C565" s="1249">
        <v>1.145068297057555</v>
      </c>
      <c r="D565" s="1356">
        <f t="shared" si="142"/>
        <v>1.0919371280740844</v>
      </c>
      <c r="E565" s="1356">
        <f t="shared" si="143"/>
        <v>1.1537870347000598</v>
      </c>
      <c r="F565" s="1350"/>
      <c r="G565" s="1358">
        <f t="shared" si="144"/>
        <v>1.0960976829650568</v>
      </c>
      <c r="H565" s="1358">
        <f t="shared" si="145"/>
        <v>1.2114763864350628</v>
      </c>
      <c r="I565" s="833">
        <v>1.159886611128742</v>
      </c>
      <c r="J565" s="1359" t="b">
        <f t="shared" si="150"/>
        <v>1</v>
      </c>
      <c r="K565" s="1583"/>
      <c r="M565" s="1361">
        <f t="shared" si="151"/>
        <v>1.159886611128742</v>
      </c>
      <c r="N565" s="1350"/>
      <c r="O565" s="1358">
        <f t="shared" si="146"/>
        <v>3.6475224878802126E-3</v>
      </c>
      <c r="P565" s="1358">
        <f t="shared" si="138"/>
        <v>2.8911737332479493E-3</v>
      </c>
      <c r="Q565" s="1358">
        <f t="shared" si="139"/>
        <v>7.995628675057145E-3</v>
      </c>
      <c r="R565" s="1358">
        <f t="shared" si="140"/>
        <v>0</v>
      </c>
      <c r="S565" s="1358">
        <f t="shared" si="141"/>
        <v>7.5014019026735379E-2</v>
      </c>
      <c r="T565" s="1358">
        <f t="shared" si="152"/>
        <v>1.2494349550516628</v>
      </c>
      <c r="U565" s="595">
        <f>IF('TAR_Tab 2_Volumina'!C568="storage",1,0)</f>
        <v>0</v>
      </c>
      <c r="V565" s="1362">
        <f t="shared" si="149"/>
        <v>1.2494349550516628</v>
      </c>
      <c r="W565" s="1362">
        <f t="shared" si="147"/>
        <v>1.316383410443474</v>
      </c>
      <c r="X565" s="1355">
        <f t="shared" si="148"/>
        <v>1.3160000000000001</v>
      </c>
      <c r="Y565" s="1355">
        <f>X565+'TAR_Tab 13_Overige tarieven'!$T$15+'TAR_Tab 13_Overige tarieven'!$T$16</f>
        <v>1.4690000000000001</v>
      </c>
      <c r="Z565" s="1323" t="s">
        <v>1244</v>
      </c>
    </row>
    <row r="566" spans="1:26">
      <c r="A566" s="1250">
        <v>301464</v>
      </c>
      <c r="B566" s="858" t="s">
        <v>1138</v>
      </c>
      <c r="C566" s="1249">
        <v>1.7847476072637916</v>
      </c>
      <c r="D566" s="1356">
        <f t="shared" si="142"/>
        <v>1.7019353182867516</v>
      </c>
      <c r="E566" s="1356">
        <f t="shared" si="143"/>
        <v>1.7983369679908392</v>
      </c>
      <c r="F566" s="1350"/>
      <c r="G566" s="1358">
        <f t="shared" si="144"/>
        <v>1.7084201195912971</v>
      </c>
      <c r="H566" s="1358">
        <f t="shared" si="145"/>
        <v>1.8882538163903813</v>
      </c>
      <c r="I566" s="833">
        <v>1.8078440030422742</v>
      </c>
      <c r="J566" s="1359" t="b">
        <f t="shared" si="150"/>
        <v>1</v>
      </c>
      <c r="K566" s="1583"/>
      <c r="M566" s="1361">
        <f t="shared" si="151"/>
        <v>1.8078440030422742</v>
      </c>
      <c r="N566" s="1350"/>
      <c r="O566" s="1358">
        <f t="shared" si="146"/>
        <v>5.6851692160313754E-3</v>
      </c>
      <c r="P566" s="1358">
        <f t="shared" si="138"/>
        <v>4.5062948785305869E-3</v>
      </c>
      <c r="Q566" s="1358">
        <f t="shared" si="139"/>
        <v>1.2462295203742533E-2</v>
      </c>
      <c r="R566" s="1358">
        <f t="shared" si="140"/>
        <v>0</v>
      </c>
      <c r="S566" s="1358">
        <f t="shared" si="141"/>
        <v>0.11691974296488378</v>
      </c>
      <c r="T566" s="1358">
        <f t="shared" si="152"/>
        <v>1.9474175053054625</v>
      </c>
      <c r="U566" s="595">
        <f>IF('TAR_Tab 2_Volumina'!C569="storage",1,0)</f>
        <v>0</v>
      </c>
      <c r="V566" s="1362">
        <f t="shared" si="149"/>
        <v>1.9474175053054625</v>
      </c>
      <c r="W566" s="1362">
        <f t="shared" si="147"/>
        <v>2.0517659497411187</v>
      </c>
      <c r="X566" s="1355">
        <f t="shared" si="148"/>
        <v>2.052</v>
      </c>
      <c r="Y566" s="1355">
        <f>X566+'TAR_Tab 13_Overige tarieven'!$T$15+'TAR_Tab 13_Overige tarieven'!$T$16</f>
        <v>2.2050000000000001</v>
      </c>
      <c r="Z566" s="1323" t="s">
        <v>1244</v>
      </c>
    </row>
    <row r="567" spans="1:26">
      <c r="A567" s="1250">
        <v>301465</v>
      </c>
      <c r="B567" s="858" t="s">
        <v>1139</v>
      </c>
      <c r="C567" s="1249">
        <v>1.859139272859605</v>
      </c>
      <c r="D567" s="1356">
        <f t="shared" si="142"/>
        <v>1.7728752105989194</v>
      </c>
      <c r="E567" s="1356">
        <f t="shared" si="143"/>
        <v>1.8732950639181758</v>
      </c>
      <c r="F567" s="1350"/>
      <c r="G567" s="1358">
        <f t="shared" si="144"/>
        <v>1.7796303107222669</v>
      </c>
      <c r="H567" s="1358">
        <f t="shared" si="145"/>
        <v>1.9669598171140847</v>
      </c>
      <c r="I567" s="833">
        <v>1.8831983702235828</v>
      </c>
      <c r="J567" s="1359" t="b">
        <f t="shared" si="150"/>
        <v>1</v>
      </c>
      <c r="K567" s="1583"/>
      <c r="M567" s="1361">
        <f t="shared" si="151"/>
        <v>1.8831983702235828</v>
      </c>
      <c r="N567" s="1350"/>
      <c r="O567" s="1358">
        <f t="shared" si="146"/>
        <v>5.9221378526348525E-3</v>
      </c>
      <c r="P567" s="1358">
        <f t="shared" si="138"/>
        <v>4.6941257966477542E-3</v>
      </c>
      <c r="Q567" s="1358">
        <f t="shared" si="139"/>
        <v>1.2981747306426372E-2</v>
      </c>
      <c r="R567" s="1358">
        <f t="shared" si="140"/>
        <v>0</v>
      </c>
      <c r="S567" s="1358">
        <f t="shared" si="141"/>
        <v>0.12179317962606347</v>
      </c>
      <c r="T567" s="1358">
        <f t="shared" si="152"/>
        <v>2.0285895608053552</v>
      </c>
      <c r="U567" s="595">
        <f>IF('TAR_Tab 2_Volumina'!C570="storage",1,0)</f>
        <v>0</v>
      </c>
      <c r="V567" s="1362">
        <f t="shared" si="149"/>
        <v>2.0285895608053552</v>
      </c>
      <c r="W567" s="1362">
        <f t="shared" si="147"/>
        <v>2.1372874463341427</v>
      </c>
      <c r="X567" s="1355">
        <f t="shared" si="148"/>
        <v>2.137</v>
      </c>
      <c r="Y567" s="1355">
        <f>X567+'TAR_Tab 13_Overige tarieven'!$T$15+'TAR_Tab 13_Overige tarieven'!$T$16</f>
        <v>2.29</v>
      </c>
      <c r="Z567" s="1323" t="s">
        <v>1244</v>
      </c>
    </row>
    <row r="568" spans="1:26">
      <c r="A568" s="1250">
        <v>301466</v>
      </c>
      <c r="B568" s="858" t="s">
        <v>1140</v>
      </c>
      <c r="C568" s="1249">
        <v>2.0768325153152074</v>
      </c>
      <c r="D568" s="1356">
        <f t="shared" si="142"/>
        <v>1.9804674866045817</v>
      </c>
      <c r="E568" s="1356">
        <f t="shared" si="143"/>
        <v>2.0926458583926348</v>
      </c>
      <c r="F568" s="1350"/>
      <c r="G568" s="1358">
        <f t="shared" si="144"/>
        <v>1.9880135654730029</v>
      </c>
      <c r="H568" s="1358">
        <f t="shared" si="145"/>
        <v>2.1972781513122666</v>
      </c>
      <c r="I568" s="833">
        <v>2.1037087781235271</v>
      </c>
      <c r="J568" s="1359" t="b">
        <f t="shared" si="150"/>
        <v>1</v>
      </c>
      <c r="K568" s="1583"/>
      <c r="M568" s="1361">
        <f t="shared" si="151"/>
        <v>2.1037087781235271</v>
      </c>
      <c r="N568" s="1350"/>
      <c r="O568" s="1358">
        <f t="shared" si="146"/>
        <v>6.6155820771905318E-3</v>
      </c>
      <c r="P568" s="1358">
        <f t="shared" si="138"/>
        <v>5.2437777135775432E-3</v>
      </c>
      <c r="Q568" s="1358">
        <f t="shared" si="139"/>
        <v>1.450182635866887E-2</v>
      </c>
      <c r="R568" s="1358">
        <f t="shared" si="140"/>
        <v>0</v>
      </c>
      <c r="S568" s="1358">
        <f t="shared" si="141"/>
        <v>0.13605437703543988</v>
      </c>
      <c r="T568" s="1358">
        <f t="shared" si="152"/>
        <v>2.2661243413084038</v>
      </c>
      <c r="U568" s="595">
        <f>IF('TAR_Tab 2_Volumina'!C571="storage",1,0)</f>
        <v>0</v>
      </c>
      <c r="V568" s="1362">
        <f t="shared" si="149"/>
        <v>2.2661243413084038</v>
      </c>
      <c r="W568" s="1362">
        <f t="shared" si="147"/>
        <v>2.3875500495959634</v>
      </c>
      <c r="X568" s="1355">
        <f t="shared" si="148"/>
        <v>2.3879999999999999</v>
      </c>
      <c r="Y568" s="1355">
        <f>X568+'TAR_Tab 13_Overige tarieven'!$T$15+'TAR_Tab 13_Overige tarieven'!$T$16</f>
        <v>2.5409999999999999</v>
      </c>
      <c r="Z568" s="1323" t="s">
        <v>1244</v>
      </c>
    </row>
    <row r="569" spans="1:26">
      <c r="A569" s="1250">
        <v>301467</v>
      </c>
      <c r="B569" s="858" t="s">
        <v>1141</v>
      </c>
      <c r="C569" s="1249">
        <v>2.0845913004807133</v>
      </c>
      <c r="D569" s="1356">
        <f t="shared" si="142"/>
        <v>1.9878662641384082</v>
      </c>
      <c r="E569" s="1356">
        <f t="shared" si="143"/>
        <v>2.1004637202197309</v>
      </c>
      <c r="F569" s="1350"/>
      <c r="G569" s="1358">
        <f t="shared" si="144"/>
        <v>1.9954405342087442</v>
      </c>
      <c r="H569" s="1358">
        <f t="shared" si="145"/>
        <v>2.2054869062307176</v>
      </c>
      <c r="I569" s="833">
        <v>2.111567969627842</v>
      </c>
      <c r="J569" s="1359" t="b">
        <f t="shared" si="150"/>
        <v>1</v>
      </c>
      <c r="K569" s="1583"/>
      <c r="M569" s="1361">
        <f t="shared" si="151"/>
        <v>2.111567969627842</v>
      </c>
      <c r="N569" s="1350"/>
      <c r="O569" s="1358">
        <f t="shared" si="146"/>
        <v>6.6402970600806686E-3</v>
      </c>
      <c r="P569" s="1358">
        <f t="shared" si="138"/>
        <v>5.2633678078366089E-3</v>
      </c>
      <c r="Q569" s="1358">
        <f t="shared" si="139"/>
        <v>1.4556003358689168E-2</v>
      </c>
      <c r="R569" s="1358">
        <f t="shared" si="140"/>
        <v>0</v>
      </c>
      <c r="S569" s="1358">
        <f t="shared" si="141"/>
        <v>0.13656265908248041</v>
      </c>
      <c r="T569" s="1358">
        <f t="shared" si="152"/>
        <v>2.2745902969369283</v>
      </c>
      <c r="U569" s="595">
        <f>IF('TAR_Tab 2_Volumina'!C572="storage",1,0)</f>
        <v>0</v>
      </c>
      <c r="V569" s="1362">
        <f t="shared" si="149"/>
        <v>2.2745902969369283</v>
      </c>
      <c r="W569" s="1362">
        <f t="shared" si="147"/>
        <v>2.396469636404289</v>
      </c>
      <c r="X569" s="1355">
        <f t="shared" si="148"/>
        <v>2.3959999999999999</v>
      </c>
      <c r="Y569" s="1355">
        <f>X569+'TAR_Tab 13_Overige tarieven'!$T$15+'TAR_Tab 13_Overige tarieven'!$T$16</f>
        <v>2.5489999999999999</v>
      </c>
      <c r="Z569" s="1323" t="s">
        <v>1244</v>
      </c>
    </row>
    <row r="570" spans="1:26">
      <c r="A570" s="1250">
        <v>301469</v>
      </c>
      <c r="B570" s="858" t="s">
        <v>1237</v>
      </c>
      <c r="C570" s="1249">
        <v>1.8739116451400466</v>
      </c>
      <c r="D570" s="1356">
        <f t="shared" si="142"/>
        <v>1.7869621448055484</v>
      </c>
      <c r="E570" s="1356">
        <f t="shared" si="143"/>
        <v>1.8881799154617334</v>
      </c>
      <c r="F570" s="1350"/>
      <c r="G570" s="1358">
        <f t="shared" si="144"/>
        <v>1.7937709196886467</v>
      </c>
      <c r="H570" s="1358">
        <f t="shared" si="145"/>
        <v>1.9825889112348201</v>
      </c>
      <c r="I570" s="833">
        <v>1.8981619115832753</v>
      </c>
      <c r="J570" s="1359" t="b">
        <f t="shared" si="150"/>
        <v>1</v>
      </c>
      <c r="K570" s="1583"/>
      <c r="M570" s="1361">
        <f t="shared" si="151"/>
        <v>1.8981619115832753</v>
      </c>
      <c r="N570" s="1350"/>
      <c r="O570" s="1358">
        <f t="shared" si="146"/>
        <v>5.9691940502701454E-3</v>
      </c>
      <c r="P570" s="1358">
        <f t="shared" si="138"/>
        <v>4.7314244406017622E-3</v>
      </c>
      <c r="Q570" s="1358">
        <f t="shared" si="139"/>
        <v>1.3084897837890417E-2</v>
      </c>
      <c r="R570" s="1358">
        <f t="shared" si="140"/>
        <v>0</v>
      </c>
      <c r="S570" s="1358">
        <f t="shared" si="141"/>
        <v>0.12276092540870595</v>
      </c>
      <c r="T570" s="1358">
        <f t="shared" si="152"/>
        <v>2.0447083533207437</v>
      </c>
      <c r="U570" s="595">
        <f>IF('TAR_Tab 2_Volumina'!C573="storage",1,0)</f>
        <v>0</v>
      </c>
      <c r="V570" s="1362">
        <f t="shared" si="149"/>
        <v>2.0447083533207437</v>
      </c>
      <c r="W570" s="1362">
        <f t="shared" si="147"/>
        <v>2.1542699318791869</v>
      </c>
      <c r="X570" s="1355">
        <f t="shared" si="148"/>
        <v>2.1539999999999999</v>
      </c>
      <c r="Y570" s="1355">
        <f>X570+'TAR_Tab 13_Overige tarieven'!$T$15+'TAR_Tab 13_Overige tarieven'!$T$16</f>
        <v>2.3069999999999999</v>
      </c>
      <c r="Z570" s="1323" t="s">
        <v>1244</v>
      </c>
    </row>
    <row r="572" spans="1:26">
      <c r="T572" s="137" t="s">
        <v>664</v>
      </c>
      <c r="W572" s="902">
        <v>972400503.73951674</v>
      </c>
      <c r="X572" s="901"/>
      <c r="Y572" s="370"/>
    </row>
    <row r="573" spans="1:26">
      <c r="T573" s="137" t="s">
        <v>663</v>
      </c>
      <c r="W573" s="906">
        <v>929492860.0467478</v>
      </c>
      <c r="X573" s="182"/>
    </row>
    <row r="574" spans="1:26">
      <c r="T574" s="172" t="s">
        <v>918</v>
      </c>
      <c r="W574" s="902">
        <v>128722931.07830641</v>
      </c>
    </row>
    <row r="575" spans="1:26">
      <c r="T575" s="172" t="s">
        <v>930</v>
      </c>
      <c r="W575" s="902">
        <f>W573-W574</f>
        <v>800769928.96844137</v>
      </c>
    </row>
    <row r="576" spans="1:26">
      <c r="T576" s="172" t="s">
        <v>913</v>
      </c>
      <c r="W576" s="902">
        <f>W572-W574</f>
        <v>843677572.6612103</v>
      </c>
    </row>
    <row r="577" spans="20:23">
      <c r="T577" s="172" t="s">
        <v>914</v>
      </c>
      <c r="W577" s="903">
        <f>W576/W575-1</f>
        <v>5.3582985749780709E-2</v>
      </c>
    </row>
    <row r="579" spans="20:23">
      <c r="T579" s="137" t="s">
        <v>917</v>
      </c>
      <c r="W579" s="902">
        <v>972400503.73951674</v>
      </c>
    </row>
  </sheetData>
  <phoneticPr fontId="20" type="noConversion"/>
  <conditionalFormatting sqref="C9:C570">
    <cfRule type="containsErrors" dxfId="10" priority="55">
      <formula>ISERROR(C9)</formula>
    </cfRule>
    <cfRule type="cellIs" dxfId="9" priority="56" operator="equal">
      <formula>#N/A</formula>
    </cfRule>
    <cfRule type="cellIs" dxfId="8" priority="57" operator="equal">
      <formula>#N/A</formula>
    </cfRule>
  </conditionalFormatting>
  <pageMargins left="0.75" right="0.75" top="1" bottom="1" header="0.5" footer="0.5"/>
  <pageSetup paperSize="9" scale="20" orientation="portrait" r:id="rId1"/>
  <headerFooter alignWithMargins="0">
    <oddFooter>&amp;LEnergiekamer NMa&amp;R&amp;F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AA575"/>
  <sheetViews>
    <sheetView showGridLines="0" zoomScale="75" zoomScaleNormal="75" zoomScaleSheetLayoutView="40" workbookViewId="0">
      <pane ySplit="8" topLeftCell="A9" activePane="bottomLeft" state="frozen"/>
      <selection activeCell="C94" sqref="C94"/>
      <selection pane="bottomLeft" activeCell="A9" sqref="A9"/>
    </sheetView>
  </sheetViews>
  <sheetFormatPr defaultRowHeight="12.75"/>
  <cols>
    <col min="1" max="1" width="8.7109375" bestFit="1" customWidth="1"/>
    <col min="2" max="2" width="51.28515625" bestFit="1" customWidth="1"/>
    <col min="3" max="3" width="15.140625" style="137" customWidth="1"/>
    <col min="4" max="4" width="20.140625" bestFit="1" customWidth="1"/>
    <col min="5" max="5" width="21.42578125" customWidth="1"/>
    <col min="6" max="6" width="20.140625" customWidth="1"/>
    <col min="7" max="7" width="1.7109375" customWidth="1"/>
    <col min="8" max="8" width="16.5703125" customWidth="1"/>
    <col min="9" max="9" width="16.28515625" customWidth="1"/>
    <col min="10" max="10" width="15.42578125" bestFit="1" customWidth="1"/>
    <col min="11" max="11" width="19.85546875" customWidth="1"/>
    <col min="12" max="12" width="11.85546875" style="23" bestFit="1" customWidth="1"/>
    <col min="13" max="13" width="1.7109375" customWidth="1"/>
    <col min="14" max="14" width="16.5703125" bestFit="1" customWidth="1"/>
    <col min="15" max="15" width="1.7109375" customWidth="1"/>
    <col min="16" max="16" width="14.42578125" style="171" customWidth="1"/>
    <col min="17" max="17" width="14.140625" customWidth="1"/>
    <col min="18" max="20" width="13.28515625" bestFit="1" customWidth="1"/>
    <col min="21" max="21" width="14.85546875" customWidth="1"/>
    <col min="22" max="22" width="14.28515625" bestFit="1" customWidth="1"/>
    <col min="23" max="23" width="106.5703125" bestFit="1" customWidth="1"/>
  </cols>
  <sheetData>
    <row r="1" spans="1:27" s="13" customFormat="1" ht="23.25" customHeight="1">
      <c r="A1" s="9" t="s">
        <v>689</v>
      </c>
      <c r="B1" s="9"/>
      <c r="C1" s="374"/>
      <c r="D1" s="14"/>
      <c r="E1" s="14"/>
      <c r="F1" s="14"/>
      <c r="G1" s="14"/>
      <c r="H1" s="14"/>
      <c r="I1" s="14"/>
      <c r="J1" s="14"/>
      <c r="K1" s="14"/>
      <c r="L1" s="14"/>
      <c r="M1" s="14"/>
      <c r="N1" s="14"/>
      <c r="O1" s="14"/>
      <c r="P1" s="14"/>
      <c r="Q1" s="14"/>
      <c r="R1" s="731"/>
      <c r="S1" s="879"/>
      <c r="T1" s="879"/>
      <c r="U1" s="879"/>
      <c r="V1" s="879"/>
      <c r="W1" s="1165" t="s">
        <v>165</v>
      </c>
    </row>
    <row r="2" spans="1:27">
      <c r="L2"/>
      <c r="S2" s="25"/>
      <c r="T2" s="25"/>
      <c r="U2" s="25"/>
      <c r="V2" s="25"/>
    </row>
    <row r="3" spans="1:27" s="15" customFormat="1" ht="60">
      <c r="A3" s="239" t="s">
        <v>166</v>
      </c>
      <c r="B3" s="239" t="s">
        <v>167</v>
      </c>
      <c r="C3" s="335" t="s">
        <v>710</v>
      </c>
      <c r="D3" s="239" t="s">
        <v>897</v>
      </c>
      <c r="E3" s="239" t="s">
        <v>1006</v>
      </c>
      <c r="F3" s="239" t="s">
        <v>1007</v>
      </c>
      <c r="G3" s="239"/>
      <c r="H3" s="239" t="s">
        <v>152</v>
      </c>
      <c r="I3" s="239" t="s">
        <v>153</v>
      </c>
      <c r="J3" s="239" t="s">
        <v>146</v>
      </c>
      <c r="K3" s="239" t="s">
        <v>151</v>
      </c>
      <c r="L3" s="239" t="s">
        <v>810</v>
      </c>
      <c r="M3" s="239"/>
      <c r="N3" s="239" t="s">
        <v>147</v>
      </c>
      <c r="O3" s="241"/>
      <c r="P3" s="239" t="s">
        <v>656</v>
      </c>
      <c r="Q3" s="239" t="s">
        <v>156</v>
      </c>
      <c r="R3" s="239" t="s">
        <v>149</v>
      </c>
      <c r="S3" s="239" t="s">
        <v>148</v>
      </c>
      <c r="T3" s="239" t="s">
        <v>681</v>
      </c>
      <c r="U3" s="239" t="s">
        <v>923</v>
      </c>
      <c r="V3" s="240" t="s">
        <v>924</v>
      </c>
      <c r="W3" s="335" t="s">
        <v>813</v>
      </c>
    </row>
    <row r="4" spans="1:27" s="574" customFormat="1" ht="15">
      <c r="A4" s="582"/>
      <c r="B4" s="582"/>
      <c r="C4" s="335"/>
      <c r="D4" s="335" t="s">
        <v>763</v>
      </c>
      <c r="E4" s="217"/>
      <c r="F4" s="217"/>
      <c r="G4" s="217"/>
      <c r="H4" s="217"/>
      <c r="I4" s="217"/>
      <c r="J4" s="335"/>
      <c r="K4" s="335"/>
      <c r="L4" s="335"/>
      <c r="M4" s="217"/>
      <c r="N4" s="217"/>
      <c r="O4" s="217"/>
      <c r="P4" s="217"/>
      <c r="Q4" s="335"/>
      <c r="R4" s="335"/>
      <c r="S4" s="335"/>
      <c r="T4" s="335"/>
      <c r="U4" s="217"/>
      <c r="V4" s="217"/>
      <c r="W4" s="1182"/>
      <c r="X4" s="295"/>
      <c r="Y4" s="295"/>
      <c r="Z4" s="295"/>
      <c r="AA4" s="575"/>
    </row>
    <row r="5" spans="1:27" s="15" customFormat="1" ht="15">
      <c r="A5" s="19"/>
      <c r="B5" s="21"/>
      <c r="C5" s="129"/>
      <c r="D5" s="185"/>
      <c r="E5" s="20"/>
      <c r="F5" s="20"/>
      <c r="G5" s="24"/>
      <c r="H5" s="24"/>
      <c r="I5" s="24"/>
      <c r="J5" s="24"/>
      <c r="K5" s="24"/>
      <c r="L5" s="24"/>
      <c r="M5" s="24"/>
      <c r="N5" s="24"/>
      <c r="O5" s="24"/>
      <c r="Q5" s="398"/>
      <c r="R5" s="24"/>
      <c r="S5" s="24"/>
      <c r="T5" s="24"/>
      <c r="U5" s="24"/>
      <c r="V5" s="20"/>
    </row>
    <row r="6" spans="1:27" s="15" customFormat="1" ht="15">
      <c r="A6" s="18"/>
      <c r="B6" s="52"/>
      <c r="C6" s="375"/>
      <c r="D6" s="16"/>
      <c r="E6" s="16"/>
      <c r="F6" s="16"/>
      <c r="G6" s="53"/>
      <c r="H6" s="53"/>
      <c r="I6" s="53"/>
      <c r="J6" s="53"/>
      <c r="K6" s="53"/>
      <c r="L6" s="53"/>
      <c r="M6" s="53"/>
      <c r="N6" s="53"/>
      <c r="O6" s="53"/>
      <c r="P6" s="53"/>
      <c r="Q6" s="53"/>
      <c r="R6" s="53"/>
      <c r="S6" s="53"/>
      <c r="T6" s="53"/>
      <c r="U6" s="53"/>
      <c r="V6" s="27"/>
      <c r="W6" s="1180"/>
    </row>
    <row r="7" spans="1:27" s="15" customFormat="1">
      <c r="A7" s="560"/>
      <c r="B7" s="21"/>
      <c r="C7" s="129"/>
      <c r="D7" s="561"/>
      <c r="E7" s="562">
        <f>Parameters!B61-Parameters!B18</f>
        <v>0.9536</v>
      </c>
      <c r="F7" s="562">
        <f>TAR_Tab_3_Tariefaanpassing!D24</f>
        <v>1.0566423698176322</v>
      </c>
      <c r="G7" s="563"/>
      <c r="H7" s="564">
        <v>0.95</v>
      </c>
      <c r="I7" s="564">
        <v>1.05</v>
      </c>
      <c r="J7" s="565"/>
      <c r="K7" s="565"/>
      <c r="L7" s="566">
        <v>205.70501468496732</v>
      </c>
      <c r="M7" s="565"/>
      <c r="N7" s="909"/>
      <c r="O7" s="565"/>
      <c r="P7" s="1235">
        <f>'TAR-Tab 9_incidenteel'!D43</f>
        <v>3.1447233314734371E-3</v>
      </c>
      <c r="Q7" s="562">
        <f>TAR_Tab_4_BESeF!B23</f>
        <v>2.4926348019781068E-3</v>
      </c>
      <c r="R7" s="562">
        <f>'TAR_Tab 7_MFA '!B45</f>
        <v>6.8934571692971002E-3</v>
      </c>
      <c r="S7" s="562">
        <f>'TAR_Tab 6_NPD'!B44</f>
        <v>0</v>
      </c>
      <c r="T7" s="562">
        <f>'TAR_Tab 5_UI'!B199</f>
        <v>6.4673579561139685E-2</v>
      </c>
      <c r="U7" s="567"/>
      <c r="V7" s="561"/>
      <c r="W7" s="1181"/>
    </row>
    <row r="8" spans="1:27" s="15" customFormat="1" ht="15">
      <c r="A8" s="18"/>
      <c r="B8" s="18"/>
      <c r="C8" s="376"/>
      <c r="D8" s="16"/>
      <c r="E8" s="16"/>
      <c r="F8" s="16"/>
      <c r="G8" s="16"/>
      <c r="H8" s="16"/>
      <c r="I8" s="16"/>
      <c r="J8" s="16"/>
      <c r="K8" s="16"/>
      <c r="L8" s="16"/>
      <c r="M8" s="16"/>
      <c r="N8" s="16"/>
      <c r="O8" s="16"/>
      <c r="P8" s="16"/>
      <c r="Q8" s="28"/>
      <c r="R8" s="28"/>
      <c r="S8" s="28"/>
      <c r="T8" s="28"/>
      <c r="U8" s="28"/>
      <c r="V8" s="29"/>
      <c r="W8" s="1180"/>
    </row>
    <row r="9" spans="1:27">
      <c r="A9" s="918">
        <v>300001</v>
      </c>
      <c r="B9" s="919" t="s">
        <v>1018</v>
      </c>
      <c r="C9" s="1363">
        <f>IF('TAR_Tab 2_Volumina'!M12,1,0)</f>
        <v>1</v>
      </c>
      <c r="D9" s="1527">
        <v>17726.04489529389</v>
      </c>
      <c r="E9" s="1528">
        <f t="shared" ref="E9:E72" si="0">D9*$E$7*C9</f>
        <v>16903.556412152255</v>
      </c>
      <c r="F9" s="1528">
        <f t="shared" ref="F9:F72" si="1">E9*$F$7</f>
        <v>17861.01390568259</v>
      </c>
      <c r="G9" s="1531"/>
      <c r="H9" s="1528">
        <f t="shared" ref="H9:H72" si="2">F9*$H$7</f>
        <v>16967.963210398459</v>
      </c>
      <c r="I9" s="1528">
        <f t="shared" ref="I9:I72" si="3">F9*$I$7</f>
        <v>18754.064600966722</v>
      </c>
      <c r="J9" s="1532">
        <f>F9</f>
        <v>17861.01390568259</v>
      </c>
      <c r="K9" s="1369" t="b">
        <f>IF(J9&gt;0,AND(J9&gt;=H9,J9&lt;=I9),"")</f>
        <v>1</v>
      </c>
      <c r="L9" s="1558"/>
      <c r="M9" s="1364"/>
      <c r="N9" s="1371">
        <f t="shared" ref="N9:N63" si="4">IF(J9&gt;0,J9,F9)</f>
        <v>17861.01390568259</v>
      </c>
      <c r="O9" s="1372"/>
      <c r="P9" s="1371">
        <f>P$7*$N9</f>
        <v>56.167947152971543</v>
      </c>
      <c r="Q9" s="1371">
        <f t="shared" ref="Q9:T24" si="5">Q$7*$N9</f>
        <v>44.520984859919338</v>
      </c>
      <c r="R9" s="1371">
        <f t="shared" si="5"/>
        <v>123.12413435904286</v>
      </c>
      <c r="S9" s="1371">
        <f t="shared" si="5"/>
        <v>0</v>
      </c>
      <c r="T9" s="1371">
        <f>T$7*$N9</f>
        <v>1155.1357038717852</v>
      </c>
      <c r="U9" s="1371">
        <f t="shared" ref="U9:U72" si="6">N9+P9+Q9+R9+S9+T9</f>
        <v>19239.962675926312</v>
      </c>
      <c r="V9" s="1373">
        <f t="shared" ref="V9:V62" si="7">ROUND(U9,2)</f>
        <v>19239.96</v>
      </c>
      <c r="W9" s="960"/>
    </row>
    <row r="10" spans="1:27">
      <c r="A10" s="918">
        <v>300002</v>
      </c>
      <c r="B10" s="919" t="s">
        <v>1020</v>
      </c>
      <c r="C10" s="1363">
        <f>IF('TAR_Tab 2_Volumina'!M13,1,0)</f>
        <v>1</v>
      </c>
      <c r="D10" s="1527">
        <v>17726.044895293846</v>
      </c>
      <c r="E10" s="1528">
        <f t="shared" si="0"/>
        <v>16903.556412152211</v>
      </c>
      <c r="F10" s="1528">
        <f t="shared" si="1"/>
        <v>17861.013905682543</v>
      </c>
      <c r="G10" s="1531"/>
      <c r="H10" s="1528">
        <f t="shared" si="2"/>
        <v>16967.963210398415</v>
      </c>
      <c r="I10" s="1528">
        <f t="shared" si="3"/>
        <v>18754.064600966671</v>
      </c>
      <c r="J10" s="1532">
        <f t="shared" ref="J10:J73" si="8">F10</f>
        <v>17861.013905682543</v>
      </c>
      <c r="K10" s="1369" t="b">
        <f t="shared" ref="K10:K73" si="9">IF(J10&gt;0,AND(J10&gt;=H10,J10&lt;=I10),"")</f>
        <v>1</v>
      </c>
      <c r="L10" s="1558"/>
      <c r="M10" s="1364"/>
      <c r="N10" s="1371">
        <f t="shared" si="4"/>
        <v>17861.013905682543</v>
      </c>
      <c r="O10" s="1372"/>
      <c r="P10" s="1371">
        <f t="shared" ref="P10:T72" si="10">P$7*$N10</f>
        <v>56.167947152971394</v>
      </c>
      <c r="Q10" s="1371">
        <f t="shared" si="5"/>
        <v>44.520984859919217</v>
      </c>
      <c r="R10" s="1371">
        <f t="shared" si="5"/>
        <v>123.12413435904253</v>
      </c>
      <c r="S10" s="1371">
        <f t="shared" si="5"/>
        <v>0</v>
      </c>
      <c r="T10" s="1371">
        <f t="shared" si="5"/>
        <v>1155.1357038717822</v>
      </c>
      <c r="U10" s="1371">
        <f t="shared" si="6"/>
        <v>19239.962675926257</v>
      </c>
      <c r="V10" s="1373">
        <f t="shared" si="7"/>
        <v>19239.96</v>
      </c>
      <c r="W10" s="960"/>
    </row>
    <row r="11" spans="1:27">
      <c r="A11" s="918">
        <v>300003</v>
      </c>
      <c r="B11" s="919" t="s">
        <v>1021</v>
      </c>
      <c r="C11" s="1363">
        <f>IF('TAR_Tab 2_Volumina'!M14,1,0)</f>
        <v>0</v>
      </c>
      <c r="D11" s="1527">
        <v>0</v>
      </c>
      <c r="E11" s="1528">
        <f t="shared" si="0"/>
        <v>0</v>
      </c>
      <c r="F11" s="1528">
        <f t="shared" si="1"/>
        <v>0</v>
      </c>
      <c r="G11" s="1531"/>
      <c r="H11" s="1528">
        <f t="shared" si="2"/>
        <v>0</v>
      </c>
      <c r="I11" s="1528">
        <f t="shared" si="3"/>
        <v>0</v>
      </c>
      <c r="J11" s="1532">
        <f t="shared" si="8"/>
        <v>0</v>
      </c>
      <c r="K11" s="1369" t="str">
        <f t="shared" si="9"/>
        <v/>
      </c>
      <c r="L11" s="1558"/>
      <c r="M11" s="1364"/>
      <c r="N11" s="1371">
        <f t="shared" si="4"/>
        <v>0</v>
      </c>
      <c r="O11" s="1372"/>
      <c r="P11" s="1371">
        <f t="shared" si="10"/>
        <v>0</v>
      </c>
      <c r="Q11" s="1371">
        <f t="shared" si="5"/>
        <v>0</v>
      </c>
      <c r="R11" s="1371">
        <f t="shared" si="5"/>
        <v>0</v>
      </c>
      <c r="S11" s="1371">
        <f t="shared" si="5"/>
        <v>0</v>
      </c>
      <c r="T11" s="1371">
        <f t="shared" si="5"/>
        <v>0</v>
      </c>
      <c r="U11" s="1371">
        <f t="shared" si="6"/>
        <v>0</v>
      </c>
      <c r="V11" s="1373">
        <f t="shared" si="7"/>
        <v>0</v>
      </c>
      <c r="W11" s="960"/>
    </row>
    <row r="12" spans="1:27">
      <c r="A12" s="918">
        <v>300005</v>
      </c>
      <c r="B12" s="919" t="s">
        <v>1023</v>
      </c>
      <c r="C12" s="1363">
        <f>IF('TAR_Tab 2_Volumina'!M15,1,0)</f>
        <v>1</v>
      </c>
      <c r="D12" s="1529">
        <v>35452.089790587779</v>
      </c>
      <c r="E12" s="1528">
        <f t="shared" si="0"/>
        <v>33807.11282430451</v>
      </c>
      <c r="F12" s="1528">
        <f t="shared" si="1"/>
        <v>35722.02781136518</v>
      </c>
      <c r="G12" s="1531"/>
      <c r="H12" s="1528">
        <f t="shared" si="2"/>
        <v>33935.926420796917</v>
      </c>
      <c r="I12" s="1528">
        <f t="shared" si="3"/>
        <v>37508.129201933443</v>
      </c>
      <c r="J12" s="1532">
        <f t="shared" si="8"/>
        <v>35722.02781136518</v>
      </c>
      <c r="K12" s="1369" t="b">
        <f t="shared" si="9"/>
        <v>1</v>
      </c>
      <c r="L12" s="1558"/>
      <c r="M12" s="1364"/>
      <c r="N12" s="1371">
        <f t="shared" si="4"/>
        <v>35722.02781136518</v>
      </c>
      <c r="O12" s="1372"/>
      <c r="P12" s="1371">
        <f t="shared" si="10"/>
        <v>112.33589430594309</v>
      </c>
      <c r="Q12" s="1371">
        <f t="shared" si="5"/>
        <v>89.041969719838676</v>
      </c>
      <c r="R12" s="1371">
        <f t="shared" si="5"/>
        <v>246.24826871808571</v>
      </c>
      <c r="S12" s="1371">
        <f t="shared" si="5"/>
        <v>0</v>
      </c>
      <c r="T12" s="1371">
        <f t="shared" si="5"/>
        <v>2310.2714077435703</v>
      </c>
      <c r="U12" s="1371">
        <f t="shared" si="6"/>
        <v>38479.925351852624</v>
      </c>
      <c r="V12" s="1373">
        <f t="shared" si="7"/>
        <v>38479.93</v>
      </c>
      <c r="W12" s="1323" t="s">
        <v>1261</v>
      </c>
    </row>
    <row r="13" spans="1:27">
      <c r="A13" s="918">
        <v>300009</v>
      </c>
      <c r="B13" s="919" t="s">
        <v>1024</v>
      </c>
      <c r="C13" s="1363">
        <f>IF('TAR_Tab 2_Volumina'!M16,1,0)</f>
        <v>1</v>
      </c>
      <c r="D13" s="1529">
        <v>35452.089790587779</v>
      </c>
      <c r="E13" s="1528">
        <f t="shared" si="0"/>
        <v>33807.11282430451</v>
      </c>
      <c r="F13" s="1528">
        <f t="shared" si="1"/>
        <v>35722.02781136518</v>
      </c>
      <c r="G13" s="1531"/>
      <c r="H13" s="1528">
        <f t="shared" si="2"/>
        <v>33935.926420796917</v>
      </c>
      <c r="I13" s="1528">
        <f t="shared" si="3"/>
        <v>37508.129201933443</v>
      </c>
      <c r="J13" s="1532">
        <f t="shared" si="8"/>
        <v>35722.02781136518</v>
      </c>
      <c r="K13" s="1369" t="b">
        <f t="shared" si="9"/>
        <v>1</v>
      </c>
      <c r="L13" s="1558"/>
      <c r="M13" s="1364"/>
      <c r="N13" s="1371">
        <f t="shared" si="4"/>
        <v>35722.02781136518</v>
      </c>
      <c r="O13" s="1372"/>
      <c r="P13" s="1371">
        <f t="shared" si="10"/>
        <v>112.33589430594309</v>
      </c>
      <c r="Q13" s="1371">
        <f t="shared" si="5"/>
        <v>89.041969719838676</v>
      </c>
      <c r="R13" s="1371">
        <f t="shared" si="5"/>
        <v>246.24826871808571</v>
      </c>
      <c r="S13" s="1371">
        <f t="shared" si="5"/>
        <v>0</v>
      </c>
      <c r="T13" s="1371">
        <f t="shared" si="5"/>
        <v>2310.2714077435703</v>
      </c>
      <c r="U13" s="1371">
        <f t="shared" si="6"/>
        <v>38479.925351852624</v>
      </c>
      <c r="V13" s="1373">
        <f t="shared" si="7"/>
        <v>38479.93</v>
      </c>
      <c r="W13" s="960"/>
    </row>
    <row r="14" spans="1:27">
      <c r="A14" s="918">
        <v>300011</v>
      </c>
      <c r="B14" s="919" t="s">
        <v>1025</v>
      </c>
      <c r="C14" s="1363">
        <f>IF('TAR_Tab 2_Volumina'!M17,1,0)</f>
        <v>1</v>
      </c>
      <c r="D14" s="1527">
        <v>17726.04489529389</v>
      </c>
      <c r="E14" s="1528">
        <f t="shared" si="0"/>
        <v>16903.556412152255</v>
      </c>
      <c r="F14" s="1528">
        <f t="shared" si="1"/>
        <v>17861.01390568259</v>
      </c>
      <c r="G14" s="1531"/>
      <c r="H14" s="1528">
        <f t="shared" si="2"/>
        <v>16967.963210398459</v>
      </c>
      <c r="I14" s="1528">
        <f t="shared" si="3"/>
        <v>18754.064600966722</v>
      </c>
      <c r="J14" s="1532">
        <f t="shared" si="8"/>
        <v>17861.01390568259</v>
      </c>
      <c r="K14" s="1369" t="b">
        <f t="shared" si="9"/>
        <v>1</v>
      </c>
      <c r="L14" s="1558"/>
      <c r="M14" s="1364"/>
      <c r="N14" s="1371">
        <f t="shared" si="4"/>
        <v>17861.01390568259</v>
      </c>
      <c r="O14" s="1372"/>
      <c r="P14" s="1371">
        <f t="shared" si="10"/>
        <v>56.167947152971543</v>
      </c>
      <c r="Q14" s="1371">
        <f t="shared" si="5"/>
        <v>44.520984859919338</v>
      </c>
      <c r="R14" s="1371">
        <f t="shared" si="5"/>
        <v>123.12413435904286</v>
      </c>
      <c r="S14" s="1371">
        <f t="shared" si="5"/>
        <v>0</v>
      </c>
      <c r="T14" s="1371">
        <f t="shared" si="5"/>
        <v>1155.1357038717852</v>
      </c>
      <c r="U14" s="1371">
        <f t="shared" si="6"/>
        <v>19239.962675926312</v>
      </c>
      <c r="V14" s="1373">
        <f t="shared" si="7"/>
        <v>19239.96</v>
      </c>
      <c r="W14" s="960"/>
    </row>
    <row r="15" spans="1:27">
      <c r="A15" s="918">
        <v>300012</v>
      </c>
      <c r="B15" s="919" t="s">
        <v>1026</v>
      </c>
      <c r="C15" s="1363">
        <f>IF('TAR_Tab 2_Volumina'!M18,1,0)</f>
        <v>1</v>
      </c>
      <c r="D15" s="1529">
        <v>88630.224476469462</v>
      </c>
      <c r="E15" s="1528">
        <f t="shared" si="0"/>
        <v>84517.782060761281</v>
      </c>
      <c r="F15" s="1528">
        <f t="shared" si="1"/>
        <v>89305.069528412962</v>
      </c>
      <c r="G15" s="1531"/>
      <c r="H15" s="1528">
        <f t="shared" si="2"/>
        <v>84839.816051992311</v>
      </c>
      <c r="I15" s="1528">
        <f t="shared" si="3"/>
        <v>93770.323004833612</v>
      </c>
      <c r="J15" s="1532">
        <f t="shared" si="8"/>
        <v>89305.069528412962</v>
      </c>
      <c r="K15" s="1369" t="b">
        <f t="shared" si="9"/>
        <v>1</v>
      </c>
      <c r="L15" s="1558"/>
      <c r="M15" s="1364"/>
      <c r="N15" s="1371">
        <f t="shared" si="4"/>
        <v>89305.069528412962</v>
      </c>
      <c r="O15" s="1372"/>
      <c r="P15" s="1371">
        <f t="shared" si="10"/>
        <v>280.83973576485772</v>
      </c>
      <c r="Q15" s="1371">
        <f t="shared" si="5"/>
        <v>222.60492429959672</v>
      </c>
      <c r="R15" s="1371">
        <f t="shared" si="5"/>
        <v>615.62067179521432</v>
      </c>
      <c r="S15" s="1371">
        <f t="shared" si="5"/>
        <v>0</v>
      </c>
      <c r="T15" s="1371">
        <f t="shared" si="5"/>
        <v>5775.6785193589267</v>
      </c>
      <c r="U15" s="1371">
        <f t="shared" si="6"/>
        <v>96199.813379631567</v>
      </c>
      <c r="V15" s="1373">
        <f t="shared" si="7"/>
        <v>96199.81</v>
      </c>
      <c r="W15" s="960"/>
    </row>
    <row r="16" spans="1:27">
      <c r="A16" s="918">
        <v>300016</v>
      </c>
      <c r="B16" s="919" t="s">
        <v>59</v>
      </c>
      <c r="C16" s="1363">
        <f>IF('TAR_Tab 2_Volumina'!M19,1,0)</f>
        <v>0</v>
      </c>
      <c r="D16" s="1527">
        <v>0</v>
      </c>
      <c r="E16" s="1528">
        <f t="shared" si="0"/>
        <v>0</v>
      </c>
      <c r="F16" s="1528">
        <f t="shared" si="1"/>
        <v>0</v>
      </c>
      <c r="G16" s="1531"/>
      <c r="H16" s="1528">
        <f t="shared" si="2"/>
        <v>0</v>
      </c>
      <c r="I16" s="1528">
        <f t="shared" si="3"/>
        <v>0</v>
      </c>
      <c r="J16" s="1532">
        <f t="shared" si="8"/>
        <v>0</v>
      </c>
      <c r="K16" s="1369" t="str">
        <f t="shared" si="9"/>
        <v/>
      </c>
      <c r="L16" s="1558"/>
      <c r="M16" s="1364"/>
      <c r="N16" s="1371">
        <f t="shared" si="4"/>
        <v>0</v>
      </c>
      <c r="O16" s="1372"/>
      <c r="P16" s="1371">
        <f t="shared" si="10"/>
        <v>0</v>
      </c>
      <c r="Q16" s="1371">
        <f t="shared" si="5"/>
        <v>0</v>
      </c>
      <c r="R16" s="1371">
        <f t="shared" si="5"/>
        <v>0</v>
      </c>
      <c r="S16" s="1371">
        <f t="shared" si="5"/>
        <v>0</v>
      </c>
      <c r="T16" s="1371">
        <f t="shared" si="5"/>
        <v>0</v>
      </c>
      <c r="U16" s="1371">
        <f t="shared" si="6"/>
        <v>0</v>
      </c>
      <c r="V16" s="1373">
        <f t="shared" si="7"/>
        <v>0</v>
      </c>
      <c r="W16" s="960"/>
    </row>
    <row r="17" spans="1:23">
      <c r="A17" s="918">
        <v>300024</v>
      </c>
      <c r="B17" s="919" t="s">
        <v>1027</v>
      </c>
      <c r="C17" s="1363">
        <f>IF('TAR_Tab 2_Volumina'!M20,1,0)</f>
        <v>1</v>
      </c>
      <c r="D17" s="1527">
        <v>17726.04489529389</v>
      </c>
      <c r="E17" s="1528">
        <f t="shared" si="0"/>
        <v>16903.556412152255</v>
      </c>
      <c r="F17" s="1528">
        <f t="shared" si="1"/>
        <v>17861.01390568259</v>
      </c>
      <c r="G17" s="1531"/>
      <c r="H17" s="1528">
        <f t="shared" si="2"/>
        <v>16967.963210398459</v>
      </c>
      <c r="I17" s="1528">
        <f t="shared" si="3"/>
        <v>18754.064600966722</v>
      </c>
      <c r="J17" s="1532">
        <f t="shared" si="8"/>
        <v>17861.01390568259</v>
      </c>
      <c r="K17" s="1369" t="b">
        <f t="shared" si="9"/>
        <v>1</v>
      </c>
      <c r="L17" s="1558"/>
      <c r="M17" s="1364"/>
      <c r="N17" s="1371">
        <f t="shared" si="4"/>
        <v>17861.01390568259</v>
      </c>
      <c r="O17" s="1372"/>
      <c r="P17" s="1371">
        <f t="shared" si="10"/>
        <v>56.167947152971543</v>
      </c>
      <c r="Q17" s="1371">
        <f t="shared" si="5"/>
        <v>44.520984859919338</v>
      </c>
      <c r="R17" s="1371">
        <f t="shared" si="5"/>
        <v>123.12413435904286</v>
      </c>
      <c r="S17" s="1371">
        <f t="shared" si="5"/>
        <v>0</v>
      </c>
      <c r="T17" s="1371">
        <f t="shared" si="5"/>
        <v>1155.1357038717852</v>
      </c>
      <c r="U17" s="1371">
        <f t="shared" si="6"/>
        <v>19239.962675926312</v>
      </c>
      <c r="V17" s="1373">
        <f t="shared" si="7"/>
        <v>19239.96</v>
      </c>
      <c r="W17" s="960"/>
    </row>
    <row r="18" spans="1:23">
      <c r="A18" s="918">
        <v>300025</v>
      </c>
      <c r="B18" s="919" t="s">
        <v>1028</v>
      </c>
      <c r="C18" s="1363">
        <f>IF('TAR_Tab 2_Volumina'!M21,1,0)</f>
        <v>1</v>
      </c>
      <c r="D18" s="1527">
        <v>17726.04489529389</v>
      </c>
      <c r="E18" s="1528">
        <f t="shared" si="0"/>
        <v>16903.556412152255</v>
      </c>
      <c r="F18" s="1528">
        <f t="shared" si="1"/>
        <v>17861.01390568259</v>
      </c>
      <c r="G18" s="1531"/>
      <c r="H18" s="1528">
        <f t="shared" si="2"/>
        <v>16967.963210398459</v>
      </c>
      <c r="I18" s="1528">
        <f t="shared" si="3"/>
        <v>18754.064600966722</v>
      </c>
      <c r="J18" s="1532">
        <f t="shared" si="8"/>
        <v>17861.01390568259</v>
      </c>
      <c r="K18" s="1369" t="b">
        <f t="shared" si="9"/>
        <v>1</v>
      </c>
      <c r="L18" s="1558"/>
      <c r="M18" s="1364"/>
      <c r="N18" s="1371">
        <f t="shared" si="4"/>
        <v>17861.01390568259</v>
      </c>
      <c r="O18" s="1372"/>
      <c r="P18" s="1371">
        <f t="shared" si="10"/>
        <v>56.167947152971543</v>
      </c>
      <c r="Q18" s="1371">
        <f t="shared" si="5"/>
        <v>44.520984859919338</v>
      </c>
      <c r="R18" s="1371">
        <f t="shared" si="5"/>
        <v>123.12413435904286</v>
      </c>
      <c r="S18" s="1371">
        <f t="shared" si="5"/>
        <v>0</v>
      </c>
      <c r="T18" s="1371">
        <f t="shared" si="5"/>
        <v>1155.1357038717852</v>
      </c>
      <c r="U18" s="1371">
        <f t="shared" si="6"/>
        <v>19239.962675926312</v>
      </c>
      <c r="V18" s="1373">
        <f t="shared" si="7"/>
        <v>19239.96</v>
      </c>
      <c r="W18" s="960"/>
    </row>
    <row r="19" spans="1:23">
      <c r="A19" s="918">
        <v>300027</v>
      </c>
      <c r="B19" s="919" t="s">
        <v>288</v>
      </c>
      <c r="C19" s="1363">
        <f>IF('TAR_Tab 2_Volumina'!M22,1,0)</f>
        <v>1</v>
      </c>
      <c r="D19" s="1529">
        <v>35452.089790587779</v>
      </c>
      <c r="E19" s="1528">
        <f t="shared" si="0"/>
        <v>33807.11282430451</v>
      </c>
      <c r="F19" s="1528">
        <f t="shared" si="1"/>
        <v>35722.02781136518</v>
      </c>
      <c r="G19" s="1531"/>
      <c r="H19" s="1528">
        <f t="shared" si="2"/>
        <v>33935.926420796917</v>
      </c>
      <c r="I19" s="1528">
        <f t="shared" si="3"/>
        <v>37508.129201933443</v>
      </c>
      <c r="J19" s="1532">
        <f t="shared" si="8"/>
        <v>35722.02781136518</v>
      </c>
      <c r="K19" s="1369" t="b">
        <f t="shared" si="9"/>
        <v>1</v>
      </c>
      <c r="L19" s="1558"/>
      <c r="M19" s="1364"/>
      <c r="N19" s="1371">
        <f t="shared" si="4"/>
        <v>35722.02781136518</v>
      </c>
      <c r="O19" s="1372"/>
      <c r="P19" s="1371">
        <f t="shared" si="10"/>
        <v>112.33589430594309</v>
      </c>
      <c r="Q19" s="1371">
        <f t="shared" si="5"/>
        <v>89.041969719838676</v>
      </c>
      <c r="R19" s="1371">
        <f t="shared" si="5"/>
        <v>246.24826871808571</v>
      </c>
      <c r="S19" s="1371">
        <f t="shared" si="5"/>
        <v>0</v>
      </c>
      <c r="T19" s="1371">
        <f t="shared" si="5"/>
        <v>2310.2714077435703</v>
      </c>
      <c r="U19" s="1371">
        <f t="shared" si="6"/>
        <v>38479.925351852624</v>
      </c>
      <c r="V19" s="1373">
        <f t="shared" si="7"/>
        <v>38479.93</v>
      </c>
      <c r="W19" s="960"/>
    </row>
    <row r="20" spans="1:23">
      <c r="A20" s="918">
        <v>300031</v>
      </c>
      <c r="B20" s="919" t="s">
        <v>1029</v>
      </c>
      <c r="C20" s="1363">
        <f>IF('TAR_Tab 2_Volumina'!M23,1,0)</f>
        <v>1</v>
      </c>
      <c r="D20" s="1527">
        <v>17726.04489529389</v>
      </c>
      <c r="E20" s="1528">
        <f t="shared" si="0"/>
        <v>16903.556412152255</v>
      </c>
      <c r="F20" s="1528">
        <f t="shared" si="1"/>
        <v>17861.01390568259</v>
      </c>
      <c r="G20" s="1531"/>
      <c r="H20" s="1528">
        <f t="shared" si="2"/>
        <v>16967.963210398459</v>
      </c>
      <c r="I20" s="1528">
        <f t="shared" si="3"/>
        <v>18754.064600966722</v>
      </c>
      <c r="J20" s="1532">
        <f t="shared" si="8"/>
        <v>17861.01390568259</v>
      </c>
      <c r="K20" s="1369" t="b">
        <f t="shared" si="9"/>
        <v>1</v>
      </c>
      <c r="L20" s="1558"/>
      <c r="M20" s="1364"/>
      <c r="N20" s="1371">
        <f t="shared" si="4"/>
        <v>17861.01390568259</v>
      </c>
      <c r="O20" s="1372"/>
      <c r="P20" s="1371">
        <f t="shared" si="10"/>
        <v>56.167947152971543</v>
      </c>
      <c r="Q20" s="1371">
        <f t="shared" si="5"/>
        <v>44.520984859919338</v>
      </c>
      <c r="R20" s="1371">
        <f t="shared" si="5"/>
        <v>123.12413435904286</v>
      </c>
      <c r="S20" s="1371">
        <f t="shared" si="5"/>
        <v>0</v>
      </c>
      <c r="T20" s="1371">
        <f t="shared" si="5"/>
        <v>1155.1357038717852</v>
      </c>
      <c r="U20" s="1371">
        <f t="shared" si="6"/>
        <v>19239.962675926312</v>
      </c>
      <c r="V20" s="1373">
        <f t="shared" si="7"/>
        <v>19239.96</v>
      </c>
      <c r="W20" s="960"/>
    </row>
    <row r="21" spans="1:23">
      <c r="A21" s="918">
        <v>300032</v>
      </c>
      <c r="B21" s="919" t="s">
        <v>60</v>
      </c>
      <c r="C21" s="1363">
        <f>IF('TAR_Tab 2_Volumina'!M24,1,0)</f>
        <v>1</v>
      </c>
      <c r="D21" s="1527">
        <v>17726.04489529389</v>
      </c>
      <c r="E21" s="1528">
        <f t="shared" si="0"/>
        <v>16903.556412152255</v>
      </c>
      <c r="F21" s="1528">
        <f t="shared" si="1"/>
        <v>17861.01390568259</v>
      </c>
      <c r="G21" s="1531"/>
      <c r="H21" s="1528">
        <f t="shared" si="2"/>
        <v>16967.963210398459</v>
      </c>
      <c r="I21" s="1528">
        <f t="shared" si="3"/>
        <v>18754.064600966722</v>
      </c>
      <c r="J21" s="1532">
        <f t="shared" si="8"/>
        <v>17861.01390568259</v>
      </c>
      <c r="K21" s="1369" t="b">
        <f t="shared" si="9"/>
        <v>1</v>
      </c>
      <c r="L21" s="1558"/>
      <c r="M21" s="1364"/>
      <c r="N21" s="1371">
        <f t="shared" si="4"/>
        <v>17861.01390568259</v>
      </c>
      <c r="O21" s="1372"/>
      <c r="P21" s="1371">
        <f t="shared" si="10"/>
        <v>56.167947152971543</v>
      </c>
      <c r="Q21" s="1371">
        <f t="shared" si="5"/>
        <v>44.520984859919338</v>
      </c>
      <c r="R21" s="1371">
        <f t="shared" si="5"/>
        <v>123.12413435904286</v>
      </c>
      <c r="S21" s="1371">
        <f t="shared" si="5"/>
        <v>0</v>
      </c>
      <c r="T21" s="1371">
        <f t="shared" si="5"/>
        <v>1155.1357038717852</v>
      </c>
      <c r="U21" s="1371">
        <f t="shared" si="6"/>
        <v>19239.962675926312</v>
      </c>
      <c r="V21" s="1373">
        <f t="shared" si="7"/>
        <v>19239.96</v>
      </c>
      <c r="W21" s="960"/>
    </row>
    <row r="22" spans="1:23">
      <c r="A22" s="918">
        <v>300034</v>
      </c>
      <c r="B22" s="919" t="s">
        <v>1030</v>
      </c>
      <c r="C22" s="1363">
        <f>IF('TAR_Tab 2_Volumina'!M25,1,0)</f>
        <v>1</v>
      </c>
      <c r="D22" s="1527">
        <v>17726.04489529389</v>
      </c>
      <c r="E22" s="1528">
        <f t="shared" si="0"/>
        <v>16903.556412152255</v>
      </c>
      <c r="F22" s="1528">
        <f t="shared" si="1"/>
        <v>17861.01390568259</v>
      </c>
      <c r="G22" s="1531"/>
      <c r="H22" s="1528">
        <f t="shared" si="2"/>
        <v>16967.963210398459</v>
      </c>
      <c r="I22" s="1528">
        <f t="shared" si="3"/>
        <v>18754.064600966722</v>
      </c>
      <c r="J22" s="1532">
        <f t="shared" si="8"/>
        <v>17861.01390568259</v>
      </c>
      <c r="K22" s="1369" t="b">
        <f t="shared" si="9"/>
        <v>1</v>
      </c>
      <c r="L22" s="1558"/>
      <c r="M22" s="1364"/>
      <c r="N22" s="1371">
        <f t="shared" si="4"/>
        <v>17861.01390568259</v>
      </c>
      <c r="O22" s="1372"/>
      <c r="P22" s="1371">
        <f t="shared" si="10"/>
        <v>56.167947152971543</v>
      </c>
      <c r="Q22" s="1371">
        <f t="shared" si="5"/>
        <v>44.520984859919338</v>
      </c>
      <c r="R22" s="1371">
        <f t="shared" si="5"/>
        <v>123.12413435904286</v>
      </c>
      <c r="S22" s="1371">
        <f t="shared" si="5"/>
        <v>0</v>
      </c>
      <c r="T22" s="1371">
        <f t="shared" si="5"/>
        <v>1155.1357038717852</v>
      </c>
      <c r="U22" s="1371">
        <f t="shared" si="6"/>
        <v>19239.962675926312</v>
      </c>
      <c r="V22" s="1373">
        <f t="shared" si="7"/>
        <v>19239.96</v>
      </c>
      <c r="W22" s="960"/>
    </row>
    <row r="23" spans="1:23">
      <c r="A23" s="918">
        <v>300035</v>
      </c>
      <c r="B23" s="919" t="s">
        <v>1031</v>
      </c>
      <c r="C23" s="1363">
        <f>IF('TAR_Tab 2_Volumina'!M26,1,0)</f>
        <v>1</v>
      </c>
      <c r="D23" s="1527">
        <v>17726.04489529389</v>
      </c>
      <c r="E23" s="1528">
        <f t="shared" si="0"/>
        <v>16903.556412152255</v>
      </c>
      <c r="F23" s="1528">
        <f t="shared" si="1"/>
        <v>17861.01390568259</v>
      </c>
      <c r="G23" s="1531"/>
      <c r="H23" s="1528">
        <f t="shared" si="2"/>
        <v>16967.963210398459</v>
      </c>
      <c r="I23" s="1528">
        <f t="shared" si="3"/>
        <v>18754.064600966722</v>
      </c>
      <c r="J23" s="1532">
        <f t="shared" si="8"/>
        <v>17861.01390568259</v>
      </c>
      <c r="K23" s="1369" t="b">
        <f t="shared" si="9"/>
        <v>1</v>
      </c>
      <c r="L23" s="1558"/>
      <c r="M23" s="1364"/>
      <c r="N23" s="1371">
        <f t="shared" si="4"/>
        <v>17861.01390568259</v>
      </c>
      <c r="O23" s="1372"/>
      <c r="P23" s="1371">
        <f t="shared" si="10"/>
        <v>56.167947152971543</v>
      </c>
      <c r="Q23" s="1371">
        <f t="shared" si="5"/>
        <v>44.520984859919338</v>
      </c>
      <c r="R23" s="1371">
        <f t="shared" si="5"/>
        <v>123.12413435904286</v>
      </c>
      <c r="S23" s="1371">
        <f t="shared" si="5"/>
        <v>0</v>
      </c>
      <c r="T23" s="1371">
        <f t="shared" si="5"/>
        <v>1155.1357038717852</v>
      </c>
      <c r="U23" s="1371">
        <f t="shared" si="6"/>
        <v>19239.962675926312</v>
      </c>
      <c r="V23" s="1373">
        <f t="shared" si="7"/>
        <v>19239.96</v>
      </c>
      <c r="W23" s="960"/>
    </row>
    <row r="24" spans="1:23">
      <c r="A24" s="918">
        <v>300039</v>
      </c>
      <c r="B24" s="919" t="s">
        <v>1032</v>
      </c>
      <c r="C24" s="1363">
        <f>IF('TAR_Tab 2_Volumina'!M27,1,0)</f>
        <v>1</v>
      </c>
      <c r="D24" s="1527">
        <v>17726.04489529389</v>
      </c>
      <c r="E24" s="1528">
        <f t="shared" si="0"/>
        <v>16903.556412152255</v>
      </c>
      <c r="F24" s="1528">
        <f t="shared" si="1"/>
        <v>17861.01390568259</v>
      </c>
      <c r="G24" s="1531"/>
      <c r="H24" s="1528">
        <f t="shared" si="2"/>
        <v>16967.963210398459</v>
      </c>
      <c r="I24" s="1528">
        <f t="shared" si="3"/>
        <v>18754.064600966722</v>
      </c>
      <c r="J24" s="1532">
        <f t="shared" si="8"/>
        <v>17861.01390568259</v>
      </c>
      <c r="K24" s="1369" t="b">
        <f t="shared" si="9"/>
        <v>1</v>
      </c>
      <c r="L24" s="1558"/>
      <c r="M24" s="1364"/>
      <c r="N24" s="1371">
        <f t="shared" si="4"/>
        <v>17861.01390568259</v>
      </c>
      <c r="O24" s="1372"/>
      <c r="P24" s="1371">
        <f t="shared" si="10"/>
        <v>56.167947152971543</v>
      </c>
      <c r="Q24" s="1371">
        <f t="shared" si="5"/>
        <v>44.520984859919338</v>
      </c>
      <c r="R24" s="1371">
        <f t="shared" si="5"/>
        <v>123.12413435904286</v>
      </c>
      <c r="S24" s="1371">
        <f t="shared" si="5"/>
        <v>0</v>
      </c>
      <c r="T24" s="1371">
        <f t="shared" si="5"/>
        <v>1155.1357038717852</v>
      </c>
      <c r="U24" s="1371">
        <f t="shared" si="6"/>
        <v>19239.962675926312</v>
      </c>
      <c r="V24" s="1373">
        <f t="shared" si="7"/>
        <v>19239.96</v>
      </c>
      <c r="W24" s="960"/>
    </row>
    <row r="25" spans="1:23">
      <c r="A25" s="918">
        <v>300042</v>
      </c>
      <c r="B25" s="919" t="s">
        <v>289</v>
      </c>
      <c r="C25" s="1363">
        <f>IF('TAR_Tab 2_Volumina'!M28,1,0)</f>
        <v>1</v>
      </c>
      <c r="D25" s="1529">
        <v>35452.089790587779</v>
      </c>
      <c r="E25" s="1528">
        <f t="shared" si="0"/>
        <v>33807.11282430451</v>
      </c>
      <c r="F25" s="1528">
        <f t="shared" si="1"/>
        <v>35722.02781136518</v>
      </c>
      <c r="G25" s="1531"/>
      <c r="H25" s="1528">
        <f t="shared" si="2"/>
        <v>33935.926420796917</v>
      </c>
      <c r="I25" s="1528">
        <f t="shared" si="3"/>
        <v>37508.129201933443</v>
      </c>
      <c r="J25" s="1532">
        <f t="shared" si="8"/>
        <v>35722.02781136518</v>
      </c>
      <c r="K25" s="1369" t="b">
        <f t="shared" si="9"/>
        <v>1</v>
      </c>
      <c r="L25" s="1558"/>
      <c r="M25" s="1364"/>
      <c r="N25" s="1371">
        <f t="shared" si="4"/>
        <v>35722.02781136518</v>
      </c>
      <c r="O25" s="1372"/>
      <c r="P25" s="1371">
        <f t="shared" si="10"/>
        <v>112.33589430594309</v>
      </c>
      <c r="Q25" s="1371">
        <f t="shared" si="10"/>
        <v>89.041969719838676</v>
      </c>
      <c r="R25" s="1371">
        <f t="shared" si="10"/>
        <v>246.24826871808571</v>
      </c>
      <c r="S25" s="1371">
        <f t="shared" si="10"/>
        <v>0</v>
      </c>
      <c r="T25" s="1371">
        <f t="shared" si="10"/>
        <v>2310.2714077435703</v>
      </c>
      <c r="U25" s="1371">
        <f t="shared" si="6"/>
        <v>38479.925351852624</v>
      </c>
      <c r="V25" s="1373">
        <f t="shared" si="7"/>
        <v>38479.93</v>
      </c>
      <c r="W25" s="960"/>
    </row>
    <row r="26" spans="1:23">
      <c r="A26" s="918">
        <v>300043</v>
      </c>
      <c r="B26" s="919" t="s">
        <v>290</v>
      </c>
      <c r="C26" s="1363">
        <f>IF('TAR_Tab 2_Volumina'!M29,1,0)</f>
        <v>1</v>
      </c>
      <c r="D26" s="1529">
        <v>35452.089790587779</v>
      </c>
      <c r="E26" s="1528">
        <f t="shared" si="0"/>
        <v>33807.11282430451</v>
      </c>
      <c r="F26" s="1528">
        <f t="shared" si="1"/>
        <v>35722.02781136518</v>
      </c>
      <c r="G26" s="1531"/>
      <c r="H26" s="1528">
        <f t="shared" si="2"/>
        <v>33935.926420796917</v>
      </c>
      <c r="I26" s="1528">
        <f t="shared" si="3"/>
        <v>37508.129201933443</v>
      </c>
      <c r="J26" s="1532">
        <f t="shared" si="8"/>
        <v>35722.02781136518</v>
      </c>
      <c r="K26" s="1369" t="b">
        <f t="shared" si="9"/>
        <v>1</v>
      </c>
      <c r="L26" s="1558"/>
      <c r="M26" s="1364"/>
      <c r="N26" s="1371">
        <f t="shared" si="4"/>
        <v>35722.02781136518</v>
      </c>
      <c r="O26" s="1372"/>
      <c r="P26" s="1371">
        <f t="shared" si="10"/>
        <v>112.33589430594309</v>
      </c>
      <c r="Q26" s="1371">
        <f t="shared" si="10"/>
        <v>89.041969719838676</v>
      </c>
      <c r="R26" s="1371">
        <f t="shared" si="10"/>
        <v>246.24826871808571</v>
      </c>
      <c r="S26" s="1371">
        <f t="shared" si="10"/>
        <v>0</v>
      </c>
      <c r="T26" s="1371">
        <f t="shared" si="10"/>
        <v>2310.2714077435703</v>
      </c>
      <c r="U26" s="1371">
        <f t="shared" si="6"/>
        <v>38479.925351852624</v>
      </c>
      <c r="V26" s="1373">
        <f t="shared" si="7"/>
        <v>38479.93</v>
      </c>
      <c r="W26" s="960"/>
    </row>
    <row r="27" spans="1:23">
      <c r="A27" s="918">
        <v>300049</v>
      </c>
      <c r="B27" s="919" t="s">
        <v>1033</v>
      </c>
      <c r="C27" s="1363">
        <f>IF('TAR_Tab 2_Volumina'!M30,1,0)</f>
        <v>1</v>
      </c>
      <c r="D27" s="1527">
        <v>17726.04489529389</v>
      </c>
      <c r="E27" s="1528">
        <f t="shared" si="0"/>
        <v>16903.556412152255</v>
      </c>
      <c r="F27" s="1528">
        <f t="shared" si="1"/>
        <v>17861.01390568259</v>
      </c>
      <c r="G27" s="1531"/>
      <c r="H27" s="1528">
        <f t="shared" si="2"/>
        <v>16967.963210398459</v>
      </c>
      <c r="I27" s="1528">
        <f t="shared" si="3"/>
        <v>18754.064600966722</v>
      </c>
      <c r="J27" s="1532">
        <f t="shared" si="8"/>
        <v>17861.01390568259</v>
      </c>
      <c r="K27" s="1369" t="b">
        <f t="shared" si="9"/>
        <v>1</v>
      </c>
      <c r="L27" s="1558"/>
      <c r="M27" s="1364"/>
      <c r="N27" s="1371">
        <f t="shared" si="4"/>
        <v>17861.01390568259</v>
      </c>
      <c r="O27" s="1372"/>
      <c r="P27" s="1371">
        <f t="shared" si="10"/>
        <v>56.167947152971543</v>
      </c>
      <c r="Q27" s="1371">
        <f t="shared" si="10"/>
        <v>44.520984859919338</v>
      </c>
      <c r="R27" s="1371">
        <f t="shared" si="10"/>
        <v>123.12413435904286</v>
      </c>
      <c r="S27" s="1371">
        <f t="shared" si="10"/>
        <v>0</v>
      </c>
      <c r="T27" s="1371">
        <f t="shared" si="10"/>
        <v>1155.1357038717852</v>
      </c>
      <c r="U27" s="1371">
        <f t="shared" si="6"/>
        <v>19239.962675926312</v>
      </c>
      <c r="V27" s="1373">
        <f t="shared" si="7"/>
        <v>19239.96</v>
      </c>
      <c r="W27" s="960"/>
    </row>
    <row r="28" spans="1:23">
      <c r="A28" s="918">
        <v>300050</v>
      </c>
      <c r="B28" s="919" t="s">
        <v>61</v>
      </c>
      <c r="C28" s="1363">
        <f>IF('TAR_Tab 2_Volumina'!M31,1,0)</f>
        <v>1</v>
      </c>
      <c r="D28" s="1527">
        <v>17726.04489529389</v>
      </c>
      <c r="E28" s="1528">
        <f t="shared" si="0"/>
        <v>16903.556412152255</v>
      </c>
      <c r="F28" s="1528">
        <f t="shared" si="1"/>
        <v>17861.01390568259</v>
      </c>
      <c r="G28" s="1531"/>
      <c r="H28" s="1528">
        <f t="shared" si="2"/>
        <v>16967.963210398459</v>
      </c>
      <c r="I28" s="1528">
        <f t="shared" si="3"/>
        <v>18754.064600966722</v>
      </c>
      <c r="J28" s="1532">
        <f t="shared" si="8"/>
        <v>17861.01390568259</v>
      </c>
      <c r="K28" s="1369" t="b">
        <f t="shared" si="9"/>
        <v>1</v>
      </c>
      <c r="L28" s="1558"/>
      <c r="M28" s="1364"/>
      <c r="N28" s="1371">
        <f t="shared" si="4"/>
        <v>17861.01390568259</v>
      </c>
      <c r="O28" s="1372"/>
      <c r="P28" s="1371">
        <f t="shared" si="10"/>
        <v>56.167947152971543</v>
      </c>
      <c r="Q28" s="1371">
        <f t="shared" si="10"/>
        <v>44.520984859919338</v>
      </c>
      <c r="R28" s="1371">
        <f t="shared" si="10"/>
        <v>123.12413435904286</v>
      </c>
      <c r="S28" s="1371">
        <f t="shared" si="10"/>
        <v>0</v>
      </c>
      <c r="T28" s="1371">
        <f t="shared" si="10"/>
        <v>1155.1357038717852</v>
      </c>
      <c r="U28" s="1371">
        <f t="shared" si="6"/>
        <v>19239.962675926312</v>
      </c>
      <c r="V28" s="1373">
        <f t="shared" si="7"/>
        <v>19239.96</v>
      </c>
      <c r="W28" s="960"/>
    </row>
    <row r="29" spans="1:23">
      <c r="A29" s="918">
        <v>300052</v>
      </c>
      <c r="B29" s="919" t="s">
        <v>62</v>
      </c>
      <c r="C29" s="1363">
        <f>IF('TAR_Tab 2_Volumina'!M32,1,0)</f>
        <v>1</v>
      </c>
      <c r="D29" s="1527">
        <v>17726.04489529389</v>
      </c>
      <c r="E29" s="1528">
        <f t="shared" si="0"/>
        <v>16903.556412152255</v>
      </c>
      <c r="F29" s="1528">
        <f t="shared" si="1"/>
        <v>17861.01390568259</v>
      </c>
      <c r="G29" s="1531"/>
      <c r="H29" s="1528">
        <f t="shared" si="2"/>
        <v>16967.963210398459</v>
      </c>
      <c r="I29" s="1528">
        <f t="shared" si="3"/>
        <v>18754.064600966722</v>
      </c>
      <c r="J29" s="1532">
        <f t="shared" si="8"/>
        <v>17861.01390568259</v>
      </c>
      <c r="K29" s="1369" t="b">
        <f t="shared" si="9"/>
        <v>1</v>
      </c>
      <c r="L29" s="1558"/>
      <c r="M29" s="1364"/>
      <c r="N29" s="1371">
        <f t="shared" si="4"/>
        <v>17861.01390568259</v>
      </c>
      <c r="O29" s="1372"/>
      <c r="P29" s="1371">
        <f t="shared" si="10"/>
        <v>56.167947152971543</v>
      </c>
      <c r="Q29" s="1371">
        <f t="shared" si="10"/>
        <v>44.520984859919338</v>
      </c>
      <c r="R29" s="1371">
        <f t="shared" si="10"/>
        <v>123.12413435904286</v>
      </c>
      <c r="S29" s="1371">
        <f t="shared" si="10"/>
        <v>0</v>
      </c>
      <c r="T29" s="1371">
        <f t="shared" si="10"/>
        <v>1155.1357038717852</v>
      </c>
      <c r="U29" s="1371">
        <f t="shared" si="6"/>
        <v>19239.962675926312</v>
      </c>
      <c r="V29" s="1373">
        <f t="shared" si="7"/>
        <v>19239.96</v>
      </c>
      <c r="W29" s="960"/>
    </row>
    <row r="30" spans="1:23">
      <c r="A30" s="918">
        <v>300053</v>
      </c>
      <c r="B30" s="919" t="s">
        <v>1034</v>
      </c>
      <c r="C30" s="1363">
        <f>IF('TAR_Tab 2_Volumina'!M33,1,0)</f>
        <v>1</v>
      </c>
      <c r="D30" s="1529">
        <v>35452.089790587779</v>
      </c>
      <c r="E30" s="1528">
        <f t="shared" si="0"/>
        <v>33807.11282430451</v>
      </c>
      <c r="F30" s="1528">
        <f t="shared" si="1"/>
        <v>35722.02781136518</v>
      </c>
      <c r="G30" s="1531"/>
      <c r="H30" s="1528">
        <f t="shared" si="2"/>
        <v>33935.926420796917</v>
      </c>
      <c r="I30" s="1528">
        <f t="shared" si="3"/>
        <v>37508.129201933443</v>
      </c>
      <c r="J30" s="1532">
        <f t="shared" si="8"/>
        <v>35722.02781136518</v>
      </c>
      <c r="K30" s="1369" t="b">
        <f t="shared" si="9"/>
        <v>1</v>
      </c>
      <c r="L30" s="1558"/>
      <c r="M30" s="1364"/>
      <c r="N30" s="1371">
        <f t="shared" si="4"/>
        <v>35722.02781136518</v>
      </c>
      <c r="O30" s="1372"/>
      <c r="P30" s="1371">
        <f>P$7*$N30</f>
        <v>112.33589430594309</v>
      </c>
      <c r="Q30" s="1371">
        <f t="shared" si="10"/>
        <v>89.041969719838676</v>
      </c>
      <c r="R30" s="1371">
        <f t="shared" si="10"/>
        <v>246.24826871808571</v>
      </c>
      <c r="S30" s="1371">
        <f t="shared" si="10"/>
        <v>0</v>
      </c>
      <c r="T30" s="1371">
        <f t="shared" si="10"/>
        <v>2310.2714077435703</v>
      </c>
      <c r="U30" s="1371">
        <f t="shared" si="6"/>
        <v>38479.925351852624</v>
      </c>
      <c r="V30" s="1373">
        <f t="shared" si="7"/>
        <v>38479.93</v>
      </c>
      <c r="W30" s="960"/>
    </row>
    <row r="31" spans="1:23">
      <c r="A31" s="918">
        <v>300057</v>
      </c>
      <c r="B31" s="919" t="s">
        <v>224</v>
      </c>
      <c r="C31" s="1363">
        <f>IF('TAR_Tab 2_Volumina'!M34,1,0)</f>
        <v>0</v>
      </c>
      <c r="D31" s="1527">
        <v>0</v>
      </c>
      <c r="E31" s="1528">
        <f t="shared" si="0"/>
        <v>0</v>
      </c>
      <c r="F31" s="1528">
        <f t="shared" si="1"/>
        <v>0</v>
      </c>
      <c r="G31" s="1531"/>
      <c r="H31" s="1528">
        <f t="shared" si="2"/>
        <v>0</v>
      </c>
      <c r="I31" s="1528">
        <f t="shared" si="3"/>
        <v>0</v>
      </c>
      <c r="J31" s="1532">
        <f t="shared" si="8"/>
        <v>0</v>
      </c>
      <c r="K31" s="1369" t="str">
        <f t="shared" si="9"/>
        <v/>
      </c>
      <c r="L31" s="1558"/>
      <c r="M31" s="1364"/>
      <c r="N31" s="1371">
        <f t="shared" si="4"/>
        <v>0</v>
      </c>
      <c r="O31" s="1372"/>
      <c r="P31" s="1371">
        <f t="shared" si="10"/>
        <v>0</v>
      </c>
      <c r="Q31" s="1371">
        <f t="shared" si="10"/>
        <v>0</v>
      </c>
      <c r="R31" s="1371">
        <f t="shared" si="10"/>
        <v>0</v>
      </c>
      <c r="S31" s="1371">
        <f t="shared" si="10"/>
        <v>0</v>
      </c>
      <c r="T31" s="1371">
        <f t="shared" si="10"/>
        <v>0</v>
      </c>
      <c r="U31" s="1371">
        <f t="shared" si="6"/>
        <v>0</v>
      </c>
      <c r="V31" s="1373">
        <f t="shared" si="7"/>
        <v>0</v>
      </c>
      <c r="W31" s="960"/>
    </row>
    <row r="32" spans="1:23">
      <c r="A32" s="918">
        <v>300059</v>
      </c>
      <c r="B32" s="919" t="s">
        <v>1035</v>
      </c>
      <c r="C32" s="1363">
        <f>IF('TAR_Tab 2_Volumina'!M35,1,0)</f>
        <v>1</v>
      </c>
      <c r="D32" s="1527">
        <v>17726.04489529389</v>
      </c>
      <c r="E32" s="1528">
        <f t="shared" si="0"/>
        <v>16903.556412152255</v>
      </c>
      <c r="F32" s="1528">
        <f t="shared" si="1"/>
        <v>17861.01390568259</v>
      </c>
      <c r="G32" s="1531"/>
      <c r="H32" s="1528">
        <f t="shared" si="2"/>
        <v>16967.963210398459</v>
      </c>
      <c r="I32" s="1528">
        <f t="shared" si="3"/>
        <v>18754.064600966722</v>
      </c>
      <c r="J32" s="1532">
        <f t="shared" si="8"/>
        <v>17861.01390568259</v>
      </c>
      <c r="K32" s="1369" t="b">
        <f t="shared" si="9"/>
        <v>1</v>
      </c>
      <c r="L32" s="1558"/>
      <c r="M32" s="1364"/>
      <c r="N32" s="1371">
        <f t="shared" si="4"/>
        <v>17861.01390568259</v>
      </c>
      <c r="O32" s="1372"/>
      <c r="P32" s="1371">
        <f t="shared" si="10"/>
        <v>56.167947152971543</v>
      </c>
      <c r="Q32" s="1371">
        <f t="shared" si="10"/>
        <v>44.520984859919338</v>
      </c>
      <c r="R32" s="1371">
        <f t="shared" si="10"/>
        <v>123.12413435904286</v>
      </c>
      <c r="S32" s="1371">
        <f>S$7*$N32</f>
        <v>0</v>
      </c>
      <c r="T32" s="1371">
        <f t="shared" si="10"/>
        <v>1155.1357038717852</v>
      </c>
      <c r="U32" s="1371">
        <f t="shared" si="6"/>
        <v>19239.962675926312</v>
      </c>
      <c r="V32" s="1373">
        <f t="shared" si="7"/>
        <v>19239.96</v>
      </c>
      <c r="W32" s="960"/>
    </row>
    <row r="33" spans="1:23">
      <c r="A33" s="918">
        <v>300060</v>
      </c>
      <c r="B33" s="919" t="s">
        <v>63</v>
      </c>
      <c r="C33" s="1363">
        <f>IF('TAR_Tab 2_Volumina'!M36,1,0)</f>
        <v>0</v>
      </c>
      <c r="D33" s="1527">
        <v>0</v>
      </c>
      <c r="E33" s="1528">
        <f t="shared" si="0"/>
        <v>0</v>
      </c>
      <c r="F33" s="1528">
        <f t="shared" si="1"/>
        <v>0</v>
      </c>
      <c r="G33" s="1531"/>
      <c r="H33" s="1528">
        <f t="shared" si="2"/>
        <v>0</v>
      </c>
      <c r="I33" s="1528">
        <f t="shared" si="3"/>
        <v>0</v>
      </c>
      <c r="J33" s="1532">
        <f t="shared" si="8"/>
        <v>0</v>
      </c>
      <c r="K33" s="1369" t="str">
        <f t="shared" si="9"/>
        <v/>
      </c>
      <c r="L33" s="1558"/>
      <c r="M33" s="1364"/>
      <c r="N33" s="1371">
        <f t="shared" si="4"/>
        <v>0</v>
      </c>
      <c r="O33" s="1372"/>
      <c r="P33" s="1371">
        <f t="shared" si="10"/>
        <v>0</v>
      </c>
      <c r="Q33" s="1371">
        <f t="shared" si="10"/>
        <v>0</v>
      </c>
      <c r="R33" s="1371">
        <f t="shared" si="10"/>
        <v>0</v>
      </c>
      <c r="S33" s="1371">
        <f t="shared" si="10"/>
        <v>0</v>
      </c>
      <c r="T33" s="1371">
        <f t="shared" si="10"/>
        <v>0</v>
      </c>
      <c r="U33" s="1371">
        <f t="shared" si="6"/>
        <v>0</v>
      </c>
      <c r="V33" s="1373">
        <f t="shared" si="7"/>
        <v>0</v>
      </c>
      <c r="W33" s="960"/>
    </row>
    <row r="34" spans="1:23">
      <c r="A34" s="918">
        <v>300064</v>
      </c>
      <c r="B34" s="919" t="s">
        <v>1036</v>
      </c>
      <c r="C34" s="1363">
        <f>IF('TAR_Tab 2_Volumina'!M37,1,0)</f>
        <v>1</v>
      </c>
      <c r="D34" s="1527">
        <v>17726.04489529389</v>
      </c>
      <c r="E34" s="1528">
        <f t="shared" si="0"/>
        <v>16903.556412152255</v>
      </c>
      <c r="F34" s="1528">
        <f t="shared" si="1"/>
        <v>17861.01390568259</v>
      </c>
      <c r="G34" s="1531"/>
      <c r="H34" s="1528">
        <f t="shared" si="2"/>
        <v>16967.963210398459</v>
      </c>
      <c r="I34" s="1528">
        <f t="shared" si="3"/>
        <v>18754.064600966722</v>
      </c>
      <c r="J34" s="1532">
        <f t="shared" si="8"/>
        <v>17861.01390568259</v>
      </c>
      <c r="K34" s="1369" t="b">
        <f t="shared" si="9"/>
        <v>1</v>
      </c>
      <c r="L34" s="1558"/>
      <c r="M34" s="1364"/>
      <c r="N34" s="1371">
        <f t="shared" si="4"/>
        <v>17861.01390568259</v>
      </c>
      <c r="O34" s="1372"/>
      <c r="P34" s="1371">
        <f t="shared" si="10"/>
        <v>56.167947152971543</v>
      </c>
      <c r="Q34" s="1371">
        <f t="shared" si="10"/>
        <v>44.520984859919338</v>
      </c>
      <c r="R34" s="1371">
        <f t="shared" si="10"/>
        <v>123.12413435904286</v>
      </c>
      <c r="S34" s="1371">
        <f t="shared" si="10"/>
        <v>0</v>
      </c>
      <c r="T34" s="1371">
        <f t="shared" si="10"/>
        <v>1155.1357038717852</v>
      </c>
      <c r="U34" s="1371">
        <f t="shared" si="6"/>
        <v>19239.962675926312</v>
      </c>
      <c r="V34" s="1373">
        <f t="shared" si="7"/>
        <v>19239.96</v>
      </c>
      <c r="W34" s="960"/>
    </row>
    <row r="35" spans="1:23">
      <c r="A35" s="918">
        <v>300066</v>
      </c>
      <c r="B35" s="919" t="s">
        <v>1037</v>
      </c>
      <c r="C35" s="1363">
        <f>IF('TAR_Tab 2_Volumina'!M38,1,0)</f>
        <v>1</v>
      </c>
      <c r="D35" s="1527">
        <v>17726.04489529389</v>
      </c>
      <c r="E35" s="1528">
        <f t="shared" si="0"/>
        <v>16903.556412152255</v>
      </c>
      <c r="F35" s="1528">
        <f t="shared" si="1"/>
        <v>17861.01390568259</v>
      </c>
      <c r="G35" s="1531"/>
      <c r="H35" s="1528">
        <f t="shared" si="2"/>
        <v>16967.963210398459</v>
      </c>
      <c r="I35" s="1528">
        <f t="shared" si="3"/>
        <v>18754.064600966722</v>
      </c>
      <c r="J35" s="1532">
        <f t="shared" si="8"/>
        <v>17861.01390568259</v>
      </c>
      <c r="K35" s="1369" t="b">
        <f t="shared" si="9"/>
        <v>1</v>
      </c>
      <c r="L35" s="1558"/>
      <c r="M35" s="1364"/>
      <c r="N35" s="1371">
        <f t="shared" si="4"/>
        <v>17861.01390568259</v>
      </c>
      <c r="O35" s="1372"/>
      <c r="P35" s="1371">
        <f t="shared" si="10"/>
        <v>56.167947152971543</v>
      </c>
      <c r="Q35" s="1371">
        <f t="shared" si="10"/>
        <v>44.520984859919338</v>
      </c>
      <c r="R35" s="1371">
        <f t="shared" si="10"/>
        <v>123.12413435904286</v>
      </c>
      <c r="S35" s="1371">
        <f t="shared" si="10"/>
        <v>0</v>
      </c>
      <c r="T35" s="1371">
        <f t="shared" si="10"/>
        <v>1155.1357038717852</v>
      </c>
      <c r="U35" s="1371">
        <f t="shared" si="6"/>
        <v>19239.962675926312</v>
      </c>
      <c r="V35" s="1373">
        <f t="shared" si="7"/>
        <v>19239.96</v>
      </c>
      <c r="W35" s="960"/>
    </row>
    <row r="36" spans="1:23">
      <c r="A36" s="918">
        <v>300070</v>
      </c>
      <c r="B36" s="919" t="s">
        <v>64</v>
      </c>
      <c r="C36" s="1363">
        <f>IF('TAR_Tab 2_Volumina'!M39,1,0)</f>
        <v>0</v>
      </c>
      <c r="D36" s="1527">
        <v>0</v>
      </c>
      <c r="E36" s="1528">
        <f t="shared" si="0"/>
        <v>0</v>
      </c>
      <c r="F36" s="1528">
        <f t="shared" si="1"/>
        <v>0</v>
      </c>
      <c r="G36" s="1531"/>
      <c r="H36" s="1528">
        <f t="shared" si="2"/>
        <v>0</v>
      </c>
      <c r="I36" s="1528">
        <f t="shared" si="3"/>
        <v>0</v>
      </c>
      <c r="J36" s="1532">
        <f t="shared" si="8"/>
        <v>0</v>
      </c>
      <c r="K36" s="1369" t="str">
        <f t="shared" si="9"/>
        <v/>
      </c>
      <c r="L36" s="1558"/>
      <c r="M36" s="1364"/>
      <c r="N36" s="1371">
        <f t="shared" si="4"/>
        <v>0</v>
      </c>
      <c r="O36" s="1372"/>
      <c r="P36" s="1371">
        <f t="shared" si="10"/>
        <v>0</v>
      </c>
      <c r="Q36" s="1371">
        <f t="shared" si="10"/>
        <v>0</v>
      </c>
      <c r="R36" s="1371">
        <f t="shared" si="10"/>
        <v>0</v>
      </c>
      <c r="S36" s="1371">
        <f t="shared" si="10"/>
        <v>0</v>
      </c>
      <c r="T36" s="1371">
        <f t="shared" si="10"/>
        <v>0</v>
      </c>
      <c r="U36" s="1371">
        <f t="shared" si="6"/>
        <v>0</v>
      </c>
      <c r="V36" s="1373">
        <f t="shared" si="7"/>
        <v>0</v>
      </c>
      <c r="W36" s="960"/>
    </row>
    <row r="37" spans="1:23">
      <c r="A37" s="918">
        <v>300071</v>
      </c>
      <c r="B37" s="919" t="s">
        <v>65</v>
      </c>
      <c r="C37" s="1363">
        <f>IF('TAR_Tab 2_Volumina'!M40,1,0)</f>
        <v>0</v>
      </c>
      <c r="D37" s="1527">
        <v>0</v>
      </c>
      <c r="E37" s="1528">
        <f t="shared" si="0"/>
        <v>0</v>
      </c>
      <c r="F37" s="1528">
        <f t="shared" si="1"/>
        <v>0</v>
      </c>
      <c r="G37" s="1531"/>
      <c r="H37" s="1528">
        <f t="shared" si="2"/>
        <v>0</v>
      </c>
      <c r="I37" s="1528">
        <f t="shared" si="3"/>
        <v>0</v>
      </c>
      <c r="J37" s="1532">
        <f t="shared" si="8"/>
        <v>0</v>
      </c>
      <c r="K37" s="1369" t="str">
        <f t="shared" si="9"/>
        <v/>
      </c>
      <c r="L37" s="1558"/>
      <c r="M37" s="1364"/>
      <c r="N37" s="1371">
        <f t="shared" si="4"/>
        <v>0</v>
      </c>
      <c r="O37" s="1372"/>
      <c r="P37" s="1371">
        <f t="shared" si="10"/>
        <v>0</v>
      </c>
      <c r="Q37" s="1371">
        <f t="shared" si="10"/>
        <v>0</v>
      </c>
      <c r="R37" s="1371">
        <f t="shared" si="10"/>
        <v>0</v>
      </c>
      <c r="S37" s="1371">
        <f t="shared" si="10"/>
        <v>0</v>
      </c>
      <c r="T37" s="1371">
        <f t="shared" si="10"/>
        <v>0</v>
      </c>
      <c r="U37" s="1371">
        <f t="shared" si="6"/>
        <v>0</v>
      </c>
      <c r="V37" s="1373">
        <f t="shared" si="7"/>
        <v>0</v>
      </c>
      <c r="W37" s="960"/>
    </row>
    <row r="38" spans="1:23">
      <c r="A38" s="918">
        <v>300072</v>
      </c>
      <c r="B38" s="919" t="s">
        <v>33</v>
      </c>
      <c r="C38" s="1363">
        <f>IF('TAR_Tab 2_Volumina'!M41,1,0)</f>
        <v>0</v>
      </c>
      <c r="D38" s="1527">
        <v>0</v>
      </c>
      <c r="E38" s="1528">
        <f t="shared" si="0"/>
        <v>0</v>
      </c>
      <c r="F38" s="1528">
        <f t="shared" si="1"/>
        <v>0</v>
      </c>
      <c r="G38" s="1531"/>
      <c r="H38" s="1528">
        <f t="shared" si="2"/>
        <v>0</v>
      </c>
      <c r="I38" s="1528">
        <f t="shared" si="3"/>
        <v>0</v>
      </c>
      <c r="J38" s="1532">
        <f t="shared" si="8"/>
        <v>0</v>
      </c>
      <c r="K38" s="1369" t="str">
        <f t="shared" si="9"/>
        <v/>
      </c>
      <c r="L38" s="1558"/>
      <c r="M38" s="1364"/>
      <c r="N38" s="1371">
        <f t="shared" si="4"/>
        <v>0</v>
      </c>
      <c r="O38" s="1372"/>
      <c r="P38" s="1371">
        <f t="shared" si="10"/>
        <v>0</v>
      </c>
      <c r="Q38" s="1371">
        <f t="shared" si="10"/>
        <v>0</v>
      </c>
      <c r="R38" s="1371">
        <f t="shared" si="10"/>
        <v>0</v>
      </c>
      <c r="S38" s="1371">
        <f t="shared" si="10"/>
        <v>0</v>
      </c>
      <c r="T38" s="1371">
        <f t="shared" si="10"/>
        <v>0</v>
      </c>
      <c r="U38" s="1371">
        <f t="shared" si="6"/>
        <v>0</v>
      </c>
      <c r="V38" s="1373">
        <f t="shared" si="7"/>
        <v>0</v>
      </c>
      <c r="W38" s="960"/>
    </row>
    <row r="39" spans="1:23">
      <c r="A39" s="918">
        <v>300073</v>
      </c>
      <c r="B39" s="919" t="s">
        <v>66</v>
      </c>
      <c r="C39" s="1363">
        <f>IF('TAR_Tab 2_Volumina'!M42,1,0)</f>
        <v>0</v>
      </c>
      <c r="D39" s="1527">
        <v>0</v>
      </c>
      <c r="E39" s="1528">
        <f t="shared" si="0"/>
        <v>0</v>
      </c>
      <c r="F39" s="1528">
        <f t="shared" si="1"/>
        <v>0</v>
      </c>
      <c r="G39" s="1531"/>
      <c r="H39" s="1528">
        <f t="shared" si="2"/>
        <v>0</v>
      </c>
      <c r="I39" s="1528">
        <f t="shared" si="3"/>
        <v>0</v>
      </c>
      <c r="J39" s="1532">
        <f t="shared" si="8"/>
        <v>0</v>
      </c>
      <c r="K39" s="1369" t="str">
        <f t="shared" si="9"/>
        <v/>
      </c>
      <c r="L39" s="1558"/>
      <c r="M39" s="1364"/>
      <c r="N39" s="1371">
        <f t="shared" si="4"/>
        <v>0</v>
      </c>
      <c r="O39" s="1372"/>
      <c r="P39" s="1371">
        <f t="shared" si="10"/>
        <v>0</v>
      </c>
      <c r="Q39" s="1371">
        <f t="shared" si="10"/>
        <v>0</v>
      </c>
      <c r="R39" s="1371">
        <f t="shared" si="10"/>
        <v>0</v>
      </c>
      <c r="S39" s="1371">
        <f t="shared" si="10"/>
        <v>0</v>
      </c>
      <c r="T39" s="1371">
        <f t="shared" si="10"/>
        <v>0</v>
      </c>
      <c r="U39" s="1371">
        <f t="shared" si="6"/>
        <v>0</v>
      </c>
      <c r="V39" s="1373">
        <f t="shared" si="7"/>
        <v>0</v>
      </c>
      <c r="W39" s="960"/>
    </row>
    <row r="40" spans="1:23">
      <c r="A40" s="918">
        <v>300074</v>
      </c>
      <c r="B40" s="919" t="s">
        <v>67</v>
      </c>
      <c r="C40" s="1363">
        <f>IF('TAR_Tab 2_Volumina'!M43,1,0)</f>
        <v>0</v>
      </c>
      <c r="D40" s="1527">
        <v>0</v>
      </c>
      <c r="E40" s="1528">
        <f t="shared" si="0"/>
        <v>0</v>
      </c>
      <c r="F40" s="1528">
        <f t="shared" si="1"/>
        <v>0</v>
      </c>
      <c r="G40" s="1531"/>
      <c r="H40" s="1528">
        <f t="shared" si="2"/>
        <v>0</v>
      </c>
      <c r="I40" s="1528">
        <f t="shared" si="3"/>
        <v>0</v>
      </c>
      <c r="J40" s="1532">
        <f t="shared" si="8"/>
        <v>0</v>
      </c>
      <c r="K40" s="1369" t="str">
        <f t="shared" si="9"/>
        <v/>
      </c>
      <c r="L40" s="1558"/>
      <c r="M40" s="1364"/>
      <c r="N40" s="1371">
        <f t="shared" si="4"/>
        <v>0</v>
      </c>
      <c r="O40" s="1372"/>
      <c r="P40" s="1371">
        <f t="shared" si="10"/>
        <v>0</v>
      </c>
      <c r="Q40" s="1371">
        <f t="shared" si="10"/>
        <v>0</v>
      </c>
      <c r="R40" s="1371">
        <f t="shared" si="10"/>
        <v>0</v>
      </c>
      <c r="S40" s="1371">
        <f t="shared" si="10"/>
        <v>0</v>
      </c>
      <c r="T40" s="1371">
        <f t="shared" si="10"/>
        <v>0</v>
      </c>
      <c r="U40" s="1371">
        <f t="shared" si="6"/>
        <v>0</v>
      </c>
      <c r="V40" s="1373">
        <f t="shared" si="7"/>
        <v>0</v>
      </c>
      <c r="W40" s="960"/>
    </row>
    <row r="41" spans="1:23">
      <c r="A41" s="918">
        <v>300075</v>
      </c>
      <c r="B41" s="919" t="s">
        <v>1038</v>
      </c>
      <c r="C41" s="1363">
        <f>IF('TAR_Tab 2_Volumina'!M44,1,0)</f>
        <v>0</v>
      </c>
      <c r="D41" s="1527">
        <v>0</v>
      </c>
      <c r="E41" s="1528">
        <f t="shared" si="0"/>
        <v>0</v>
      </c>
      <c r="F41" s="1528">
        <f t="shared" si="1"/>
        <v>0</v>
      </c>
      <c r="G41" s="1531"/>
      <c r="H41" s="1528">
        <f t="shared" si="2"/>
        <v>0</v>
      </c>
      <c r="I41" s="1528">
        <f t="shared" si="3"/>
        <v>0</v>
      </c>
      <c r="J41" s="1532">
        <f t="shared" si="8"/>
        <v>0</v>
      </c>
      <c r="K41" s="1369" t="str">
        <f t="shared" si="9"/>
        <v/>
      </c>
      <c r="L41" s="1558"/>
      <c r="M41" s="1364"/>
      <c r="N41" s="1371">
        <f t="shared" si="4"/>
        <v>0</v>
      </c>
      <c r="O41" s="1372"/>
      <c r="P41" s="1371">
        <f t="shared" si="10"/>
        <v>0</v>
      </c>
      <c r="Q41" s="1371">
        <f t="shared" si="10"/>
        <v>0</v>
      </c>
      <c r="R41" s="1371">
        <f t="shared" si="10"/>
        <v>0</v>
      </c>
      <c r="S41" s="1371">
        <f t="shared" si="10"/>
        <v>0</v>
      </c>
      <c r="T41" s="1371">
        <f t="shared" si="10"/>
        <v>0</v>
      </c>
      <c r="U41" s="1371">
        <f t="shared" si="6"/>
        <v>0</v>
      </c>
      <c r="V41" s="1373">
        <f t="shared" si="7"/>
        <v>0</v>
      </c>
      <c r="W41" s="960"/>
    </row>
    <row r="42" spans="1:23">
      <c r="A42" s="918">
        <v>300076</v>
      </c>
      <c r="B42" s="919" t="s">
        <v>34</v>
      </c>
      <c r="C42" s="1363">
        <f>IF('TAR_Tab 2_Volumina'!M45,1,0)</f>
        <v>0</v>
      </c>
      <c r="D42" s="1527">
        <v>0</v>
      </c>
      <c r="E42" s="1528">
        <f t="shared" si="0"/>
        <v>0</v>
      </c>
      <c r="F42" s="1528">
        <f t="shared" si="1"/>
        <v>0</v>
      </c>
      <c r="G42" s="1531"/>
      <c r="H42" s="1528">
        <f t="shared" si="2"/>
        <v>0</v>
      </c>
      <c r="I42" s="1528">
        <f t="shared" si="3"/>
        <v>0</v>
      </c>
      <c r="J42" s="1532">
        <f t="shared" si="8"/>
        <v>0</v>
      </c>
      <c r="K42" s="1369" t="str">
        <f t="shared" si="9"/>
        <v/>
      </c>
      <c r="L42" s="1558"/>
      <c r="M42" s="1364"/>
      <c r="N42" s="1371">
        <f t="shared" si="4"/>
        <v>0</v>
      </c>
      <c r="O42" s="1372"/>
      <c r="P42" s="1371">
        <f t="shared" si="10"/>
        <v>0</v>
      </c>
      <c r="Q42" s="1371">
        <f t="shared" si="10"/>
        <v>0</v>
      </c>
      <c r="R42" s="1371">
        <f t="shared" si="10"/>
        <v>0</v>
      </c>
      <c r="S42" s="1371">
        <f t="shared" si="10"/>
        <v>0</v>
      </c>
      <c r="T42" s="1371">
        <f t="shared" si="10"/>
        <v>0</v>
      </c>
      <c r="U42" s="1371">
        <f t="shared" si="6"/>
        <v>0</v>
      </c>
      <c r="V42" s="1373">
        <f t="shared" si="7"/>
        <v>0</v>
      </c>
      <c r="W42" s="960"/>
    </row>
    <row r="43" spans="1:23">
      <c r="A43" s="918">
        <v>300078</v>
      </c>
      <c r="B43" s="919" t="s">
        <v>68</v>
      </c>
      <c r="C43" s="1363">
        <f>IF('TAR_Tab 2_Volumina'!M46,1,0)</f>
        <v>0</v>
      </c>
      <c r="D43" s="1527">
        <v>0</v>
      </c>
      <c r="E43" s="1528">
        <f t="shared" si="0"/>
        <v>0</v>
      </c>
      <c r="F43" s="1528">
        <f t="shared" si="1"/>
        <v>0</v>
      </c>
      <c r="G43" s="1531"/>
      <c r="H43" s="1528">
        <f t="shared" si="2"/>
        <v>0</v>
      </c>
      <c r="I43" s="1528">
        <f t="shared" si="3"/>
        <v>0</v>
      </c>
      <c r="J43" s="1532">
        <f t="shared" si="8"/>
        <v>0</v>
      </c>
      <c r="K43" s="1369" t="str">
        <f t="shared" si="9"/>
        <v/>
      </c>
      <c r="L43" s="1558"/>
      <c r="M43" s="1364"/>
      <c r="N43" s="1371">
        <f t="shared" si="4"/>
        <v>0</v>
      </c>
      <c r="O43" s="1372"/>
      <c r="P43" s="1371">
        <f t="shared" si="10"/>
        <v>0</v>
      </c>
      <c r="Q43" s="1371">
        <f t="shared" si="10"/>
        <v>0</v>
      </c>
      <c r="R43" s="1371">
        <f t="shared" si="10"/>
        <v>0</v>
      </c>
      <c r="S43" s="1371">
        <f t="shared" si="10"/>
        <v>0</v>
      </c>
      <c r="T43" s="1371">
        <f t="shared" si="10"/>
        <v>0</v>
      </c>
      <c r="U43" s="1371">
        <f t="shared" si="6"/>
        <v>0</v>
      </c>
      <c r="V43" s="1373">
        <f t="shared" si="7"/>
        <v>0</v>
      </c>
      <c r="W43" s="960"/>
    </row>
    <row r="44" spans="1:23">
      <c r="A44" s="918">
        <v>300081</v>
      </c>
      <c r="B44" s="919" t="s">
        <v>35</v>
      </c>
      <c r="C44" s="1363">
        <f>IF('TAR_Tab 2_Volumina'!M47,1,0)</f>
        <v>0</v>
      </c>
      <c r="D44" s="1527">
        <v>0</v>
      </c>
      <c r="E44" s="1528">
        <f t="shared" si="0"/>
        <v>0</v>
      </c>
      <c r="F44" s="1528">
        <f t="shared" si="1"/>
        <v>0</v>
      </c>
      <c r="G44" s="1531"/>
      <c r="H44" s="1528">
        <f t="shared" si="2"/>
        <v>0</v>
      </c>
      <c r="I44" s="1528">
        <f t="shared" si="3"/>
        <v>0</v>
      </c>
      <c r="J44" s="1532">
        <f t="shared" si="8"/>
        <v>0</v>
      </c>
      <c r="K44" s="1369" t="str">
        <f t="shared" si="9"/>
        <v/>
      </c>
      <c r="L44" s="1558"/>
      <c r="M44" s="1364"/>
      <c r="N44" s="1371">
        <f t="shared" si="4"/>
        <v>0</v>
      </c>
      <c r="O44" s="1372"/>
      <c r="P44" s="1371">
        <f t="shared" si="10"/>
        <v>0</v>
      </c>
      <c r="Q44" s="1371">
        <f t="shared" si="10"/>
        <v>0</v>
      </c>
      <c r="R44" s="1371">
        <f t="shared" si="10"/>
        <v>0</v>
      </c>
      <c r="S44" s="1371">
        <f t="shared" si="10"/>
        <v>0</v>
      </c>
      <c r="T44" s="1371">
        <f t="shared" si="10"/>
        <v>0</v>
      </c>
      <c r="U44" s="1371">
        <f t="shared" si="6"/>
        <v>0</v>
      </c>
      <c r="V44" s="1373">
        <f t="shared" si="7"/>
        <v>0</v>
      </c>
      <c r="W44" s="960"/>
    </row>
    <row r="45" spans="1:23">
      <c r="A45" s="918">
        <v>300082</v>
      </c>
      <c r="B45" s="919" t="s">
        <v>1039</v>
      </c>
      <c r="C45" s="1363">
        <f>IF('TAR_Tab 2_Volumina'!M48,1,0)</f>
        <v>0</v>
      </c>
      <c r="D45" s="1527">
        <v>0</v>
      </c>
      <c r="E45" s="1528">
        <f t="shared" si="0"/>
        <v>0</v>
      </c>
      <c r="F45" s="1528">
        <f t="shared" si="1"/>
        <v>0</v>
      </c>
      <c r="G45" s="1531"/>
      <c r="H45" s="1528">
        <f t="shared" si="2"/>
        <v>0</v>
      </c>
      <c r="I45" s="1528">
        <f t="shared" si="3"/>
        <v>0</v>
      </c>
      <c r="J45" s="1532">
        <f t="shared" si="8"/>
        <v>0</v>
      </c>
      <c r="K45" s="1369" t="str">
        <f t="shared" si="9"/>
        <v/>
      </c>
      <c r="L45" s="1558"/>
      <c r="M45" s="1364"/>
      <c r="N45" s="1371">
        <f t="shared" si="4"/>
        <v>0</v>
      </c>
      <c r="O45" s="1372"/>
      <c r="P45" s="1371">
        <f t="shared" si="10"/>
        <v>0</v>
      </c>
      <c r="Q45" s="1371">
        <f t="shared" si="10"/>
        <v>0</v>
      </c>
      <c r="R45" s="1371">
        <f t="shared" si="10"/>
        <v>0</v>
      </c>
      <c r="S45" s="1371">
        <f t="shared" si="10"/>
        <v>0</v>
      </c>
      <c r="T45" s="1371">
        <f t="shared" si="10"/>
        <v>0</v>
      </c>
      <c r="U45" s="1371">
        <f t="shared" si="6"/>
        <v>0</v>
      </c>
      <c r="V45" s="1373">
        <f t="shared" si="7"/>
        <v>0</v>
      </c>
      <c r="W45" s="960"/>
    </row>
    <row r="46" spans="1:23">
      <c r="A46" s="918">
        <v>300083</v>
      </c>
      <c r="B46" s="919" t="s">
        <v>69</v>
      </c>
      <c r="C46" s="1363">
        <f>IF('TAR_Tab 2_Volumina'!M49,1,0)</f>
        <v>0</v>
      </c>
      <c r="D46" s="1527">
        <v>0</v>
      </c>
      <c r="E46" s="1528">
        <f t="shared" si="0"/>
        <v>0</v>
      </c>
      <c r="F46" s="1528">
        <f t="shared" si="1"/>
        <v>0</v>
      </c>
      <c r="G46" s="1531"/>
      <c r="H46" s="1528">
        <f t="shared" si="2"/>
        <v>0</v>
      </c>
      <c r="I46" s="1528">
        <f t="shared" si="3"/>
        <v>0</v>
      </c>
      <c r="J46" s="1532">
        <f t="shared" si="8"/>
        <v>0</v>
      </c>
      <c r="K46" s="1369" t="str">
        <f t="shared" si="9"/>
        <v/>
      </c>
      <c r="L46" s="1558"/>
      <c r="M46" s="1364"/>
      <c r="N46" s="1371">
        <f t="shared" si="4"/>
        <v>0</v>
      </c>
      <c r="O46" s="1372"/>
      <c r="P46" s="1371">
        <f t="shared" si="10"/>
        <v>0</v>
      </c>
      <c r="Q46" s="1371">
        <f t="shared" si="10"/>
        <v>0</v>
      </c>
      <c r="R46" s="1371">
        <f t="shared" si="10"/>
        <v>0</v>
      </c>
      <c r="S46" s="1371">
        <f t="shared" si="10"/>
        <v>0</v>
      </c>
      <c r="T46" s="1371">
        <f t="shared" si="10"/>
        <v>0</v>
      </c>
      <c r="U46" s="1371">
        <f t="shared" si="6"/>
        <v>0</v>
      </c>
      <c r="V46" s="1373">
        <f t="shared" si="7"/>
        <v>0</v>
      </c>
      <c r="W46" s="960"/>
    </row>
    <row r="47" spans="1:23">
      <c r="A47" s="918">
        <v>300085</v>
      </c>
      <c r="B47" s="919" t="s">
        <v>36</v>
      </c>
      <c r="C47" s="1363">
        <f>IF('TAR_Tab 2_Volumina'!M50,1,0)</f>
        <v>0</v>
      </c>
      <c r="D47" s="1527">
        <v>0</v>
      </c>
      <c r="E47" s="1528">
        <f t="shared" si="0"/>
        <v>0</v>
      </c>
      <c r="F47" s="1528">
        <f t="shared" si="1"/>
        <v>0</v>
      </c>
      <c r="G47" s="1531"/>
      <c r="H47" s="1528">
        <f t="shared" si="2"/>
        <v>0</v>
      </c>
      <c r="I47" s="1528">
        <f t="shared" si="3"/>
        <v>0</v>
      </c>
      <c r="J47" s="1532">
        <f t="shared" si="8"/>
        <v>0</v>
      </c>
      <c r="K47" s="1369" t="str">
        <f t="shared" si="9"/>
        <v/>
      </c>
      <c r="L47" s="1558"/>
      <c r="M47" s="1364"/>
      <c r="N47" s="1371">
        <f t="shared" si="4"/>
        <v>0</v>
      </c>
      <c r="O47" s="1372"/>
      <c r="P47" s="1371">
        <f t="shared" si="10"/>
        <v>0</v>
      </c>
      <c r="Q47" s="1371">
        <f t="shared" si="10"/>
        <v>0</v>
      </c>
      <c r="R47" s="1371">
        <f t="shared" si="10"/>
        <v>0</v>
      </c>
      <c r="S47" s="1371">
        <f t="shared" si="10"/>
        <v>0</v>
      </c>
      <c r="T47" s="1371">
        <f t="shared" si="10"/>
        <v>0</v>
      </c>
      <c r="U47" s="1371">
        <f t="shared" si="6"/>
        <v>0</v>
      </c>
      <c r="V47" s="1373">
        <f t="shared" si="7"/>
        <v>0</v>
      </c>
      <c r="W47" s="960"/>
    </row>
    <row r="48" spans="1:23">
      <c r="A48" s="918">
        <v>300088</v>
      </c>
      <c r="B48" s="919" t="s">
        <v>1040</v>
      </c>
      <c r="C48" s="1363">
        <f>IF('TAR_Tab 2_Volumina'!M51,1,0)</f>
        <v>0</v>
      </c>
      <c r="D48" s="1527">
        <v>0</v>
      </c>
      <c r="E48" s="1528">
        <f t="shared" si="0"/>
        <v>0</v>
      </c>
      <c r="F48" s="1528">
        <f t="shared" si="1"/>
        <v>0</v>
      </c>
      <c r="G48" s="1531"/>
      <c r="H48" s="1528">
        <f t="shared" si="2"/>
        <v>0</v>
      </c>
      <c r="I48" s="1528">
        <f t="shared" si="3"/>
        <v>0</v>
      </c>
      <c r="J48" s="1532">
        <f t="shared" si="8"/>
        <v>0</v>
      </c>
      <c r="K48" s="1369" t="str">
        <f t="shared" si="9"/>
        <v/>
      </c>
      <c r="L48" s="1558"/>
      <c r="M48" s="1364"/>
      <c r="N48" s="1371">
        <f t="shared" si="4"/>
        <v>0</v>
      </c>
      <c r="O48" s="1372"/>
      <c r="P48" s="1371">
        <f t="shared" si="10"/>
        <v>0</v>
      </c>
      <c r="Q48" s="1371">
        <f t="shared" si="10"/>
        <v>0</v>
      </c>
      <c r="R48" s="1371">
        <f t="shared" si="10"/>
        <v>0</v>
      </c>
      <c r="S48" s="1371">
        <f t="shared" si="10"/>
        <v>0</v>
      </c>
      <c r="T48" s="1371">
        <f t="shared" si="10"/>
        <v>0</v>
      </c>
      <c r="U48" s="1371">
        <f t="shared" si="6"/>
        <v>0</v>
      </c>
      <c r="V48" s="1373">
        <f t="shared" si="7"/>
        <v>0</v>
      </c>
      <c r="W48" s="960"/>
    </row>
    <row r="49" spans="1:23">
      <c r="A49" s="918">
        <v>300089</v>
      </c>
      <c r="B49" s="919" t="s">
        <v>70</v>
      </c>
      <c r="C49" s="1363">
        <f>IF('TAR_Tab 2_Volumina'!M52,1,0)</f>
        <v>0</v>
      </c>
      <c r="D49" s="1527">
        <v>0</v>
      </c>
      <c r="E49" s="1528">
        <f t="shared" si="0"/>
        <v>0</v>
      </c>
      <c r="F49" s="1528">
        <f t="shared" si="1"/>
        <v>0</v>
      </c>
      <c r="G49" s="1531"/>
      <c r="H49" s="1528">
        <f t="shared" si="2"/>
        <v>0</v>
      </c>
      <c r="I49" s="1528">
        <f t="shared" si="3"/>
        <v>0</v>
      </c>
      <c r="J49" s="1532">
        <f t="shared" si="8"/>
        <v>0</v>
      </c>
      <c r="K49" s="1369" t="str">
        <f t="shared" si="9"/>
        <v/>
      </c>
      <c r="L49" s="1558"/>
      <c r="M49" s="1364"/>
      <c r="N49" s="1371">
        <f t="shared" si="4"/>
        <v>0</v>
      </c>
      <c r="O49" s="1372"/>
      <c r="P49" s="1371">
        <f t="shared" si="10"/>
        <v>0</v>
      </c>
      <c r="Q49" s="1371">
        <f t="shared" si="10"/>
        <v>0</v>
      </c>
      <c r="R49" s="1371">
        <f t="shared" si="10"/>
        <v>0</v>
      </c>
      <c r="S49" s="1371">
        <f t="shared" si="10"/>
        <v>0</v>
      </c>
      <c r="T49" s="1371">
        <f t="shared" si="10"/>
        <v>0</v>
      </c>
      <c r="U49" s="1371">
        <f t="shared" si="6"/>
        <v>0</v>
      </c>
      <c r="V49" s="1373">
        <f t="shared" si="7"/>
        <v>0</v>
      </c>
      <c r="W49" s="960"/>
    </row>
    <row r="50" spans="1:23">
      <c r="A50" s="918">
        <v>300090</v>
      </c>
      <c r="B50" s="919" t="s">
        <v>71</v>
      </c>
      <c r="C50" s="1363">
        <f>IF('TAR_Tab 2_Volumina'!M53,1,0)</f>
        <v>0</v>
      </c>
      <c r="D50" s="1527">
        <v>0</v>
      </c>
      <c r="E50" s="1528">
        <f t="shared" si="0"/>
        <v>0</v>
      </c>
      <c r="F50" s="1528">
        <f t="shared" si="1"/>
        <v>0</v>
      </c>
      <c r="G50" s="1531"/>
      <c r="H50" s="1528">
        <f t="shared" si="2"/>
        <v>0</v>
      </c>
      <c r="I50" s="1528">
        <f t="shared" si="3"/>
        <v>0</v>
      </c>
      <c r="J50" s="1532">
        <f t="shared" si="8"/>
        <v>0</v>
      </c>
      <c r="K50" s="1369" t="str">
        <f t="shared" si="9"/>
        <v/>
      </c>
      <c r="L50" s="1558"/>
      <c r="M50" s="1364"/>
      <c r="N50" s="1371">
        <f t="shared" si="4"/>
        <v>0</v>
      </c>
      <c r="O50" s="1372"/>
      <c r="P50" s="1371">
        <f t="shared" si="10"/>
        <v>0</v>
      </c>
      <c r="Q50" s="1371">
        <f t="shared" si="10"/>
        <v>0</v>
      </c>
      <c r="R50" s="1371">
        <f t="shared" si="10"/>
        <v>0</v>
      </c>
      <c r="S50" s="1371">
        <f t="shared" si="10"/>
        <v>0</v>
      </c>
      <c r="T50" s="1371">
        <f t="shared" si="10"/>
        <v>0</v>
      </c>
      <c r="U50" s="1371">
        <f t="shared" si="6"/>
        <v>0</v>
      </c>
      <c r="V50" s="1373">
        <f t="shared" si="7"/>
        <v>0</v>
      </c>
      <c r="W50" s="960"/>
    </row>
    <row r="51" spans="1:23">
      <c r="A51" s="918">
        <v>300091</v>
      </c>
      <c r="B51" s="919" t="s">
        <v>72</v>
      </c>
      <c r="C51" s="1363">
        <f>IF('TAR_Tab 2_Volumina'!M54,1,0)</f>
        <v>0</v>
      </c>
      <c r="D51" s="1527">
        <v>0</v>
      </c>
      <c r="E51" s="1528">
        <f t="shared" si="0"/>
        <v>0</v>
      </c>
      <c r="F51" s="1528">
        <f t="shared" si="1"/>
        <v>0</v>
      </c>
      <c r="G51" s="1531"/>
      <c r="H51" s="1528">
        <f t="shared" si="2"/>
        <v>0</v>
      </c>
      <c r="I51" s="1528">
        <f t="shared" si="3"/>
        <v>0</v>
      </c>
      <c r="J51" s="1532">
        <f t="shared" si="8"/>
        <v>0</v>
      </c>
      <c r="K51" s="1369" t="str">
        <f t="shared" si="9"/>
        <v/>
      </c>
      <c r="L51" s="1558"/>
      <c r="M51" s="1364"/>
      <c r="N51" s="1371">
        <f t="shared" si="4"/>
        <v>0</v>
      </c>
      <c r="O51" s="1372"/>
      <c r="P51" s="1371">
        <f t="shared" si="10"/>
        <v>0</v>
      </c>
      <c r="Q51" s="1371">
        <f t="shared" si="10"/>
        <v>0</v>
      </c>
      <c r="R51" s="1371">
        <f t="shared" si="10"/>
        <v>0</v>
      </c>
      <c r="S51" s="1371">
        <f t="shared" si="10"/>
        <v>0</v>
      </c>
      <c r="T51" s="1371">
        <f t="shared" si="10"/>
        <v>0</v>
      </c>
      <c r="U51" s="1371">
        <f t="shared" si="6"/>
        <v>0</v>
      </c>
      <c r="V51" s="1373">
        <f t="shared" si="7"/>
        <v>0</v>
      </c>
      <c r="W51" s="960"/>
    </row>
    <row r="52" spans="1:23">
      <c r="A52" s="918">
        <v>300092</v>
      </c>
      <c r="B52" s="919" t="s">
        <v>73</v>
      </c>
      <c r="C52" s="1363">
        <f>IF('TAR_Tab 2_Volumina'!M55,1,0)</f>
        <v>0</v>
      </c>
      <c r="D52" s="1527">
        <v>0</v>
      </c>
      <c r="E52" s="1528">
        <f t="shared" si="0"/>
        <v>0</v>
      </c>
      <c r="F52" s="1528">
        <f t="shared" si="1"/>
        <v>0</v>
      </c>
      <c r="G52" s="1531"/>
      <c r="H52" s="1528">
        <f t="shared" si="2"/>
        <v>0</v>
      </c>
      <c r="I52" s="1528">
        <f t="shared" si="3"/>
        <v>0</v>
      </c>
      <c r="J52" s="1532">
        <f t="shared" si="8"/>
        <v>0</v>
      </c>
      <c r="K52" s="1369" t="str">
        <f t="shared" si="9"/>
        <v/>
      </c>
      <c r="L52" s="1558"/>
      <c r="M52" s="1364"/>
      <c r="N52" s="1371">
        <f t="shared" si="4"/>
        <v>0</v>
      </c>
      <c r="O52" s="1372"/>
      <c r="P52" s="1371">
        <f t="shared" si="10"/>
        <v>0</v>
      </c>
      <c r="Q52" s="1371">
        <f t="shared" si="10"/>
        <v>0</v>
      </c>
      <c r="R52" s="1371">
        <f t="shared" si="10"/>
        <v>0</v>
      </c>
      <c r="S52" s="1371">
        <f t="shared" si="10"/>
        <v>0</v>
      </c>
      <c r="T52" s="1371">
        <f t="shared" si="10"/>
        <v>0</v>
      </c>
      <c r="U52" s="1371">
        <f t="shared" si="6"/>
        <v>0</v>
      </c>
      <c r="V52" s="1373">
        <f t="shared" si="7"/>
        <v>0</v>
      </c>
      <c r="W52" s="960"/>
    </row>
    <row r="53" spans="1:23">
      <c r="A53" s="918">
        <v>300095</v>
      </c>
      <c r="B53" s="919" t="s">
        <v>291</v>
      </c>
      <c r="C53" s="1363">
        <f>IF('TAR_Tab 2_Volumina'!M56,1,0)</f>
        <v>0</v>
      </c>
      <c r="D53" s="1527">
        <v>0</v>
      </c>
      <c r="E53" s="1528">
        <f t="shared" si="0"/>
        <v>0</v>
      </c>
      <c r="F53" s="1528">
        <f t="shared" si="1"/>
        <v>0</v>
      </c>
      <c r="G53" s="1531"/>
      <c r="H53" s="1528">
        <f t="shared" si="2"/>
        <v>0</v>
      </c>
      <c r="I53" s="1528">
        <f t="shared" si="3"/>
        <v>0</v>
      </c>
      <c r="J53" s="1532">
        <f t="shared" si="8"/>
        <v>0</v>
      </c>
      <c r="K53" s="1369" t="str">
        <f t="shared" si="9"/>
        <v/>
      </c>
      <c r="L53" s="1558"/>
      <c r="M53" s="1364"/>
      <c r="N53" s="1371">
        <f t="shared" si="4"/>
        <v>0</v>
      </c>
      <c r="O53" s="1372"/>
      <c r="P53" s="1371">
        <f t="shared" si="10"/>
        <v>0</v>
      </c>
      <c r="Q53" s="1371">
        <f t="shared" si="10"/>
        <v>0</v>
      </c>
      <c r="R53" s="1371">
        <f t="shared" si="10"/>
        <v>0</v>
      </c>
      <c r="S53" s="1371">
        <f t="shared" si="10"/>
        <v>0</v>
      </c>
      <c r="T53" s="1371">
        <f t="shared" si="10"/>
        <v>0</v>
      </c>
      <c r="U53" s="1371">
        <f t="shared" si="6"/>
        <v>0</v>
      </c>
      <c r="V53" s="1373">
        <f t="shared" si="7"/>
        <v>0</v>
      </c>
      <c r="W53" s="960"/>
    </row>
    <row r="54" spans="1:23">
      <c r="A54" s="918">
        <v>300096</v>
      </c>
      <c r="B54" s="919" t="s">
        <v>74</v>
      </c>
      <c r="C54" s="1363">
        <f>IF('TAR_Tab 2_Volumina'!M57,1,0)</f>
        <v>0</v>
      </c>
      <c r="D54" s="1527">
        <v>0</v>
      </c>
      <c r="E54" s="1528">
        <f t="shared" si="0"/>
        <v>0</v>
      </c>
      <c r="F54" s="1528">
        <f t="shared" si="1"/>
        <v>0</v>
      </c>
      <c r="G54" s="1531"/>
      <c r="H54" s="1528">
        <f t="shared" si="2"/>
        <v>0</v>
      </c>
      <c r="I54" s="1528">
        <f t="shared" si="3"/>
        <v>0</v>
      </c>
      <c r="J54" s="1532">
        <f t="shared" si="8"/>
        <v>0</v>
      </c>
      <c r="K54" s="1369" t="str">
        <f t="shared" si="9"/>
        <v/>
      </c>
      <c r="L54" s="1558"/>
      <c r="M54" s="1364"/>
      <c r="N54" s="1371">
        <f t="shared" si="4"/>
        <v>0</v>
      </c>
      <c r="O54" s="1372"/>
      <c r="P54" s="1371">
        <f t="shared" si="10"/>
        <v>0</v>
      </c>
      <c r="Q54" s="1371">
        <f t="shared" si="10"/>
        <v>0</v>
      </c>
      <c r="R54" s="1371">
        <f t="shared" si="10"/>
        <v>0</v>
      </c>
      <c r="S54" s="1371">
        <f t="shared" si="10"/>
        <v>0</v>
      </c>
      <c r="T54" s="1371">
        <f t="shared" si="10"/>
        <v>0</v>
      </c>
      <c r="U54" s="1371">
        <f t="shared" si="6"/>
        <v>0</v>
      </c>
      <c r="V54" s="1373">
        <f t="shared" si="7"/>
        <v>0</v>
      </c>
      <c r="W54" s="960"/>
    </row>
    <row r="55" spans="1:23">
      <c r="A55" s="918">
        <v>300097</v>
      </c>
      <c r="B55" s="919" t="s">
        <v>75</v>
      </c>
      <c r="C55" s="1363">
        <f>IF('TAR_Tab 2_Volumina'!M58,1,0)</f>
        <v>0</v>
      </c>
      <c r="D55" s="1527">
        <v>0</v>
      </c>
      <c r="E55" s="1528">
        <f t="shared" si="0"/>
        <v>0</v>
      </c>
      <c r="F55" s="1528">
        <f t="shared" si="1"/>
        <v>0</v>
      </c>
      <c r="G55" s="1531"/>
      <c r="H55" s="1528">
        <f t="shared" si="2"/>
        <v>0</v>
      </c>
      <c r="I55" s="1528">
        <f t="shared" si="3"/>
        <v>0</v>
      </c>
      <c r="J55" s="1532">
        <f t="shared" si="8"/>
        <v>0</v>
      </c>
      <c r="K55" s="1369" t="str">
        <f t="shared" si="9"/>
        <v/>
      </c>
      <c r="L55" s="1558"/>
      <c r="M55" s="1364"/>
      <c r="N55" s="1371">
        <f t="shared" si="4"/>
        <v>0</v>
      </c>
      <c r="O55" s="1372"/>
      <c r="P55" s="1371">
        <f t="shared" si="10"/>
        <v>0</v>
      </c>
      <c r="Q55" s="1371">
        <f t="shared" si="10"/>
        <v>0</v>
      </c>
      <c r="R55" s="1371">
        <f t="shared" si="10"/>
        <v>0</v>
      </c>
      <c r="S55" s="1371">
        <f t="shared" si="10"/>
        <v>0</v>
      </c>
      <c r="T55" s="1371">
        <f t="shared" si="10"/>
        <v>0</v>
      </c>
      <c r="U55" s="1371">
        <f t="shared" si="6"/>
        <v>0</v>
      </c>
      <c r="V55" s="1373">
        <f t="shared" si="7"/>
        <v>0</v>
      </c>
      <c r="W55" s="960"/>
    </row>
    <row r="56" spans="1:23">
      <c r="A56" s="918">
        <v>300099</v>
      </c>
      <c r="B56" s="919" t="s">
        <v>76</v>
      </c>
      <c r="C56" s="1363">
        <f>IF('TAR_Tab 2_Volumina'!M59,1,0)</f>
        <v>0</v>
      </c>
      <c r="D56" s="1527">
        <v>0</v>
      </c>
      <c r="E56" s="1528">
        <f t="shared" si="0"/>
        <v>0</v>
      </c>
      <c r="F56" s="1528">
        <f t="shared" si="1"/>
        <v>0</v>
      </c>
      <c r="G56" s="1531"/>
      <c r="H56" s="1528">
        <f t="shared" si="2"/>
        <v>0</v>
      </c>
      <c r="I56" s="1528">
        <f t="shared" si="3"/>
        <v>0</v>
      </c>
      <c r="J56" s="1532">
        <f t="shared" si="8"/>
        <v>0</v>
      </c>
      <c r="K56" s="1369" t="str">
        <f t="shared" si="9"/>
        <v/>
      </c>
      <c r="L56" s="1558"/>
      <c r="M56" s="1364"/>
      <c r="N56" s="1371">
        <f t="shared" si="4"/>
        <v>0</v>
      </c>
      <c r="O56" s="1372"/>
      <c r="P56" s="1371">
        <f t="shared" si="10"/>
        <v>0</v>
      </c>
      <c r="Q56" s="1371">
        <f t="shared" si="10"/>
        <v>0</v>
      </c>
      <c r="R56" s="1371">
        <f t="shared" si="10"/>
        <v>0</v>
      </c>
      <c r="S56" s="1371">
        <f t="shared" si="10"/>
        <v>0</v>
      </c>
      <c r="T56" s="1371">
        <f t="shared" si="10"/>
        <v>0</v>
      </c>
      <c r="U56" s="1371">
        <f t="shared" si="6"/>
        <v>0</v>
      </c>
      <c r="V56" s="1373">
        <f t="shared" si="7"/>
        <v>0</v>
      </c>
      <c r="W56" s="960"/>
    </row>
    <row r="57" spans="1:23">
      <c r="A57" s="918">
        <v>300100</v>
      </c>
      <c r="B57" s="919" t="s">
        <v>37</v>
      </c>
      <c r="C57" s="1363">
        <f>IF('TAR_Tab 2_Volumina'!M60,1,0)</f>
        <v>0</v>
      </c>
      <c r="D57" s="1527">
        <v>0</v>
      </c>
      <c r="E57" s="1528">
        <f t="shared" si="0"/>
        <v>0</v>
      </c>
      <c r="F57" s="1528">
        <f t="shared" si="1"/>
        <v>0</v>
      </c>
      <c r="G57" s="1531"/>
      <c r="H57" s="1528">
        <f t="shared" si="2"/>
        <v>0</v>
      </c>
      <c r="I57" s="1528">
        <f t="shared" si="3"/>
        <v>0</v>
      </c>
      <c r="J57" s="1532">
        <f t="shared" si="8"/>
        <v>0</v>
      </c>
      <c r="K57" s="1369" t="str">
        <f t="shared" si="9"/>
        <v/>
      </c>
      <c r="L57" s="1558"/>
      <c r="M57" s="1364"/>
      <c r="N57" s="1371">
        <f t="shared" si="4"/>
        <v>0</v>
      </c>
      <c r="O57" s="1372"/>
      <c r="P57" s="1371">
        <f t="shared" si="10"/>
        <v>0</v>
      </c>
      <c r="Q57" s="1371">
        <f t="shared" si="10"/>
        <v>0</v>
      </c>
      <c r="R57" s="1371">
        <f t="shared" si="10"/>
        <v>0</v>
      </c>
      <c r="S57" s="1371">
        <f t="shared" si="10"/>
        <v>0</v>
      </c>
      <c r="T57" s="1371">
        <f t="shared" si="10"/>
        <v>0</v>
      </c>
      <c r="U57" s="1371">
        <f t="shared" si="6"/>
        <v>0</v>
      </c>
      <c r="V57" s="1373">
        <f t="shared" si="7"/>
        <v>0</v>
      </c>
      <c r="W57" s="960"/>
    </row>
    <row r="58" spans="1:23">
      <c r="A58" s="918">
        <v>300131</v>
      </c>
      <c r="B58" s="919" t="s">
        <v>42</v>
      </c>
      <c r="C58" s="1363">
        <f>IF('TAR_Tab 2_Volumina'!M61,1,0)</f>
        <v>0</v>
      </c>
      <c r="D58" s="1527">
        <v>0</v>
      </c>
      <c r="E58" s="1528">
        <f t="shared" si="0"/>
        <v>0</v>
      </c>
      <c r="F58" s="1528">
        <f t="shared" si="1"/>
        <v>0</v>
      </c>
      <c r="G58" s="1531"/>
      <c r="H58" s="1528">
        <f t="shared" si="2"/>
        <v>0</v>
      </c>
      <c r="I58" s="1528">
        <f t="shared" si="3"/>
        <v>0</v>
      </c>
      <c r="J58" s="1532">
        <f t="shared" si="8"/>
        <v>0</v>
      </c>
      <c r="K58" s="1369" t="str">
        <f t="shared" si="9"/>
        <v/>
      </c>
      <c r="L58" s="1558"/>
      <c r="M58" s="1364"/>
      <c r="N58" s="1371">
        <f t="shared" si="4"/>
        <v>0</v>
      </c>
      <c r="O58" s="1372"/>
      <c r="P58" s="1371">
        <f t="shared" si="10"/>
        <v>0</v>
      </c>
      <c r="Q58" s="1371">
        <f t="shared" si="10"/>
        <v>0</v>
      </c>
      <c r="R58" s="1371">
        <f t="shared" si="10"/>
        <v>0</v>
      </c>
      <c r="S58" s="1371">
        <f t="shared" si="10"/>
        <v>0</v>
      </c>
      <c r="T58" s="1371">
        <f t="shared" si="10"/>
        <v>0</v>
      </c>
      <c r="U58" s="1371">
        <f t="shared" si="6"/>
        <v>0</v>
      </c>
      <c r="V58" s="1373">
        <f t="shared" si="7"/>
        <v>0</v>
      </c>
      <c r="W58" s="960"/>
    </row>
    <row r="59" spans="1:23">
      <c r="A59" s="918">
        <v>300132</v>
      </c>
      <c r="B59" s="919" t="s">
        <v>1042</v>
      </c>
      <c r="C59" s="1363">
        <f>IF('TAR_Tab 2_Volumina'!M62,1,0)</f>
        <v>0</v>
      </c>
      <c r="D59" s="1527">
        <v>0</v>
      </c>
      <c r="E59" s="1528">
        <f t="shared" si="0"/>
        <v>0</v>
      </c>
      <c r="F59" s="1528">
        <f t="shared" si="1"/>
        <v>0</v>
      </c>
      <c r="G59" s="1531"/>
      <c r="H59" s="1528">
        <f t="shared" si="2"/>
        <v>0</v>
      </c>
      <c r="I59" s="1528">
        <f t="shared" si="3"/>
        <v>0</v>
      </c>
      <c r="J59" s="1532">
        <f t="shared" si="8"/>
        <v>0</v>
      </c>
      <c r="K59" s="1369" t="str">
        <f t="shared" si="9"/>
        <v/>
      </c>
      <c r="L59" s="1558"/>
      <c r="M59" s="1364"/>
      <c r="N59" s="1371">
        <f t="shared" si="4"/>
        <v>0</v>
      </c>
      <c r="O59" s="1372"/>
      <c r="P59" s="1371">
        <f t="shared" si="10"/>
        <v>0</v>
      </c>
      <c r="Q59" s="1371">
        <f t="shared" si="10"/>
        <v>0</v>
      </c>
      <c r="R59" s="1371">
        <f t="shared" si="10"/>
        <v>0</v>
      </c>
      <c r="S59" s="1371">
        <f t="shared" si="10"/>
        <v>0</v>
      </c>
      <c r="T59" s="1371">
        <f t="shared" si="10"/>
        <v>0</v>
      </c>
      <c r="U59" s="1371">
        <f t="shared" si="6"/>
        <v>0</v>
      </c>
      <c r="V59" s="1373">
        <f t="shared" si="7"/>
        <v>0</v>
      </c>
      <c r="W59" s="960"/>
    </row>
    <row r="60" spans="1:23">
      <c r="A60" s="918">
        <v>300133</v>
      </c>
      <c r="B60" s="919" t="s">
        <v>1043</v>
      </c>
      <c r="C60" s="1363">
        <f>IF('TAR_Tab 2_Volumina'!M63,1,0)</f>
        <v>0</v>
      </c>
      <c r="D60" s="1527">
        <v>0</v>
      </c>
      <c r="E60" s="1528">
        <f t="shared" si="0"/>
        <v>0</v>
      </c>
      <c r="F60" s="1528">
        <f t="shared" si="1"/>
        <v>0</v>
      </c>
      <c r="G60" s="1531"/>
      <c r="H60" s="1528">
        <f t="shared" si="2"/>
        <v>0</v>
      </c>
      <c r="I60" s="1528">
        <f t="shared" si="3"/>
        <v>0</v>
      </c>
      <c r="J60" s="1532">
        <f t="shared" si="8"/>
        <v>0</v>
      </c>
      <c r="K60" s="1369" t="str">
        <f t="shared" si="9"/>
        <v/>
      </c>
      <c r="L60" s="1558"/>
      <c r="M60" s="1364"/>
      <c r="N60" s="1371">
        <f t="shared" si="4"/>
        <v>0</v>
      </c>
      <c r="O60" s="1372"/>
      <c r="P60" s="1371">
        <f t="shared" si="10"/>
        <v>0</v>
      </c>
      <c r="Q60" s="1371">
        <f t="shared" si="10"/>
        <v>0</v>
      </c>
      <c r="R60" s="1371">
        <f t="shared" si="10"/>
        <v>0</v>
      </c>
      <c r="S60" s="1371">
        <f t="shared" si="10"/>
        <v>0</v>
      </c>
      <c r="T60" s="1371">
        <f t="shared" si="10"/>
        <v>0</v>
      </c>
      <c r="U60" s="1371">
        <f t="shared" si="6"/>
        <v>0</v>
      </c>
      <c r="V60" s="1373">
        <f t="shared" si="7"/>
        <v>0</v>
      </c>
      <c r="W60" s="960"/>
    </row>
    <row r="61" spans="1:23">
      <c r="A61" s="918">
        <v>300136</v>
      </c>
      <c r="B61" s="919" t="s">
        <v>796</v>
      </c>
      <c r="C61" s="1363">
        <f>IF('TAR_Tab 2_Volumina'!M64,1,0)</f>
        <v>0</v>
      </c>
      <c r="D61" s="1527">
        <v>0</v>
      </c>
      <c r="E61" s="1528">
        <f t="shared" si="0"/>
        <v>0</v>
      </c>
      <c r="F61" s="1528">
        <f t="shared" si="1"/>
        <v>0</v>
      </c>
      <c r="G61" s="1531"/>
      <c r="H61" s="1528">
        <f t="shared" si="2"/>
        <v>0</v>
      </c>
      <c r="I61" s="1528">
        <f t="shared" si="3"/>
        <v>0</v>
      </c>
      <c r="J61" s="1532">
        <f t="shared" si="8"/>
        <v>0</v>
      </c>
      <c r="K61" s="1369" t="str">
        <f t="shared" si="9"/>
        <v/>
      </c>
      <c r="L61" s="1558"/>
      <c r="M61" s="1364"/>
      <c r="N61" s="1371">
        <f t="shared" si="4"/>
        <v>0</v>
      </c>
      <c r="O61" s="1372"/>
      <c r="P61" s="1371">
        <f t="shared" si="10"/>
        <v>0</v>
      </c>
      <c r="Q61" s="1371">
        <f t="shared" si="10"/>
        <v>0</v>
      </c>
      <c r="R61" s="1371">
        <f t="shared" si="10"/>
        <v>0</v>
      </c>
      <c r="S61" s="1371">
        <f t="shared" si="10"/>
        <v>0</v>
      </c>
      <c r="T61" s="1371">
        <f t="shared" si="10"/>
        <v>0</v>
      </c>
      <c r="U61" s="1371">
        <f t="shared" si="6"/>
        <v>0</v>
      </c>
      <c r="V61" s="1373">
        <f t="shared" si="7"/>
        <v>0</v>
      </c>
      <c r="W61" s="960"/>
    </row>
    <row r="62" spans="1:23">
      <c r="A62" s="918">
        <v>300138</v>
      </c>
      <c r="B62" s="919" t="s">
        <v>1044</v>
      </c>
      <c r="C62" s="1363">
        <f>IF('TAR_Tab 2_Volumina'!M65,1,0)</f>
        <v>0</v>
      </c>
      <c r="D62" s="1527">
        <v>0</v>
      </c>
      <c r="E62" s="1528">
        <f t="shared" si="0"/>
        <v>0</v>
      </c>
      <c r="F62" s="1528">
        <f t="shared" si="1"/>
        <v>0</v>
      </c>
      <c r="G62" s="1531"/>
      <c r="H62" s="1528">
        <f t="shared" si="2"/>
        <v>0</v>
      </c>
      <c r="I62" s="1528">
        <f t="shared" si="3"/>
        <v>0</v>
      </c>
      <c r="J62" s="1532">
        <f t="shared" si="8"/>
        <v>0</v>
      </c>
      <c r="K62" s="1369" t="str">
        <f t="shared" si="9"/>
        <v/>
      </c>
      <c r="L62" s="1558"/>
      <c r="M62" s="1364"/>
      <c r="N62" s="1371">
        <f t="shared" si="4"/>
        <v>0</v>
      </c>
      <c r="O62" s="1372"/>
      <c r="P62" s="1371">
        <f t="shared" si="10"/>
        <v>0</v>
      </c>
      <c r="Q62" s="1371">
        <f t="shared" si="10"/>
        <v>0</v>
      </c>
      <c r="R62" s="1371">
        <f t="shared" si="10"/>
        <v>0</v>
      </c>
      <c r="S62" s="1371">
        <f t="shared" si="10"/>
        <v>0</v>
      </c>
      <c r="T62" s="1371">
        <f t="shared" si="10"/>
        <v>0</v>
      </c>
      <c r="U62" s="1371">
        <f t="shared" si="6"/>
        <v>0</v>
      </c>
      <c r="V62" s="1373">
        <f t="shared" si="7"/>
        <v>0</v>
      </c>
      <c r="W62" s="960"/>
    </row>
    <row r="63" spans="1:23">
      <c r="A63" s="918">
        <v>300139</v>
      </c>
      <c r="B63" s="919" t="s">
        <v>1045</v>
      </c>
      <c r="C63" s="1363">
        <f>IF('TAR_Tab 2_Volumina'!M66,1,0)</f>
        <v>0</v>
      </c>
      <c r="D63" s="1527">
        <v>0</v>
      </c>
      <c r="E63" s="1528">
        <f t="shared" si="0"/>
        <v>0</v>
      </c>
      <c r="F63" s="1528">
        <f t="shared" si="1"/>
        <v>0</v>
      </c>
      <c r="G63" s="1531"/>
      <c r="H63" s="1528">
        <f t="shared" si="2"/>
        <v>0</v>
      </c>
      <c r="I63" s="1528">
        <f t="shared" si="3"/>
        <v>0</v>
      </c>
      <c r="J63" s="1532">
        <f t="shared" si="8"/>
        <v>0</v>
      </c>
      <c r="K63" s="1369" t="str">
        <f t="shared" si="9"/>
        <v/>
      </c>
      <c r="L63" s="1558"/>
      <c r="M63" s="1364"/>
      <c r="N63" s="1371">
        <f t="shared" si="4"/>
        <v>0</v>
      </c>
      <c r="O63" s="1372"/>
      <c r="P63" s="1371">
        <f t="shared" si="10"/>
        <v>0</v>
      </c>
      <c r="Q63" s="1371">
        <f t="shared" si="10"/>
        <v>0</v>
      </c>
      <c r="R63" s="1371">
        <f t="shared" si="10"/>
        <v>0</v>
      </c>
      <c r="S63" s="1371">
        <f t="shared" si="10"/>
        <v>0</v>
      </c>
      <c r="T63" s="1371">
        <f t="shared" si="10"/>
        <v>0</v>
      </c>
      <c r="U63" s="1371">
        <f t="shared" si="6"/>
        <v>0</v>
      </c>
      <c r="V63" s="1373">
        <f t="shared" ref="V63:V118" si="11">ROUND(U63,2)</f>
        <v>0</v>
      </c>
      <c r="W63" s="960"/>
    </row>
    <row r="64" spans="1:23">
      <c r="A64" s="918">
        <v>300140</v>
      </c>
      <c r="B64" s="919" t="s">
        <v>788</v>
      </c>
      <c r="C64" s="1363">
        <f>IF('TAR_Tab 2_Volumina'!M67,1,0)</f>
        <v>0</v>
      </c>
      <c r="D64" s="1527">
        <v>0</v>
      </c>
      <c r="E64" s="1528">
        <f t="shared" si="0"/>
        <v>0</v>
      </c>
      <c r="F64" s="1528">
        <f t="shared" si="1"/>
        <v>0</v>
      </c>
      <c r="G64" s="1531"/>
      <c r="H64" s="1528">
        <f t="shared" si="2"/>
        <v>0</v>
      </c>
      <c r="I64" s="1528">
        <f t="shared" si="3"/>
        <v>0</v>
      </c>
      <c r="J64" s="1532">
        <f t="shared" si="8"/>
        <v>0</v>
      </c>
      <c r="K64" s="1369" t="str">
        <f t="shared" si="9"/>
        <v/>
      </c>
      <c r="L64" s="1558"/>
      <c r="M64" s="1364"/>
      <c r="N64" s="1371">
        <f t="shared" ref="N64:N118" si="12">IF(J64&gt;0,J64,F64)</f>
        <v>0</v>
      </c>
      <c r="O64" s="1372"/>
      <c r="P64" s="1371">
        <f t="shared" si="10"/>
        <v>0</v>
      </c>
      <c r="Q64" s="1371">
        <f t="shared" si="10"/>
        <v>0</v>
      </c>
      <c r="R64" s="1371">
        <f t="shared" si="10"/>
        <v>0</v>
      </c>
      <c r="S64" s="1371">
        <f t="shared" si="10"/>
        <v>0</v>
      </c>
      <c r="T64" s="1371">
        <f t="shared" si="10"/>
        <v>0</v>
      </c>
      <c r="U64" s="1371">
        <f t="shared" si="6"/>
        <v>0</v>
      </c>
      <c r="V64" s="1373">
        <f t="shared" si="11"/>
        <v>0</v>
      </c>
      <c r="W64" s="960"/>
    </row>
    <row r="65" spans="1:23">
      <c r="A65" s="918">
        <v>300141</v>
      </c>
      <c r="B65" s="919" t="s">
        <v>1046</v>
      </c>
      <c r="C65" s="1363">
        <f>IF('TAR_Tab 2_Volumina'!M68,1,0)</f>
        <v>0</v>
      </c>
      <c r="D65" s="1527">
        <v>0</v>
      </c>
      <c r="E65" s="1528">
        <f t="shared" si="0"/>
        <v>0</v>
      </c>
      <c r="F65" s="1528">
        <f t="shared" si="1"/>
        <v>0</v>
      </c>
      <c r="G65" s="1531"/>
      <c r="H65" s="1528">
        <f t="shared" si="2"/>
        <v>0</v>
      </c>
      <c r="I65" s="1528">
        <f t="shared" si="3"/>
        <v>0</v>
      </c>
      <c r="J65" s="1532">
        <f t="shared" si="8"/>
        <v>0</v>
      </c>
      <c r="K65" s="1369" t="str">
        <f t="shared" si="9"/>
        <v/>
      </c>
      <c r="L65" s="1558"/>
      <c r="M65" s="1364"/>
      <c r="N65" s="1371">
        <f t="shared" si="12"/>
        <v>0</v>
      </c>
      <c r="O65" s="1372"/>
      <c r="P65" s="1371">
        <f t="shared" si="10"/>
        <v>0</v>
      </c>
      <c r="Q65" s="1371">
        <f t="shared" si="10"/>
        <v>0</v>
      </c>
      <c r="R65" s="1371">
        <f t="shared" si="10"/>
        <v>0</v>
      </c>
      <c r="S65" s="1371">
        <f t="shared" si="10"/>
        <v>0</v>
      </c>
      <c r="T65" s="1371">
        <f t="shared" si="10"/>
        <v>0</v>
      </c>
      <c r="U65" s="1371">
        <f t="shared" si="6"/>
        <v>0</v>
      </c>
      <c r="V65" s="1373">
        <f t="shared" si="11"/>
        <v>0</v>
      </c>
      <c r="W65" s="960"/>
    </row>
    <row r="66" spans="1:23">
      <c r="A66" s="918">
        <v>300142</v>
      </c>
      <c r="B66" s="919" t="s">
        <v>43</v>
      </c>
      <c r="C66" s="1363">
        <f>IF('TAR_Tab 2_Volumina'!M69,1,0)</f>
        <v>0</v>
      </c>
      <c r="D66" s="1527">
        <v>0</v>
      </c>
      <c r="E66" s="1528">
        <f t="shared" si="0"/>
        <v>0</v>
      </c>
      <c r="F66" s="1528">
        <f t="shared" si="1"/>
        <v>0</v>
      </c>
      <c r="G66" s="1531"/>
      <c r="H66" s="1528">
        <f t="shared" si="2"/>
        <v>0</v>
      </c>
      <c r="I66" s="1528">
        <f t="shared" si="3"/>
        <v>0</v>
      </c>
      <c r="J66" s="1532">
        <f t="shared" si="8"/>
        <v>0</v>
      </c>
      <c r="K66" s="1369" t="str">
        <f t="shared" si="9"/>
        <v/>
      </c>
      <c r="L66" s="1558"/>
      <c r="M66" s="1364"/>
      <c r="N66" s="1371">
        <f t="shared" si="12"/>
        <v>0</v>
      </c>
      <c r="O66" s="1372"/>
      <c r="P66" s="1371">
        <f t="shared" si="10"/>
        <v>0</v>
      </c>
      <c r="Q66" s="1371">
        <f t="shared" si="10"/>
        <v>0</v>
      </c>
      <c r="R66" s="1371">
        <f t="shared" si="10"/>
        <v>0</v>
      </c>
      <c r="S66" s="1371">
        <f t="shared" si="10"/>
        <v>0</v>
      </c>
      <c r="T66" s="1371">
        <f t="shared" si="10"/>
        <v>0</v>
      </c>
      <c r="U66" s="1371">
        <f t="shared" si="6"/>
        <v>0</v>
      </c>
      <c r="V66" s="1373">
        <f t="shared" si="11"/>
        <v>0</v>
      </c>
      <c r="W66" s="960"/>
    </row>
    <row r="67" spans="1:23">
      <c r="A67" s="918">
        <v>300143</v>
      </c>
      <c r="B67" s="919" t="s">
        <v>44</v>
      </c>
      <c r="C67" s="1363">
        <f>IF('TAR_Tab 2_Volumina'!M70,1,0)</f>
        <v>0</v>
      </c>
      <c r="D67" s="1527">
        <v>0</v>
      </c>
      <c r="E67" s="1528">
        <f t="shared" si="0"/>
        <v>0</v>
      </c>
      <c r="F67" s="1528">
        <f t="shared" si="1"/>
        <v>0</v>
      </c>
      <c r="G67" s="1531"/>
      <c r="H67" s="1528">
        <f t="shared" si="2"/>
        <v>0</v>
      </c>
      <c r="I67" s="1528">
        <f t="shared" si="3"/>
        <v>0</v>
      </c>
      <c r="J67" s="1532">
        <f t="shared" si="8"/>
        <v>0</v>
      </c>
      <c r="K67" s="1369" t="str">
        <f t="shared" si="9"/>
        <v/>
      </c>
      <c r="L67" s="1558"/>
      <c r="M67" s="1364"/>
      <c r="N67" s="1371">
        <f t="shared" si="12"/>
        <v>0</v>
      </c>
      <c r="O67" s="1372"/>
      <c r="P67" s="1371">
        <f t="shared" si="10"/>
        <v>0</v>
      </c>
      <c r="Q67" s="1371">
        <f t="shared" si="10"/>
        <v>0</v>
      </c>
      <c r="R67" s="1371">
        <f t="shared" si="10"/>
        <v>0</v>
      </c>
      <c r="S67" s="1371">
        <f t="shared" si="10"/>
        <v>0</v>
      </c>
      <c r="T67" s="1371">
        <f t="shared" si="10"/>
        <v>0</v>
      </c>
      <c r="U67" s="1371">
        <f t="shared" si="6"/>
        <v>0</v>
      </c>
      <c r="V67" s="1373">
        <f t="shared" si="11"/>
        <v>0</v>
      </c>
      <c r="W67" s="960"/>
    </row>
    <row r="68" spans="1:23">
      <c r="A68" s="918">
        <v>300144</v>
      </c>
      <c r="B68" s="919" t="s">
        <v>292</v>
      </c>
      <c r="C68" s="1363">
        <f>IF('TAR_Tab 2_Volumina'!M71,1,0)</f>
        <v>0</v>
      </c>
      <c r="D68" s="1527">
        <v>0</v>
      </c>
      <c r="E68" s="1528">
        <f t="shared" si="0"/>
        <v>0</v>
      </c>
      <c r="F68" s="1528">
        <f t="shared" si="1"/>
        <v>0</v>
      </c>
      <c r="G68" s="1531"/>
      <c r="H68" s="1528">
        <f t="shared" si="2"/>
        <v>0</v>
      </c>
      <c r="I68" s="1528">
        <f t="shared" si="3"/>
        <v>0</v>
      </c>
      <c r="J68" s="1532">
        <f t="shared" si="8"/>
        <v>0</v>
      </c>
      <c r="K68" s="1369" t="str">
        <f t="shared" si="9"/>
        <v/>
      </c>
      <c r="L68" s="1558"/>
      <c r="M68" s="1364"/>
      <c r="N68" s="1371">
        <f t="shared" si="12"/>
        <v>0</v>
      </c>
      <c r="O68" s="1372"/>
      <c r="P68" s="1371">
        <f t="shared" si="10"/>
        <v>0</v>
      </c>
      <c r="Q68" s="1371">
        <f t="shared" si="10"/>
        <v>0</v>
      </c>
      <c r="R68" s="1371">
        <f t="shared" si="10"/>
        <v>0</v>
      </c>
      <c r="S68" s="1371">
        <f t="shared" si="10"/>
        <v>0</v>
      </c>
      <c r="T68" s="1371">
        <f t="shared" si="10"/>
        <v>0</v>
      </c>
      <c r="U68" s="1371">
        <f t="shared" si="6"/>
        <v>0</v>
      </c>
      <c r="V68" s="1373">
        <f t="shared" si="11"/>
        <v>0</v>
      </c>
      <c r="W68" s="960"/>
    </row>
    <row r="69" spans="1:23">
      <c r="A69" s="918">
        <v>300145</v>
      </c>
      <c r="B69" s="919" t="s">
        <v>1047</v>
      </c>
      <c r="C69" s="1363">
        <f>IF('TAR_Tab 2_Volumina'!M72,1,0)</f>
        <v>0</v>
      </c>
      <c r="D69" s="1527">
        <v>0</v>
      </c>
      <c r="E69" s="1528">
        <f t="shared" si="0"/>
        <v>0</v>
      </c>
      <c r="F69" s="1528">
        <f t="shared" si="1"/>
        <v>0</v>
      </c>
      <c r="G69" s="1531"/>
      <c r="H69" s="1528">
        <f t="shared" si="2"/>
        <v>0</v>
      </c>
      <c r="I69" s="1528">
        <f t="shared" si="3"/>
        <v>0</v>
      </c>
      <c r="J69" s="1532">
        <f t="shared" si="8"/>
        <v>0</v>
      </c>
      <c r="K69" s="1369" t="str">
        <f t="shared" si="9"/>
        <v/>
      </c>
      <c r="L69" s="1558"/>
      <c r="M69" s="1364"/>
      <c r="N69" s="1371">
        <f t="shared" si="12"/>
        <v>0</v>
      </c>
      <c r="O69" s="1372"/>
      <c r="P69" s="1371">
        <f t="shared" si="10"/>
        <v>0</v>
      </c>
      <c r="Q69" s="1371">
        <f t="shared" si="10"/>
        <v>0</v>
      </c>
      <c r="R69" s="1371">
        <f t="shared" si="10"/>
        <v>0</v>
      </c>
      <c r="S69" s="1371">
        <f t="shared" si="10"/>
        <v>0</v>
      </c>
      <c r="T69" s="1371">
        <f t="shared" si="10"/>
        <v>0</v>
      </c>
      <c r="U69" s="1371">
        <f t="shared" si="6"/>
        <v>0</v>
      </c>
      <c r="V69" s="1373">
        <f t="shared" si="11"/>
        <v>0</v>
      </c>
      <c r="W69" s="960"/>
    </row>
    <row r="70" spans="1:23">
      <c r="A70" s="918">
        <v>300146</v>
      </c>
      <c r="B70" s="919" t="s">
        <v>293</v>
      </c>
      <c r="C70" s="1363">
        <f>IF('TAR_Tab 2_Volumina'!M73,1,0)</f>
        <v>0</v>
      </c>
      <c r="D70" s="1527">
        <v>0</v>
      </c>
      <c r="E70" s="1528">
        <f t="shared" si="0"/>
        <v>0</v>
      </c>
      <c r="F70" s="1528">
        <f t="shared" si="1"/>
        <v>0</v>
      </c>
      <c r="G70" s="1531"/>
      <c r="H70" s="1528">
        <f t="shared" si="2"/>
        <v>0</v>
      </c>
      <c r="I70" s="1528">
        <f t="shared" si="3"/>
        <v>0</v>
      </c>
      <c r="J70" s="1532">
        <f t="shared" si="8"/>
        <v>0</v>
      </c>
      <c r="K70" s="1369" t="str">
        <f t="shared" si="9"/>
        <v/>
      </c>
      <c r="L70" s="1558"/>
      <c r="M70" s="1364"/>
      <c r="N70" s="1371">
        <f t="shared" si="12"/>
        <v>0</v>
      </c>
      <c r="O70" s="1372"/>
      <c r="P70" s="1371">
        <f t="shared" si="10"/>
        <v>0</v>
      </c>
      <c r="Q70" s="1371">
        <f t="shared" si="10"/>
        <v>0</v>
      </c>
      <c r="R70" s="1371">
        <f t="shared" si="10"/>
        <v>0</v>
      </c>
      <c r="S70" s="1371">
        <f t="shared" si="10"/>
        <v>0</v>
      </c>
      <c r="T70" s="1371">
        <f t="shared" si="10"/>
        <v>0</v>
      </c>
      <c r="U70" s="1371">
        <f t="shared" si="6"/>
        <v>0</v>
      </c>
      <c r="V70" s="1373">
        <f t="shared" si="11"/>
        <v>0</v>
      </c>
      <c r="W70" s="960"/>
    </row>
    <row r="71" spans="1:23">
      <c r="A71" s="918">
        <v>300147</v>
      </c>
      <c r="B71" s="919" t="s">
        <v>1048</v>
      </c>
      <c r="C71" s="1363">
        <f>IF('TAR_Tab 2_Volumina'!M74,1,0)</f>
        <v>0</v>
      </c>
      <c r="D71" s="1527">
        <v>0</v>
      </c>
      <c r="E71" s="1528">
        <f t="shared" si="0"/>
        <v>0</v>
      </c>
      <c r="F71" s="1528">
        <f t="shared" si="1"/>
        <v>0</v>
      </c>
      <c r="G71" s="1531"/>
      <c r="H71" s="1528">
        <f t="shared" si="2"/>
        <v>0</v>
      </c>
      <c r="I71" s="1528">
        <f t="shared" si="3"/>
        <v>0</v>
      </c>
      <c r="J71" s="1532">
        <f t="shared" si="8"/>
        <v>0</v>
      </c>
      <c r="K71" s="1369" t="str">
        <f t="shared" si="9"/>
        <v/>
      </c>
      <c r="L71" s="1558"/>
      <c r="M71" s="1364"/>
      <c r="N71" s="1371">
        <f t="shared" si="12"/>
        <v>0</v>
      </c>
      <c r="O71" s="1372"/>
      <c r="P71" s="1371">
        <f t="shared" si="10"/>
        <v>0</v>
      </c>
      <c r="Q71" s="1371">
        <f t="shared" si="10"/>
        <v>0</v>
      </c>
      <c r="R71" s="1371">
        <f t="shared" si="10"/>
        <v>0</v>
      </c>
      <c r="S71" s="1371">
        <f t="shared" si="10"/>
        <v>0</v>
      </c>
      <c r="T71" s="1371">
        <f t="shared" si="10"/>
        <v>0</v>
      </c>
      <c r="U71" s="1371">
        <f t="shared" si="6"/>
        <v>0</v>
      </c>
      <c r="V71" s="1373">
        <f t="shared" si="11"/>
        <v>0</v>
      </c>
      <c r="W71" s="960"/>
    </row>
    <row r="72" spans="1:23">
      <c r="A72" s="918">
        <v>300148</v>
      </c>
      <c r="B72" s="919" t="s">
        <v>77</v>
      </c>
      <c r="C72" s="1363">
        <f>IF('TAR_Tab 2_Volumina'!M75,1,0)</f>
        <v>1</v>
      </c>
      <c r="D72" s="1527">
        <v>17726.04489529389</v>
      </c>
      <c r="E72" s="1528">
        <f t="shared" si="0"/>
        <v>16903.556412152255</v>
      </c>
      <c r="F72" s="1528">
        <f t="shared" si="1"/>
        <v>17861.01390568259</v>
      </c>
      <c r="G72" s="1531"/>
      <c r="H72" s="1528">
        <f t="shared" si="2"/>
        <v>16967.963210398459</v>
      </c>
      <c r="I72" s="1528">
        <f t="shared" si="3"/>
        <v>18754.064600966722</v>
      </c>
      <c r="J72" s="1532">
        <f t="shared" si="8"/>
        <v>17861.01390568259</v>
      </c>
      <c r="K72" s="1369" t="b">
        <f t="shared" si="9"/>
        <v>1</v>
      </c>
      <c r="L72" s="1558"/>
      <c r="M72" s="1364"/>
      <c r="N72" s="1371">
        <f t="shared" si="12"/>
        <v>17861.01390568259</v>
      </c>
      <c r="O72" s="1372"/>
      <c r="P72" s="1371">
        <f t="shared" si="10"/>
        <v>56.167947152971543</v>
      </c>
      <c r="Q72" s="1371">
        <f t="shared" si="10"/>
        <v>44.520984859919338</v>
      </c>
      <c r="R72" s="1371">
        <f t="shared" si="10"/>
        <v>123.12413435904286</v>
      </c>
      <c r="S72" s="1371">
        <f t="shared" si="10"/>
        <v>0</v>
      </c>
      <c r="T72" s="1371">
        <f t="shared" si="10"/>
        <v>1155.1357038717852</v>
      </c>
      <c r="U72" s="1371">
        <f t="shared" si="6"/>
        <v>19239.962675926312</v>
      </c>
      <c r="V72" s="1373">
        <f t="shared" si="11"/>
        <v>19239.96</v>
      </c>
      <c r="W72" s="960"/>
    </row>
    <row r="73" spans="1:23">
      <c r="A73" s="918">
        <v>300149</v>
      </c>
      <c r="B73" s="919" t="s">
        <v>78</v>
      </c>
      <c r="C73" s="1363">
        <f>IF('TAR_Tab 2_Volumina'!M76,1,0)</f>
        <v>1</v>
      </c>
      <c r="D73" s="1527">
        <v>17726.04489529389</v>
      </c>
      <c r="E73" s="1528">
        <f t="shared" ref="E73:E136" si="13">D73*$E$7*C73</f>
        <v>16903.556412152255</v>
      </c>
      <c r="F73" s="1528">
        <f t="shared" ref="F73:F136" si="14">E73*$F$7</f>
        <v>17861.01390568259</v>
      </c>
      <c r="G73" s="1531"/>
      <c r="H73" s="1528">
        <f t="shared" ref="H73:H136" si="15">F73*$H$7</f>
        <v>16967.963210398459</v>
      </c>
      <c r="I73" s="1528">
        <f t="shared" ref="I73:I136" si="16">F73*$I$7</f>
        <v>18754.064600966722</v>
      </c>
      <c r="J73" s="1532">
        <f t="shared" si="8"/>
        <v>17861.01390568259</v>
      </c>
      <c r="K73" s="1369" t="b">
        <f t="shared" si="9"/>
        <v>1</v>
      </c>
      <c r="L73" s="1558"/>
      <c r="M73" s="1364"/>
      <c r="N73" s="1371">
        <f t="shared" si="12"/>
        <v>17861.01390568259</v>
      </c>
      <c r="O73" s="1372"/>
      <c r="P73" s="1371">
        <f t="shared" ref="P73:T123" si="17">P$7*$N73</f>
        <v>56.167947152971543</v>
      </c>
      <c r="Q73" s="1371">
        <f t="shared" si="17"/>
        <v>44.520984859919338</v>
      </c>
      <c r="R73" s="1371">
        <f t="shared" si="17"/>
        <v>123.12413435904286</v>
      </c>
      <c r="S73" s="1371">
        <f t="shared" si="17"/>
        <v>0</v>
      </c>
      <c r="T73" s="1371">
        <f t="shared" si="17"/>
        <v>1155.1357038717852</v>
      </c>
      <c r="U73" s="1371">
        <f t="shared" ref="U73:U136" si="18">N73+P73+Q73+R73+S73+T73</f>
        <v>19239.962675926312</v>
      </c>
      <c r="V73" s="1373">
        <f t="shared" si="11"/>
        <v>19239.96</v>
      </c>
      <c r="W73" s="960"/>
    </row>
    <row r="74" spans="1:23">
      <c r="A74" s="918">
        <v>300150</v>
      </c>
      <c r="B74" s="919" t="s">
        <v>1049</v>
      </c>
      <c r="C74" s="1363">
        <f>IF('TAR_Tab 2_Volumina'!M77,1,0)</f>
        <v>0</v>
      </c>
      <c r="D74" s="1527">
        <v>0</v>
      </c>
      <c r="E74" s="1528">
        <f t="shared" si="13"/>
        <v>0</v>
      </c>
      <c r="F74" s="1528">
        <f t="shared" si="14"/>
        <v>0</v>
      </c>
      <c r="G74" s="1531"/>
      <c r="H74" s="1528">
        <f t="shared" si="15"/>
        <v>0</v>
      </c>
      <c r="I74" s="1528">
        <f t="shared" si="16"/>
        <v>0</v>
      </c>
      <c r="J74" s="1532">
        <f t="shared" ref="J74:J137" si="19">F74</f>
        <v>0</v>
      </c>
      <c r="K74" s="1369" t="str">
        <f t="shared" ref="K74:K137" si="20">IF(J74&gt;0,AND(J74&gt;=H74,J74&lt;=I74),"")</f>
        <v/>
      </c>
      <c r="L74" s="1558"/>
      <c r="M74" s="1364"/>
      <c r="N74" s="1371">
        <f t="shared" si="12"/>
        <v>0</v>
      </c>
      <c r="O74" s="1372"/>
      <c r="P74" s="1371">
        <f t="shared" si="17"/>
        <v>0</v>
      </c>
      <c r="Q74" s="1371">
        <f t="shared" si="17"/>
        <v>0</v>
      </c>
      <c r="R74" s="1371">
        <f t="shared" si="17"/>
        <v>0</v>
      </c>
      <c r="S74" s="1371">
        <f t="shared" si="17"/>
        <v>0</v>
      </c>
      <c r="T74" s="1371">
        <f t="shared" si="17"/>
        <v>0</v>
      </c>
      <c r="U74" s="1371">
        <f t="shared" si="18"/>
        <v>0</v>
      </c>
      <c r="V74" s="1373">
        <f t="shared" si="11"/>
        <v>0</v>
      </c>
      <c r="W74" s="960"/>
    </row>
    <row r="75" spans="1:23">
      <c r="A75" s="918">
        <v>300151</v>
      </c>
      <c r="B75" s="919" t="s">
        <v>1050</v>
      </c>
      <c r="C75" s="1363">
        <f>IF('TAR_Tab 2_Volumina'!M78,1,0)</f>
        <v>0</v>
      </c>
      <c r="D75" s="1527">
        <v>0</v>
      </c>
      <c r="E75" s="1528">
        <f t="shared" si="13"/>
        <v>0</v>
      </c>
      <c r="F75" s="1528">
        <f t="shared" si="14"/>
        <v>0</v>
      </c>
      <c r="G75" s="1531"/>
      <c r="H75" s="1528">
        <f t="shared" si="15"/>
        <v>0</v>
      </c>
      <c r="I75" s="1528">
        <f t="shared" si="16"/>
        <v>0</v>
      </c>
      <c r="J75" s="1532">
        <f t="shared" si="19"/>
        <v>0</v>
      </c>
      <c r="K75" s="1369" t="str">
        <f t="shared" si="20"/>
        <v/>
      </c>
      <c r="L75" s="1558"/>
      <c r="M75" s="1364"/>
      <c r="N75" s="1371">
        <f t="shared" si="12"/>
        <v>0</v>
      </c>
      <c r="O75" s="1372"/>
      <c r="P75" s="1371">
        <f t="shared" si="17"/>
        <v>0</v>
      </c>
      <c r="Q75" s="1371">
        <f t="shared" si="17"/>
        <v>0</v>
      </c>
      <c r="R75" s="1371">
        <f t="shared" si="17"/>
        <v>0</v>
      </c>
      <c r="S75" s="1371">
        <f t="shared" si="17"/>
        <v>0</v>
      </c>
      <c r="T75" s="1371">
        <f t="shared" si="17"/>
        <v>0</v>
      </c>
      <c r="U75" s="1371">
        <f t="shared" si="18"/>
        <v>0</v>
      </c>
      <c r="V75" s="1373">
        <f t="shared" si="11"/>
        <v>0</v>
      </c>
      <c r="W75" s="960"/>
    </row>
    <row r="76" spans="1:23">
      <c r="A76" s="918">
        <v>300153</v>
      </c>
      <c r="B76" s="919" t="s">
        <v>79</v>
      </c>
      <c r="C76" s="1363">
        <f>IF('TAR_Tab 2_Volumina'!M79,1,0)</f>
        <v>0</v>
      </c>
      <c r="D76" s="1527">
        <v>0</v>
      </c>
      <c r="E76" s="1528">
        <f t="shared" si="13"/>
        <v>0</v>
      </c>
      <c r="F76" s="1528">
        <f t="shared" si="14"/>
        <v>0</v>
      </c>
      <c r="G76" s="1531"/>
      <c r="H76" s="1528">
        <f t="shared" si="15"/>
        <v>0</v>
      </c>
      <c r="I76" s="1528">
        <f t="shared" si="16"/>
        <v>0</v>
      </c>
      <c r="J76" s="1532">
        <f t="shared" si="19"/>
        <v>0</v>
      </c>
      <c r="K76" s="1369" t="str">
        <f t="shared" si="20"/>
        <v/>
      </c>
      <c r="L76" s="1558"/>
      <c r="M76" s="1364"/>
      <c r="N76" s="1371">
        <f t="shared" si="12"/>
        <v>0</v>
      </c>
      <c r="O76" s="1372"/>
      <c r="P76" s="1371">
        <f t="shared" si="17"/>
        <v>0</v>
      </c>
      <c r="Q76" s="1371">
        <f t="shared" si="17"/>
        <v>0</v>
      </c>
      <c r="R76" s="1371">
        <f t="shared" si="17"/>
        <v>0</v>
      </c>
      <c r="S76" s="1371">
        <f t="shared" si="17"/>
        <v>0</v>
      </c>
      <c r="T76" s="1371">
        <f t="shared" si="17"/>
        <v>0</v>
      </c>
      <c r="U76" s="1371">
        <f t="shared" si="18"/>
        <v>0</v>
      </c>
      <c r="V76" s="1373">
        <f t="shared" si="11"/>
        <v>0</v>
      </c>
      <c r="W76" s="960"/>
    </row>
    <row r="77" spans="1:23">
      <c r="A77" s="918">
        <v>300161</v>
      </c>
      <c r="B77" s="919" t="s">
        <v>294</v>
      </c>
      <c r="C77" s="1363">
        <f>IF('TAR_Tab 2_Volumina'!M80,1,0)</f>
        <v>1</v>
      </c>
      <c r="D77" s="1529">
        <v>124082.31426705727</v>
      </c>
      <c r="E77" s="1528">
        <f t="shared" si="13"/>
        <v>118324.89488506582</v>
      </c>
      <c r="F77" s="1528">
        <f t="shared" si="14"/>
        <v>125027.09733977816</v>
      </c>
      <c r="G77" s="1531"/>
      <c r="H77" s="1528">
        <f t="shared" si="15"/>
        <v>118775.74247278925</v>
      </c>
      <c r="I77" s="1528">
        <f t="shared" si="16"/>
        <v>131278.45220676708</v>
      </c>
      <c r="J77" s="1532">
        <f t="shared" si="19"/>
        <v>125027.09733977816</v>
      </c>
      <c r="K77" s="1369" t="b">
        <f t="shared" si="20"/>
        <v>1</v>
      </c>
      <c r="L77" s="1558"/>
      <c r="M77" s="1364"/>
      <c r="N77" s="1371">
        <f t="shared" si="12"/>
        <v>125027.09733977816</v>
      </c>
      <c r="O77" s="1372"/>
      <c r="P77" s="1371">
        <f t="shared" si="17"/>
        <v>393.17563007080088</v>
      </c>
      <c r="Q77" s="1371">
        <f t="shared" si="17"/>
        <v>311.64689401943542</v>
      </c>
      <c r="R77" s="1371">
        <f t="shared" si="17"/>
        <v>861.86894051330023</v>
      </c>
      <c r="S77" s="1371">
        <f t="shared" si="17"/>
        <v>0</v>
      </c>
      <c r="T77" s="1371">
        <f t="shared" si="17"/>
        <v>8085.9499271024988</v>
      </c>
      <c r="U77" s="1371">
        <f t="shared" si="18"/>
        <v>134679.73873148422</v>
      </c>
      <c r="V77" s="1373">
        <f t="shared" si="11"/>
        <v>134679.74</v>
      </c>
      <c r="W77" s="960"/>
    </row>
    <row r="78" spans="1:23">
      <c r="A78" s="918">
        <v>300162</v>
      </c>
      <c r="B78" s="919" t="s">
        <v>295</v>
      </c>
      <c r="C78" s="1363">
        <f>IF('TAR_Tab 2_Volumina'!M81,1,0)</f>
        <v>1</v>
      </c>
      <c r="D78" s="1529">
        <v>53178.134685881683</v>
      </c>
      <c r="E78" s="1528">
        <f t="shared" si="13"/>
        <v>50710.669236456772</v>
      </c>
      <c r="F78" s="1528">
        <f t="shared" si="14"/>
        <v>53583.041717047781</v>
      </c>
      <c r="G78" s="1531"/>
      <c r="H78" s="1528">
        <f t="shared" si="15"/>
        <v>50903.889631195387</v>
      </c>
      <c r="I78" s="1528">
        <f t="shared" si="16"/>
        <v>56262.193802900176</v>
      </c>
      <c r="J78" s="1532">
        <f t="shared" si="19"/>
        <v>53583.041717047781</v>
      </c>
      <c r="K78" s="1369" t="b">
        <f t="shared" si="20"/>
        <v>1</v>
      </c>
      <c r="L78" s="1558"/>
      <c r="M78" s="1364"/>
      <c r="N78" s="1371">
        <f t="shared" si="12"/>
        <v>53583.041717047781</v>
      </c>
      <c r="O78" s="1372"/>
      <c r="P78" s="1371">
        <f t="shared" si="17"/>
        <v>168.50384145891465</v>
      </c>
      <c r="Q78" s="1371">
        <f t="shared" si="17"/>
        <v>133.56295457975804</v>
      </c>
      <c r="R78" s="1371">
        <f t="shared" si="17"/>
        <v>369.37240307712864</v>
      </c>
      <c r="S78" s="1371">
        <f t="shared" si="17"/>
        <v>0</v>
      </c>
      <c r="T78" s="1371">
        <f t="shared" si="17"/>
        <v>3465.4071116153564</v>
      </c>
      <c r="U78" s="1371">
        <f t="shared" si="18"/>
        <v>57719.888027778936</v>
      </c>
      <c r="V78" s="1373">
        <f t="shared" si="11"/>
        <v>57719.89</v>
      </c>
      <c r="W78" s="960"/>
    </row>
    <row r="79" spans="1:23">
      <c r="A79" s="918">
        <v>300163</v>
      </c>
      <c r="B79" s="919" t="s">
        <v>80</v>
      </c>
      <c r="C79" s="1363">
        <f>IF('TAR_Tab 2_Volumina'!M82,1,0)</f>
        <v>1</v>
      </c>
      <c r="D79" s="1527">
        <v>17726.04489529389</v>
      </c>
      <c r="E79" s="1528">
        <f t="shared" si="13"/>
        <v>16903.556412152255</v>
      </c>
      <c r="F79" s="1528">
        <f t="shared" si="14"/>
        <v>17861.01390568259</v>
      </c>
      <c r="G79" s="1531"/>
      <c r="H79" s="1528">
        <f t="shared" si="15"/>
        <v>16967.963210398459</v>
      </c>
      <c r="I79" s="1528">
        <f t="shared" si="16"/>
        <v>18754.064600966722</v>
      </c>
      <c r="J79" s="1532">
        <f t="shared" si="19"/>
        <v>17861.01390568259</v>
      </c>
      <c r="K79" s="1369" t="b">
        <f t="shared" si="20"/>
        <v>1</v>
      </c>
      <c r="L79" s="1558"/>
      <c r="M79" s="1364"/>
      <c r="N79" s="1371">
        <f t="shared" si="12"/>
        <v>17861.01390568259</v>
      </c>
      <c r="O79" s="1372"/>
      <c r="P79" s="1371">
        <f t="shared" si="17"/>
        <v>56.167947152971543</v>
      </c>
      <c r="Q79" s="1371">
        <f t="shared" si="17"/>
        <v>44.520984859919338</v>
      </c>
      <c r="R79" s="1371">
        <f t="shared" si="17"/>
        <v>123.12413435904286</v>
      </c>
      <c r="S79" s="1371">
        <f t="shared" si="17"/>
        <v>0</v>
      </c>
      <c r="T79" s="1371">
        <f t="shared" si="17"/>
        <v>1155.1357038717852</v>
      </c>
      <c r="U79" s="1371">
        <f t="shared" si="18"/>
        <v>19239.962675926312</v>
      </c>
      <c r="V79" s="1373">
        <f t="shared" si="11"/>
        <v>19239.96</v>
      </c>
      <c r="W79" s="960"/>
    </row>
    <row r="80" spans="1:23">
      <c r="A80" s="918">
        <v>300164</v>
      </c>
      <c r="B80" s="919" t="s">
        <v>296</v>
      </c>
      <c r="C80" s="1363">
        <f>IF('TAR_Tab 2_Volumina'!M83,1,0)</f>
        <v>1</v>
      </c>
      <c r="D80" s="1529">
        <v>35452.089790587779</v>
      </c>
      <c r="E80" s="1528">
        <f t="shared" si="13"/>
        <v>33807.11282430451</v>
      </c>
      <c r="F80" s="1528">
        <f t="shared" si="14"/>
        <v>35722.02781136518</v>
      </c>
      <c r="G80" s="1531"/>
      <c r="H80" s="1528">
        <f t="shared" si="15"/>
        <v>33935.926420796917</v>
      </c>
      <c r="I80" s="1528">
        <f t="shared" si="16"/>
        <v>37508.129201933443</v>
      </c>
      <c r="J80" s="1532">
        <f t="shared" si="19"/>
        <v>35722.02781136518</v>
      </c>
      <c r="K80" s="1369" t="b">
        <f t="shared" si="20"/>
        <v>1</v>
      </c>
      <c r="L80" s="1558"/>
      <c r="M80" s="1364"/>
      <c r="N80" s="1371">
        <f t="shared" si="12"/>
        <v>35722.02781136518</v>
      </c>
      <c r="O80" s="1372"/>
      <c r="P80" s="1371">
        <f t="shared" si="17"/>
        <v>112.33589430594309</v>
      </c>
      <c r="Q80" s="1371">
        <f t="shared" si="17"/>
        <v>89.041969719838676</v>
      </c>
      <c r="R80" s="1371">
        <f t="shared" si="17"/>
        <v>246.24826871808571</v>
      </c>
      <c r="S80" s="1371">
        <f t="shared" si="17"/>
        <v>0</v>
      </c>
      <c r="T80" s="1371">
        <f t="shared" si="17"/>
        <v>2310.2714077435703</v>
      </c>
      <c r="U80" s="1371">
        <f t="shared" si="18"/>
        <v>38479.925351852624</v>
      </c>
      <c r="V80" s="1373">
        <f t="shared" si="11"/>
        <v>38479.93</v>
      </c>
      <c r="W80" s="960"/>
    </row>
    <row r="81" spans="1:23">
      <c r="A81" s="918">
        <v>300167</v>
      </c>
      <c r="B81" s="919" t="s">
        <v>81</v>
      </c>
      <c r="C81" s="1363">
        <f>IF('TAR_Tab 2_Volumina'!M84,1,0)</f>
        <v>0</v>
      </c>
      <c r="D81" s="1527">
        <v>0</v>
      </c>
      <c r="E81" s="1528">
        <f t="shared" si="13"/>
        <v>0</v>
      </c>
      <c r="F81" s="1528">
        <f t="shared" si="14"/>
        <v>0</v>
      </c>
      <c r="G81" s="1531"/>
      <c r="H81" s="1528">
        <f t="shared" si="15"/>
        <v>0</v>
      </c>
      <c r="I81" s="1528">
        <f t="shared" si="16"/>
        <v>0</v>
      </c>
      <c r="J81" s="1532">
        <f t="shared" si="19"/>
        <v>0</v>
      </c>
      <c r="K81" s="1369" t="str">
        <f t="shared" si="20"/>
        <v/>
      </c>
      <c r="L81" s="1558"/>
      <c r="M81" s="1364"/>
      <c r="N81" s="1371">
        <f t="shared" si="12"/>
        <v>0</v>
      </c>
      <c r="O81" s="1372"/>
      <c r="P81" s="1371">
        <f t="shared" si="17"/>
        <v>0</v>
      </c>
      <c r="Q81" s="1371">
        <f t="shared" si="17"/>
        <v>0</v>
      </c>
      <c r="R81" s="1371">
        <f t="shared" si="17"/>
        <v>0</v>
      </c>
      <c r="S81" s="1371">
        <f t="shared" si="17"/>
        <v>0</v>
      </c>
      <c r="T81" s="1371">
        <f t="shared" si="17"/>
        <v>0</v>
      </c>
      <c r="U81" s="1371">
        <f t="shared" si="18"/>
        <v>0</v>
      </c>
      <c r="V81" s="1373">
        <f t="shared" si="11"/>
        <v>0</v>
      </c>
      <c r="W81" s="960"/>
    </row>
    <row r="82" spans="1:23">
      <c r="A82" s="918">
        <v>300168</v>
      </c>
      <c r="B82" s="919" t="s">
        <v>297</v>
      </c>
      <c r="C82" s="1363">
        <f>IF('TAR_Tab 2_Volumina'!M85,1,0)</f>
        <v>1</v>
      </c>
      <c r="D82" s="1529">
        <v>177260.44895293892</v>
      </c>
      <c r="E82" s="1528">
        <f t="shared" si="13"/>
        <v>169035.56412152256</v>
      </c>
      <c r="F82" s="1528">
        <f t="shared" si="14"/>
        <v>178610.13905682592</v>
      </c>
      <c r="G82" s="1531"/>
      <c r="H82" s="1528">
        <f t="shared" si="15"/>
        <v>169679.63210398462</v>
      </c>
      <c r="I82" s="1528">
        <f t="shared" si="16"/>
        <v>187540.64600966722</v>
      </c>
      <c r="J82" s="1532">
        <f t="shared" si="19"/>
        <v>178610.13905682592</v>
      </c>
      <c r="K82" s="1369" t="b">
        <f t="shared" si="20"/>
        <v>1</v>
      </c>
      <c r="L82" s="1558"/>
      <c r="M82" s="1364"/>
      <c r="N82" s="1371">
        <f t="shared" si="12"/>
        <v>178610.13905682592</v>
      </c>
      <c r="O82" s="1372"/>
      <c r="P82" s="1371">
        <f t="shared" si="17"/>
        <v>561.67947152971544</v>
      </c>
      <c r="Q82" s="1371">
        <f t="shared" si="17"/>
        <v>445.20984859919344</v>
      </c>
      <c r="R82" s="1371">
        <f t="shared" si="17"/>
        <v>1231.2413435904286</v>
      </c>
      <c r="S82" s="1371">
        <f t="shared" si="17"/>
        <v>0</v>
      </c>
      <c r="T82" s="1371">
        <f t="shared" si="17"/>
        <v>11551.357038717853</v>
      </c>
      <c r="U82" s="1371">
        <f t="shared" si="18"/>
        <v>192399.62675926313</v>
      </c>
      <c r="V82" s="1373">
        <f t="shared" si="11"/>
        <v>192399.63</v>
      </c>
      <c r="W82" s="960"/>
    </row>
    <row r="83" spans="1:23">
      <c r="A83" s="918">
        <v>300171</v>
      </c>
      <c r="B83" s="919" t="s">
        <v>82</v>
      </c>
      <c r="C83" s="1363">
        <f>IF('TAR_Tab 2_Volumina'!M86,1,0)</f>
        <v>0</v>
      </c>
      <c r="D83" s="1527">
        <v>0</v>
      </c>
      <c r="E83" s="1528">
        <f t="shared" si="13"/>
        <v>0</v>
      </c>
      <c r="F83" s="1528">
        <f t="shared" si="14"/>
        <v>0</v>
      </c>
      <c r="G83" s="1531"/>
      <c r="H83" s="1528">
        <f t="shared" si="15"/>
        <v>0</v>
      </c>
      <c r="I83" s="1528">
        <f t="shared" si="16"/>
        <v>0</v>
      </c>
      <c r="J83" s="1532">
        <f t="shared" si="19"/>
        <v>0</v>
      </c>
      <c r="K83" s="1369" t="str">
        <f t="shared" si="20"/>
        <v/>
      </c>
      <c r="L83" s="1558"/>
      <c r="M83" s="1364"/>
      <c r="N83" s="1371">
        <f t="shared" si="12"/>
        <v>0</v>
      </c>
      <c r="O83" s="1372"/>
      <c r="P83" s="1371">
        <f t="shared" si="17"/>
        <v>0</v>
      </c>
      <c r="Q83" s="1371">
        <f t="shared" si="17"/>
        <v>0</v>
      </c>
      <c r="R83" s="1371">
        <f t="shared" si="17"/>
        <v>0</v>
      </c>
      <c r="S83" s="1371">
        <f t="shared" si="17"/>
        <v>0</v>
      </c>
      <c r="T83" s="1371">
        <f t="shared" si="17"/>
        <v>0</v>
      </c>
      <c r="U83" s="1371">
        <f t="shared" si="18"/>
        <v>0</v>
      </c>
      <c r="V83" s="1373">
        <f t="shared" si="11"/>
        <v>0</v>
      </c>
      <c r="W83" s="960"/>
    </row>
    <row r="84" spans="1:23">
      <c r="A84" s="918">
        <v>300178</v>
      </c>
      <c r="B84" s="919" t="s">
        <v>83</v>
      </c>
      <c r="C84" s="1363">
        <f>IF('TAR_Tab 2_Volumina'!M87,1,0)</f>
        <v>1</v>
      </c>
      <c r="D84" s="1527">
        <v>17726.04489529389</v>
      </c>
      <c r="E84" s="1528">
        <f t="shared" si="13"/>
        <v>16903.556412152255</v>
      </c>
      <c r="F84" s="1528">
        <f t="shared" si="14"/>
        <v>17861.01390568259</v>
      </c>
      <c r="G84" s="1531"/>
      <c r="H84" s="1528">
        <f t="shared" si="15"/>
        <v>16967.963210398459</v>
      </c>
      <c r="I84" s="1528">
        <f t="shared" si="16"/>
        <v>18754.064600966722</v>
      </c>
      <c r="J84" s="1532">
        <f t="shared" si="19"/>
        <v>17861.01390568259</v>
      </c>
      <c r="K84" s="1369" t="b">
        <f t="shared" si="20"/>
        <v>1</v>
      </c>
      <c r="L84" s="1558"/>
      <c r="M84" s="1364"/>
      <c r="N84" s="1371">
        <f t="shared" si="12"/>
        <v>17861.01390568259</v>
      </c>
      <c r="O84" s="1372"/>
      <c r="P84" s="1371">
        <f t="shared" si="17"/>
        <v>56.167947152971543</v>
      </c>
      <c r="Q84" s="1371">
        <f t="shared" si="17"/>
        <v>44.520984859919338</v>
      </c>
      <c r="R84" s="1371">
        <f t="shared" si="17"/>
        <v>123.12413435904286</v>
      </c>
      <c r="S84" s="1371">
        <f t="shared" si="17"/>
        <v>0</v>
      </c>
      <c r="T84" s="1371">
        <f t="shared" si="17"/>
        <v>1155.1357038717852</v>
      </c>
      <c r="U84" s="1371">
        <f t="shared" si="18"/>
        <v>19239.962675926312</v>
      </c>
      <c r="V84" s="1373">
        <f t="shared" si="11"/>
        <v>19239.96</v>
      </c>
      <c r="W84" s="960"/>
    </row>
    <row r="85" spans="1:23">
      <c r="A85" s="918">
        <v>300179</v>
      </c>
      <c r="B85" s="919" t="s">
        <v>84</v>
      </c>
      <c r="C85" s="1363">
        <f>IF('TAR_Tab 2_Volumina'!M88,1,0)</f>
        <v>0</v>
      </c>
      <c r="D85" s="1527">
        <v>0</v>
      </c>
      <c r="E85" s="1528">
        <f t="shared" si="13"/>
        <v>0</v>
      </c>
      <c r="F85" s="1528">
        <f t="shared" si="14"/>
        <v>0</v>
      </c>
      <c r="G85" s="1531"/>
      <c r="H85" s="1528">
        <f t="shared" si="15"/>
        <v>0</v>
      </c>
      <c r="I85" s="1528">
        <f t="shared" si="16"/>
        <v>0</v>
      </c>
      <c r="J85" s="1532">
        <f t="shared" si="19"/>
        <v>0</v>
      </c>
      <c r="K85" s="1369" t="str">
        <f t="shared" si="20"/>
        <v/>
      </c>
      <c r="L85" s="1558"/>
      <c r="M85" s="1364"/>
      <c r="N85" s="1371">
        <f t="shared" si="12"/>
        <v>0</v>
      </c>
      <c r="O85" s="1372"/>
      <c r="P85" s="1371">
        <f t="shared" si="17"/>
        <v>0</v>
      </c>
      <c r="Q85" s="1371">
        <f t="shared" si="17"/>
        <v>0</v>
      </c>
      <c r="R85" s="1371">
        <f t="shared" si="17"/>
        <v>0</v>
      </c>
      <c r="S85" s="1371">
        <f t="shared" si="17"/>
        <v>0</v>
      </c>
      <c r="T85" s="1371">
        <f t="shared" si="17"/>
        <v>0</v>
      </c>
      <c r="U85" s="1371">
        <f t="shared" si="18"/>
        <v>0</v>
      </c>
      <c r="V85" s="1373">
        <f t="shared" si="11"/>
        <v>0</v>
      </c>
      <c r="W85" s="960"/>
    </row>
    <row r="86" spans="1:23">
      <c r="A86" s="918">
        <v>300183</v>
      </c>
      <c r="B86" s="919" t="s">
        <v>38</v>
      </c>
      <c r="C86" s="1363">
        <f>IF('TAR_Tab 2_Volumina'!M89,1,0)</f>
        <v>0</v>
      </c>
      <c r="D86" s="1527">
        <v>0</v>
      </c>
      <c r="E86" s="1528">
        <f t="shared" si="13"/>
        <v>0</v>
      </c>
      <c r="F86" s="1528">
        <f t="shared" si="14"/>
        <v>0</v>
      </c>
      <c r="G86" s="1531"/>
      <c r="H86" s="1528">
        <f t="shared" si="15"/>
        <v>0</v>
      </c>
      <c r="I86" s="1528">
        <f t="shared" si="16"/>
        <v>0</v>
      </c>
      <c r="J86" s="1532">
        <f t="shared" si="19"/>
        <v>0</v>
      </c>
      <c r="K86" s="1369" t="str">
        <f t="shared" si="20"/>
        <v/>
      </c>
      <c r="L86" s="1558"/>
      <c r="M86" s="1364"/>
      <c r="N86" s="1371">
        <f t="shared" si="12"/>
        <v>0</v>
      </c>
      <c r="O86" s="1372"/>
      <c r="P86" s="1371">
        <f t="shared" si="17"/>
        <v>0</v>
      </c>
      <c r="Q86" s="1371">
        <f t="shared" si="17"/>
        <v>0</v>
      </c>
      <c r="R86" s="1371">
        <f t="shared" si="17"/>
        <v>0</v>
      </c>
      <c r="S86" s="1371">
        <f t="shared" si="17"/>
        <v>0</v>
      </c>
      <c r="T86" s="1371">
        <f t="shared" si="17"/>
        <v>0</v>
      </c>
      <c r="U86" s="1371">
        <f t="shared" si="18"/>
        <v>0</v>
      </c>
      <c r="V86" s="1373">
        <f t="shared" si="11"/>
        <v>0</v>
      </c>
      <c r="W86" s="960"/>
    </row>
    <row r="87" spans="1:23">
      <c r="A87" s="918">
        <v>300189</v>
      </c>
      <c r="B87" s="919" t="s">
        <v>85</v>
      </c>
      <c r="C87" s="1363">
        <f>IF('TAR_Tab 2_Volumina'!M90,1,0)</f>
        <v>0</v>
      </c>
      <c r="D87" s="1527">
        <v>0</v>
      </c>
      <c r="E87" s="1528">
        <f t="shared" si="13"/>
        <v>0</v>
      </c>
      <c r="F87" s="1528">
        <f t="shared" si="14"/>
        <v>0</v>
      </c>
      <c r="G87" s="1531"/>
      <c r="H87" s="1528">
        <f t="shared" si="15"/>
        <v>0</v>
      </c>
      <c r="I87" s="1528">
        <f t="shared" si="16"/>
        <v>0</v>
      </c>
      <c r="J87" s="1532">
        <f t="shared" si="19"/>
        <v>0</v>
      </c>
      <c r="K87" s="1369" t="str">
        <f t="shared" si="20"/>
        <v/>
      </c>
      <c r="L87" s="1558"/>
      <c r="M87" s="1364"/>
      <c r="N87" s="1371">
        <f t="shared" si="12"/>
        <v>0</v>
      </c>
      <c r="O87" s="1372"/>
      <c r="P87" s="1371">
        <f t="shared" si="17"/>
        <v>0</v>
      </c>
      <c r="Q87" s="1371">
        <f t="shared" si="17"/>
        <v>0</v>
      </c>
      <c r="R87" s="1371">
        <f t="shared" si="17"/>
        <v>0</v>
      </c>
      <c r="S87" s="1371">
        <f t="shared" si="17"/>
        <v>0</v>
      </c>
      <c r="T87" s="1371">
        <f t="shared" si="17"/>
        <v>0</v>
      </c>
      <c r="U87" s="1371">
        <f t="shared" si="18"/>
        <v>0</v>
      </c>
      <c r="V87" s="1373">
        <f t="shared" si="11"/>
        <v>0</v>
      </c>
      <c r="W87" s="960"/>
    </row>
    <row r="88" spans="1:23">
      <c r="A88" s="918">
        <v>300191</v>
      </c>
      <c r="B88" s="919" t="s">
        <v>86</v>
      </c>
      <c r="C88" s="1363">
        <f>IF('TAR_Tab 2_Volumina'!M91,1,0)</f>
        <v>1</v>
      </c>
      <c r="D88" s="1527">
        <v>17726.04489529389</v>
      </c>
      <c r="E88" s="1528">
        <f t="shared" si="13"/>
        <v>16903.556412152255</v>
      </c>
      <c r="F88" s="1528">
        <f t="shared" si="14"/>
        <v>17861.01390568259</v>
      </c>
      <c r="G88" s="1531"/>
      <c r="H88" s="1528">
        <f t="shared" si="15"/>
        <v>16967.963210398459</v>
      </c>
      <c r="I88" s="1528">
        <f t="shared" si="16"/>
        <v>18754.064600966722</v>
      </c>
      <c r="J88" s="1532">
        <f t="shared" si="19"/>
        <v>17861.01390568259</v>
      </c>
      <c r="K88" s="1369" t="b">
        <f t="shared" si="20"/>
        <v>1</v>
      </c>
      <c r="L88" s="1558"/>
      <c r="M88" s="1364"/>
      <c r="N88" s="1371">
        <f t="shared" si="12"/>
        <v>17861.01390568259</v>
      </c>
      <c r="O88" s="1372"/>
      <c r="P88" s="1371">
        <f t="shared" si="17"/>
        <v>56.167947152971543</v>
      </c>
      <c r="Q88" s="1371">
        <f t="shared" si="17"/>
        <v>44.520984859919338</v>
      </c>
      <c r="R88" s="1371">
        <f t="shared" si="17"/>
        <v>123.12413435904286</v>
      </c>
      <c r="S88" s="1371">
        <f t="shared" si="17"/>
        <v>0</v>
      </c>
      <c r="T88" s="1371">
        <f t="shared" si="17"/>
        <v>1155.1357038717852</v>
      </c>
      <c r="U88" s="1371">
        <f t="shared" si="18"/>
        <v>19239.962675926312</v>
      </c>
      <c r="V88" s="1373">
        <f t="shared" si="11"/>
        <v>19239.96</v>
      </c>
      <c r="W88" s="960"/>
    </row>
    <row r="89" spans="1:23">
      <c r="A89" s="918">
        <v>300192</v>
      </c>
      <c r="B89" s="919" t="s">
        <v>1051</v>
      </c>
      <c r="C89" s="1363">
        <f>IF('TAR_Tab 2_Volumina'!M92,1,0)</f>
        <v>0</v>
      </c>
      <c r="D89" s="1527">
        <v>0</v>
      </c>
      <c r="E89" s="1528">
        <f t="shared" si="13"/>
        <v>0</v>
      </c>
      <c r="F89" s="1528">
        <f t="shared" si="14"/>
        <v>0</v>
      </c>
      <c r="G89" s="1531"/>
      <c r="H89" s="1528">
        <f t="shared" si="15"/>
        <v>0</v>
      </c>
      <c r="I89" s="1528">
        <f t="shared" si="16"/>
        <v>0</v>
      </c>
      <c r="J89" s="1532">
        <f t="shared" si="19"/>
        <v>0</v>
      </c>
      <c r="K89" s="1369" t="str">
        <f t="shared" si="20"/>
        <v/>
      </c>
      <c r="L89" s="1558"/>
      <c r="M89" s="1364"/>
      <c r="N89" s="1371">
        <f t="shared" si="12"/>
        <v>0</v>
      </c>
      <c r="O89" s="1372"/>
      <c r="P89" s="1371">
        <f t="shared" si="17"/>
        <v>0</v>
      </c>
      <c r="Q89" s="1371">
        <f t="shared" si="17"/>
        <v>0</v>
      </c>
      <c r="R89" s="1371">
        <f t="shared" si="17"/>
        <v>0</v>
      </c>
      <c r="S89" s="1371">
        <f t="shared" si="17"/>
        <v>0</v>
      </c>
      <c r="T89" s="1371">
        <f t="shared" si="17"/>
        <v>0</v>
      </c>
      <c r="U89" s="1371">
        <f t="shared" si="18"/>
        <v>0</v>
      </c>
      <c r="V89" s="1373">
        <f t="shared" si="11"/>
        <v>0</v>
      </c>
      <c r="W89" s="960"/>
    </row>
    <row r="90" spans="1:23">
      <c r="A90" s="918">
        <v>300193</v>
      </c>
      <c r="B90" s="919" t="s">
        <v>87</v>
      </c>
      <c r="C90" s="1363">
        <f>IF('TAR_Tab 2_Volumina'!M93,1,0)</f>
        <v>1</v>
      </c>
      <c r="D90" s="1527">
        <v>17726.04489529389</v>
      </c>
      <c r="E90" s="1528">
        <f t="shared" si="13"/>
        <v>16903.556412152255</v>
      </c>
      <c r="F90" s="1528">
        <f t="shared" si="14"/>
        <v>17861.01390568259</v>
      </c>
      <c r="G90" s="1531"/>
      <c r="H90" s="1528">
        <f t="shared" si="15"/>
        <v>16967.963210398459</v>
      </c>
      <c r="I90" s="1528">
        <f t="shared" si="16"/>
        <v>18754.064600966722</v>
      </c>
      <c r="J90" s="1532">
        <f t="shared" si="19"/>
        <v>17861.01390568259</v>
      </c>
      <c r="K90" s="1369" t="b">
        <f t="shared" si="20"/>
        <v>1</v>
      </c>
      <c r="L90" s="1558"/>
      <c r="M90" s="1364"/>
      <c r="N90" s="1371">
        <f t="shared" si="12"/>
        <v>17861.01390568259</v>
      </c>
      <c r="O90" s="1372"/>
      <c r="P90" s="1371">
        <f t="shared" si="17"/>
        <v>56.167947152971543</v>
      </c>
      <c r="Q90" s="1371">
        <f t="shared" si="17"/>
        <v>44.520984859919338</v>
      </c>
      <c r="R90" s="1371">
        <f t="shared" si="17"/>
        <v>123.12413435904286</v>
      </c>
      <c r="S90" s="1371">
        <f t="shared" si="17"/>
        <v>0</v>
      </c>
      <c r="T90" s="1371">
        <f t="shared" si="17"/>
        <v>1155.1357038717852</v>
      </c>
      <c r="U90" s="1371">
        <f t="shared" si="18"/>
        <v>19239.962675926312</v>
      </c>
      <c r="V90" s="1373">
        <f t="shared" si="11"/>
        <v>19239.96</v>
      </c>
      <c r="W90" s="960"/>
    </row>
    <row r="91" spans="1:23">
      <c r="A91" s="918">
        <v>300196</v>
      </c>
      <c r="B91" s="919" t="s">
        <v>1052</v>
      </c>
      <c r="C91" s="1363">
        <f>IF('TAR_Tab 2_Volumina'!M94,1,0)</f>
        <v>0</v>
      </c>
      <c r="D91" s="1527">
        <v>0</v>
      </c>
      <c r="E91" s="1528">
        <f t="shared" si="13"/>
        <v>0</v>
      </c>
      <c r="F91" s="1528">
        <f t="shared" si="14"/>
        <v>0</v>
      </c>
      <c r="G91" s="1531"/>
      <c r="H91" s="1528">
        <f t="shared" si="15"/>
        <v>0</v>
      </c>
      <c r="I91" s="1528">
        <f t="shared" si="16"/>
        <v>0</v>
      </c>
      <c r="J91" s="1532">
        <f t="shared" si="19"/>
        <v>0</v>
      </c>
      <c r="K91" s="1369" t="str">
        <f t="shared" si="20"/>
        <v/>
      </c>
      <c r="L91" s="1558"/>
      <c r="M91" s="1364"/>
      <c r="N91" s="1371">
        <f t="shared" si="12"/>
        <v>0</v>
      </c>
      <c r="O91" s="1372"/>
      <c r="P91" s="1371">
        <f t="shared" si="17"/>
        <v>0</v>
      </c>
      <c r="Q91" s="1371">
        <f t="shared" si="17"/>
        <v>0</v>
      </c>
      <c r="R91" s="1371">
        <f t="shared" si="17"/>
        <v>0</v>
      </c>
      <c r="S91" s="1371">
        <f t="shared" si="17"/>
        <v>0</v>
      </c>
      <c r="T91" s="1371">
        <f t="shared" si="17"/>
        <v>0</v>
      </c>
      <c r="U91" s="1371">
        <f t="shared" si="18"/>
        <v>0</v>
      </c>
      <c r="V91" s="1373">
        <f t="shared" si="11"/>
        <v>0</v>
      </c>
      <c r="W91" s="960"/>
    </row>
    <row r="92" spans="1:23">
      <c r="A92" s="918">
        <v>300197</v>
      </c>
      <c r="B92" s="919" t="s">
        <v>39</v>
      </c>
      <c r="C92" s="1363">
        <f>IF('TAR_Tab 2_Volumina'!M95,1,0)</f>
        <v>0</v>
      </c>
      <c r="D92" s="1527">
        <v>0</v>
      </c>
      <c r="E92" s="1528">
        <f t="shared" si="13"/>
        <v>0</v>
      </c>
      <c r="F92" s="1528">
        <f t="shared" si="14"/>
        <v>0</v>
      </c>
      <c r="G92" s="1531"/>
      <c r="H92" s="1528">
        <f t="shared" si="15"/>
        <v>0</v>
      </c>
      <c r="I92" s="1528">
        <f t="shared" si="16"/>
        <v>0</v>
      </c>
      <c r="J92" s="1532">
        <f t="shared" si="19"/>
        <v>0</v>
      </c>
      <c r="K92" s="1369" t="str">
        <f t="shared" si="20"/>
        <v/>
      </c>
      <c r="L92" s="1558"/>
      <c r="M92" s="1364"/>
      <c r="N92" s="1371">
        <f t="shared" si="12"/>
        <v>0</v>
      </c>
      <c r="O92" s="1372"/>
      <c r="P92" s="1371">
        <f t="shared" si="17"/>
        <v>0</v>
      </c>
      <c r="Q92" s="1371">
        <f t="shared" si="17"/>
        <v>0</v>
      </c>
      <c r="R92" s="1371">
        <f t="shared" si="17"/>
        <v>0</v>
      </c>
      <c r="S92" s="1371">
        <f t="shared" si="17"/>
        <v>0</v>
      </c>
      <c r="T92" s="1371">
        <f t="shared" si="17"/>
        <v>0</v>
      </c>
      <c r="U92" s="1371">
        <f t="shared" si="18"/>
        <v>0</v>
      </c>
      <c r="V92" s="1373">
        <f t="shared" si="11"/>
        <v>0</v>
      </c>
      <c r="W92" s="960"/>
    </row>
    <row r="93" spans="1:23">
      <c r="A93" s="918">
        <v>300200</v>
      </c>
      <c r="B93" s="919" t="s">
        <v>40</v>
      </c>
      <c r="C93" s="1363">
        <f>IF('TAR_Tab 2_Volumina'!M96,1,0)</f>
        <v>0</v>
      </c>
      <c r="D93" s="1527">
        <v>0</v>
      </c>
      <c r="E93" s="1528">
        <f t="shared" si="13"/>
        <v>0</v>
      </c>
      <c r="F93" s="1528">
        <f t="shared" si="14"/>
        <v>0</v>
      </c>
      <c r="G93" s="1531"/>
      <c r="H93" s="1528">
        <f t="shared" si="15"/>
        <v>0</v>
      </c>
      <c r="I93" s="1528">
        <f t="shared" si="16"/>
        <v>0</v>
      </c>
      <c r="J93" s="1532">
        <f t="shared" si="19"/>
        <v>0</v>
      </c>
      <c r="K93" s="1369" t="str">
        <f t="shared" si="20"/>
        <v/>
      </c>
      <c r="L93" s="1558"/>
      <c r="M93" s="1364"/>
      <c r="N93" s="1371">
        <f t="shared" si="12"/>
        <v>0</v>
      </c>
      <c r="O93" s="1372"/>
      <c r="P93" s="1371">
        <f t="shared" si="17"/>
        <v>0</v>
      </c>
      <c r="Q93" s="1371">
        <f t="shared" si="17"/>
        <v>0</v>
      </c>
      <c r="R93" s="1371">
        <f t="shared" si="17"/>
        <v>0</v>
      </c>
      <c r="S93" s="1371">
        <f t="shared" si="17"/>
        <v>0</v>
      </c>
      <c r="T93" s="1371">
        <f t="shared" si="17"/>
        <v>0</v>
      </c>
      <c r="U93" s="1371">
        <f t="shared" si="18"/>
        <v>0</v>
      </c>
      <c r="V93" s="1373">
        <f t="shared" si="11"/>
        <v>0</v>
      </c>
      <c r="W93" s="960"/>
    </row>
    <row r="94" spans="1:23">
      <c r="A94" s="918">
        <v>300201</v>
      </c>
      <c r="B94" s="919" t="s">
        <v>88</v>
      </c>
      <c r="C94" s="1363">
        <f>IF('TAR_Tab 2_Volumina'!M97,1,0)</f>
        <v>0</v>
      </c>
      <c r="D94" s="1527">
        <v>0</v>
      </c>
      <c r="E94" s="1528">
        <f t="shared" si="13"/>
        <v>0</v>
      </c>
      <c r="F94" s="1528">
        <f t="shared" si="14"/>
        <v>0</v>
      </c>
      <c r="G94" s="1531"/>
      <c r="H94" s="1528">
        <f t="shared" si="15"/>
        <v>0</v>
      </c>
      <c r="I94" s="1528">
        <f t="shared" si="16"/>
        <v>0</v>
      </c>
      <c r="J94" s="1532">
        <f t="shared" si="19"/>
        <v>0</v>
      </c>
      <c r="K94" s="1369" t="str">
        <f t="shared" si="20"/>
        <v/>
      </c>
      <c r="L94" s="1558"/>
      <c r="M94" s="1364"/>
      <c r="N94" s="1371">
        <f t="shared" si="12"/>
        <v>0</v>
      </c>
      <c r="O94" s="1372"/>
      <c r="P94" s="1371">
        <f t="shared" si="17"/>
        <v>0</v>
      </c>
      <c r="Q94" s="1371">
        <f t="shared" si="17"/>
        <v>0</v>
      </c>
      <c r="R94" s="1371">
        <f t="shared" si="17"/>
        <v>0</v>
      </c>
      <c r="S94" s="1371">
        <f t="shared" si="17"/>
        <v>0</v>
      </c>
      <c r="T94" s="1371">
        <f t="shared" si="17"/>
        <v>0</v>
      </c>
      <c r="U94" s="1371">
        <f t="shared" si="18"/>
        <v>0</v>
      </c>
      <c r="V94" s="1373">
        <f t="shared" si="11"/>
        <v>0</v>
      </c>
      <c r="W94" s="960"/>
    </row>
    <row r="95" spans="1:23">
      <c r="A95" s="918">
        <v>300203</v>
      </c>
      <c r="B95" s="919" t="s">
        <v>89</v>
      </c>
      <c r="C95" s="1363">
        <f>IF('TAR_Tab 2_Volumina'!M98,1,0)</f>
        <v>0</v>
      </c>
      <c r="D95" s="1527">
        <v>0</v>
      </c>
      <c r="E95" s="1528">
        <f t="shared" si="13"/>
        <v>0</v>
      </c>
      <c r="F95" s="1528">
        <f t="shared" si="14"/>
        <v>0</v>
      </c>
      <c r="G95" s="1531"/>
      <c r="H95" s="1528">
        <f t="shared" si="15"/>
        <v>0</v>
      </c>
      <c r="I95" s="1528">
        <f t="shared" si="16"/>
        <v>0</v>
      </c>
      <c r="J95" s="1532">
        <f t="shared" si="19"/>
        <v>0</v>
      </c>
      <c r="K95" s="1369" t="str">
        <f t="shared" si="20"/>
        <v/>
      </c>
      <c r="L95" s="1558"/>
      <c r="M95" s="1364"/>
      <c r="N95" s="1371">
        <f t="shared" si="12"/>
        <v>0</v>
      </c>
      <c r="O95" s="1372"/>
      <c r="P95" s="1371">
        <f t="shared" si="17"/>
        <v>0</v>
      </c>
      <c r="Q95" s="1371">
        <f t="shared" si="17"/>
        <v>0</v>
      </c>
      <c r="R95" s="1371">
        <f t="shared" si="17"/>
        <v>0</v>
      </c>
      <c r="S95" s="1371">
        <f t="shared" si="17"/>
        <v>0</v>
      </c>
      <c r="T95" s="1371">
        <f t="shared" si="17"/>
        <v>0</v>
      </c>
      <c r="U95" s="1371">
        <f t="shared" si="18"/>
        <v>0</v>
      </c>
      <c r="V95" s="1373">
        <f t="shared" si="11"/>
        <v>0</v>
      </c>
      <c r="W95" s="960"/>
    </row>
    <row r="96" spans="1:23">
      <c r="A96" s="918">
        <v>300205</v>
      </c>
      <c r="B96" s="919" t="s">
        <v>298</v>
      </c>
      <c r="C96" s="1363">
        <f>IF('TAR_Tab 2_Volumina'!M99,1,0)</f>
        <v>0</v>
      </c>
      <c r="D96" s="1527">
        <v>0</v>
      </c>
      <c r="E96" s="1528">
        <f t="shared" si="13"/>
        <v>0</v>
      </c>
      <c r="F96" s="1528">
        <f t="shared" si="14"/>
        <v>0</v>
      </c>
      <c r="G96" s="1531"/>
      <c r="H96" s="1528">
        <f t="shared" si="15"/>
        <v>0</v>
      </c>
      <c r="I96" s="1528">
        <f t="shared" si="16"/>
        <v>0</v>
      </c>
      <c r="J96" s="1532">
        <f t="shared" si="19"/>
        <v>0</v>
      </c>
      <c r="K96" s="1369" t="str">
        <f t="shared" si="20"/>
        <v/>
      </c>
      <c r="L96" s="1558"/>
      <c r="M96" s="1364"/>
      <c r="N96" s="1371">
        <f t="shared" si="12"/>
        <v>0</v>
      </c>
      <c r="O96" s="1372"/>
      <c r="P96" s="1371">
        <f t="shared" si="17"/>
        <v>0</v>
      </c>
      <c r="Q96" s="1371">
        <f t="shared" si="17"/>
        <v>0</v>
      </c>
      <c r="R96" s="1371">
        <f t="shared" si="17"/>
        <v>0</v>
      </c>
      <c r="S96" s="1371">
        <f t="shared" si="17"/>
        <v>0</v>
      </c>
      <c r="T96" s="1371">
        <f t="shared" si="17"/>
        <v>0</v>
      </c>
      <c r="U96" s="1371">
        <f t="shared" si="18"/>
        <v>0</v>
      </c>
      <c r="V96" s="1373">
        <f t="shared" si="11"/>
        <v>0</v>
      </c>
      <c r="W96" s="960"/>
    </row>
    <row r="97" spans="1:23">
      <c r="A97" s="918">
        <v>300210</v>
      </c>
      <c r="B97" s="919" t="s">
        <v>90</v>
      </c>
      <c r="C97" s="1363">
        <f>IF('TAR_Tab 2_Volumina'!M100,1,0)</f>
        <v>0</v>
      </c>
      <c r="D97" s="1527">
        <v>0</v>
      </c>
      <c r="E97" s="1528">
        <f t="shared" si="13"/>
        <v>0</v>
      </c>
      <c r="F97" s="1528">
        <f t="shared" si="14"/>
        <v>0</v>
      </c>
      <c r="G97" s="1531"/>
      <c r="H97" s="1528">
        <f t="shared" si="15"/>
        <v>0</v>
      </c>
      <c r="I97" s="1528">
        <f t="shared" si="16"/>
        <v>0</v>
      </c>
      <c r="J97" s="1532">
        <f t="shared" si="19"/>
        <v>0</v>
      </c>
      <c r="K97" s="1369" t="str">
        <f t="shared" si="20"/>
        <v/>
      </c>
      <c r="L97" s="1558"/>
      <c r="M97" s="1364"/>
      <c r="N97" s="1371">
        <f t="shared" si="12"/>
        <v>0</v>
      </c>
      <c r="O97" s="1372"/>
      <c r="P97" s="1371">
        <f t="shared" si="17"/>
        <v>0</v>
      </c>
      <c r="Q97" s="1371">
        <f t="shared" si="17"/>
        <v>0</v>
      </c>
      <c r="R97" s="1371">
        <f t="shared" si="17"/>
        <v>0</v>
      </c>
      <c r="S97" s="1371">
        <f t="shared" si="17"/>
        <v>0</v>
      </c>
      <c r="T97" s="1371">
        <f t="shared" si="17"/>
        <v>0</v>
      </c>
      <c r="U97" s="1371">
        <f t="shared" si="18"/>
        <v>0</v>
      </c>
      <c r="V97" s="1373">
        <f t="shared" si="11"/>
        <v>0</v>
      </c>
      <c r="W97" s="960"/>
    </row>
    <row r="98" spans="1:23">
      <c r="A98" s="918">
        <v>300211</v>
      </c>
      <c r="B98" s="919" t="s">
        <v>1053</v>
      </c>
      <c r="C98" s="1363">
        <f>IF('TAR_Tab 2_Volumina'!M101,1,0)</f>
        <v>0</v>
      </c>
      <c r="D98" s="1527">
        <v>0</v>
      </c>
      <c r="E98" s="1528">
        <f t="shared" si="13"/>
        <v>0</v>
      </c>
      <c r="F98" s="1528">
        <f t="shared" si="14"/>
        <v>0</v>
      </c>
      <c r="G98" s="1531"/>
      <c r="H98" s="1528">
        <f t="shared" si="15"/>
        <v>0</v>
      </c>
      <c r="I98" s="1528">
        <f t="shared" si="16"/>
        <v>0</v>
      </c>
      <c r="J98" s="1532">
        <f t="shared" si="19"/>
        <v>0</v>
      </c>
      <c r="K98" s="1369" t="str">
        <f t="shared" si="20"/>
        <v/>
      </c>
      <c r="L98" s="1558"/>
      <c r="M98" s="1364"/>
      <c r="N98" s="1371">
        <f t="shared" si="12"/>
        <v>0</v>
      </c>
      <c r="O98" s="1372"/>
      <c r="P98" s="1371">
        <f t="shared" si="17"/>
        <v>0</v>
      </c>
      <c r="Q98" s="1371">
        <f t="shared" si="17"/>
        <v>0</v>
      </c>
      <c r="R98" s="1371">
        <f t="shared" si="17"/>
        <v>0</v>
      </c>
      <c r="S98" s="1371">
        <f t="shared" si="17"/>
        <v>0</v>
      </c>
      <c r="T98" s="1371">
        <f t="shared" si="17"/>
        <v>0</v>
      </c>
      <c r="U98" s="1371">
        <f t="shared" si="18"/>
        <v>0</v>
      </c>
      <c r="V98" s="1373">
        <f t="shared" si="11"/>
        <v>0</v>
      </c>
      <c r="W98" s="960"/>
    </row>
    <row r="99" spans="1:23">
      <c r="A99" s="918">
        <v>300216</v>
      </c>
      <c r="B99" s="919" t="s">
        <v>91</v>
      </c>
      <c r="C99" s="1363">
        <f>IF('TAR_Tab 2_Volumina'!M102,1,0)</f>
        <v>0</v>
      </c>
      <c r="D99" s="1527">
        <v>0</v>
      </c>
      <c r="E99" s="1528">
        <f t="shared" si="13"/>
        <v>0</v>
      </c>
      <c r="F99" s="1528">
        <f t="shared" si="14"/>
        <v>0</v>
      </c>
      <c r="G99" s="1531"/>
      <c r="H99" s="1528">
        <f t="shared" si="15"/>
        <v>0</v>
      </c>
      <c r="I99" s="1528">
        <f t="shared" si="16"/>
        <v>0</v>
      </c>
      <c r="J99" s="1532">
        <f t="shared" si="19"/>
        <v>0</v>
      </c>
      <c r="K99" s="1369" t="str">
        <f t="shared" si="20"/>
        <v/>
      </c>
      <c r="L99" s="1558"/>
      <c r="M99" s="1364"/>
      <c r="N99" s="1371">
        <f t="shared" si="12"/>
        <v>0</v>
      </c>
      <c r="O99" s="1372"/>
      <c r="P99" s="1371">
        <f t="shared" si="17"/>
        <v>0</v>
      </c>
      <c r="Q99" s="1371">
        <f t="shared" si="17"/>
        <v>0</v>
      </c>
      <c r="R99" s="1371">
        <f t="shared" si="17"/>
        <v>0</v>
      </c>
      <c r="S99" s="1371">
        <f t="shared" si="17"/>
        <v>0</v>
      </c>
      <c r="T99" s="1371">
        <f t="shared" si="17"/>
        <v>0</v>
      </c>
      <c r="U99" s="1371">
        <f t="shared" si="18"/>
        <v>0</v>
      </c>
      <c r="V99" s="1373">
        <f t="shared" si="11"/>
        <v>0</v>
      </c>
      <c r="W99" s="960"/>
    </row>
    <row r="100" spans="1:23">
      <c r="A100" s="918">
        <v>300217</v>
      </c>
      <c r="B100" s="919" t="s">
        <v>299</v>
      </c>
      <c r="C100" s="1363">
        <f>IF('TAR_Tab 2_Volumina'!M103,1,0)</f>
        <v>1</v>
      </c>
      <c r="D100" s="1529">
        <v>35452.089790587779</v>
      </c>
      <c r="E100" s="1528">
        <f t="shared" si="13"/>
        <v>33807.11282430451</v>
      </c>
      <c r="F100" s="1528">
        <f t="shared" si="14"/>
        <v>35722.02781136518</v>
      </c>
      <c r="G100" s="1531"/>
      <c r="H100" s="1528">
        <f t="shared" si="15"/>
        <v>33935.926420796917</v>
      </c>
      <c r="I100" s="1528">
        <f t="shared" si="16"/>
        <v>37508.129201933443</v>
      </c>
      <c r="J100" s="1532">
        <f t="shared" si="19"/>
        <v>35722.02781136518</v>
      </c>
      <c r="K100" s="1369" t="b">
        <f t="shared" si="20"/>
        <v>1</v>
      </c>
      <c r="L100" s="1558"/>
      <c r="M100" s="1364"/>
      <c r="N100" s="1371">
        <f t="shared" si="12"/>
        <v>35722.02781136518</v>
      </c>
      <c r="O100" s="1372"/>
      <c r="P100" s="1371">
        <f t="shared" si="17"/>
        <v>112.33589430594309</v>
      </c>
      <c r="Q100" s="1371">
        <f t="shared" si="17"/>
        <v>89.041969719838676</v>
      </c>
      <c r="R100" s="1371">
        <f t="shared" si="17"/>
        <v>246.24826871808571</v>
      </c>
      <c r="S100" s="1371">
        <f t="shared" si="17"/>
        <v>0</v>
      </c>
      <c r="T100" s="1371">
        <f t="shared" si="17"/>
        <v>2310.2714077435703</v>
      </c>
      <c r="U100" s="1371">
        <f t="shared" si="18"/>
        <v>38479.925351852624</v>
      </c>
      <c r="V100" s="1373">
        <f t="shared" si="11"/>
        <v>38479.93</v>
      </c>
      <c r="W100" s="960"/>
    </row>
    <row r="101" spans="1:23">
      <c r="A101" s="918">
        <v>300220</v>
      </c>
      <c r="B101" s="919" t="s">
        <v>789</v>
      </c>
      <c r="C101" s="1363">
        <f>IF('TAR_Tab 2_Volumina'!M104,1,0)</f>
        <v>0</v>
      </c>
      <c r="D101" s="1527">
        <v>0</v>
      </c>
      <c r="E101" s="1528">
        <f t="shared" si="13"/>
        <v>0</v>
      </c>
      <c r="F101" s="1528">
        <f t="shared" si="14"/>
        <v>0</v>
      </c>
      <c r="G101" s="1531"/>
      <c r="H101" s="1528">
        <f t="shared" si="15"/>
        <v>0</v>
      </c>
      <c r="I101" s="1528">
        <f t="shared" si="16"/>
        <v>0</v>
      </c>
      <c r="J101" s="1532">
        <f t="shared" si="19"/>
        <v>0</v>
      </c>
      <c r="K101" s="1369" t="str">
        <f t="shared" si="20"/>
        <v/>
      </c>
      <c r="L101" s="1558"/>
      <c r="M101" s="1364"/>
      <c r="N101" s="1371">
        <f t="shared" si="12"/>
        <v>0</v>
      </c>
      <c r="O101" s="1372"/>
      <c r="P101" s="1371">
        <f t="shared" si="17"/>
        <v>0</v>
      </c>
      <c r="Q101" s="1371">
        <f t="shared" si="17"/>
        <v>0</v>
      </c>
      <c r="R101" s="1371">
        <f t="shared" si="17"/>
        <v>0</v>
      </c>
      <c r="S101" s="1371">
        <f t="shared" si="17"/>
        <v>0</v>
      </c>
      <c r="T101" s="1371">
        <f t="shared" si="17"/>
        <v>0</v>
      </c>
      <c r="U101" s="1371">
        <f t="shared" si="18"/>
        <v>0</v>
      </c>
      <c r="V101" s="1373">
        <f t="shared" si="11"/>
        <v>0</v>
      </c>
      <c r="W101" s="960"/>
    </row>
    <row r="102" spans="1:23">
      <c r="A102" s="918">
        <v>300221</v>
      </c>
      <c r="B102" s="919" t="s">
        <v>41</v>
      </c>
      <c r="C102" s="1363">
        <f>IF('TAR_Tab 2_Volumina'!M105,1,0)</f>
        <v>0</v>
      </c>
      <c r="D102" s="1527">
        <v>0</v>
      </c>
      <c r="E102" s="1528">
        <f t="shared" si="13"/>
        <v>0</v>
      </c>
      <c r="F102" s="1528">
        <f t="shared" si="14"/>
        <v>0</v>
      </c>
      <c r="G102" s="1531"/>
      <c r="H102" s="1528">
        <f t="shared" si="15"/>
        <v>0</v>
      </c>
      <c r="I102" s="1528">
        <f t="shared" si="16"/>
        <v>0</v>
      </c>
      <c r="J102" s="1532">
        <f t="shared" si="19"/>
        <v>0</v>
      </c>
      <c r="K102" s="1369" t="str">
        <f t="shared" si="20"/>
        <v/>
      </c>
      <c r="L102" s="1558"/>
      <c r="M102" s="1364"/>
      <c r="N102" s="1371">
        <f t="shared" si="12"/>
        <v>0</v>
      </c>
      <c r="O102" s="1372"/>
      <c r="P102" s="1371">
        <f t="shared" si="17"/>
        <v>0</v>
      </c>
      <c r="Q102" s="1371">
        <f t="shared" si="17"/>
        <v>0</v>
      </c>
      <c r="R102" s="1371">
        <f t="shared" si="17"/>
        <v>0</v>
      </c>
      <c r="S102" s="1371">
        <f t="shared" si="17"/>
        <v>0</v>
      </c>
      <c r="T102" s="1371">
        <f t="shared" si="17"/>
        <v>0</v>
      </c>
      <c r="U102" s="1371">
        <f t="shared" si="18"/>
        <v>0</v>
      </c>
      <c r="V102" s="1373">
        <f t="shared" si="11"/>
        <v>0</v>
      </c>
      <c r="W102" s="960"/>
    </row>
    <row r="103" spans="1:23">
      <c r="A103" s="918">
        <v>300222</v>
      </c>
      <c r="B103" s="919" t="s">
        <v>92</v>
      </c>
      <c r="C103" s="1363">
        <f>IF('TAR_Tab 2_Volumina'!M106,1,0)</f>
        <v>1</v>
      </c>
      <c r="D103" s="1527">
        <v>17726.04489529389</v>
      </c>
      <c r="E103" s="1528">
        <f t="shared" si="13"/>
        <v>16903.556412152255</v>
      </c>
      <c r="F103" s="1528">
        <f t="shared" si="14"/>
        <v>17861.01390568259</v>
      </c>
      <c r="G103" s="1531"/>
      <c r="H103" s="1528">
        <f t="shared" si="15"/>
        <v>16967.963210398459</v>
      </c>
      <c r="I103" s="1528">
        <f t="shared" si="16"/>
        <v>18754.064600966722</v>
      </c>
      <c r="J103" s="1532">
        <f t="shared" si="19"/>
        <v>17861.01390568259</v>
      </c>
      <c r="K103" s="1369" t="b">
        <f t="shared" si="20"/>
        <v>1</v>
      </c>
      <c r="L103" s="1558"/>
      <c r="M103" s="1364"/>
      <c r="N103" s="1371">
        <f t="shared" si="12"/>
        <v>17861.01390568259</v>
      </c>
      <c r="O103" s="1372"/>
      <c r="P103" s="1371">
        <f t="shared" si="17"/>
        <v>56.167947152971543</v>
      </c>
      <c r="Q103" s="1371">
        <f t="shared" si="17"/>
        <v>44.520984859919338</v>
      </c>
      <c r="R103" s="1371">
        <f t="shared" si="17"/>
        <v>123.12413435904286</v>
      </c>
      <c r="S103" s="1371">
        <f t="shared" si="17"/>
        <v>0</v>
      </c>
      <c r="T103" s="1371">
        <f t="shared" si="17"/>
        <v>1155.1357038717852</v>
      </c>
      <c r="U103" s="1371">
        <f t="shared" si="18"/>
        <v>19239.962675926312</v>
      </c>
      <c r="V103" s="1373">
        <f t="shared" si="11"/>
        <v>19239.96</v>
      </c>
      <c r="W103" s="960"/>
    </row>
    <row r="104" spans="1:23">
      <c r="A104" s="918">
        <v>300223</v>
      </c>
      <c r="B104" s="919" t="s">
        <v>300</v>
      </c>
      <c r="C104" s="1363">
        <f>IF('TAR_Tab 2_Volumina'!M107,1,0)</f>
        <v>0</v>
      </c>
      <c r="D104" s="1527">
        <v>0</v>
      </c>
      <c r="E104" s="1528">
        <f t="shared" si="13"/>
        <v>0</v>
      </c>
      <c r="F104" s="1528">
        <f t="shared" si="14"/>
        <v>0</v>
      </c>
      <c r="G104" s="1531"/>
      <c r="H104" s="1528">
        <f t="shared" si="15"/>
        <v>0</v>
      </c>
      <c r="I104" s="1528">
        <f t="shared" si="16"/>
        <v>0</v>
      </c>
      <c r="J104" s="1532">
        <f t="shared" si="19"/>
        <v>0</v>
      </c>
      <c r="K104" s="1369" t="str">
        <f t="shared" si="20"/>
        <v/>
      </c>
      <c r="L104" s="1558"/>
      <c r="M104" s="1364"/>
      <c r="N104" s="1371">
        <f t="shared" si="12"/>
        <v>0</v>
      </c>
      <c r="O104" s="1372"/>
      <c r="P104" s="1371">
        <f t="shared" si="17"/>
        <v>0</v>
      </c>
      <c r="Q104" s="1371">
        <f t="shared" si="17"/>
        <v>0</v>
      </c>
      <c r="R104" s="1371">
        <f t="shared" si="17"/>
        <v>0</v>
      </c>
      <c r="S104" s="1371">
        <f t="shared" si="17"/>
        <v>0</v>
      </c>
      <c r="T104" s="1371">
        <f t="shared" si="17"/>
        <v>0</v>
      </c>
      <c r="U104" s="1371">
        <f t="shared" si="18"/>
        <v>0</v>
      </c>
      <c r="V104" s="1373">
        <f t="shared" si="11"/>
        <v>0</v>
      </c>
      <c r="W104" s="960"/>
    </row>
    <row r="105" spans="1:23">
      <c r="A105" s="918">
        <v>300225</v>
      </c>
      <c r="B105" s="919" t="s">
        <v>93</v>
      </c>
      <c r="C105" s="1363">
        <f>IF('TAR_Tab 2_Volumina'!M108,1,0)</f>
        <v>0</v>
      </c>
      <c r="D105" s="1527">
        <v>0</v>
      </c>
      <c r="E105" s="1528">
        <f t="shared" si="13"/>
        <v>0</v>
      </c>
      <c r="F105" s="1528">
        <f t="shared" si="14"/>
        <v>0</v>
      </c>
      <c r="G105" s="1531"/>
      <c r="H105" s="1528">
        <f t="shared" si="15"/>
        <v>0</v>
      </c>
      <c r="I105" s="1528">
        <f t="shared" si="16"/>
        <v>0</v>
      </c>
      <c r="J105" s="1532">
        <f t="shared" si="19"/>
        <v>0</v>
      </c>
      <c r="K105" s="1369" t="str">
        <f t="shared" si="20"/>
        <v/>
      </c>
      <c r="L105" s="1558"/>
      <c r="M105" s="1364"/>
      <c r="N105" s="1371">
        <f t="shared" si="12"/>
        <v>0</v>
      </c>
      <c r="O105" s="1372"/>
      <c r="P105" s="1371">
        <f t="shared" si="17"/>
        <v>0</v>
      </c>
      <c r="Q105" s="1371">
        <f t="shared" si="17"/>
        <v>0</v>
      </c>
      <c r="R105" s="1371">
        <f t="shared" si="17"/>
        <v>0</v>
      </c>
      <c r="S105" s="1371">
        <f t="shared" si="17"/>
        <v>0</v>
      </c>
      <c r="T105" s="1371">
        <f t="shared" si="17"/>
        <v>0</v>
      </c>
      <c r="U105" s="1371">
        <f t="shared" si="18"/>
        <v>0</v>
      </c>
      <c r="V105" s="1373">
        <f t="shared" si="11"/>
        <v>0</v>
      </c>
      <c r="W105" s="960"/>
    </row>
    <row r="106" spans="1:23">
      <c r="A106" s="918">
        <v>300227</v>
      </c>
      <c r="B106" s="919" t="s">
        <v>1054</v>
      </c>
      <c r="C106" s="1363">
        <f>IF('TAR_Tab 2_Volumina'!M109,1,0)</f>
        <v>0</v>
      </c>
      <c r="D106" s="1527">
        <v>0</v>
      </c>
      <c r="E106" s="1528">
        <f t="shared" si="13"/>
        <v>0</v>
      </c>
      <c r="F106" s="1528">
        <f t="shared" si="14"/>
        <v>0</v>
      </c>
      <c r="G106" s="1531"/>
      <c r="H106" s="1528">
        <f t="shared" si="15"/>
        <v>0</v>
      </c>
      <c r="I106" s="1528">
        <f t="shared" si="16"/>
        <v>0</v>
      </c>
      <c r="J106" s="1532">
        <f t="shared" si="19"/>
        <v>0</v>
      </c>
      <c r="K106" s="1369" t="str">
        <f t="shared" si="20"/>
        <v/>
      </c>
      <c r="L106" s="1558"/>
      <c r="M106" s="1364"/>
      <c r="N106" s="1371">
        <f t="shared" si="12"/>
        <v>0</v>
      </c>
      <c r="O106" s="1372"/>
      <c r="P106" s="1371">
        <f t="shared" si="17"/>
        <v>0</v>
      </c>
      <c r="Q106" s="1371">
        <f t="shared" si="17"/>
        <v>0</v>
      </c>
      <c r="R106" s="1371">
        <f t="shared" si="17"/>
        <v>0</v>
      </c>
      <c r="S106" s="1371">
        <f t="shared" si="17"/>
        <v>0</v>
      </c>
      <c r="T106" s="1371">
        <f t="shared" si="17"/>
        <v>0</v>
      </c>
      <c r="U106" s="1371">
        <f t="shared" si="18"/>
        <v>0</v>
      </c>
      <c r="V106" s="1373">
        <f t="shared" si="11"/>
        <v>0</v>
      </c>
      <c r="W106" s="960"/>
    </row>
    <row r="107" spans="1:23">
      <c r="A107" s="918">
        <v>300228</v>
      </c>
      <c r="B107" s="919" t="s">
        <v>1055</v>
      </c>
      <c r="C107" s="1363">
        <f>IF('TAR_Tab 2_Volumina'!M110,1,0)</f>
        <v>0</v>
      </c>
      <c r="D107" s="1527">
        <v>0</v>
      </c>
      <c r="E107" s="1528">
        <f t="shared" si="13"/>
        <v>0</v>
      </c>
      <c r="F107" s="1528">
        <f t="shared" si="14"/>
        <v>0</v>
      </c>
      <c r="G107" s="1531"/>
      <c r="H107" s="1528">
        <f t="shared" si="15"/>
        <v>0</v>
      </c>
      <c r="I107" s="1528">
        <f t="shared" si="16"/>
        <v>0</v>
      </c>
      <c r="J107" s="1532">
        <f t="shared" si="19"/>
        <v>0</v>
      </c>
      <c r="K107" s="1369" t="str">
        <f t="shared" si="20"/>
        <v/>
      </c>
      <c r="L107" s="1558"/>
      <c r="M107" s="1364"/>
      <c r="N107" s="1371">
        <f t="shared" si="12"/>
        <v>0</v>
      </c>
      <c r="O107" s="1372"/>
      <c r="P107" s="1371">
        <f t="shared" si="17"/>
        <v>0</v>
      </c>
      <c r="Q107" s="1371">
        <f t="shared" si="17"/>
        <v>0</v>
      </c>
      <c r="R107" s="1371">
        <f t="shared" si="17"/>
        <v>0</v>
      </c>
      <c r="S107" s="1371">
        <f t="shared" si="17"/>
        <v>0</v>
      </c>
      <c r="T107" s="1371">
        <f t="shared" si="17"/>
        <v>0</v>
      </c>
      <c r="U107" s="1371">
        <f t="shared" si="18"/>
        <v>0</v>
      </c>
      <c r="V107" s="1373">
        <f t="shared" si="11"/>
        <v>0</v>
      </c>
      <c r="W107" s="960"/>
    </row>
    <row r="108" spans="1:23">
      <c r="A108" s="918">
        <v>300231</v>
      </c>
      <c r="B108" s="919" t="s">
        <v>1056</v>
      </c>
      <c r="C108" s="1363">
        <f>IF('TAR_Tab 2_Volumina'!M111,1,0)</f>
        <v>0</v>
      </c>
      <c r="D108" s="1527">
        <v>0</v>
      </c>
      <c r="E108" s="1528">
        <f t="shared" si="13"/>
        <v>0</v>
      </c>
      <c r="F108" s="1528">
        <f t="shared" si="14"/>
        <v>0</v>
      </c>
      <c r="G108" s="1531"/>
      <c r="H108" s="1528">
        <f t="shared" si="15"/>
        <v>0</v>
      </c>
      <c r="I108" s="1528">
        <f t="shared" si="16"/>
        <v>0</v>
      </c>
      <c r="J108" s="1532">
        <f t="shared" si="19"/>
        <v>0</v>
      </c>
      <c r="K108" s="1369" t="str">
        <f t="shared" si="20"/>
        <v/>
      </c>
      <c r="L108" s="1558"/>
      <c r="M108" s="1364"/>
      <c r="N108" s="1371">
        <f t="shared" si="12"/>
        <v>0</v>
      </c>
      <c r="O108" s="1372"/>
      <c r="P108" s="1371">
        <f t="shared" si="17"/>
        <v>0</v>
      </c>
      <c r="Q108" s="1371">
        <f t="shared" si="17"/>
        <v>0</v>
      </c>
      <c r="R108" s="1371">
        <f t="shared" si="17"/>
        <v>0</v>
      </c>
      <c r="S108" s="1371">
        <f t="shared" si="17"/>
        <v>0</v>
      </c>
      <c r="T108" s="1371">
        <f t="shared" si="17"/>
        <v>0</v>
      </c>
      <c r="U108" s="1371">
        <f t="shared" si="18"/>
        <v>0</v>
      </c>
      <c r="V108" s="1373">
        <f t="shared" si="11"/>
        <v>0</v>
      </c>
      <c r="W108" s="960"/>
    </row>
    <row r="109" spans="1:23">
      <c r="A109" s="918">
        <v>300234</v>
      </c>
      <c r="B109" s="919" t="s">
        <v>94</v>
      </c>
      <c r="C109" s="1363">
        <f>IF('TAR_Tab 2_Volumina'!M112,1,0)</f>
        <v>1</v>
      </c>
      <c r="D109" s="1527">
        <v>17726.04489529389</v>
      </c>
      <c r="E109" s="1528">
        <f t="shared" si="13"/>
        <v>16903.556412152255</v>
      </c>
      <c r="F109" s="1528">
        <f t="shared" si="14"/>
        <v>17861.01390568259</v>
      </c>
      <c r="G109" s="1531"/>
      <c r="H109" s="1528">
        <f t="shared" si="15"/>
        <v>16967.963210398459</v>
      </c>
      <c r="I109" s="1528">
        <f t="shared" si="16"/>
        <v>18754.064600966722</v>
      </c>
      <c r="J109" s="1532">
        <f t="shared" si="19"/>
        <v>17861.01390568259</v>
      </c>
      <c r="K109" s="1369" t="b">
        <f t="shared" si="20"/>
        <v>1</v>
      </c>
      <c r="L109" s="1558"/>
      <c r="M109" s="1364"/>
      <c r="N109" s="1371">
        <f t="shared" si="12"/>
        <v>17861.01390568259</v>
      </c>
      <c r="O109" s="1372"/>
      <c r="P109" s="1371">
        <f t="shared" si="17"/>
        <v>56.167947152971543</v>
      </c>
      <c r="Q109" s="1371">
        <f t="shared" si="17"/>
        <v>44.520984859919338</v>
      </c>
      <c r="R109" s="1371">
        <f t="shared" si="17"/>
        <v>123.12413435904286</v>
      </c>
      <c r="S109" s="1371">
        <f t="shared" si="17"/>
        <v>0</v>
      </c>
      <c r="T109" s="1371">
        <f t="shared" si="17"/>
        <v>1155.1357038717852</v>
      </c>
      <c r="U109" s="1371">
        <f t="shared" si="18"/>
        <v>19239.962675926312</v>
      </c>
      <c r="V109" s="1373">
        <f t="shared" si="11"/>
        <v>19239.96</v>
      </c>
      <c r="W109" s="960"/>
    </row>
    <row r="110" spans="1:23">
      <c r="A110" s="918">
        <v>300236</v>
      </c>
      <c r="B110" s="919" t="s">
        <v>1057</v>
      </c>
      <c r="C110" s="1363">
        <f>IF('TAR_Tab 2_Volumina'!M113,1,0)</f>
        <v>0</v>
      </c>
      <c r="D110" s="1527">
        <v>0</v>
      </c>
      <c r="E110" s="1528">
        <f t="shared" si="13"/>
        <v>0</v>
      </c>
      <c r="F110" s="1528">
        <f t="shared" si="14"/>
        <v>0</v>
      </c>
      <c r="G110" s="1531"/>
      <c r="H110" s="1528">
        <f t="shared" si="15"/>
        <v>0</v>
      </c>
      <c r="I110" s="1528">
        <f t="shared" si="16"/>
        <v>0</v>
      </c>
      <c r="J110" s="1532">
        <f t="shared" si="19"/>
        <v>0</v>
      </c>
      <c r="K110" s="1369" t="str">
        <f t="shared" si="20"/>
        <v/>
      </c>
      <c r="L110" s="1558"/>
      <c r="M110" s="1364"/>
      <c r="N110" s="1371">
        <f t="shared" si="12"/>
        <v>0</v>
      </c>
      <c r="O110" s="1372"/>
      <c r="P110" s="1371">
        <f t="shared" si="17"/>
        <v>0</v>
      </c>
      <c r="Q110" s="1371">
        <f t="shared" si="17"/>
        <v>0</v>
      </c>
      <c r="R110" s="1371">
        <f t="shared" si="17"/>
        <v>0</v>
      </c>
      <c r="S110" s="1371">
        <f t="shared" si="17"/>
        <v>0</v>
      </c>
      <c r="T110" s="1371">
        <f t="shared" si="17"/>
        <v>0</v>
      </c>
      <c r="U110" s="1371">
        <f t="shared" si="18"/>
        <v>0</v>
      </c>
      <c r="V110" s="1373">
        <f t="shared" si="11"/>
        <v>0</v>
      </c>
      <c r="W110" s="960"/>
    </row>
    <row r="111" spans="1:23">
      <c r="A111" s="918">
        <v>300237</v>
      </c>
      <c r="B111" s="919" t="s">
        <v>301</v>
      </c>
      <c r="C111" s="1363">
        <f>IF('TAR_Tab 2_Volumina'!M114,1,0)</f>
        <v>1</v>
      </c>
      <c r="D111" s="1529">
        <v>124082.31426705727</v>
      </c>
      <c r="E111" s="1528">
        <f t="shared" si="13"/>
        <v>118324.89488506582</v>
      </c>
      <c r="F111" s="1528">
        <f t="shared" si="14"/>
        <v>125027.09733977816</v>
      </c>
      <c r="G111" s="1531"/>
      <c r="H111" s="1528">
        <f t="shared" si="15"/>
        <v>118775.74247278925</v>
      </c>
      <c r="I111" s="1528">
        <f t="shared" si="16"/>
        <v>131278.45220676708</v>
      </c>
      <c r="J111" s="1532">
        <f t="shared" si="19"/>
        <v>125027.09733977816</v>
      </c>
      <c r="K111" s="1369" t="b">
        <f t="shared" si="20"/>
        <v>1</v>
      </c>
      <c r="L111" s="1558"/>
      <c r="M111" s="1364"/>
      <c r="N111" s="1371">
        <f t="shared" si="12"/>
        <v>125027.09733977816</v>
      </c>
      <c r="O111" s="1372"/>
      <c r="P111" s="1371">
        <f t="shared" si="17"/>
        <v>393.17563007080088</v>
      </c>
      <c r="Q111" s="1371">
        <f t="shared" si="17"/>
        <v>311.64689401943542</v>
      </c>
      <c r="R111" s="1371">
        <f t="shared" si="17"/>
        <v>861.86894051330023</v>
      </c>
      <c r="S111" s="1371">
        <f t="shared" si="17"/>
        <v>0</v>
      </c>
      <c r="T111" s="1371">
        <f t="shared" si="17"/>
        <v>8085.9499271024988</v>
      </c>
      <c r="U111" s="1371">
        <f t="shared" si="18"/>
        <v>134679.73873148422</v>
      </c>
      <c r="V111" s="1373">
        <f t="shared" si="11"/>
        <v>134679.74</v>
      </c>
      <c r="W111" s="960"/>
    </row>
    <row r="112" spans="1:23">
      <c r="A112" s="918">
        <v>300241</v>
      </c>
      <c r="B112" s="919" t="s">
        <v>1058</v>
      </c>
      <c r="C112" s="1363">
        <f>IF('TAR_Tab 2_Volumina'!M115,1,0)</f>
        <v>0</v>
      </c>
      <c r="D112" s="1527">
        <v>0</v>
      </c>
      <c r="E112" s="1528">
        <f t="shared" si="13"/>
        <v>0</v>
      </c>
      <c r="F112" s="1528">
        <f t="shared" si="14"/>
        <v>0</v>
      </c>
      <c r="G112" s="1531"/>
      <c r="H112" s="1528">
        <f t="shared" si="15"/>
        <v>0</v>
      </c>
      <c r="I112" s="1528">
        <f t="shared" si="16"/>
        <v>0</v>
      </c>
      <c r="J112" s="1532">
        <f t="shared" si="19"/>
        <v>0</v>
      </c>
      <c r="K112" s="1369" t="str">
        <f t="shared" si="20"/>
        <v/>
      </c>
      <c r="L112" s="1558"/>
      <c r="M112" s="1364"/>
      <c r="N112" s="1371">
        <f t="shared" si="12"/>
        <v>0</v>
      </c>
      <c r="O112" s="1372"/>
      <c r="P112" s="1371">
        <f t="shared" si="17"/>
        <v>0</v>
      </c>
      <c r="Q112" s="1371">
        <f t="shared" si="17"/>
        <v>0</v>
      </c>
      <c r="R112" s="1371">
        <f t="shared" si="17"/>
        <v>0</v>
      </c>
      <c r="S112" s="1371">
        <f t="shared" si="17"/>
        <v>0</v>
      </c>
      <c r="T112" s="1371">
        <f t="shared" si="17"/>
        <v>0</v>
      </c>
      <c r="U112" s="1371">
        <f t="shared" si="18"/>
        <v>0</v>
      </c>
      <c r="V112" s="1373">
        <f t="shared" si="11"/>
        <v>0</v>
      </c>
      <c r="W112" s="960"/>
    </row>
    <row r="113" spans="1:23">
      <c r="A113" s="918">
        <v>300242</v>
      </c>
      <c r="B113" s="919" t="s">
        <v>95</v>
      </c>
      <c r="C113" s="1363">
        <f>IF('TAR_Tab 2_Volumina'!M116,1,0)</f>
        <v>0</v>
      </c>
      <c r="D113" s="1527">
        <v>0</v>
      </c>
      <c r="E113" s="1528">
        <f t="shared" si="13"/>
        <v>0</v>
      </c>
      <c r="F113" s="1528">
        <f t="shared" si="14"/>
        <v>0</v>
      </c>
      <c r="G113" s="1531"/>
      <c r="H113" s="1528">
        <f t="shared" si="15"/>
        <v>0</v>
      </c>
      <c r="I113" s="1528">
        <f t="shared" si="16"/>
        <v>0</v>
      </c>
      <c r="J113" s="1532">
        <f t="shared" si="19"/>
        <v>0</v>
      </c>
      <c r="K113" s="1369" t="str">
        <f t="shared" si="20"/>
        <v/>
      </c>
      <c r="L113" s="1558"/>
      <c r="M113" s="1364"/>
      <c r="N113" s="1371">
        <f t="shared" si="12"/>
        <v>0</v>
      </c>
      <c r="O113" s="1372"/>
      <c r="P113" s="1371">
        <f t="shared" si="17"/>
        <v>0</v>
      </c>
      <c r="Q113" s="1371">
        <f t="shared" si="17"/>
        <v>0</v>
      </c>
      <c r="R113" s="1371">
        <f t="shared" si="17"/>
        <v>0</v>
      </c>
      <c r="S113" s="1371">
        <f t="shared" si="17"/>
        <v>0</v>
      </c>
      <c r="T113" s="1371">
        <f t="shared" si="17"/>
        <v>0</v>
      </c>
      <c r="U113" s="1371">
        <f t="shared" si="18"/>
        <v>0</v>
      </c>
      <c r="V113" s="1373">
        <f t="shared" si="11"/>
        <v>0</v>
      </c>
      <c r="W113" s="960"/>
    </row>
    <row r="114" spans="1:23">
      <c r="A114" s="918">
        <v>300245</v>
      </c>
      <c r="B114" s="919" t="s">
        <v>1059</v>
      </c>
      <c r="C114" s="1363">
        <f>IF('TAR_Tab 2_Volumina'!M117,1,0)</f>
        <v>0</v>
      </c>
      <c r="D114" s="1527">
        <v>0</v>
      </c>
      <c r="E114" s="1528">
        <f t="shared" si="13"/>
        <v>0</v>
      </c>
      <c r="F114" s="1528">
        <f t="shared" si="14"/>
        <v>0</v>
      </c>
      <c r="G114" s="1531"/>
      <c r="H114" s="1528">
        <f t="shared" si="15"/>
        <v>0</v>
      </c>
      <c r="I114" s="1528">
        <f t="shared" si="16"/>
        <v>0</v>
      </c>
      <c r="J114" s="1532">
        <f t="shared" si="19"/>
        <v>0</v>
      </c>
      <c r="K114" s="1369" t="str">
        <f t="shared" si="20"/>
        <v/>
      </c>
      <c r="L114" s="1558"/>
      <c r="M114" s="1364"/>
      <c r="N114" s="1371">
        <f t="shared" si="12"/>
        <v>0</v>
      </c>
      <c r="O114" s="1372"/>
      <c r="P114" s="1371">
        <f t="shared" si="17"/>
        <v>0</v>
      </c>
      <c r="Q114" s="1371">
        <f t="shared" si="17"/>
        <v>0</v>
      </c>
      <c r="R114" s="1371">
        <f t="shared" si="17"/>
        <v>0</v>
      </c>
      <c r="S114" s="1371">
        <f t="shared" si="17"/>
        <v>0</v>
      </c>
      <c r="T114" s="1371">
        <f t="shared" si="17"/>
        <v>0</v>
      </c>
      <c r="U114" s="1371">
        <f t="shared" si="18"/>
        <v>0</v>
      </c>
      <c r="V114" s="1373">
        <f t="shared" si="11"/>
        <v>0</v>
      </c>
      <c r="W114" s="960"/>
    </row>
    <row r="115" spans="1:23">
      <c r="A115" s="918">
        <v>300246</v>
      </c>
      <c r="B115" s="919" t="s">
        <v>417</v>
      </c>
      <c r="C115" s="1363">
        <f>IF('TAR_Tab 2_Volumina'!M118,1,0)</f>
        <v>0</v>
      </c>
      <c r="D115" s="1527">
        <v>0</v>
      </c>
      <c r="E115" s="1528">
        <f t="shared" si="13"/>
        <v>0</v>
      </c>
      <c r="F115" s="1528">
        <f t="shared" si="14"/>
        <v>0</v>
      </c>
      <c r="G115" s="1531"/>
      <c r="H115" s="1528">
        <f t="shared" si="15"/>
        <v>0</v>
      </c>
      <c r="I115" s="1528">
        <f t="shared" si="16"/>
        <v>0</v>
      </c>
      <c r="J115" s="1532">
        <f t="shared" si="19"/>
        <v>0</v>
      </c>
      <c r="K115" s="1369" t="str">
        <f t="shared" si="20"/>
        <v/>
      </c>
      <c r="L115" s="1558"/>
      <c r="M115" s="1364"/>
      <c r="N115" s="1371">
        <f t="shared" si="12"/>
        <v>0</v>
      </c>
      <c r="O115" s="1372"/>
      <c r="P115" s="1371">
        <f t="shared" si="17"/>
        <v>0</v>
      </c>
      <c r="Q115" s="1371">
        <f t="shared" si="17"/>
        <v>0</v>
      </c>
      <c r="R115" s="1371">
        <f t="shared" si="17"/>
        <v>0</v>
      </c>
      <c r="S115" s="1371">
        <f t="shared" si="17"/>
        <v>0</v>
      </c>
      <c r="T115" s="1371">
        <f t="shared" si="17"/>
        <v>0</v>
      </c>
      <c r="U115" s="1371">
        <f t="shared" si="18"/>
        <v>0</v>
      </c>
      <c r="V115" s="1373">
        <f t="shared" si="11"/>
        <v>0</v>
      </c>
      <c r="W115" s="960"/>
    </row>
    <row r="116" spans="1:23">
      <c r="A116" s="918">
        <v>300248</v>
      </c>
      <c r="B116" s="919" t="s">
        <v>302</v>
      </c>
      <c r="C116" s="1363">
        <f>IF('TAR_Tab 2_Volumina'!M119,1,0)</f>
        <v>1</v>
      </c>
      <c r="D116" s="1529">
        <v>70904.179581175558</v>
      </c>
      <c r="E116" s="1528">
        <f t="shared" si="13"/>
        <v>67614.225648609019</v>
      </c>
      <c r="F116" s="1528">
        <f t="shared" si="14"/>
        <v>71444.05562273036</v>
      </c>
      <c r="G116" s="1531"/>
      <c r="H116" s="1528">
        <f t="shared" si="15"/>
        <v>67871.852841593834</v>
      </c>
      <c r="I116" s="1528">
        <f t="shared" si="16"/>
        <v>75016.258403866887</v>
      </c>
      <c r="J116" s="1532">
        <f t="shared" si="19"/>
        <v>71444.05562273036</v>
      </c>
      <c r="K116" s="1369" t="b">
        <f t="shared" si="20"/>
        <v>1</v>
      </c>
      <c r="L116" s="1558"/>
      <c r="M116" s="1364"/>
      <c r="N116" s="1371">
        <f t="shared" si="12"/>
        <v>71444.05562273036</v>
      </c>
      <c r="O116" s="1372"/>
      <c r="P116" s="1371">
        <f t="shared" si="17"/>
        <v>224.67178861188617</v>
      </c>
      <c r="Q116" s="1371">
        <f t="shared" si="17"/>
        <v>178.08393943967735</v>
      </c>
      <c r="R116" s="1371">
        <f t="shared" si="17"/>
        <v>492.49653743617142</v>
      </c>
      <c r="S116" s="1371">
        <f t="shared" si="17"/>
        <v>0</v>
      </c>
      <c r="T116" s="1371">
        <f t="shared" si="17"/>
        <v>4620.5428154871406</v>
      </c>
      <c r="U116" s="1371">
        <f t="shared" si="18"/>
        <v>76959.850703705248</v>
      </c>
      <c r="V116" s="1373">
        <f t="shared" si="11"/>
        <v>76959.850000000006</v>
      </c>
      <c r="W116" s="960"/>
    </row>
    <row r="117" spans="1:23">
      <c r="A117" s="918">
        <v>300249</v>
      </c>
      <c r="B117" s="919" t="s">
        <v>303</v>
      </c>
      <c r="C117" s="1363">
        <f>IF('TAR_Tab 2_Volumina'!M120,1,0)</f>
        <v>1</v>
      </c>
      <c r="D117" s="1529">
        <v>35452.089790587779</v>
      </c>
      <c r="E117" s="1528">
        <f t="shared" si="13"/>
        <v>33807.11282430451</v>
      </c>
      <c r="F117" s="1528">
        <f t="shared" si="14"/>
        <v>35722.02781136518</v>
      </c>
      <c r="G117" s="1531"/>
      <c r="H117" s="1528">
        <f t="shared" si="15"/>
        <v>33935.926420796917</v>
      </c>
      <c r="I117" s="1528">
        <f t="shared" si="16"/>
        <v>37508.129201933443</v>
      </c>
      <c r="J117" s="1532">
        <f t="shared" si="19"/>
        <v>35722.02781136518</v>
      </c>
      <c r="K117" s="1369" t="b">
        <f t="shared" si="20"/>
        <v>1</v>
      </c>
      <c r="L117" s="1558"/>
      <c r="M117" s="1364"/>
      <c r="N117" s="1371">
        <f t="shared" si="12"/>
        <v>35722.02781136518</v>
      </c>
      <c r="O117" s="1372"/>
      <c r="P117" s="1371">
        <f t="shared" si="17"/>
        <v>112.33589430594309</v>
      </c>
      <c r="Q117" s="1371">
        <f t="shared" si="17"/>
        <v>89.041969719838676</v>
      </c>
      <c r="R117" s="1371">
        <f t="shared" si="17"/>
        <v>246.24826871808571</v>
      </c>
      <c r="S117" s="1371">
        <f t="shared" si="17"/>
        <v>0</v>
      </c>
      <c r="T117" s="1371">
        <f t="shared" si="17"/>
        <v>2310.2714077435703</v>
      </c>
      <c r="U117" s="1371">
        <f t="shared" si="18"/>
        <v>38479.925351852624</v>
      </c>
      <c r="V117" s="1373">
        <f t="shared" si="11"/>
        <v>38479.93</v>
      </c>
      <c r="W117" s="960"/>
    </row>
    <row r="118" spans="1:23">
      <c r="A118" s="918">
        <v>300250</v>
      </c>
      <c r="B118" s="919" t="s">
        <v>790</v>
      </c>
      <c r="C118" s="1363">
        <f>IF('TAR_Tab 2_Volumina'!M121,1,0)</f>
        <v>0</v>
      </c>
      <c r="D118" s="1527">
        <v>0</v>
      </c>
      <c r="E118" s="1528">
        <f t="shared" si="13"/>
        <v>0</v>
      </c>
      <c r="F118" s="1528">
        <f t="shared" si="14"/>
        <v>0</v>
      </c>
      <c r="G118" s="1531"/>
      <c r="H118" s="1528">
        <f t="shared" si="15"/>
        <v>0</v>
      </c>
      <c r="I118" s="1528">
        <f t="shared" si="16"/>
        <v>0</v>
      </c>
      <c r="J118" s="1532">
        <f t="shared" si="19"/>
        <v>0</v>
      </c>
      <c r="K118" s="1369" t="str">
        <f t="shared" si="20"/>
        <v/>
      </c>
      <c r="L118" s="1558"/>
      <c r="M118" s="1364"/>
      <c r="N118" s="1371">
        <f t="shared" si="12"/>
        <v>0</v>
      </c>
      <c r="O118" s="1372"/>
      <c r="P118" s="1371">
        <f t="shared" si="17"/>
        <v>0</v>
      </c>
      <c r="Q118" s="1371">
        <f t="shared" si="17"/>
        <v>0</v>
      </c>
      <c r="R118" s="1371">
        <f t="shared" si="17"/>
        <v>0</v>
      </c>
      <c r="S118" s="1371">
        <f t="shared" si="17"/>
        <v>0</v>
      </c>
      <c r="T118" s="1371">
        <f t="shared" si="17"/>
        <v>0</v>
      </c>
      <c r="U118" s="1371">
        <f t="shared" si="18"/>
        <v>0</v>
      </c>
      <c r="V118" s="1373">
        <f t="shared" si="11"/>
        <v>0</v>
      </c>
      <c r="W118" s="960"/>
    </row>
    <row r="119" spans="1:23">
      <c r="A119" s="918">
        <v>300251</v>
      </c>
      <c r="B119" s="919" t="s">
        <v>96</v>
      </c>
      <c r="C119" s="1363">
        <f>IF('TAR_Tab 2_Volumina'!M122,1,0)</f>
        <v>0</v>
      </c>
      <c r="D119" s="1527">
        <v>0</v>
      </c>
      <c r="E119" s="1528">
        <f t="shared" si="13"/>
        <v>0</v>
      </c>
      <c r="F119" s="1528">
        <f t="shared" si="14"/>
        <v>0</v>
      </c>
      <c r="G119" s="1531"/>
      <c r="H119" s="1528">
        <f t="shared" si="15"/>
        <v>0</v>
      </c>
      <c r="I119" s="1528">
        <f t="shared" si="16"/>
        <v>0</v>
      </c>
      <c r="J119" s="1532">
        <f t="shared" si="19"/>
        <v>0</v>
      </c>
      <c r="K119" s="1369" t="str">
        <f t="shared" si="20"/>
        <v/>
      </c>
      <c r="L119" s="1558"/>
      <c r="M119" s="1364"/>
      <c r="N119" s="1371">
        <f t="shared" ref="N119:N172" si="21">IF(J119&gt;0,J119,F119)</f>
        <v>0</v>
      </c>
      <c r="O119" s="1372"/>
      <c r="P119" s="1371">
        <f t="shared" si="17"/>
        <v>0</v>
      </c>
      <c r="Q119" s="1371">
        <f t="shared" si="17"/>
        <v>0</v>
      </c>
      <c r="R119" s="1371">
        <f t="shared" si="17"/>
        <v>0</v>
      </c>
      <c r="S119" s="1371">
        <f t="shared" si="17"/>
        <v>0</v>
      </c>
      <c r="T119" s="1371">
        <f t="shared" si="17"/>
        <v>0</v>
      </c>
      <c r="U119" s="1371">
        <f t="shared" si="18"/>
        <v>0</v>
      </c>
      <c r="V119" s="1373">
        <f t="shared" ref="V119:V171" si="22">ROUND(U119,2)</f>
        <v>0</v>
      </c>
      <c r="W119" s="960"/>
    </row>
    <row r="120" spans="1:23">
      <c r="A120" s="918">
        <v>300252</v>
      </c>
      <c r="B120" s="919" t="s">
        <v>418</v>
      </c>
      <c r="C120" s="1363">
        <f>IF('TAR_Tab 2_Volumina'!M123,1,0)</f>
        <v>0</v>
      </c>
      <c r="D120" s="1527">
        <v>0</v>
      </c>
      <c r="E120" s="1528">
        <f t="shared" si="13"/>
        <v>0</v>
      </c>
      <c r="F120" s="1528">
        <f t="shared" si="14"/>
        <v>0</v>
      </c>
      <c r="G120" s="1531"/>
      <c r="H120" s="1528">
        <f t="shared" si="15"/>
        <v>0</v>
      </c>
      <c r="I120" s="1528">
        <f t="shared" si="16"/>
        <v>0</v>
      </c>
      <c r="J120" s="1532">
        <f t="shared" si="19"/>
        <v>0</v>
      </c>
      <c r="K120" s="1369" t="str">
        <f t="shared" si="20"/>
        <v/>
      </c>
      <c r="L120" s="1558"/>
      <c r="M120" s="1364"/>
      <c r="N120" s="1371">
        <f t="shared" si="21"/>
        <v>0</v>
      </c>
      <c r="O120" s="1372"/>
      <c r="P120" s="1371">
        <f t="shared" si="17"/>
        <v>0</v>
      </c>
      <c r="Q120" s="1371">
        <f t="shared" si="17"/>
        <v>0</v>
      </c>
      <c r="R120" s="1371">
        <f t="shared" si="17"/>
        <v>0</v>
      </c>
      <c r="S120" s="1371">
        <f t="shared" si="17"/>
        <v>0</v>
      </c>
      <c r="T120" s="1371">
        <f t="shared" si="17"/>
        <v>0</v>
      </c>
      <c r="U120" s="1371">
        <f t="shared" si="18"/>
        <v>0</v>
      </c>
      <c r="V120" s="1373">
        <f t="shared" si="22"/>
        <v>0</v>
      </c>
      <c r="W120" s="960"/>
    </row>
    <row r="121" spans="1:23">
      <c r="A121" s="918">
        <v>300262</v>
      </c>
      <c r="B121" s="919" t="s">
        <v>419</v>
      </c>
      <c r="C121" s="1363">
        <f>IF('TAR_Tab 2_Volumina'!M124,1,0)</f>
        <v>0</v>
      </c>
      <c r="D121" s="1527">
        <v>0</v>
      </c>
      <c r="E121" s="1528">
        <f t="shared" si="13"/>
        <v>0</v>
      </c>
      <c r="F121" s="1528">
        <f t="shared" si="14"/>
        <v>0</v>
      </c>
      <c r="G121" s="1531"/>
      <c r="H121" s="1528">
        <f t="shared" si="15"/>
        <v>0</v>
      </c>
      <c r="I121" s="1528">
        <f t="shared" si="16"/>
        <v>0</v>
      </c>
      <c r="J121" s="1532">
        <f t="shared" si="19"/>
        <v>0</v>
      </c>
      <c r="K121" s="1369" t="str">
        <f t="shared" si="20"/>
        <v/>
      </c>
      <c r="L121" s="1558"/>
      <c r="M121" s="1364"/>
      <c r="N121" s="1371">
        <f t="shared" si="21"/>
        <v>0</v>
      </c>
      <c r="O121" s="1372"/>
      <c r="P121" s="1371">
        <f t="shared" si="17"/>
        <v>0</v>
      </c>
      <c r="Q121" s="1371">
        <f t="shared" si="17"/>
        <v>0</v>
      </c>
      <c r="R121" s="1371">
        <f t="shared" si="17"/>
        <v>0</v>
      </c>
      <c r="S121" s="1371">
        <f t="shared" si="17"/>
        <v>0</v>
      </c>
      <c r="T121" s="1371">
        <f t="shared" si="17"/>
        <v>0</v>
      </c>
      <c r="U121" s="1371">
        <f t="shared" si="18"/>
        <v>0</v>
      </c>
      <c r="V121" s="1373">
        <f t="shared" si="22"/>
        <v>0</v>
      </c>
      <c r="W121" s="960"/>
    </row>
    <row r="122" spans="1:23">
      <c r="A122" s="918">
        <v>300263</v>
      </c>
      <c r="B122" s="919" t="s">
        <v>304</v>
      </c>
      <c r="C122" s="1363">
        <f>IF('TAR_Tab 2_Volumina'!M125,1,0)</f>
        <v>1</v>
      </c>
      <c r="D122" s="1529">
        <v>35452.089790587779</v>
      </c>
      <c r="E122" s="1528">
        <f t="shared" si="13"/>
        <v>33807.11282430451</v>
      </c>
      <c r="F122" s="1528">
        <f t="shared" si="14"/>
        <v>35722.02781136518</v>
      </c>
      <c r="G122" s="1531"/>
      <c r="H122" s="1528">
        <f t="shared" si="15"/>
        <v>33935.926420796917</v>
      </c>
      <c r="I122" s="1528">
        <f t="shared" si="16"/>
        <v>37508.129201933443</v>
      </c>
      <c r="J122" s="1532">
        <f t="shared" si="19"/>
        <v>35722.02781136518</v>
      </c>
      <c r="K122" s="1369" t="b">
        <f t="shared" si="20"/>
        <v>1</v>
      </c>
      <c r="L122" s="1558"/>
      <c r="M122" s="1364"/>
      <c r="N122" s="1371">
        <f t="shared" si="21"/>
        <v>35722.02781136518</v>
      </c>
      <c r="O122" s="1372"/>
      <c r="P122" s="1371">
        <f t="shared" si="17"/>
        <v>112.33589430594309</v>
      </c>
      <c r="Q122" s="1371">
        <f t="shared" si="17"/>
        <v>89.041969719838676</v>
      </c>
      <c r="R122" s="1371">
        <f t="shared" si="17"/>
        <v>246.24826871808571</v>
      </c>
      <c r="S122" s="1371">
        <f t="shared" si="17"/>
        <v>0</v>
      </c>
      <c r="T122" s="1371">
        <f t="shared" si="17"/>
        <v>2310.2714077435703</v>
      </c>
      <c r="U122" s="1371">
        <f t="shared" si="18"/>
        <v>38479.925351852624</v>
      </c>
      <c r="V122" s="1373">
        <f t="shared" si="22"/>
        <v>38479.93</v>
      </c>
      <c r="W122" s="960"/>
    </row>
    <row r="123" spans="1:23">
      <c r="A123" s="918">
        <v>300264</v>
      </c>
      <c r="B123" s="919" t="s">
        <v>97</v>
      </c>
      <c r="C123" s="1363">
        <f>IF('TAR_Tab 2_Volumina'!M126,1,0)</f>
        <v>1</v>
      </c>
      <c r="D123" s="1527">
        <v>17726.04489529389</v>
      </c>
      <c r="E123" s="1528">
        <f t="shared" si="13"/>
        <v>16903.556412152255</v>
      </c>
      <c r="F123" s="1528">
        <f t="shared" si="14"/>
        <v>17861.01390568259</v>
      </c>
      <c r="G123" s="1531"/>
      <c r="H123" s="1528">
        <f t="shared" si="15"/>
        <v>16967.963210398459</v>
      </c>
      <c r="I123" s="1528">
        <f t="shared" si="16"/>
        <v>18754.064600966722</v>
      </c>
      <c r="J123" s="1532">
        <f t="shared" si="19"/>
        <v>17861.01390568259</v>
      </c>
      <c r="K123" s="1369" t="b">
        <f t="shared" si="20"/>
        <v>1</v>
      </c>
      <c r="L123" s="1558"/>
      <c r="M123" s="1364"/>
      <c r="N123" s="1371">
        <f t="shared" si="21"/>
        <v>17861.01390568259</v>
      </c>
      <c r="O123" s="1372"/>
      <c r="P123" s="1371">
        <f t="shared" si="17"/>
        <v>56.167947152971543</v>
      </c>
      <c r="Q123" s="1371">
        <f t="shared" si="17"/>
        <v>44.520984859919338</v>
      </c>
      <c r="R123" s="1371">
        <f t="shared" si="17"/>
        <v>123.12413435904286</v>
      </c>
      <c r="S123" s="1371">
        <f t="shared" si="17"/>
        <v>0</v>
      </c>
      <c r="T123" s="1371">
        <f t="shared" si="17"/>
        <v>1155.1357038717852</v>
      </c>
      <c r="U123" s="1371">
        <f t="shared" si="18"/>
        <v>19239.962675926312</v>
      </c>
      <c r="V123" s="1373">
        <f t="shared" si="22"/>
        <v>19239.96</v>
      </c>
      <c r="W123" s="960"/>
    </row>
    <row r="124" spans="1:23">
      <c r="A124" s="918">
        <v>300265</v>
      </c>
      <c r="B124" s="919" t="s">
        <v>98</v>
      </c>
      <c r="C124" s="1363">
        <f>IF('TAR_Tab 2_Volumina'!M127,1,0)</f>
        <v>0</v>
      </c>
      <c r="D124" s="1527">
        <v>0</v>
      </c>
      <c r="E124" s="1528">
        <f t="shared" si="13"/>
        <v>0</v>
      </c>
      <c r="F124" s="1528">
        <f t="shared" si="14"/>
        <v>0</v>
      </c>
      <c r="G124" s="1531"/>
      <c r="H124" s="1528">
        <f t="shared" si="15"/>
        <v>0</v>
      </c>
      <c r="I124" s="1528">
        <f t="shared" si="16"/>
        <v>0</v>
      </c>
      <c r="J124" s="1532">
        <f t="shared" si="19"/>
        <v>0</v>
      </c>
      <c r="K124" s="1369" t="str">
        <f t="shared" si="20"/>
        <v/>
      </c>
      <c r="L124" s="1558"/>
      <c r="M124" s="1364"/>
      <c r="N124" s="1371">
        <f t="shared" si="21"/>
        <v>0</v>
      </c>
      <c r="O124" s="1372"/>
      <c r="P124" s="1371">
        <f t="shared" ref="P124:T174" si="23">P$7*$N124</f>
        <v>0</v>
      </c>
      <c r="Q124" s="1371">
        <f t="shared" si="23"/>
        <v>0</v>
      </c>
      <c r="R124" s="1371">
        <f t="shared" si="23"/>
        <v>0</v>
      </c>
      <c r="S124" s="1371">
        <f t="shared" si="23"/>
        <v>0</v>
      </c>
      <c r="T124" s="1371">
        <f t="shared" si="23"/>
        <v>0</v>
      </c>
      <c r="U124" s="1371">
        <f t="shared" si="18"/>
        <v>0</v>
      </c>
      <c r="V124" s="1373">
        <f t="shared" si="22"/>
        <v>0</v>
      </c>
      <c r="W124" s="960"/>
    </row>
    <row r="125" spans="1:23">
      <c r="A125" s="918">
        <v>300267</v>
      </c>
      <c r="B125" s="919" t="s">
        <v>1060</v>
      </c>
      <c r="C125" s="1363">
        <f>IF('TAR_Tab 2_Volumina'!M128,1,0)</f>
        <v>0</v>
      </c>
      <c r="D125" s="1527">
        <v>0</v>
      </c>
      <c r="E125" s="1528">
        <f t="shared" si="13"/>
        <v>0</v>
      </c>
      <c r="F125" s="1528">
        <f t="shared" si="14"/>
        <v>0</v>
      </c>
      <c r="G125" s="1531"/>
      <c r="H125" s="1528">
        <f t="shared" si="15"/>
        <v>0</v>
      </c>
      <c r="I125" s="1528">
        <f t="shared" si="16"/>
        <v>0</v>
      </c>
      <c r="J125" s="1532">
        <f t="shared" si="19"/>
        <v>0</v>
      </c>
      <c r="K125" s="1369" t="str">
        <f t="shared" si="20"/>
        <v/>
      </c>
      <c r="L125" s="1558"/>
      <c r="M125" s="1364"/>
      <c r="N125" s="1371">
        <f t="shared" si="21"/>
        <v>0</v>
      </c>
      <c r="O125" s="1372"/>
      <c r="P125" s="1371">
        <f t="shared" si="23"/>
        <v>0</v>
      </c>
      <c r="Q125" s="1371">
        <f t="shared" si="23"/>
        <v>0</v>
      </c>
      <c r="R125" s="1371">
        <f t="shared" si="23"/>
        <v>0</v>
      </c>
      <c r="S125" s="1371">
        <f t="shared" si="23"/>
        <v>0</v>
      </c>
      <c r="T125" s="1371">
        <f t="shared" si="23"/>
        <v>0</v>
      </c>
      <c r="U125" s="1371">
        <f t="shared" si="18"/>
        <v>0</v>
      </c>
      <c r="V125" s="1373">
        <f t="shared" si="22"/>
        <v>0</v>
      </c>
      <c r="W125" s="960"/>
    </row>
    <row r="126" spans="1:23">
      <c r="A126" s="918">
        <v>300269</v>
      </c>
      <c r="B126" s="919" t="s">
        <v>99</v>
      </c>
      <c r="C126" s="1363">
        <f>IF('TAR_Tab 2_Volumina'!M129,1,0)</f>
        <v>1</v>
      </c>
      <c r="D126" s="1527">
        <v>17726.04489529389</v>
      </c>
      <c r="E126" s="1528">
        <f t="shared" si="13"/>
        <v>16903.556412152255</v>
      </c>
      <c r="F126" s="1528">
        <f t="shared" si="14"/>
        <v>17861.01390568259</v>
      </c>
      <c r="G126" s="1531"/>
      <c r="H126" s="1528">
        <f t="shared" si="15"/>
        <v>16967.963210398459</v>
      </c>
      <c r="I126" s="1528">
        <f t="shared" si="16"/>
        <v>18754.064600966722</v>
      </c>
      <c r="J126" s="1532">
        <f t="shared" si="19"/>
        <v>17861.01390568259</v>
      </c>
      <c r="K126" s="1369" t="b">
        <f t="shared" si="20"/>
        <v>1</v>
      </c>
      <c r="L126" s="1558"/>
      <c r="M126" s="1364"/>
      <c r="N126" s="1371">
        <f t="shared" si="21"/>
        <v>17861.01390568259</v>
      </c>
      <c r="O126" s="1372"/>
      <c r="P126" s="1371">
        <f t="shared" si="23"/>
        <v>56.167947152971543</v>
      </c>
      <c r="Q126" s="1371">
        <f t="shared" si="23"/>
        <v>44.520984859919338</v>
      </c>
      <c r="R126" s="1371">
        <f t="shared" si="23"/>
        <v>123.12413435904286</v>
      </c>
      <c r="S126" s="1371">
        <f t="shared" si="23"/>
        <v>0</v>
      </c>
      <c r="T126" s="1371">
        <f t="shared" si="23"/>
        <v>1155.1357038717852</v>
      </c>
      <c r="U126" s="1371">
        <f t="shared" si="18"/>
        <v>19239.962675926312</v>
      </c>
      <c r="V126" s="1373">
        <f t="shared" si="22"/>
        <v>19239.96</v>
      </c>
      <c r="W126" s="960"/>
    </row>
    <row r="127" spans="1:23">
      <c r="A127" s="918">
        <v>300274</v>
      </c>
      <c r="B127" s="919" t="s">
        <v>1061</v>
      </c>
      <c r="C127" s="1363">
        <f>IF('TAR_Tab 2_Volumina'!M130,1,0)</f>
        <v>0</v>
      </c>
      <c r="D127" s="1527">
        <v>0</v>
      </c>
      <c r="E127" s="1528">
        <f t="shared" si="13"/>
        <v>0</v>
      </c>
      <c r="F127" s="1528">
        <f t="shared" si="14"/>
        <v>0</v>
      </c>
      <c r="G127" s="1531"/>
      <c r="H127" s="1528">
        <f t="shared" si="15"/>
        <v>0</v>
      </c>
      <c r="I127" s="1528">
        <f t="shared" si="16"/>
        <v>0</v>
      </c>
      <c r="J127" s="1532">
        <f t="shared" si="19"/>
        <v>0</v>
      </c>
      <c r="K127" s="1369" t="str">
        <f t="shared" si="20"/>
        <v/>
      </c>
      <c r="L127" s="1558"/>
      <c r="M127" s="1364"/>
      <c r="N127" s="1371">
        <f t="shared" si="21"/>
        <v>0</v>
      </c>
      <c r="O127" s="1372"/>
      <c r="P127" s="1371">
        <f t="shared" si="23"/>
        <v>0</v>
      </c>
      <c r="Q127" s="1371">
        <f t="shared" si="23"/>
        <v>0</v>
      </c>
      <c r="R127" s="1371">
        <f t="shared" si="23"/>
        <v>0</v>
      </c>
      <c r="S127" s="1371">
        <f t="shared" si="23"/>
        <v>0</v>
      </c>
      <c r="T127" s="1371">
        <f t="shared" si="23"/>
        <v>0</v>
      </c>
      <c r="U127" s="1371">
        <f t="shared" si="18"/>
        <v>0</v>
      </c>
      <c r="V127" s="1373">
        <f t="shared" si="22"/>
        <v>0</v>
      </c>
      <c r="W127" s="960"/>
    </row>
    <row r="128" spans="1:23">
      <c r="A128" s="918">
        <v>300276</v>
      </c>
      <c r="B128" s="919" t="s">
        <v>100</v>
      </c>
      <c r="C128" s="1363">
        <f>IF('TAR_Tab 2_Volumina'!M131,1,0)</f>
        <v>1</v>
      </c>
      <c r="D128" s="1527">
        <v>17726.04489529389</v>
      </c>
      <c r="E128" s="1528">
        <f t="shared" si="13"/>
        <v>16903.556412152255</v>
      </c>
      <c r="F128" s="1528">
        <f t="shared" si="14"/>
        <v>17861.01390568259</v>
      </c>
      <c r="G128" s="1531"/>
      <c r="H128" s="1528">
        <f t="shared" si="15"/>
        <v>16967.963210398459</v>
      </c>
      <c r="I128" s="1528">
        <f t="shared" si="16"/>
        <v>18754.064600966722</v>
      </c>
      <c r="J128" s="1532">
        <f t="shared" si="19"/>
        <v>17861.01390568259</v>
      </c>
      <c r="K128" s="1369" t="b">
        <f t="shared" si="20"/>
        <v>1</v>
      </c>
      <c r="L128" s="1558"/>
      <c r="M128" s="1364"/>
      <c r="N128" s="1371">
        <f t="shared" si="21"/>
        <v>17861.01390568259</v>
      </c>
      <c r="O128" s="1372"/>
      <c r="P128" s="1371">
        <f t="shared" si="23"/>
        <v>56.167947152971543</v>
      </c>
      <c r="Q128" s="1371">
        <f t="shared" si="23"/>
        <v>44.520984859919338</v>
      </c>
      <c r="R128" s="1371">
        <f t="shared" si="23"/>
        <v>123.12413435904286</v>
      </c>
      <c r="S128" s="1371">
        <f t="shared" si="23"/>
        <v>0</v>
      </c>
      <c r="T128" s="1371">
        <f t="shared" si="23"/>
        <v>1155.1357038717852</v>
      </c>
      <c r="U128" s="1371">
        <f t="shared" si="18"/>
        <v>19239.962675926312</v>
      </c>
      <c r="V128" s="1373">
        <f t="shared" si="22"/>
        <v>19239.96</v>
      </c>
      <c r="W128" s="960"/>
    </row>
    <row r="129" spans="1:23">
      <c r="A129" s="918">
        <v>300281</v>
      </c>
      <c r="B129" s="919" t="s">
        <v>420</v>
      </c>
      <c r="C129" s="1363">
        <f>IF('TAR_Tab 2_Volumina'!M132,1,0)</f>
        <v>1</v>
      </c>
      <c r="D129" s="1527">
        <v>17726.04489529389</v>
      </c>
      <c r="E129" s="1528">
        <f t="shared" si="13"/>
        <v>16903.556412152255</v>
      </c>
      <c r="F129" s="1528">
        <f t="shared" si="14"/>
        <v>17861.01390568259</v>
      </c>
      <c r="G129" s="1531"/>
      <c r="H129" s="1528">
        <f t="shared" si="15"/>
        <v>16967.963210398459</v>
      </c>
      <c r="I129" s="1528">
        <f t="shared" si="16"/>
        <v>18754.064600966722</v>
      </c>
      <c r="J129" s="1532">
        <f t="shared" si="19"/>
        <v>17861.01390568259</v>
      </c>
      <c r="K129" s="1369" t="b">
        <f t="shared" si="20"/>
        <v>1</v>
      </c>
      <c r="L129" s="1558"/>
      <c r="M129" s="1364"/>
      <c r="N129" s="1371">
        <f t="shared" si="21"/>
        <v>17861.01390568259</v>
      </c>
      <c r="O129" s="1372"/>
      <c r="P129" s="1371">
        <f t="shared" si="23"/>
        <v>56.167947152971543</v>
      </c>
      <c r="Q129" s="1371">
        <f t="shared" si="23"/>
        <v>44.520984859919338</v>
      </c>
      <c r="R129" s="1371">
        <f t="shared" si="23"/>
        <v>123.12413435904286</v>
      </c>
      <c r="S129" s="1371">
        <f t="shared" si="23"/>
        <v>0</v>
      </c>
      <c r="T129" s="1371">
        <f t="shared" si="23"/>
        <v>1155.1357038717852</v>
      </c>
      <c r="U129" s="1371">
        <f t="shared" si="18"/>
        <v>19239.962675926312</v>
      </c>
      <c r="V129" s="1373">
        <f t="shared" si="22"/>
        <v>19239.96</v>
      </c>
      <c r="W129" s="960"/>
    </row>
    <row r="130" spans="1:23">
      <c r="A130" s="918">
        <v>300283</v>
      </c>
      <c r="B130" s="919" t="s">
        <v>305</v>
      </c>
      <c r="C130" s="1363">
        <f>IF('TAR_Tab 2_Volumina'!M133,1,0)</f>
        <v>1</v>
      </c>
      <c r="D130" s="1529">
        <v>53178.134685881683</v>
      </c>
      <c r="E130" s="1528">
        <f t="shared" si="13"/>
        <v>50710.669236456772</v>
      </c>
      <c r="F130" s="1528">
        <f t="shared" si="14"/>
        <v>53583.041717047781</v>
      </c>
      <c r="G130" s="1531"/>
      <c r="H130" s="1528">
        <f t="shared" si="15"/>
        <v>50903.889631195387</v>
      </c>
      <c r="I130" s="1528">
        <f t="shared" si="16"/>
        <v>56262.193802900176</v>
      </c>
      <c r="J130" s="1532">
        <f t="shared" si="19"/>
        <v>53583.041717047781</v>
      </c>
      <c r="K130" s="1369" t="b">
        <f t="shared" si="20"/>
        <v>1</v>
      </c>
      <c r="L130" s="1558"/>
      <c r="M130" s="1364"/>
      <c r="N130" s="1371">
        <f t="shared" si="21"/>
        <v>53583.041717047781</v>
      </c>
      <c r="O130" s="1372"/>
      <c r="P130" s="1371">
        <f t="shared" si="23"/>
        <v>168.50384145891465</v>
      </c>
      <c r="Q130" s="1371">
        <f t="shared" si="23"/>
        <v>133.56295457975804</v>
      </c>
      <c r="R130" s="1371">
        <f t="shared" si="23"/>
        <v>369.37240307712864</v>
      </c>
      <c r="S130" s="1371">
        <f t="shared" si="23"/>
        <v>0</v>
      </c>
      <c r="T130" s="1371">
        <f t="shared" si="23"/>
        <v>3465.4071116153564</v>
      </c>
      <c r="U130" s="1371">
        <f t="shared" si="18"/>
        <v>57719.888027778936</v>
      </c>
      <c r="V130" s="1373">
        <f t="shared" si="22"/>
        <v>57719.89</v>
      </c>
      <c r="W130" s="960"/>
    </row>
    <row r="131" spans="1:23">
      <c r="A131" s="918">
        <v>300285</v>
      </c>
      <c r="B131" s="919" t="s">
        <v>101</v>
      </c>
      <c r="C131" s="1363">
        <f>IF('TAR_Tab 2_Volumina'!M134,1,0)</f>
        <v>1</v>
      </c>
      <c r="D131" s="1527">
        <v>17726.04489529389</v>
      </c>
      <c r="E131" s="1528">
        <f t="shared" si="13"/>
        <v>16903.556412152255</v>
      </c>
      <c r="F131" s="1528">
        <f t="shared" si="14"/>
        <v>17861.01390568259</v>
      </c>
      <c r="G131" s="1531"/>
      <c r="H131" s="1528">
        <f t="shared" si="15"/>
        <v>16967.963210398459</v>
      </c>
      <c r="I131" s="1528">
        <f t="shared" si="16"/>
        <v>18754.064600966722</v>
      </c>
      <c r="J131" s="1532">
        <f t="shared" si="19"/>
        <v>17861.01390568259</v>
      </c>
      <c r="K131" s="1369" t="b">
        <f t="shared" si="20"/>
        <v>1</v>
      </c>
      <c r="L131" s="1558"/>
      <c r="M131" s="1364"/>
      <c r="N131" s="1371">
        <f t="shared" si="21"/>
        <v>17861.01390568259</v>
      </c>
      <c r="O131" s="1372"/>
      <c r="P131" s="1371">
        <f t="shared" si="23"/>
        <v>56.167947152971543</v>
      </c>
      <c r="Q131" s="1371">
        <f t="shared" si="23"/>
        <v>44.520984859919338</v>
      </c>
      <c r="R131" s="1371">
        <f t="shared" si="23"/>
        <v>123.12413435904286</v>
      </c>
      <c r="S131" s="1371">
        <f t="shared" si="23"/>
        <v>0</v>
      </c>
      <c r="T131" s="1371">
        <f t="shared" si="23"/>
        <v>1155.1357038717852</v>
      </c>
      <c r="U131" s="1371">
        <f t="shared" si="18"/>
        <v>19239.962675926312</v>
      </c>
      <c r="V131" s="1373">
        <f t="shared" si="22"/>
        <v>19239.96</v>
      </c>
      <c r="W131" s="960"/>
    </row>
    <row r="132" spans="1:23">
      <c r="A132" s="918">
        <v>300288</v>
      </c>
      <c r="B132" s="919" t="s">
        <v>102</v>
      </c>
      <c r="C132" s="1363">
        <f>IF('TAR_Tab 2_Volumina'!M135,1,0)</f>
        <v>0</v>
      </c>
      <c r="D132" s="1527">
        <v>0</v>
      </c>
      <c r="E132" s="1528">
        <f t="shared" si="13"/>
        <v>0</v>
      </c>
      <c r="F132" s="1528">
        <f t="shared" si="14"/>
        <v>0</v>
      </c>
      <c r="G132" s="1531"/>
      <c r="H132" s="1528">
        <f t="shared" si="15"/>
        <v>0</v>
      </c>
      <c r="I132" s="1528">
        <f t="shared" si="16"/>
        <v>0</v>
      </c>
      <c r="J132" s="1532">
        <f t="shared" si="19"/>
        <v>0</v>
      </c>
      <c r="K132" s="1369" t="str">
        <f t="shared" si="20"/>
        <v/>
      </c>
      <c r="L132" s="1558"/>
      <c r="M132" s="1364"/>
      <c r="N132" s="1371">
        <f t="shared" si="21"/>
        <v>0</v>
      </c>
      <c r="O132" s="1372"/>
      <c r="P132" s="1371">
        <f t="shared" si="23"/>
        <v>0</v>
      </c>
      <c r="Q132" s="1371">
        <f t="shared" si="23"/>
        <v>0</v>
      </c>
      <c r="R132" s="1371">
        <f t="shared" si="23"/>
        <v>0</v>
      </c>
      <c r="S132" s="1371">
        <f t="shared" si="23"/>
        <v>0</v>
      </c>
      <c r="T132" s="1371">
        <f t="shared" si="23"/>
        <v>0</v>
      </c>
      <c r="U132" s="1371">
        <f t="shared" si="18"/>
        <v>0</v>
      </c>
      <c r="V132" s="1373">
        <f t="shared" si="22"/>
        <v>0</v>
      </c>
      <c r="W132" s="960"/>
    </row>
    <row r="133" spans="1:23">
      <c r="A133" s="918">
        <v>300292</v>
      </c>
      <c r="B133" s="919" t="s">
        <v>1062</v>
      </c>
      <c r="C133" s="1363">
        <f>IF('TAR_Tab 2_Volumina'!M136,1,0)</f>
        <v>0</v>
      </c>
      <c r="D133" s="1527">
        <v>0</v>
      </c>
      <c r="E133" s="1528">
        <f t="shared" si="13"/>
        <v>0</v>
      </c>
      <c r="F133" s="1528">
        <f t="shared" si="14"/>
        <v>0</v>
      </c>
      <c r="G133" s="1531"/>
      <c r="H133" s="1528">
        <f t="shared" si="15"/>
        <v>0</v>
      </c>
      <c r="I133" s="1528">
        <f t="shared" si="16"/>
        <v>0</v>
      </c>
      <c r="J133" s="1532">
        <f t="shared" si="19"/>
        <v>0</v>
      </c>
      <c r="K133" s="1369" t="str">
        <f t="shared" si="20"/>
        <v/>
      </c>
      <c r="L133" s="1558"/>
      <c r="M133" s="1364"/>
      <c r="N133" s="1371">
        <f t="shared" si="21"/>
        <v>0</v>
      </c>
      <c r="O133" s="1372"/>
      <c r="P133" s="1371">
        <f t="shared" si="23"/>
        <v>0</v>
      </c>
      <c r="Q133" s="1371">
        <f t="shared" si="23"/>
        <v>0</v>
      </c>
      <c r="R133" s="1371">
        <f t="shared" si="23"/>
        <v>0</v>
      </c>
      <c r="S133" s="1371">
        <f t="shared" si="23"/>
        <v>0</v>
      </c>
      <c r="T133" s="1371">
        <f t="shared" si="23"/>
        <v>0</v>
      </c>
      <c r="U133" s="1371">
        <f t="shared" si="18"/>
        <v>0</v>
      </c>
      <c r="V133" s="1373">
        <f t="shared" si="22"/>
        <v>0</v>
      </c>
      <c r="W133" s="960"/>
    </row>
    <row r="134" spans="1:23">
      <c r="A134" s="918">
        <v>300294</v>
      </c>
      <c r="B134" s="919" t="s">
        <v>791</v>
      </c>
      <c r="C134" s="1363">
        <f>IF('TAR_Tab 2_Volumina'!M137,1,0)</f>
        <v>0</v>
      </c>
      <c r="D134" s="1527">
        <v>0</v>
      </c>
      <c r="E134" s="1528">
        <f t="shared" si="13"/>
        <v>0</v>
      </c>
      <c r="F134" s="1528">
        <f t="shared" si="14"/>
        <v>0</v>
      </c>
      <c r="G134" s="1531"/>
      <c r="H134" s="1528">
        <f t="shared" si="15"/>
        <v>0</v>
      </c>
      <c r="I134" s="1528">
        <f t="shared" si="16"/>
        <v>0</v>
      </c>
      <c r="J134" s="1532">
        <f t="shared" si="19"/>
        <v>0</v>
      </c>
      <c r="K134" s="1369" t="str">
        <f t="shared" si="20"/>
        <v/>
      </c>
      <c r="L134" s="1558"/>
      <c r="M134" s="1364"/>
      <c r="N134" s="1371">
        <f t="shared" si="21"/>
        <v>0</v>
      </c>
      <c r="O134" s="1372"/>
      <c r="P134" s="1371">
        <f t="shared" si="23"/>
        <v>0</v>
      </c>
      <c r="Q134" s="1371">
        <f t="shared" si="23"/>
        <v>0</v>
      </c>
      <c r="R134" s="1371">
        <f t="shared" si="23"/>
        <v>0</v>
      </c>
      <c r="S134" s="1371">
        <f t="shared" si="23"/>
        <v>0</v>
      </c>
      <c r="T134" s="1371">
        <f t="shared" si="23"/>
        <v>0</v>
      </c>
      <c r="U134" s="1371">
        <f t="shared" si="18"/>
        <v>0</v>
      </c>
      <c r="V134" s="1373">
        <f t="shared" si="22"/>
        <v>0</v>
      </c>
      <c r="W134" s="960"/>
    </row>
    <row r="135" spans="1:23">
      <c r="A135" s="918">
        <v>300304</v>
      </c>
      <c r="B135" s="919" t="s">
        <v>1063</v>
      </c>
      <c r="C135" s="1363">
        <f>IF('TAR_Tab 2_Volumina'!M138,1,0)</f>
        <v>0</v>
      </c>
      <c r="D135" s="1527">
        <v>0</v>
      </c>
      <c r="E135" s="1528">
        <f t="shared" si="13"/>
        <v>0</v>
      </c>
      <c r="F135" s="1528">
        <f t="shared" si="14"/>
        <v>0</v>
      </c>
      <c r="G135" s="1531"/>
      <c r="H135" s="1528">
        <f t="shared" si="15"/>
        <v>0</v>
      </c>
      <c r="I135" s="1528">
        <f t="shared" si="16"/>
        <v>0</v>
      </c>
      <c r="J135" s="1532">
        <f t="shared" si="19"/>
        <v>0</v>
      </c>
      <c r="K135" s="1369" t="str">
        <f t="shared" si="20"/>
        <v/>
      </c>
      <c r="L135" s="1558"/>
      <c r="M135" s="1364"/>
      <c r="N135" s="1371">
        <f t="shared" si="21"/>
        <v>0</v>
      </c>
      <c r="O135" s="1372"/>
      <c r="P135" s="1371">
        <f t="shared" si="23"/>
        <v>0</v>
      </c>
      <c r="Q135" s="1371">
        <f t="shared" si="23"/>
        <v>0</v>
      </c>
      <c r="R135" s="1371">
        <f t="shared" si="23"/>
        <v>0</v>
      </c>
      <c r="S135" s="1371">
        <f t="shared" si="23"/>
        <v>0</v>
      </c>
      <c r="T135" s="1371">
        <f t="shared" si="23"/>
        <v>0</v>
      </c>
      <c r="U135" s="1371">
        <f t="shared" si="18"/>
        <v>0</v>
      </c>
      <c r="V135" s="1373">
        <f t="shared" si="22"/>
        <v>0</v>
      </c>
      <c r="W135" s="960"/>
    </row>
    <row r="136" spans="1:23">
      <c r="A136" s="918">
        <v>300306</v>
      </c>
      <c r="B136" s="919" t="s">
        <v>1064</v>
      </c>
      <c r="C136" s="1363">
        <f>IF('TAR_Tab 2_Volumina'!M139,1,0)</f>
        <v>0</v>
      </c>
      <c r="D136" s="1527">
        <v>0</v>
      </c>
      <c r="E136" s="1528">
        <f t="shared" si="13"/>
        <v>0</v>
      </c>
      <c r="F136" s="1528">
        <f t="shared" si="14"/>
        <v>0</v>
      </c>
      <c r="G136" s="1531"/>
      <c r="H136" s="1528">
        <f t="shared" si="15"/>
        <v>0</v>
      </c>
      <c r="I136" s="1528">
        <f t="shared" si="16"/>
        <v>0</v>
      </c>
      <c r="J136" s="1532">
        <f t="shared" si="19"/>
        <v>0</v>
      </c>
      <c r="K136" s="1369" t="str">
        <f t="shared" si="20"/>
        <v/>
      </c>
      <c r="L136" s="1558"/>
      <c r="M136" s="1364"/>
      <c r="N136" s="1371">
        <f t="shared" si="21"/>
        <v>0</v>
      </c>
      <c r="O136" s="1372"/>
      <c r="P136" s="1371">
        <f t="shared" si="23"/>
        <v>0</v>
      </c>
      <c r="Q136" s="1371">
        <f t="shared" si="23"/>
        <v>0</v>
      </c>
      <c r="R136" s="1371">
        <f t="shared" si="23"/>
        <v>0</v>
      </c>
      <c r="S136" s="1371">
        <f t="shared" si="23"/>
        <v>0</v>
      </c>
      <c r="T136" s="1371">
        <f t="shared" si="23"/>
        <v>0</v>
      </c>
      <c r="U136" s="1371">
        <f t="shared" si="18"/>
        <v>0</v>
      </c>
      <c r="V136" s="1373">
        <f t="shared" si="22"/>
        <v>0</v>
      </c>
      <c r="W136" s="960"/>
    </row>
    <row r="137" spans="1:23">
      <c r="A137" s="918">
        <v>300308</v>
      </c>
      <c r="B137" s="919" t="s">
        <v>103</v>
      </c>
      <c r="C137" s="1363">
        <f>IF('TAR_Tab 2_Volumina'!M140,1,0)</f>
        <v>0</v>
      </c>
      <c r="D137" s="1527">
        <v>0</v>
      </c>
      <c r="E137" s="1528">
        <f t="shared" ref="E137:E200" si="24">D137*$E$7*C137</f>
        <v>0</v>
      </c>
      <c r="F137" s="1528">
        <f t="shared" ref="F137:F200" si="25">E137*$F$7</f>
        <v>0</v>
      </c>
      <c r="G137" s="1531"/>
      <c r="H137" s="1528">
        <f t="shared" ref="H137:H200" si="26">F137*$H$7</f>
        <v>0</v>
      </c>
      <c r="I137" s="1528">
        <f t="shared" ref="I137:I200" si="27">F137*$I$7</f>
        <v>0</v>
      </c>
      <c r="J137" s="1532">
        <f t="shared" si="19"/>
        <v>0</v>
      </c>
      <c r="K137" s="1369" t="str">
        <f t="shared" si="20"/>
        <v/>
      </c>
      <c r="L137" s="1558"/>
      <c r="M137" s="1364"/>
      <c r="N137" s="1371">
        <f t="shared" si="21"/>
        <v>0</v>
      </c>
      <c r="O137" s="1372"/>
      <c r="P137" s="1371">
        <f t="shared" si="23"/>
        <v>0</v>
      </c>
      <c r="Q137" s="1371">
        <f t="shared" si="23"/>
        <v>0</v>
      </c>
      <c r="R137" s="1371">
        <f t="shared" si="23"/>
        <v>0</v>
      </c>
      <c r="S137" s="1371">
        <f t="shared" si="23"/>
        <v>0</v>
      </c>
      <c r="T137" s="1371">
        <f t="shared" si="23"/>
        <v>0</v>
      </c>
      <c r="U137" s="1371">
        <f t="shared" ref="U137:U200" si="28">N137+P137+Q137+R137+S137+T137</f>
        <v>0</v>
      </c>
      <c r="V137" s="1373">
        <f t="shared" si="22"/>
        <v>0</v>
      </c>
      <c r="W137" s="960"/>
    </row>
    <row r="138" spans="1:23">
      <c r="A138" s="918">
        <v>300309</v>
      </c>
      <c r="B138" s="919" t="s">
        <v>104</v>
      </c>
      <c r="C138" s="1363">
        <f>IF('TAR_Tab 2_Volumina'!M141,1,0)</f>
        <v>0</v>
      </c>
      <c r="D138" s="1527">
        <v>0</v>
      </c>
      <c r="E138" s="1528">
        <f t="shared" si="24"/>
        <v>0</v>
      </c>
      <c r="F138" s="1528">
        <f t="shared" si="25"/>
        <v>0</v>
      </c>
      <c r="G138" s="1531"/>
      <c r="H138" s="1528">
        <f t="shared" si="26"/>
        <v>0</v>
      </c>
      <c r="I138" s="1528">
        <f t="shared" si="27"/>
        <v>0</v>
      </c>
      <c r="J138" s="1532">
        <f t="shared" ref="J138:J201" si="29">F138</f>
        <v>0</v>
      </c>
      <c r="K138" s="1369" t="str">
        <f t="shared" ref="K138:K201" si="30">IF(J138&gt;0,AND(J138&gt;=H138,J138&lt;=I138),"")</f>
        <v/>
      </c>
      <c r="L138" s="1558"/>
      <c r="M138" s="1364"/>
      <c r="N138" s="1371">
        <f t="shared" si="21"/>
        <v>0</v>
      </c>
      <c r="O138" s="1372"/>
      <c r="P138" s="1371">
        <f t="shared" si="23"/>
        <v>0</v>
      </c>
      <c r="Q138" s="1371">
        <f t="shared" si="23"/>
        <v>0</v>
      </c>
      <c r="R138" s="1371">
        <f t="shared" si="23"/>
        <v>0</v>
      </c>
      <c r="S138" s="1371">
        <f t="shared" si="23"/>
        <v>0</v>
      </c>
      <c r="T138" s="1371">
        <f t="shared" si="23"/>
        <v>0</v>
      </c>
      <c r="U138" s="1371">
        <f t="shared" si="28"/>
        <v>0</v>
      </c>
      <c r="V138" s="1373">
        <f t="shared" si="22"/>
        <v>0</v>
      </c>
      <c r="W138" s="960"/>
    </row>
    <row r="139" spans="1:23">
      <c r="A139" s="918">
        <v>300311</v>
      </c>
      <c r="B139" s="919" t="s">
        <v>105</v>
      </c>
      <c r="C139" s="1363">
        <f>IF('TAR_Tab 2_Volumina'!M142,1,0)</f>
        <v>0</v>
      </c>
      <c r="D139" s="1527">
        <v>0</v>
      </c>
      <c r="E139" s="1528">
        <f t="shared" si="24"/>
        <v>0</v>
      </c>
      <c r="F139" s="1528">
        <f t="shared" si="25"/>
        <v>0</v>
      </c>
      <c r="G139" s="1531"/>
      <c r="H139" s="1528">
        <f t="shared" si="26"/>
        <v>0</v>
      </c>
      <c r="I139" s="1528">
        <f t="shared" si="27"/>
        <v>0</v>
      </c>
      <c r="J139" s="1532">
        <f t="shared" si="29"/>
        <v>0</v>
      </c>
      <c r="K139" s="1369" t="str">
        <f t="shared" si="30"/>
        <v/>
      </c>
      <c r="L139" s="1558"/>
      <c r="M139" s="1364"/>
      <c r="N139" s="1371">
        <f t="shared" si="21"/>
        <v>0</v>
      </c>
      <c r="O139" s="1372"/>
      <c r="P139" s="1371">
        <f t="shared" si="23"/>
        <v>0</v>
      </c>
      <c r="Q139" s="1371">
        <f t="shared" si="23"/>
        <v>0</v>
      </c>
      <c r="R139" s="1371">
        <f t="shared" si="23"/>
        <v>0</v>
      </c>
      <c r="S139" s="1371">
        <f t="shared" si="23"/>
        <v>0</v>
      </c>
      <c r="T139" s="1371">
        <f t="shared" si="23"/>
        <v>0</v>
      </c>
      <c r="U139" s="1371">
        <f t="shared" si="28"/>
        <v>0</v>
      </c>
      <c r="V139" s="1373">
        <f t="shared" si="22"/>
        <v>0</v>
      </c>
      <c r="W139" s="960"/>
    </row>
    <row r="140" spans="1:23">
      <c r="A140" s="918">
        <v>300314</v>
      </c>
      <c r="B140" s="919" t="s">
        <v>106</v>
      </c>
      <c r="C140" s="1363">
        <f>IF('TAR_Tab 2_Volumina'!M143,1,0)</f>
        <v>0</v>
      </c>
      <c r="D140" s="1527">
        <v>0</v>
      </c>
      <c r="E140" s="1528">
        <f t="shared" si="24"/>
        <v>0</v>
      </c>
      <c r="F140" s="1528">
        <f t="shared" si="25"/>
        <v>0</v>
      </c>
      <c r="G140" s="1531"/>
      <c r="H140" s="1528">
        <f t="shared" si="26"/>
        <v>0</v>
      </c>
      <c r="I140" s="1528">
        <f t="shared" si="27"/>
        <v>0</v>
      </c>
      <c r="J140" s="1532">
        <f t="shared" si="29"/>
        <v>0</v>
      </c>
      <c r="K140" s="1369" t="str">
        <f t="shared" si="30"/>
        <v/>
      </c>
      <c r="L140" s="1558"/>
      <c r="M140" s="1364"/>
      <c r="N140" s="1371">
        <f t="shared" si="21"/>
        <v>0</v>
      </c>
      <c r="O140" s="1372"/>
      <c r="P140" s="1371">
        <f t="shared" si="23"/>
        <v>0</v>
      </c>
      <c r="Q140" s="1371">
        <f t="shared" si="23"/>
        <v>0</v>
      </c>
      <c r="R140" s="1371">
        <f t="shared" si="23"/>
        <v>0</v>
      </c>
      <c r="S140" s="1371">
        <f t="shared" si="23"/>
        <v>0</v>
      </c>
      <c r="T140" s="1371">
        <f t="shared" si="23"/>
        <v>0</v>
      </c>
      <c r="U140" s="1371">
        <f t="shared" si="28"/>
        <v>0</v>
      </c>
      <c r="V140" s="1373">
        <f t="shared" si="22"/>
        <v>0</v>
      </c>
      <c r="W140" s="960"/>
    </row>
    <row r="141" spans="1:23">
      <c r="A141" s="918">
        <v>300319</v>
      </c>
      <c r="B141" s="919" t="s">
        <v>306</v>
      </c>
      <c r="C141" s="1363">
        <f>IF('TAR_Tab 2_Volumina'!M144,1,0)</f>
        <v>1</v>
      </c>
      <c r="D141" s="1529">
        <v>124082.31426705727</v>
      </c>
      <c r="E141" s="1528">
        <f t="shared" si="24"/>
        <v>118324.89488506582</v>
      </c>
      <c r="F141" s="1528">
        <f t="shared" si="25"/>
        <v>125027.09733977816</v>
      </c>
      <c r="G141" s="1531"/>
      <c r="H141" s="1528">
        <f t="shared" si="26"/>
        <v>118775.74247278925</v>
      </c>
      <c r="I141" s="1528">
        <f t="shared" si="27"/>
        <v>131278.45220676708</v>
      </c>
      <c r="J141" s="1532">
        <f t="shared" si="29"/>
        <v>125027.09733977816</v>
      </c>
      <c r="K141" s="1369" t="b">
        <f t="shared" si="30"/>
        <v>1</v>
      </c>
      <c r="L141" s="1558"/>
      <c r="M141" s="1364"/>
      <c r="N141" s="1371">
        <f t="shared" si="21"/>
        <v>125027.09733977816</v>
      </c>
      <c r="O141" s="1372"/>
      <c r="P141" s="1371">
        <f t="shared" si="23"/>
        <v>393.17563007080088</v>
      </c>
      <c r="Q141" s="1371">
        <f t="shared" si="23"/>
        <v>311.64689401943542</v>
      </c>
      <c r="R141" s="1371">
        <f t="shared" si="23"/>
        <v>861.86894051330023</v>
      </c>
      <c r="S141" s="1371">
        <f t="shared" si="23"/>
        <v>0</v>
      </c>
      <c r="T141" s="1371">
        <f t="shared" si="23"/>
        <v>8085.9499271024988</v>
      </c>
      <c r="U141" s="1371">
        <f t="shared" si="28"/>
        <v>134679.73873148422</v>
      </c>
      <c r="V141" s="1373">
        <f t="shared" si="22"/>
        <v>134679.74</v>
      </c>
      <c r="W141" s="960"/>
    </row>
    <row r="142" spans="1:23">
      <c r="A142" s="918">
        <v>300321</v>
      </c>
      <c r="B142" s="919" t="s">
        <v>107</v>
      </c>
      <c r="C142" s="1363">
        <f>IF('TAR_Tab 2_Volumina'!M145,1,0)</f>
        <v>1</v>
      </c>
      <c r="D142" s="1527">
        <v>17726.04489529389</v>
      </c>
      <c r="E142" s="1528">
        <f t="shared" si="24"/>
        <v>16903.556412152255</v>
      </c>
      <c r="F142" s="1528">
        <f t="shared" si="25"/>
        <v>17861.01390568259</v>
      </c>
      <c r="G142" s="1531"/>
      <c r="H142" s="1528">
        <f t="shared" si="26"/>
        <v>16967.963210398459</v>
      </c>
      <c r="I142" s="1528">
        <f t="shared" si="27"/>
        <v>18754.064600966722</v>
      </c>
      <c r="J142" s="1532">
        <f t="shared" si="29"/>
        <v>17861.01390568259</v>
      </c>
      <c r="K142" s="1369" t="b">
        <f t="shared" si="30"/>
        <v>1</v>
      </c>
      <c r="L142" s="1558"/>
      <c r="M142" s="1364"/>
      <c r="N142" s="1371">
        <f t="shared" si="21"/>
        <v>17861.01390568259</v>
      </c>
      <c r="O142" s="1372"/>
      <c r="P142" s="1371">
        <f t="shared" si="23"/>
        <v>56.167947152971543</v>
      </c>
      <c r="Q142" s="1371">
        <f t="shared" si="23"/>
        <v>44.520984859919338</v>
      </c>
      <c r="R142" s="1371">
        <f t="shared" si="23"/>
        <v>123.12413435904286</v>
      </c>
      <c r="S142" s="1371">
        <f t="shared" si="23"/>
        <v>0</v>
      </c>
      <c r="T142" s="1371">
        <f t="shared" si="23"/>
        <v>1155.1357038717852</v>
      </c>
      <c r="U142" s="1371">
        <f t="shared" si="28"/>
        <v>19239.962675926312</v>
      </c>
      <c r="V142" s="1373">
        <f t="shared" si="22"/>
        <v>19239.96</v>
      </c>
      <c r="W142" s="960"/>
    </row>
    <row r="143" spans="1:23">
      <c r="A143" s="918">
        <v>300322</v>
      </c>
      <c r="B143" s="919" t="s">
        <v>307</v>
      </c>
      <c r="C143" s="1363">
        <f>IF('TAR_Tab 2_Volumina'!M146,1,0)</f>
        <v>1</v>
      </c>
      <c r="D143" s="1529">
        <v>53178.134685881683</v>
      </c>
      <c r="E143" s="1528">
        <f t="shared" si="24"/>
        <v>50710.669236456772</v>
      </c>
      <c r="F143" s="1528">
        <f t="shared" si="25"/>
        <v>53583.041717047781</v>
      </c>
      <c r="G143" s="1531"/>
      <c r="H143" s="1528">
        <f t="shared" si="26"/>
        <v>50903.889631195387</v>
      </c>
      <c r="I143" s="1528">
        <f t="shared" si="27"/>
        <v>56262.193802900176</v>
      </c>
      <c r="J143" s="1532">
        <f t="shared" si="29"/>
        <v>53583.041717047781</v>
      </c>
      <c r="K143" s="1369" t="b">
        <f t="shared" si="30"/>
        <v>1</v>
      </c>
      <c r="L143" s="1558"/>
      <c r="M143" s="1364"/>
      <c r="N143" s="1371">
        <f t="shared" si="21"/>
        <v>53583.041717047781</v>
      </c>
      <c r="O143" s="1372"/>
      <c r="P143" s="1371">
        <f t="shared" si="23"/>
        <v>168.50384145891465</v>
      </c>
      <c r="Q143" s="1371">
        <f t="shared" si="23"/>
        <v>133.56295457975804</v>
      </c>
      <c r="R143" s="1371">
        <f t="shared" si="23"/>
        <v>369.37240307712864</v>
      </c>
      <c r="S143" s="1371">
        <f t="shared" si="23"/>
        <v>0</v>
      </c>
      <c r="T143" s="1371">
        <f t="shared" si="23"/>
        <v>3465.4071116153564</v>
      </c>
      <c r="U143" s="1371">
        <f t="shared" si="28"/>
        <v>57719.888027778936</v>
      </c>
      <c r="V143" s="1373">
        <f t="shared" si="22"/>
        <v>57719.89</v>
      </c>
      <c r="W143" s="960"/>
    </row>
    <row r="144" spans="1:23">
      <c r="A144" s="918">
        <v>300325</v>
      </c>
      <c r="B144" s="919" t="s">
        <v>308</v>
      </c>
      <c r="C144" s="1363">
        <f>IF('TAR_Tab 2_Volumina'!M147,1,0)</f>
        <v>1</v>
      </c>
      <c r="D144" s="1529">
        <v>35452.089790587779</v>
      </c>
      <c r="E144" s="1528">
        <f t="shared" si="24"/>
        <v>33807.11282430451</v>
      </c>
      <c r="F144" s="1528">
        <f t="shared" si="25"/>
        <v>35722.02781136518</v>
      </c>
      <c r="G144" s="1531"/>
      <c r="H144" s="1528">
        <f t="shared" si="26"/>
        <v>33935.926420796917</v>
      </c>
      <c r="I144" s="1528">
        <f t="shared" si="27"/>
        <v>37508.129201933443</v>
      </c>
      <c r="J144" s="1532">
        <f t="shared" si="29"/>
        <v>35722.02781136518</v>
      </c>
      <c r="K144" s="1369" t="b">
        <f t="shared" si="30"/>
        <v>1</v>
      </c>
      <c r="L144" s="1558"/>
      <c r="M144" s="1364"/>
      <c r="N144" s="1371">
        <f t="shared" si="21"/>
        <v>35722.02781136518</v>
      </c>
      <c r="O144" s="1372"/>
      <c r="P144" s="1371">
        <f t="shared" si="23"/>
        <v>112.33589430594309</v>
      </c>
      <c r="Q144" s="1371">
        <f t="shared" si="23"/>
        <v>89.041969719838676</v>
      </c>
      <c r="R144" s="1371">
        <f t="shared" si="23"/>
        <v>246.24826871808571</v>
      </c>
      <c r="S144" s="1371">
        <f t="shared" si="23"/>
        <v>0</v>
      </c>
      <c r="T144" s="1371">
        <f t="shared" si="23"/>
        <v>2310.2714077435703</v>
      </c>
      <c r="U144" s="1371">
        <f t="shared" si="28"/>
        <v>38479.925351852624</v>
      </c>
      <c r="V144" s="1373">
        <f t="shared" si="22"/>
        <v>38479.93</v>
      </c>
      <c r="W144" s="960"/>
    </row>
    <row r="145" spans="1:23">
      <c r="A145" s="918">
        <v>300328</v>
      </c>
      <c r="B145" s="919" t="s">
        <v>108</v>
      </c>
      <c r="C145" s="1363">
        <f>IF('TAR_Tab 2_Volumina'!M148,1,0)</f>
        <v>0</v>
      </c>
      <c r="D145" s="1527">
        <v>0</v>
      </c>
      <c r="E145" s="1528">
        <f t="shared" si="24"/>
        <v>0</v>
      </c>
      <c r="F145" s="1528">
        <f t="shared" si="25"/>
        <v>0</v>
      </c>
      <c r="G145" s="1531"/>
      <c r="H145" s="1528">
        <f t="shared" si="26"/>
        <v>0</v>
      </c>
      <c r="I145" s="1528">
        <f t="shared" si="27"/>
        <v>0</v>
      </c>
      <c r="J145" s="1532">
        <f t="shared" si="29"/>
        <v>0</v>
      </c>
      <c r="K145" s="1369" t="str">
        <f t="shared" si="30"/>
        <v/>
      </c>
      <c r="L145" s="1558"/>
      <c r="M145" s="1364"/>
      <c r="N145" s="1371">
        <f t="shared" si="21"/>
        <v>0</v>
      </c>
      <c r="O145" s="1372"/>
      <c r="P145" s="1371">
        <f t="shared" si="23"/>
        <v>0</v>
      </c>
      <c r="Q145" s="1371">
        <f t="shared" si="23"/>
        <v>0</v>
      </c>
      <c r="R145" s="1371">
        <f t="shared" si="23"/>
        <v>0</v>
      </c>
      <c r="S145" s="1371">
        <f t="shared" si="23"/>
        <v>0</v>
      </c>
      <c r="T145" s="1371">
        <f t="shared" si="23"/>
        <v>0</v>
      </c>
      <c r="U145" s="1371">
        <f t="shared" si="28"/>
        <v>0</v>
      </c>
      <c r="V145" s="1373">
        <f t="shared" si="22"/>
        <v>0</v>
      </c>
      <c r="W145" s="960"/>
    </row>
    <row r="146" spans="1:23">
      <c r="A146" s="918">
        <v>300330</v>
      </c>
      <c r="B146" s="919" t="s">
        <v>109</v>
      </c>
      <c r="C146" s="1363">
        <f>IF('TAR_Tab 2_Volumina'!M149,1,0)</f>
        <v>1</v>
      </c>
      <c r="D146" s="1527">
        <v>17726.04489529389</v>
      </c>
      <c r="E146" s="1528">
        <f t="shared" si="24"/>
        <v>16903.556412152255</v>
      </c>
      <c r="F146" s="1528">
        <f t="shared" si="25"/>
        <v>17861.01390568259</v>
      </c>
      <c r="G146" s="1531"/>
      <c r="H146" s="1528">
        <f t="shared" si="26"/>
        <v>16967.963210398459</v>
      </c>
      <c r="I146" s="1528">
        <f t="shared" si="27"/>
        <v>18754.064600966722</v>
      </c>
      <c r="J146" s="1532">
        <f t="shared" si="29"/>
        <v>17861.01390568259</v>
      </c>
      <c r="K146" s="1369" t="b">
        <f t="shared" si="30"/>
        <v>1</v>
      </c>
      <c r="L146" s="1558"/>
      <c r="M146" s="1364"/>
      <c r="N146" s="1371">
        <f t="shared" si="21"/>
        <v>17861.01390568259</v>
      </c>
      <c r="O146" s="1372"/>
      <c r="P146" s="1371">
        <f t="shared" si="23"/>
        <v>56.167947152971543</v>
      </c>
      <c r="Q146" s="1371">
        <f t="shared" si="23"/>
        <v>44.520984859919338</v>
      </c>
      <c r="R146" s="1371">
        <f t="shared" si="23"/>
        <v>123.12413435904286</v>
      </c>
      <c r="S146" s="1371">
        <f t="shared" si="23"/>
        <v>0</v>
      </c>
      <c r="T146" s="1371">
        <f t="shared" si="23"/>
        <v>1155.1357038717852</v>
      </c>
      <c r="U146" s="1371">
        <f t="shared" si="28"/>
        <v>19239.962675926312</v>
      </c>
      <c r="V146" s="1373">
        <f t="shared" si="22"/>
        <v>19239.96</v>
      </c>
      <c r="W146" s="960"/>
    </row>
    <row r="147" spans="1:23">
      <c r="A147" s="918">
        <v>300333</v>
      </c>
      <c r="B147" s="919" t="s">
        <v>1065</v>
      </c>
      <c r="C147" s="1363">
        <f>IF('TAR_Tab 2_Volumina'!M150,1,0)</f>
        <v>0</v>
      </c>
      <c r="D147" s="1527">
        <v>0</v>
      </c>
      <c r="E147" s="1528">
        <f t="shared" si="24"/>
        <v>0</v>
      </c>
      <c r="F147" s="1528">
        <f t="shared" si="25"/>
        <v>0</v>
      </c>
      <c r="G147" s="1531"/>
      <c r="H147" s="1528">
        <f t="shared" si="26"/>
        <v>0</v>
      </c>
      <c r="I147" s="1528">
        <f t="shared" si="27"/>
        <v>0</v>
      </c>
      <c r="J147" s="1532">
        <f t="shared" si="29"/>
        <v>0</v>
      </c>
      <c r="K147" s="1369" t="str">
        <f t="shared" si="30"/>
        <v/>
      </c>
      <c r="L147" s="1558"/>
      <c r="M147" s="1364"/>
      <c r="N147" s="1371">
        <f t="shared" si="21"/>
        <v>0</v>
      </c>
      <c r="O147" s="1372"/>
      <c r="P147" s="1371">
        <f t="shared" si="23"/>
        <v>0</v>
      </c>
      <c r="Q147" s="1371">
        <f t="shared" si="23"/>
        <v>0</v>
      </c>
      <c r="R147" s="1371">
        <f t="shared" si="23"/>
        <v>0</v>
      </c>
      <c r="S147" s="1371">
        <f t="shared" si="23"/>
        <v>0</v>
      </c>
      <c r="T147" s="1371">
        <f t="shared" si="23"/>
        <v>0</v>
      </c>
      <c r="U147" s="1371">
        <f t="shared" si="28"/>
        <v>0</v>
      </c>
      <c r="V147" s="1373">
        <f t="shared" si="22"/>
        <v>0</v>
      </c>
      <c r="W147" s="960"/>
    </row>
    <row r="148" spans="1:23">
      <c r="A148" s="918">
        <v>300337</v>
      </c>
      <c r="B148" s="919" t="s">
        <v>1066</v>
      </c>
      <c r="C148" s="1363">
        <f>IF('TAR_Tab 2_Volumina'!M151,1,0)</f>
        <v>0</v>
      </c>
      <c r="D148" s="1527">
        <v>0</v>
      </c>
      <c r="E148" s="1528">
        <f t="shared" si="24"/>
        <v>0</v>
      </c>
      <c r="F148" s="1528">
        <f t="shared" si="25"/>
        <v>0</v>
      </c>
      <c r="G148" s="1531"/>
      <c r="H148" s="1528">
        <f t="shared" si="26"/>
        <v>0</v>
      </c>
      <c r="I148" s="1528">
        <f t="shared" si="27"/>
        <v>0</v>
      </c>
      <c r="J148" s="1532">
        <f t="shared" si="29"/>
        <v>0</v>
      </c>
      <c r="K148" s="1369" t="str">
        <f t="shared" si="30"/>
        <v/>
      </c>
      <c r="L148" s="1558"/>
      <c r="M148" s="1364"/>
      <c r="N148" s="1371">
        <f t="shared" si="21"/>
        <v>0</v>
      </c>
      <c r="O148" s="1372"/>
      <c r="P148" s="1371">
        <f t="shared" si="23"/>
        <v>0</v>
      </c>
      <c r="Q148" s="1371">
        <f t="shared" si="23"/>
        <v>0</v>
      </c>
      <c r="R148" s="1371">
        <f t="shared" si="23"/>
        <v>0</v>
      </c>
      <c r="S148" s="1371">
        <f t="shared" si="23"/>
        <v>0</v>
      </c>
      <c r="T148" s="1371">
        <f t="shared" si="23"/>
        <v>0</v>
      </c>
      <c r="U148" s="1371">
        <f t="shared" si="28"/>
        <v>0</v>
      </c>
      <c r="V148" s="1373">
        <f t="shared" si="22"/>
        <v>0</v>
      </c>
      <c r="W148" s="960"/>
    </row>
    <row r="149" spans="1:23">
      <c r="A149" s="918">
        <v>300338</v>
      </c>
      <c r="B149" s="919" t="s">
        <v>110</v>
      </c>
      <c r="C149" s="1363">
        <f>IF('TAR_Tab 2_Volumina'!M152,1,0)</f>
        <v>1</v>
      </c>
      <c r="D149" s="1527">
        <v>17726.04489529389</v>
      </c>
      <c r="E149" s="1528">
        <f t="shared" si="24"/>
        <v>16903.556412152255</v>
      </c>
      <c r="F149" s="1528">
        <f t="shared" si="25"/>
        <v>17861.01390568259</v>
      </c>
      <c r="G149" s="1531"/>
      <c r="H149" s="1528">
        <f t="shared" si="26"/>
        <v>16967.963210398459</v>
      </c>
      <c r="I149" s="1528">
        <f t="shared" si="27"/>
        <v>18754.064600966722</v>
      </c>
      <c r="J149" s="1532">
        <f t="shared" si="29"/>
        <v>17861.01390568259</v>
      </c>
      <c r="K149" s="1369" t="b">
        <f t="shared" si="30"/>
        <v>1</v>
      </c>
      <c r="L149" s="1558"/>
      <c r="M149" s="1364"/>
      <c r="N149" s="1371">
        <f t="shared" si="21"/>
        <v>17861.01390568259</v>
      </c>
      <c r="O149" s="1372"/>
      <c r="P149" s="1371">
        <f t="shared" si="23"/>
        <v>56.167947152971543</v>
      </c>
      <c r="Q149" s="1371">
        <f t="shared" si="23"/>
        <v>44.520984859919338</v>
      </c>
      <c r="R149" s="1371">
        <f t="shared" si="23"/>
        <v>123.12413435904286</v>
      </c>
      <c r="S149" s="1371">
        <f t="shared" si="23"/>
        <v>0</v>
      </c>
      <c r="T149" s="1371">
        <f t="shared" si="23"/>
        <v>1155.1357038717852</v>
      </c>
      <c r="U149" s="1371">
        <f t="shared" si="28"/>
        <v>19239.962675926312</v>
      </c>
      <c r="V149" s="1373">
        <f t="shared" si="22"/>
        <v>19239.96</v>
      </c>
      <c r="W149" s="960"/>
    </row>
    <row r="150" spans="1:23">
      <c r="A150" s="918">
        <v>300345</v>
      </c>
      <c r="B150" s="919" t="s">
        <v>1067</v>
      </c>
      <c r="C150" s="1363">
        <f>IF('TAR_Tab 2_Volumina'!M153,1,0)</f>
        <v>0</v>
      </c>
      <c r="D150" s="1527">
        <v>0</v>
      </c>
      <c r="E150" s="1528">
        <f t="shared" si="24"/>
        <v>0</v>
      </c>
      <c r="F150" s="1528">
        <f t="shared" si="25"/>
        <v>0</v>
      </c>
      <c r="G150" s="1531"/>
      <c r="H150" s="1528">
        <f t="shared" si="26"/>
        <v>0</v>
      </c>
      <c r="I150" s="1528">
        <f t="shared" si="27"/>
        <v>0</v>
      </c>
      <c r="J150" s="1532">
        <f t="shared" si="29"/>
        <v>0</v>
      </c>
      <c r="K150" s="1369" t="str">
        <f t="shared" si="30"/>
        <v/>
      </c>
      <c r="L150" s="1558"/>
      <c r="M150" s="1364"/>
      <c r="N150" s="1371">
        <f t="shared" si="21"/>
        <v>0</v>
      </c>
      <c r="O150" s="1372"/>
      <c r="P150" s="1371">
        <f t="shared" si="23"/>
        <v>0</v>
      </c>
      <c r="Q150" s="1371">
        <f t="shared" si="23"/>
        <v>0</v>
      </c>
      <c r="R150" s="1371">
        <f t="shared" si="23"/>
        <v>0</v>
      </c>
      <c r="S150" s="1371">
        <f t="shared" si="23"/>
        <v>0</v>
      </c>
      <c r="T150" s="1371">
        <f t="shared" si="23"/>
        <v>0</v>
      </c>
      <c r="U150" s="1371">
        <f t="shared" si="28"/>
        <v>0</v>
      </c>
      <c r="V150" s="1373">
        <f t="shared" si="22"/>
        <v>0</v>
      </c>
      <c r="W150" s="960"/>
    </row>
    <row r="151" spans="1:23">
      <c r="A151" s="918">
        <v>300348</v>
      </c>
      <c r="B151" s="919" t="s">
        <v>1068</v>
      </c>
      <c r="C151" s="1363">
        <f>IF('TAR_Tab 2_Volumina'!M154,1,0)</f>
        <v>0</v>
      </c>
      <c r="D151" s="1527">
        <v>0</v>
      </c>
      <c r="E151" s="1528">
        <f t="shared" si="24"/>
        <v>0</v>
      </c>
      <c r="F151" s="1528">
        <f t="shared" si="25"/>
        <v>0</v>
      </c>
      <c r="G151" s="1531"/>
      <c r="H151" s="1528">
        <f t="shared" si="26"/>
        <v>0</v>
      </c>
      <c r="I151" s="1528">
        <f t="shared" si="27"/>
        <v>0</v>
      </c>
      <c r="J151" s="1532">
        <f t="shared" si="29"/>
        <v>0</v>
      </c>
      <c r="K151" s="1369" t="str">
        <f t="shared" si="30"/>
        <v/>
      </c>
      <c r="L151" s="1558"/>
      <c r="M151" s="1364"/>
      <c r="N151" s="1371">
        <f t="shared" si="21"/>
        <v>0</v>
      </c>
      <c r="O151" s="1372"/>
      <c r="P151" s="1371">
        <f t="shared" si="23"/>
        <v>0</v>
      </c>
      <c r="Q151" s="1371">
        <f t="shared" si="23"/>
        <v>0</v>
      </c>
      <c r="R151" s="1371">
        <f t="shared" si="23"/>
        <v>0</v>
      </c>
      <c r="S151" s="1371">
        <f t="shared" si="23"/>
        <v>0</v>
      </c>
      <c r="T151" s="1371">
        <f t="shared" si="23"/>
        <v>0</v>
      </c>
      <c r="U151" s="1371">
        <f t="shared" si="28"/>
        <v>0</v>
      </c>
      <c r="V151" s="1373">
        <f t="shared" si="22"/>
        <v>0</v>
      </c>
      <c r="W151" s="960"/>
    </row>
    <row r="152" spans="1:23">
      <c r="A152" s="918">
        <v>300350</v>
      </c>
      <c r="B152" s="919" t="s">
        <v>1069</v>
      </c>
      <c r="C152" s="1363">
        <f>IF('TAR_Tab 2_Volumina'!M155,1,0)</f>
        <v>1</v>
      </c>
      <c r="D152" s="1527">
        <v>17726.04489529389</v>
      </c>
      <c r="E152" s="1528">
        <f t="shared" si="24"/>
        <v>16903.556412152255</v>
      </c>
      <c r="F152" s="1528">
        <f t="shared" si="25"/>
        <v>17861.01390568259</v>
      </c>
      <c r="G152" s="1531"/>
      <c r="H152" s="1528">
        <f t="shared" si="26"/>
        <v>16967.963210398459</v>
      </c>
      <c r="I152" s="1528">
        <f t="shared" si="27"/>
        <v>18754.064600966722</v>
      </c>
      <c r="J152" s="1532">
        <f t="shared" si="29"/>
        <v>17861.01390568259</v>
      </c>
      <c r="K152" s="1369" t="b">
        <f t="shared" si="30"/>
        <v>1</v>
      </c>
      <c r="L152" s="1558"/>
      <c r="M152" s="1364"/>
      <c r="N152" s="1371">
        <f t="shared" si="21"/>
        <v>17861.01390568259</v>
      </c>
      <c r="O152" s="1372"/>
      <c r="P152" s="1371">
        <f t="shared" si="23"/>
        <v>56.167947152971543</v>
      </c>
      <c r="Q152" s="1371">
        <f t="shared" si="23"/>
        <v>44.520984859919338</v>
      </c>
      <c r="R152" s="1371">
        <f t="shared" si="23"/>
        <v>123.12413435904286</v>
      </c>
      <c r="S152" s="1371">
        <f t="shared" si="23"/>
        <v>0</v>
      </c>
      <c r="T152" s="1371">
        <f t="shared" si="23"/>
        <v>1155.1357038717852</v>
      </c>
      <c r="U152" s="1371">
        <f t="shared" si="28"/>
        <v>19239.962675926312</v>
      </c>
      <c r="V152" s="1373">
        <f t="shared" si="22"/>
        <v>19239.96</v>
      </c>
      <c r="W152" s="960"/>
    </row>
    <row r="153" spans="1:23">
      <c r="A153" s="918">
        <v>300353</v>
      </c>
      <c r="B153" s="919" t="s">
        <v>1070</v>
      </c>
      <c r="C153" s="1363">
        <f>IF('TAR_Tab 2_Volumina'!M156,1,0)</f>
        <v>1</v>
      </c>
      <c r="D153" s="1527">
        <v>17726.04489529389</v>
      </c>
      <c r="E153" s="1528">
        <f t="shared" si="24"/>
        <v>16903.556412152255</v>
      </c>
      <c r="F153" s="1528">
        <f t="shared" si="25"/>
        <v>17861.01390568259</v>
      </c>
      <c r="G153" s="1531"/>
      <c r="H153" s="1528">
        <f t="shared" si="26"/>
        <v>16967.963210398459</v>
      </c>
      <c r="I153" s="1528">
        <f t="shared" si="27"/>
        <v>18754.064600966722</v>
      </c>
      <c r="J153" s="1532">
        <f t="shared" si="29"/>
        <v>17861.01390568259</v>
      </c>
      <c r="K153" s="1369" t="b">
        <f t="shared" si="30"/>
        <v>1</v>
      </c>
      <c r="L153" s="1558"/>
      <c r="M153" s="1364"/>
      <c r="N153" s="1371">
        <f t="shared" si="21"/>
        <v>17861.01390568259</v>
      </c>
      <c r="O153" s="1372"/>
      <c r="P153" s="1371">
        <f t="shared" si="23"/>
        <v>56.167947152971543</v>
      </c>
      <c r="Q153" s="1371">
        <f t="shared" si="23"/>
        <v>44.520984859919338</v>
      </c>
      <c r="R153" s="1371">
        <f t="shared" si="23"/>
        <v>123.12413435904286</v>
      </c>
      <c r="S153" s="1371">
        <f t="shared" si="23"/>
        <v>0</v>
      </c>
      <c r="T153" s="1371">
        <f t="shared" si="23"/>
        <v>1155.1357038717852</v>
      </c>
      <c r="U153" s="1371">
        <f t="shared" si="28"/>
        <v>19239.962675926312</v>
      </c>
      <c r="V153" s="1373">
        <f t="shared" si="22"/>
        <v>19239.96</v>
      </c>
      <c r="W153" s="960"/>
    </row>
    <row r="154" spans="1:23">
      <c r="A154" s="918">
        <v>300355</v>
      </c>
      <c r="B154" s="919" t="s">
        <v>1071</v>
      </c>
      <c r="C154" s="1363">
        <f>IF('TAR_Tab 2_Volumina'!M157,1,0)</f>
        <v>1</v>
      </c>
      <c r="D154" s="1527">
        <v>17726.04489529389</v>
      </c>
      <c r="E154" s="1528">
        <f t="shared" si="24"/>
        <v>16903.556412152255</v>
      </c>
      <c r="F154" s="1528">
        <f t="shared" si="25"/>
        <v>17861.01390568259</v>
      </c>
      <c r="G154" s="1531"/>
      <c r="H154" s="1528">
        <f t="shared" si="26"/>
        <v>16967.963210398459</v>
      </c>
      <c r="I154" s="1528">
        <f t="shared" si="27"/>
        <v>18754.064600966722</v>
      </c>
      <c r="J154" s="1532">
        <f t="shared" si="29"/>
        <v>17861.01390568259</v>
      </c>
      <c r="K154" s="1369" t="b">
        <f t="shared" si="30"/>
        <v>1</v>
      </c>
      <c r="L154" s="1558"/>
      <c r="M154" s="1364"/>
      <c r="N154" s="1371">
        <f t="shared" si="21"/>
        <v>17861.01390568259</v>
      </c>
      <c r="O154" s="1372"/>
      <c r="P154" s="1371">
        <f t="shared" si="23"/>
        <v>56.167947152971543</v>
      </c>
      <c r="Q154" s="1371">
        <f t="shared" si="23"/>
        <v>44.520984859919338</v>
      </c>
      <c r="R154" s="1371">
        <f t="shared" si="23"/>
        <v>123.12413435904286</v>
      </c>
      <c r="S154" s="1371">
        <f t="shared" si="23"/>
        <v>0</v>
      </c>
      <c r="T154" s="1371">
        <f t="shared" si="23"/>
        <v>1155.1357038717852</v>
      </c>
      <c r="U154" s="1371">
        <f t="shared" si="28"/>
        <v>19239.962675926312</v>
      </c>
      <c r="V154" s="1373">
        <f t="shared" si="22"/>
        <v>19239.96</v>
      </c>
      <c r="W154" s="960"/>
    </row>
    <row r="155" spans="1:23">
      <c r="A155" s="918">
        <v>300360</v>
      </c>
      <c r="B155" s="919" t="s">
        <v>1072</v>
      </c>
      <c r="C155" s="1363">
        <f>IF('TAR_Tab 2_Volumina'!M158,1,0)</f>
        <v>1</v>
      </c>
      <c r="D155" s="1529">
        <v>35452.089790587779</v>
      </c>
      <c r="E155" s="1528">
        <f t="shared" si="24"/>
        <v>33807.11282430451</v>
      </c>
      <c r="F155" s="1528">
        <f t="shared" si="25"/>
        <v>35722.02781136518</v>
      </c>
      <c r="G155" s="1531"/>
      <c r="H155" s="1528">
        <f t="shared" si="26"/>
        <v>33935.926420796917</v>
      </c>
      <c r="I155" s="1528">
        <f t="shared" si="27"/>
        <v>37508.129201933443</v>
      </c>
      <c r="J155" s="1532">
        <f t="shared" si="29"/>
        <v>35722.02781136518</v>
      </c>
      <c r="K155" s="1369" t="b">
        <f t="shared" si="30"/>
        <v>1</v>
      </c>
      <c r="L155" s="1558"/>
      <c r="M155" s="1364"/>
      <c r="N155" s="1371">
        <f t="shared" si="21"/>
        <v>35722.02781136518</v>
      </c>
      <c r="O155" s="1372"/>
      <c r="P155" s="1371">
        <f t="shared" si="23"/>
        <v>112.33589430594309</v>
      </c>
      <c r="Q155" s="1371">
        <f t="shared" si="23"/>
        <v>89.041969719838676</v>
      </c>
      <c r="R155" s="1371">
        <f t="shared" si="23"/>
        <v>246.24826871808571</v>
      </c>
      <c r="S155" s="1371">
        <f t="shared" si="23"/>
        <v>0</v>
      </c>
      <c r="T155" s="1371">
        <f t="shared" si="23"/>
        <v>2310.2714077435703</v>
      </c>
      <c r="U155" s="1371">
        <f t="shared" si="28"/>
        <v>38479.925351852624</v>
      </c>
      <c r="V155" s="1373">
        <f t="shared" si="22"/>
        <v>38479.93</v>
      </c>
      <c r="W155" s="960"/>
    </row>
    <row r="156" spans="1:23">
      <c r="A156" s="918">
        <v>300363</v>
      </c>
      <c r="B156" s="919" t="s">
        <v>1073</v>
      </c>
      <c r="C156" s="1363">
        <f>IF('TAR_Tab 2_Volumina'!M159,1,0)</f>
        <v>0</v>
      </c>
      <c r="D156" s="1527">
        <v>0</v>
      </c>
      <c r="E156" s="1528">
        <f t="shared" si="24"/>
        <v>0</v>
      </c>
      <c r="F156" s="1528">
        <f t="shared" si="25"/>
        <v>0</v>
      </c>
      <c r="G156" s="1531"/>
      <c r="H156" s="1528">
        <f t="shared" si="26"/>
        <v>0</v>
      </c>
      <c r="I156" s="1528">
        <f t="shared" si="27"/>
        <v>0</v>
      </c>
      <c r="J156" s="1532">
        <f t="shared" si="29"/>
        <v>0</v>
      </c>
      <c r="K156" s="1369" t="str">
        <f t="shared" si="30"/>
        <v/>
      </c>
      <c r="L156" s="1558"/>
      <c r="M156" s="1364"/>
      <c r="N156" s="1371">
        <f t="shared" si="21"/>
        <v>0</v>
      </c>
      <c r="O156" s="1372"/>
      <c r="P156" s="1371">
        <f t="shared" si="23"/>
        <v>0</v>
      </c>
      <c r="Q156" s="1371">
        <f t="shared" si="23"/>
        <v>0</v>
      </c>
      <c r="R156" s="1371">
        <f t="shared" si="23"/>
        <v>0</v>
      </c>
      <c r="S156" s="1371">
        <f t="shared" si="23"/>
        <v>0</v>
      </c>
      <c r="T156" s="1371">
        <f t="shared" si="23"/>
        <v>0</v>
      </c>
      <c r="U156" s="1371">
        <f t="shared" si="28"/>
        <v>0</v>
      </c>
      <c r="V156" s="1373">
        <f t="shared" si="22"/>
        <v>0</v>
      </c>
      <c r="W156" s="960"/>
    </row>
    <row r="157" spans="1:23">
      <c r="A157" s="918">
        <v>300366</v>
      </c>
      <c r="B157" s="919" t="s">
        <v>1074</v>
      </c>
      <c r="C157" s="1363">
        <f>IF('TAR_Tab 2_Volumina'!M160,1,0)</f>
        <v>0</v>
      </c>
      <c r="D157" s="1527">
        <v>0</v>
      </c>
      <c r="E157" s="1528">
        <f t="shared" si="24"/>
        <v>0</v>
      </c>
      <c r="F157" s="1528">
        <f t="shared" si="25"/>
        <v>0</v>
      </c>
      <c r="G157" s="1531"/>
      <c r="H157" s="1528">
        <f t="shared" si="26"/>
        <v>0</v>
      </c>
      <c r="I157" s="1528">
        <f t="shared" si="27"/>
        <v>0</v>
      </c>
      <c r="J157" s="1532">
        <f t="shared" si="29"/>
        <v>0</v>
      </c>
      <c r="K157" s="1369" t="str">
        <f t="shared" si="30"/>
        <v/>
      </c>
      <c r="L157" s="1558"/>
      <c r="M157" s="1364"/>
      <c r="N157" s="1371">
        <f t="shared" si="21"/>
        <v>0</v>
      </c>
      <c r="O157" s="1372"/>
      <c r="P157" s="1371">
        <f t="shared" si="23"/>
        <v>0</v>
      </c>
      <c r="Q157" s="1371">
        <f t="shared" si="23"/>
        <v>0</v>
      </c>
      <c r="R157" s="1371">
        <f t="shared" si="23"/>
        <v>0</v>
      </c>
      <c r="S157" s="1371">
        <f t="shared" si="23"/>
        <v>0</v>
      </c>
      <c r="T157" s="1371">
        <f t="shared" si="23"/>
        <v>0</v>
      </c>
      <c r="U157" s="1371">
        <f t="shared" si="28"/>
        <v>0</v>
      </c>
      <c r="V157" s="1373">
        <f t="shared" si="22"/>
        <v>0</v>
      </c>
      <c r="W157" s="960"/>
    </row>
    <row r="158" spans="1:23">
      <c r="A158" s="918">
        <v>300373</v>
      </c>
      <c r="B158" s="919" t="s">
        <v>1075</v>
      </c>
      <c r="C158" s="1363">
        <f>IF('TAR_Tab 2_Volumina'!M161,1,0)</f>
        <v>1</v>
      </c>
      <c r="D158" s="1527">
        <v>17726.04489529389</v>
      </c>
      <c r="E158" s="1528">
        <f t="shared" si="24"/>
        <v>16903.556412152255</v>
      </c>
      <c r="F158" s="1528">
        <f t="shared" si="25"/>
        <v>17861.01390568259</v>
      </c>
      <c r="G158" s="1531"/>
      <c r="H158" s="1528">
        <f t="shared" si="26"/>
        <v>16967.963210398459</v>
      </c>
      <c r="I158" s="1528">
        <f t="shared" si="27"/>
        <v>18754.064600966722</v>
      </c>
      <c r="J158" s="1532">
        <f t="shared" si="29"/>
        <v>17861.01390568259</v>
      </c>
      <c r="K158" s="1369" t="b">
        <f t="shared" si="30"/>
        <v>1</v>
      </c>
      <c r="L158" s="1558"/>
      <c r="M158" s="1364"/>
      <c r="N158" s="1371">
        <f t="shared" si="21"/>
        <v>17861.01390568259</v>
      </c>
      <c r="O158" s="1372"/>
      <c r="P158" s="1371">
        <f t="shared" si="23"/>
        <v>56.167947152971543</v>
      </c>
      <c r="Q158" s="1371">
        <f t="shared" si="23"/>
        <v>44.520984859919338</v>
      </c>
      <c r="R158" s="1371">
        <f t="shared" si="23"/>
        <v>123.12413435904286</v>
      </c>
      <c r="S158" s="1371">
        <f t="shared" si="23"/>
        <v>0</v>
      </c>
      <c r="T158" s="1371">
        <f t="shared" si="23"/>
        <v>1155.1357038717852</v>
      </c>
      <c r="U158" s="1371">
        <f t="shared" si="28"/>
        <v>19239.962675926312</v>
      </c>
      <c r="V158" s="1373">
        <f t="shared" si="22"/>
        <v>19239.96</v>
      </c>
      <c r="W158" s="960"/>
    </row>
    <row r="159" spans="1:23">
      <c r="A159" s="918">
        <v>300375</v>
      </c>
      <c r="B159" s="919" t="s">
        <v>1076</v>
      </c>
      <c r="C159" s="1363">
        <f>IF('TAR_Tab 2_Volumina'!M162,1,0)</f>
        <v>0</v>
      </c>
      <c r="D159" s="1527">
        <v>0</v>
      </c>
      <c r="E159" s="1528">
        <f t="shared" si="24"/>
        <v>0</v>
      </c>
      <c r="F159" s="1528">
        <f t="shared" si="25"/>
        <v>0</v>
      </c>
      <c r="G159" s="1531"/>
      <c r="H159" s="1528">
        <f t="shared" si="26"/>
        <v>0</v>
      </c>
      <c r="I159" s="1528">
        <f t="shared" si="27"/>
        <v>0</v>
      </c>
      <c r="J159" s="1532">
        <f t="shared" si="29"/>
        <v>0</v>
      </c>
      <c r="K159" s="1369" t="str">
        <f t="shared" si="30"/>
        <v/>
      </c>
      <c r="L159" s="1558"/>
      <c r="M159" s="1364"/>
      <c r="N159" s="1371">
        <f t="shared" si="21"/>
        <v>0</v>
      </c>
      <c r="O159" s="1372"/>
      <c r="P159" s="1371">
        <f t="shared" si="23"/>
        <v>0</v>
      </c>
      <c r="Q159" s="1371">
        <f t="shared" si="23"/>
        <v>0</v>
      </c>
      <c r="R159" s="1371">
        <f t="shared" si="23"/>
        <v>0</v>
      </c>
      <c r="S159" s="1371">
        <f t="shared" si="23"/>
        <v>0</v>
      </c>
      <c r="T159" s="1371">
        <f t="shared" si="23"/>
        <v>0</v>
      </c>
      <c r="U159" s="1371">
        <f t="shared" si="28"/>
        <v>0</v>
      </c>
      <c r="V159" s="1373">
        <f t="shared" si="22"/>
        <v>0</v>
      </c>
      <c r="W159" s="960"/>
    </row>
    <row r="160" spans="1:23">
      <c r="A160" s="918">
        <v>300378</v>
      </c>
      <c r="B160" s="919" t="s">
        <v>1077</v>
      </c>
      <c r="C160" s="1363">
        <f>IF('TAR_Tab 2_Volumina'!M163,1,0)</f>
        <v>0</v>
      </c>
      <c r="D160" s="1527">
        <v>0</v>
      </c>
      <c r="E160" s="1528">
        <f t="shared" si="24"/>
        <v>0</v>
      </c>
      <c r="F160" s="1528">
        <f t="shared" si="25"/>
        <v>0</v>
      </c>
      <c r="G160" s="1531"/>
      <c r="H160" s="1528">
        <f t="shared" si="26"/>
        <v>0</v>
      </c>
      <c r="I160" s="1528">
        <f t="shared" si="27"/>
        <v>0</v>
      </c>
      <c r="J160" s="1532">
        <f t="shared" si="29"/>
        <v>0</v>
      </c>
      <c r="K160" s="1369" t="str">
        <f t="shared" si="30"/>
        <v/>
      </c>
      <c r="L160" s="1558"/>
      <c r="M160" s="1364"/>
      <c r="N160" s="1371">
        <f t="shared" si="21"/>
        <v>0</v>
      </c>
      <c r="O160" s="1372"/>
      <c r="P160" s="1371">
        <f t="shared" si="23"/>
        <v>0</v>
      </c>
      <c r="Q160" s="1371">
        <f t="shared" si="23"/>
        <v>0</v>
      </c>
      <c r="R160" s="1371">
        <f t="shared" si="23"/>
        <v>0</v>
      </c>
      <c r="S160" s="1371">
        <f t="shared" si="23"/>
        <v>0</v>
      </c>
      <c r="T160" s="1371">
        <f t="shared" si="23"/>
        <v>0</v>
      </c>
      <c r="U160" s="1371">
        <f t="shared" si="28"/>
        <v>0</v>
      </c>
      <c r="V160" s="1373">
        <f t="shared" si="22"/>
        <v>0</v>
      </c>
      <c r="W160" s="960"/>
    </row>
    <row r="161" spans="1:23">
      <c r="A161" s="918">
        <v>300380</v>
      </c>
      <c r="B161" s="919" t="s">
        <v>1078</v>
      </c>
      <c r="C161" s="1363">
        <f>IF('TAR_Tab 2_Volumina'!M164,1,0)</f>
        <v>0</v>
      </c>
      <c r="D161" s="1527">
        <v>0</v>
      </c>
      <c r="E161" s="1528">
        <f t="shared" si="24"/>
        <v>0</v>
      </c>
      <c r="F161" s="1528">
        <f t="shared" si="25"/>
        <v>0</v>
      </c>
      <c r="G161" s="1531"/>
      <c r="H161" s="1528">
        <f t="shared" si="26"/>
        <v>0</v>
      </c>
      <c r="I161" s="1528">
        <f t="shared" si="27"/>
        <v>0</v>
      </c>
      <c r="J161" s="1532">
        <f t="shared" si="29"/>
        <v>0</v>
      </c>
      <c r="K161" s="1369" t="str">
        <f t="shared" si="30"/>
        <v/>
      </c>
      <c r="L161" s="1558"/>
      <c r="M161" s="1364"/>
      <c r="N161" s="1371">
        <f t="shared" si="21"/>
        <v>0</v>
      </c>
      <c r="O161" s="1372"/>
      <c r="P161" s="1371">
        <f t="shared" si="23"/>
        <v>0</v>
      </c>
      <c r="Q161" s="1371">
        <f t="shared" si="23"/>
        <v>0</v>
      </c>
      <c r="R161" s="1371">
        <f t="shared" si="23"/>
        <v>0</v>
      </c>
      <c r="S161" s="1371">
        <f t="shared" si="23"/>
        <v>0</v>
      </c>
      <c r="T161" s="1371">
        <f t="shared" si="23"/>
        <v>0</v>
      </c>
      <c r="U161" s="1371">
        <f t="shared" si="28"/>
        <v>0</v>
      </c>
      <c r="V161" s="1373">
        <f t="shared" si="22"/>
        <v>0</v>
      </c>
      <c r="W161" s="960"/>
    </row>
    <row r="162" spans="1:23">
      <c r="A162" s="918">
        <v>300382</v>
      </c>
      <c r="B162" s="919" t="s">
        <v>1079</v>
      </c>
      <c r="C162" s="1363">
        <f>IF('TAR_Tab 2_Volumina'!M165,1,0)</f>
        <v>0</v>
      </c>
      <c r="D162" s="1527">
        <v>0</v>
      </c>
      <c r="E162" s="1528">
        <f t="shared" si="24"/>
        <v>0</v>
      </c>
      <c r="F162" s="1528">
        <f t="shared" si="25"/>
        <v>0</v>
      </c>
      <c r="G162" s="1531"/>
      <c r="H162" s="1528">
        <f t="shared" si="26"/>
        <v>0</v>
      </c>
      <c r="I162" s="1528">
        <f t="shared" si="27"/>
        <v>0</v>
      </c>
      <c r="J162" s="1532">
        <f t="shared" si="29"/>
        <v>0</v>
      </c>
      <c r="K162" s="1369" t="str">
        <f t="shared" si="30"/>
        <v/>
      </c>
      <c r="L162" s="1558"/>
      <c r="M162" s="1364"/>
      <c r="N162" s="1371">
        <f t="shared" si="21"/>
        <v>0</v>
      </c>
      <c r="O162" s="1372"/>
      <c r="P162" s="1371">
        <f t="shared" si="23"/>
        <v>0</v>
      </c>
      <c r="Q162" s="1371">
        <f t="shared" si="23"/>
        <v>0</v>
      </c>
      <c r="R162" s="1371">
        <f t="shared" si="23"/>
        <v>0</v>
      </c>
      <c r="S162" s="1371">
        <f t="shared" si="23"/>
        <v>0</v>
      </c>
      <c r="T162" s="1371">
        <f t="shared" si="23"/>
        <v>0</v>
      </c>
      <c r="U162" s="1371">
        <f t="shared" si="28"/>
        <v>0</v>
      </c>
      <c r="V162" s="1373">
        <f t="shared" si="22"/>
        <v>0</v>
      </c>
      <c r="W162" s="960"/>
    </row>
    <row r="163" spans="1:23">
      <c r="A163" s="918">
        <v>300394</v>
      </c>
      <c r="B163" s="919" t="s">
        <v>111</v>
      </c>
      <c r="C163" s="1363">
        <f>IF('TAR_Tab 2_Volumina'!M166,1,0)</f>
        <v>0</v>
      </c>
      <c r="D163" s="1527">
        <v>0</v>
      </c>
      <c r="E163" s="1528">
        <f t="shared" si="24"/>
        <v>0</v>
      </c>
      <c r="F163" s="1528">
        <f t="shared" si="25"/>
        <v>0</v>
      </c>
      <c r="G163" s="1531"/>
      <c r="H163" s="1528">
        <f t="shared" si="26"/>
        <v>0</v>
      </c>
      <c r="I163" s="1528">
        <f t="shared" si="27"/>
        <v>0</v>
      </c>
      <c r="J163" s="1532">
        <f t="shared" si="29"/>
        <v>0</v>
      </c>
      <c r="K163" s="1369" t="str">
        <f t="shared" si="30"/>
        <v/>
      </c>
      <c r="L163" s="1558"/>
      <c r="M163" s="1364"/>
      <c r="N163" s="1371">
        <f t="shared" si="21"/>
        <v>0</v>
      </c>
      <c r="O163" s="1372"/>
      <c r="P163" s="1371">
        <f t="shared" si="23"/>
        <v>0</v>
      </c>
      <c r="Q163" s="1371">
        <f t="shared" si="23"/>
        <v>0</v>
      </c>
      <c r="R163" s="1371">
        <f t="shared" si="23"/>
        <v>0</v>
      </c>
      <c r="S163" s="1371">
        <f t="shared" si="23"/>
        <v>0</v>
      </c>
      <c r="T163" s="1371">
        <f t="shared" si="23"/>
        <v>0</v>
      </c>
      <c r="U163" s="1371">
        <f t="shared" si="28"/>
        <v>0</v>
      </c>
      <c r="V163" s="1373">
        <f t="shared" si="22"/>
        <v>0</v>
      </c>
      <c r="W163" s="960"/>
    </row>
    <row r="164" spans="1:23">
      <c r="A164" s="918">
        <v>300400</v>
      </c>
      <c r="B164" s="919" t="s">
        <v>121</v>
      </c>
      <c r="C164" s="1363">
        <f>IF('TAR_Tab 2_Volumina'!M167,1,0)</f>
        <v>0</v>
      </c>
      <c r="D164" s="1527">
        <v>0</v>
      </c>
      <c r="E164" s="1528">
        <f t="shared" si="24"/>
        <v>0</v>
      </c>
      <c r="F164" s="1528">
        <f t="shared" si="25"/>
        <v>0</v>
      </c>
      <c r="G164" s="1531"/>
      <c r="H164" s="1528">
        <f t="shared" si="26"/>
        <v>0</v>
      </c>
      <c r="I164" s="1528">
        <f t="shared" si="27"/>
        <v>0</v>
      </c>
      <c r="J164" s="1532">
        <f t="shared" si="29"/>
        <v>0</v>
      </c>
      <c r="K164" s="1369" t="str">
        <f t="shared" si="30"/>
        <v/>
      </c>
      <c r="L164" s="1558"/>
      <c r="M164" s="1364"/>
      <c r="N164" s="1371">
        <f t="shared" si="21"/>
        <v>0</v>
      </c>
      <c r="O164" s="1372"/>
      <c r="P164" s="1371">
        <f t="shared" si="23"/>
        <v>0</v>
      </c>
      <c r="Q164" s="1371">
        <f t="shared" si="23"/>
        <v>0</v>
      </c>
      <c r="R164" s="1371">
        <f t="shared" si="23"/>
        <v>0</v>
      </c>
      <c r="S164" s="1371">
        <f t="shared" si="23"/>
        <v>0</v>
      </c>
      <c r="T164" s="1371">
        <f t="shared" si="23"/>
        <v>0</v>
      </c>
      <c r="U164" s="1371">
        <f t="shared" si="28"/>
        <v>0</v>
      </c>
      <c r="V164" s="1373">
        <f t="shared" si="22"/>
        <v>0</v>
      </c>
      <c r="W164" s="960"/>
    </row>
    <row r="165" spans="1:23">
      <c r="A165" s="918">
        <v>300405</v>
      </c>
      <c r="B165" s="919" t="s">
        <v>122</v>
      </c>
      <c r="C165" s="1363">
        <f>IF('TAR_Tab 2_Volumina'!M168,1,0)</f>
        <v>0</v>
      </c>
      <c r="D165" s="1527">
        <v>0</v>
      </c>
      <c r="E165" s="1528">
        <f t="shared" si="24"/>
        <v>0</v>
      </c>
      <c r="F165" s="1528">
        <f t="shared" si="25"/>
        <v>0</v>
      </c>
      <c r="G165" s="1531"/>
      <c r="H165" s="1528">
        <f t="shared" si="26"/>
        <v>0</v>
      </c>
      <c r="I165" s="1528">
        <f t="shared" si="27"/>
        <v>0</v>
      </c>
      <c r="J165" s="1532">
        <f t="shared" si="29"/>
        <v>0</v>
      </c>
      <c r="K165" s="1369" t="str">
        <f t="shared" si="30"/>
        <v/>
      </c>
      <c r="L165" s="1558"/>
      <c r="M165" s="1364"/>
      <c r="N165" s="1371">
        <f t="shared" si="21"/>
        <v>0</v>
      </c>
      <c r="O165" s="1372"/>
      <c r="P165" s="1371">
        <f t="shared" si="23"/>
        <v>0</v>
      </c>
      <c r="Q165" s="1371">
        <f t="shared" si="23"/>
        <v>0</v>
      </c>
      <c r="R165" s="1371">
        <f t="shared" si="23"/>
        <v>0</v>
      </c>
      <c r="S165" s="1371">
        <f t="shared" si="23"/>
        <v>0</v>
      </c>
      <c r="T165" s="1371">
        <f t="shared" si="23"/>
        <v>0</v>
      </c>
      <c r="U165" s="1371">
        <f t="shared" si="28"/>
        <v>0</v>
      </c>
      <c r="V165" s="1373">
        <f t="shared" si="22"/>
        <v>0</v>
      </c>
      <c r="W165" s="960"/>
    </row>
    <row r="166" spans="1:23">
      <c r="A166" s="918">
        <v>300406</v>
      </c>
      <c r="B166" s="919" t="s">
        <v>123</v>
      </c>
      <c r="C166" s="1363">
        <f>IF('TAR_Tab 2_Volumina'!M169,1,0)</f>
        <v>1</v>
      </c>
      <c r="D166" s="1527">
        <v>17726.04489529389</v>
      </c>
      <c r="E166" s="1528">
        <f t="shared" si="24"/>
        <v>16903.556412152255</v>
      </c>
      <c r="F166" s="1528">
        <f t="shared" si="25"/>
        <v>17861.01390568259</v>
      </c>
      <c r="G166" s="1531"/>
      <c r="H166" s="1528">
        <f t="shared" si="26"/>
        <v>16967.963210398459</v>
      </c>
      <c r="I166" s="1528">
        <f t="shared" si="27"/>
        <v>18754.064600966722</v>
      </c>
      <c r="J166" s="1532">
        <f t="shared" si="29"/>
        <v>17861.01390568259</v>
      </c>
      <c r="K166" s="1369" t="b">
        <f t="shared" si="30"/>
        <v>1</v>
      </c>
      <c r="L166" s="1558"/>
      <c r="M166" s="1364"/>
      <c r="N166" s="1371">
        <f t="shared" si="21"/>
        <v>17861.01390568259</v>
      </c>
      <c r="O166" s="1372"/>
      <c r="P166" s="1371">
        <f t="shared" si="23"/>
        <v>56.167947152971543</v>
      </c>
      <c r="Q166" s="1371">
        <f t="shared" si="23"/>
        <v>44.520984859919338</v>
      </c>
      <c r="R166" s="1371">
        <f t="shared" si="23"/>
        <v>123.12413435904286</v>
      </c>
      <c r="S166" s="1371">
        <f t="shared" si="23"/>
        <v>0</v>
      </c>
      <c r="T166" s="1371">
        <f t="shared" si="23"/>
        <v>1155.1357038717852</v>
      </c>
      <c r="U166" s="1371">
        <f t="shared" si="28"/>
        <v>19239.962675926312</v>
      </c>
      <c r="V166" s="1373">
        <f t="shared" si="22"/>
        <v>19239.96</v>
      </c>
      <c r="W166" s="960"/>
    </row>
    <row r="167" spans="1:23">
      <c r="A167" s="918">
        <v>300407</v>
      </c>
      <c r="B167" s="919" t="s">
        <v>124</v>
      </c>
      <c r="C167" s="1363">
        <f>IF('TAR_Tab 2_Volumina'!M170,1,0)</f>
        <v>1</v>
      </c>
      <c r="D167" s="1527">
        <v>17726.04489529389</v>
      </c>
      <c r="E167" s="1528">
        <f t="shared" si="24"/>
        <v>16903.556412152255</v>
      </c>
      <c r="F167" s="1528">
        <f t="shared" si="25"/>
        <v>17861.01390568259</v>
      </c>
      <c r="G167" s="1531"/>
      <c r="H167" s="1528">
        <f t="shared" si="26"/>
        <v>16967.963210398459</v>
      </c>
      <c r="I167" s="1528">
        <f t="shared" si="27"/>
        <v>18754.064600966722</v>
      </c>
      <c r="J167" s="1532">
        <f t="shared" si="29"/>
        <v>17861.01390568259</v>
      </c>
      <c r="K167" s="1369" t="b">
        <f t="shared" si="30"/>
        <v>1</v>
      </c>
      <c r="L167" s="1558"/>
      <c r="M167" s="1364"/>
      <c r="N167" s="1371">
        <f t="shared" si="21"/>
        <v>17861.01390568259</v>
      </c>
      <c r="O167" s="1372"/>
      <c r="P167" s="1371">
        <f t="shared" si="23"/>
        <v>56.167947152971543</v>
      </c>
      <c r="Q167" s="1371">
        <f t="shared" si="23"/>
        <v>44.520984859919338</v>
      </c>
      <c r="R167" s="1371">
        <f t="shared" si="23"/>
        <v>123.12413435904286</v>
      </c>
      <c r="S167" s="1371">
        <f t="shared" si="23"/>
        <v>0</v>
      </c>
      <c r="T167" s="1371">
        <f t="shared" si="23"/>
        <v>1155.1357038717852</v>
      </c>
      <c r="U167" s="1371">
        <f t="shared" si="28"/>
        <v>19239.962675926312</v>
      </c>
      <c r="V167" s="1373">
        <f t="shared" si="22"/>
        <v>19239.96</v>
      </c>
      <c r="W167" s="960"/>
    </row>
    <row r="168" spans="1:23">
      <c r="A168" s="918">
        <v>300412</v>
      </c>
      <c r="B168" s="919" t="s">
        <v>125</v>
      </c>
      <c r="C168" s="1363">
        <f>IF('TAR_Tab 2_Volumina'!M171,1,0)</f>
        <v>1</v>
      </c>
      <c r="D168" s="1527">
        <v>17726.04489529389</v>
      </c>
      <c r="E168" s="1528">
        <f t="shared" si="24"/>
        <v>16903.556412152255</v>
      </c>
      <c r="F168" s="1528">
        <f t="shared" si="25"/>
        <v>17861.01390568259</v>
      </c>
      <c r="G168" s="1531"/>
      <c r="H168" s="1528">
        <f t="shared" si="26"/>
        <v>16967.963210398459</v>
      </c>
      <c r="I168" s="1528">
        <f t="shared" si="27"/>
        <v>18754.064600966722</v>
      </c>
      <c r="J168" s="1532">
        <f t="shared" si="29"/>
        <v>17861.01390568259</v>
      </c>
      <c r="K168" s="1369" t="b">
        <f t="shared" si="30"/>
        <v>1</v>
      </c>
      <c r="L168" s="1558"/>
      <c r="M168" s="1364"/>
      <c r="N168" s="1371">
        <f t="shared" si="21"/>
        <v>17861.01390568259</v>
      </c>
      <c r="O168" s="1372"/>
      <c r="P168" s="1371">
        <f t="shared" si="23"/>
        <v>56.167947152971543</v>
      </c>
      <c r="Q168" s="1371">
        <f t="shared" si="23"/>
        <v>44.520984859919338</v>
      </c>
      <c r="R168" s="1371">
        <f t="shared" si="23"/>
        <v>123.12413435904286</v>
      </c>
      <c r="S168" s="1371">
        <f t="shared" si="23"/>
        <v>0</v>
      </c>
      <c r="T168" s="1371">
        <f t="shared" si="23"/>
        <v>1155.1357038717852</v>
      </c>
      <c r="U168" s="1371">
        <f t="shared" si="28"/>
        <v>19239.962675926312</v>
      </c>
      <c r="V168" s="1373">
        <f t="shared" si="22"/>
        <v>19239.96</v>
      </c>
      <c r="W168" s="960"/>
    </row>
    <row r="169" spans="1:23">
      <c r="A169" s="918">
        <v>300420</v>
      </c>
      <c r="B169" s="919" t="s">
        <v>126</v>
      </c>
      <c r="C169" s="1363">
        <f>IF('TAR_Tab 2_Volumina'!M172,1,0)</f>
        <v>1</v>
      </c>
      <c r="D169" s="1527">
        <v>17726.04489529389</v>
      </c>
      <c r="E169" s="1528">
        <f t="shared" si="24"/>
        <v>16903.556412152255</v>
      </c>
      <c r="F169" s="1528">
        <f t="shared" si="25"/>
        <v>17861.01390568259</v>
      </c>
      <c r="G169" s="1531"/>
      <c r="H169" s="1528">
        <f t="shared" si="26"/>
        <v>16967.963210398459</v>
      </c>
      <c r="I169" s="1528">
        <f t="shared" si="27"/>
        <v>18754.064600966722</v>
      </c>
      <c r="J169" s="1532">
        <f t="shared" si="29"/>
        <v>17861.01390568259</v>
      </c>
      <c r="K169" s="1369" t="b">
        <f t="shared" si="30"/>
        <v>1</v>
      </c>
      <c r="L169" s="1558"/>
      <c r="M169" s="1364"/>
      <c r="N169" s="1371">
        <f t="shared" si="21"/>
        <v>17861.01390568259</v>
      </c>
      <c r="O169" s="1372"/>
      <c r="P169" s="1371">
        <f t="shared" si="23"/>
        <v>56.167947152971543</v>
      </c>
      <c r="Q169" s="1371">
        <f t="shared" si="23"/>
        <v>44.520984859919338</v>
      </c>
      <c r="R169" s="1371">
        <f t="shared" si="23"/>
        <v>123.12413435904286</v>
      </c>
      <c r="S169" s="1371">
        <f t="shared" si="23"/>
        <v>0</v>
      </c>
      <c r="T169" s="1371">
        <f t="shared" si="23"/>
        <v>1155.1357038717852</v>
      </c>
      <c r="U169" s="1371">
        <f t="shared" si="28"/>
        <v>19239.962675926312</v>
      </c>
      <c r="V169" s="1373">
        <f t="shared" si="22"/>
        <v>19239.96</v>
      </c>
      <c r="W169" s="960"/>
    </row>
    <row r="170" spans="1:23">
      <c r="A170" s="918">
        <v>300423</v>
      </c>
      <c r="B170" s="919" t="s">
        <v>1080</v>
      </c>
      <c r="C170" s="1363">
        <f>IF('TAR_Tab 2_Volumina'!M173,1,0)</f>
        <v>0</v>
      </c>
      <c r="D170" s="1527">
        <v>0</v>
      </c>
      <c r="E170" s="1528">
        <f t="shared" si="24"/>
        <v>0</v>
      </c>
      <c r="F170" s="1528">
        <f t="shared" si="25"/>
        <v>0</v>
      </c>
      <c r="G170" s="1531"/>
      <c r="H170" s="1528">
        <f t="shared" si="26"/>
        <v>0</v>
      </c>
      <c r="I170" s="1528">
        <f t="shared" si="27"/>
        <v>0</v>
      </c>
      <c r="J170" s="1532">
        <f t="shared" si="29"/>
        <v>0</v>
      </c>
      <c r="K170" s="1369" t="str">
        <f t="shared" si="30"/>
        <v/>
      </c>
      <c r="L170" s="1558"/>
      <c r="M170" s="1364"/>
      <c r="N170" s="1371">
        <f t="shared" si="21"/>
        <v>0</v>
      </c>
      <c r="O170" s="1372"/>
      <c r="P170" s="1371">
        <f t="shared" si="23"/>
        <v>0</v>
      </c>
      <c r="Q170" s="1371">
        <f t="shared" si="23"/>
        <v>0</v>
      </c>
      <c r="R170" s="1371">
        <f t="shared" si="23"/>
        <v>0</v>
      </c>
      <c r="S170" s="1371">
        <f t="shared" si="23"/>
        <v>0</v>
      </c>
      <c r="T170" s="1371">
        <f t="shared" si="23"/>
        <v>0</v>
      </c>
      <c r="U170" s="1371">
        <f t="shared" si="28"/>
        <v>0</v>
      </c>
      <c r="V170" s="1373">
        <f t="shared" si="22"/>
        <v>0</v>
      </c>
      <c r="W170" s="960"/>
    </row>
    <row r="171" spans="1:23">
      <c r="A171" s="918">
        <v>300428</v>
      </c>
      <c r="B171" s="919" t="s">
        <v>421</v>
      </c>
      <c r="C171" s="1363">
        <f>IF('TAR_Tab 2_Volumina'!M174,1,0)</f>
        <v>0</v>
      </c>
      <c r="D171" s="1527">
        <v>0</v>
      </c>
      <c r="E171" s="1528">
        <f t="shared" si="24"/>
        <v>0</v>
      </c>
      <c r="F171" s="1528">
        <f t="shared" si="25"/>
        <v>0</v>
      </c>
      <c r="G171" s="1531"/>
      <c r="H171" s="1528">
        <f t="shared" si="26"/>
        <v>0</v>
      </c>
      <c r="I171" s="1528">
        <f t="shared" si="27"/>
        <v>0</v>
      </c>
      <c r="J171" s="1532">
        <f t="shared" si="29"/>
        <v>0</v>
      </c>
      <c r="K171" s="1369" t="str">
        <f t="shared" si="30"/>
        <v/>
      </c>
      <c r="L171" s="1558"/>
      <c r="M171" s="1364"/>
      <c r="N171" s="1371">
        <f t="shared" si="21"/>
        <v>0</v>
      </c>
      <c r="O171" s="1372"/>
      <c r="P171" s="1371">
        <f t="shared" si="23"/>
        <v>0</v>
      </c>
      <c r="Q171" s="1371">
        <f t="shared" si="23"/>
        <v>0</v>
      </c>
      <c r="R171" s="1371">
        <f t="shared" si="23"/>
        <v>0</v>
      </c>
      <c r="S171" s="1371">
        <f t="shared" si="23"/>
        <v>0</v>
      </c>
      <c r="T171" s="1371">
        <f t="shared" si="23"/>
        <v>0</v>
      </c>
      <c r="U171" s="1371">
        <f t="shared" si="28"/>
        <v>0</v>
      </c>
      <c r="V171" s="1373">
        <f t="shared" si="22"/>
        <v>0</v>
      </c>
      <c r="W171" s="960"/>
    </row>
    <row r="172" spans="1:23">
      <c r="A172" s="918">
        <v>300436</v>
      </c>
      <c r="B172" s="919" t="s">
        <v>127</v>
      </c>
      <c r="C172" s="1363">
        <f>IF('TAR_Tab 2_Volumina'!M175,1,0)</f>
        <v>0</v>
      </c>
      <c r="D172" s="1527">
        <v>0</v>
      </c>
      <c r="E172" s="1528">
        <f t="shared" si="24"/>
        <v>0</v>
      </c>
      <c r="F172" s="1528">
        <f t="shared" si="25"/>
        <v>0</v>
      </c>
      <c r="G172" s="1531"/>
      <c r="H172" s="1528">
        <f t="shared" si="26"/>
        <v>0</v>
      </c>
      <c r="I172" s="1528">
        <f t="shared" si="27"/>
        <v>0</v>
      </c>
      <c r="J172" s="1532">
        <f t="shared" si="29"/>
        <v>0</v>
      </c>
      <c r="K172" s="1369" t="str">
        <f t="shared" si="30"/>
        <v/>
      </c>
      <c r="L172" s="1558"/>
      <c r="M172" s="1364"/>
      <c r="N172" s="1371">
        <f t="shared" si="21"/>
        <v>0</v>
      </c>
      <c r="O172" s="1372"/>
      <c r="P172" s="1371">
        <f t="shared" si="23"/>
        <v>0</v>
      </c>
      <c r="Q172" s="1371">
        <f t="shared" si="23"/>
        <v>0</v>
      </c>
      <c r="R172" s="1371">
        <f t="shared" si="23"/>
        <v>0</v>
      </c>
      <c r="S172" s="1371">
        <f t="shared" si="23"/>
        <v>0</v>
      </c>
      <c r="T172" s="1371">
        <f t="shared" si="23"/>
        <v>0</v>
      </c>
      <c r="U172" s="1371">
        <f t="shared" si="28"/>
        <v>0</v>
      </c>
      <c r="V172" s="1373">
        <f t="shared" ref="V172:V223" si="31">ROUND(U172,2)</f>
        <v>0</v>
      </c>
      <c r="W172" s="960"/>
    </row>
    <row r="173" spans="1:23">
      <c r="A173" s="918">
        <v>300437</v>
      </c>
      <c r="B173" s="919" t="s">
        <v>128</v>
      </c>
      <c r="C173" s="1363">
        <f>IF('TAR_Tab 2_Volumina'!M176,1,0)</f>
        <v>0</v>
      </c>
      <c r="D173" s="1527">
        <v>0</v>
      </c>
      <c r="E173" s="1528">
        <f t="shared" si="24"/>
        <v>0</v>
      </c>
      <c r="F173" s="1528">
        <f t="shared" si="25"/>
        <v>0</v>
      </c>
      <c r="G173" s="1531"/>
      <c r="H173" s="1528">
        <f t="shared" si="26"/>
        <v>0</v>
      </c>
      <c r="I173" s="1528">
        <f t="shared" si="27"/>
        <v>0</v>
      </c>
      <c r="J173" s="1532">
        <f t="shared" si="29"/>
        <v>0</v>
      </c>
      <c r="K173" s="1369" t="str">
        <f t="shared" si="30"/>
        <v/>
      </c>
      <c r="L173" s="1558"/>
      <c r="M173" s="1364"/>
      <c r="N173" s="1371">
        <f t="shared" ref="N173:N224" si="32">IF(J173&gt;0,J173,F173)</f>
        <v>0</v>
      </c>
      <c r="O173" s="1372"/>
      <c r="P173" s="1371">
        <f t="shared" si="23"/>
        <v>0</v>
      </c>
      <c r="Q173" s="1371">
        <f t="shared" si="23"/>
        <v>0</v>
      </c>
      <c r="R173" s="1371">
        <f t="shared" si="23"/>
        <v>0</v>
      </c>
      <c r="S173" s="1371">
        <f t="shared" si="23"/>
        <v>0</v>
      </c>
      <c r="T173" s="1371">
        <f t="shared" si="23"/>
        <v>0</v>
      </c>
      <c r="U173" s="1371">
        <f t="shared" si="28"/>
        <v>0</v>
      </c>
      <c r="V173" s="1373">
        <f t="shared" si="31"/>
        <v>0</v>
      </c>
      <c r="W173" s="960"/>
    </row>
    <row r="174" spans="1:23">
      <c r="A174" s="918">
        <v>300438</v>
      </c>
      <c r="B174" s="919" t="s">
        <v>129</v>
      </c>
      <c r="C174" s="1363">
        <f>IF('TAR_Tab 2_Volumina'!M177,1,0)</f>
        <v>1</v>
      </c>
      <c r="D174" s="1527">
        <v>17726.04489529389</v>
      </c>
      <c r="E174" s="1528">
        <f t="shared" si="24"/>
        <v>16903.556412152255</v>
      </c>
      <c r="F174" s="1528">
        <f t="shared" si="25"/>
        <v>17861.01390568259</v>
      </c>
      <c r="G174" s="1531"/>
      <c r="H174" s="1528">
        <f t="shared" si="26"/>
        <v>16967.963210398459</v>
      </c>
      <c r="I174" s="1528">
        <f t="shared" si="27"/>
        <v>18754.064600966722</v>
      </c>
      <c r="J174" s="1532">
        <f t="shared" si="29"/>
        <v>17861.01390568259</v>
      </c>
      <c r="K174" s="1369" t="b">
        <f t="shared" si="30"/>
        <v>1</v>
      </c>
      <c r="L174" s="1558"/>
      <c r="M174" s="1364"/>
      <c r="N174" s="1371">
        <f t="shared" si="32"/>
        <v>17861.01390568259</v>
      </c>
      <c r="O174" s="1372"/>
      <c r="P174" s="1371">
        <f t="shared" si="23"/>
        <v>56.167947152971543</v>
      </c>
      <c r="Q174" s="1371">
        <f t="shared" si="23"/>
        <v>44.520984859919338</v>
      </c>
      <c r="R174" s="1371">
        <f t="shared" si="23"/>
        <v>123.12413435904286</v>
      </c>
      <c r="S174" s="1371">
        <f t="shared" si="23"/>
        <v>0</v>
      </c>
      <c r="T174" s="1371">
        <f t="shared" si="23"/>
        <v>1155.1357038717852</v>
      </c>
      <c r="U174" s="1371">
        <f t="shared" si="28"/>
        <v>19239.962675926312</v>
      </c>
      <c r="V174" s="1373">
        <f t="shared" si="31"/>
        <v>19239.96</v>
      </c>
      <c r="W174" s="960"/>
    </row>
    <row r="175" spans="1:23">
      <c r="A175" s="918">
        <v>300443</v>
      </c>
      <c r="B175" s="919" t="s">
        <v>309</v>
      </c>
      <c r="C175" s="1363">
        <f>IF('TAR_Tab 2_Volumina'!M178,1,0)</f>
        <v>0</v>
      </c>
      <c r="D175" s="1527">
        <v>0</v>
      </c>
      <c r="E175" s="1528">
        <f t="shared" si="24"/>
        <v>0</v>
      </c>
      <c r="F175" s="1528">
        <f t="shared" si="25"/>
        <v>0</v>
      </c>
      <c r="G175" s="1531"/>
      <c r="H175" s="1528">
        <f t="shared" si="26"/>
        <v>0</v>
      </c>
      <c r="I175" s="1528">
        <f t="shared" si="27"/>
        <v>0</v>
      </c>
      <c r="J175" s="1532">
        <f t="shared" si="29"/>
        <v>0</v>
      </c>
      <c r="K175" s="1369" t="str">
        <f t="shared" si="30"/>
        <v/>
      </c>
      <c r="L175" s="1558"/>
      <c r="M175" s="1364"/>
      <c r="N175" s="1371">
        <f t="shared" si="32"/>
        <v>0</v>
      </c>
      <c r="O175" s="1372"/>
      <c r="P175" s="1371">
        <f t="shared" ref="P175:T225" si="33">P$7*$N175</f>
        <v>0</v>
      </c>
      <c r="Q175" s="1371">
        <f t="shared" si="33"/>
        <v>0</v>
      </c>
      <c r="R175" s="1371">
        <f t="shared" si="33"/>
        <v>0</v>
      </c>
      <c r="S175" s="1371">
        <f t="shared" si="33"/>
        <v>0</v>
      </c>
      <c r="T175" s="1371">
        <f t="shared" si="33"/>
        <v>0</v>
      </c>
      <c r="U175" s="1371">
        <f t="shared" si="28"/>
        <v>0</v>
      </c>
      <c r="V175" s="1373">
        <f t="shared" si="31"/>
        <v>0</v>
      </c>
      <c r="W175" s="960"/>
    </row>
    <row r="176" spans="1:23">
      <c r="A176" s="918">
        <v>300444</v>
      </c>
      <c r="B176" s="919" t="s">
        <v>130</v>
      </c>
      <c r="C176" s="1363">
        <f>IF('TAR_Tab 2_Volumina'!M179,1,0)</f>
        <v>1</v>
      </c>
      <c r="D176" s="1527">
        <v>17726.04489529389</v>
      </c>
      <c r="E176" s="1528">
        <f t="shared" si="24"/>
        <v>16903.556412152255</v>
      </c>
      <c r="F176" s="1528">
        <f t="shared" si="25"/>
        <v>17861.01390568259</v>
      </c>
      <c r="G176" s="1531"/>
      <c r="H176" s="1528">
        <f t="shared" si="26"/>
        <v>16967.963210398459</v>
      </c>
      <c r="I176" s="1528">
        <f t="shared" si="27"/>
        <v>18754.064600966722</v>
      </c>
      <c r="J176" s="1532">
        <f t="shared" si="29"/>
        <v>17861.01390568259</v>
      </c>
      <c r="K176" s="1369" t="b">
        <f t="shared" si="30"/>
        <v>1</v>
      </c>
      <c r="L176" s="1558"/>
      <c r="M176" s="1364"/>
      <c r="N176" s="1371">
        <f t="shared" si="32"/>
        <v>17861.01390568259</v>
      </c>
      <c r="O176" s="1372"/>
      <c r="P176" s="1371">
        <f t="shared" si="33"/>
        <v>56.167947152971543</v>
      </c>
      <c r="Q176" s="1371">
        <f t="shared" si="33"/>
        <v>44.520984859919338</v>
      </c>
      <c r="R176" s="1371">
        <f t="shared" si="33"/>
        <v>123.12413435904286</v>
      </c>
      <c r="S176" s="1371">
        <f t="shared" si="33"/>
        <v>0</v>
      </c>
      <c r="T176" s="1371">
        <f t="shared" si="33"/>
        <v>1155.1357038717852</v>
      </c>
      <c r="U176" s="1371">
        <f t="shared" si="28"/>
        <v>19239.962675926312</v>
      </c>
      <c r="V176" s="1373">
        <f t="shared" si="31"/>
        <v>19239.96</v>
      </c>
      <c r="W176" s="960"/>
    </row>
    <row r="177" spans="1:23">
      <c r="A177" s="918">
        <v>300447</v>
      </c>
      <c r="B177" s="919" t="s">
        <v>422</v>
      </c>
      <c r="C177" s="1363">
        <f>IF('TAR_Tab 2_Volumina'!M180,1,0)</f>
        <v>0</v>
      </c>
      <c r="D177" s="1527">
        <v>0</v>
      </c>
      <c r="E177" s="1528">
        <f t="shared" si="24"/>
        <v>0</v>
      </c>
      <c r="F177" s="1528">
        <f t="shared" si="25"/>
        <v>0</v>
      </c>
      <c r="G177" s="1531"/>
      <c r="H177" s="1528">
        <f t="shared" si="26"/>
        <v>0</v>
      </c>
      <c r="I177" s="1528">
        <f t="shared" si="27"/>
        <v>0</v>
      </c>
      <c r="J177" s="1532">
        <f t="shared" si="29"/>
        <v>0</v>
      </c>
      <c r="K177" s="1369" t="str">
        <f t="shared" si="30"/>
        <v/>
      </c>
      <c r="L177" s="1558"/>
      <c r="M177" s="1364"/>
      <c r="N177" s="1371">
        <f t="shared" si="32"/>
        <v>0</v>
      </c>
      <c r="O177" s="1372"/>
      <c r="P177" s="1371">
        <f t="shared" si="33"/>
        <v>0</v>
      </c>
      <c r="Q177" s="1371">
        <f t="shared" si="33"/>
        <v>0</v>
      </c>
      <c r="R177" s="1371">
        <f t="shared" si="33"/>
        <v>0</v>
      </c>
      <c r="S177" s="1371">
        <f t="shared" si="33"/>
        <v>0</v>
      </c>
      <c r="T177" s="1371">
        <f t="shared" si="33"/>
        <v>0</v>
      </c>
      <c r="U177" s="1371">
        <f t="shared" si="28"/>
        <v>0</v>
      </c>
      <c r="V177" s="1373">
        <f t="shared" si="31"/>
        <v>0</v>
      </c>
      <c r="W177" s="960"/>
    </row>
    <row r="178" spans="1:23">
      <c r="A178" s="918">
        <v>300450</v>
      </c>
      <c r="B178" s="919" t="s">
        <v>423</v>
      </c>
      <c r="C178" s="1363">
        <f>IF('TAR_Tab 2_Volumina'!M181,1,0)</f>
        <v>0</v>
      </c>
      <c r="D178" s="1527">
        <v>0</v>
      </c>
      <c r="E178" s="1528">
        <f t="shared" si="24"/>
        <v>0</v>
      </c>
      <c r="F178" s="1528">
        <f t="shared" si="25"/>
        <v>0</v>
      </c>
      <c r="G178" s="1531"/>
      <c r="H178" s="1528">
        <f t="shared" si="26"/>
        <v>0</v>
      </c>
      <c r="I178" s="1528">
        <f t="shared" si="27"/>
        <v>0</v>
      </c>
      <c r="J178" s="1532">
        <f t="shared" si="29"/>
        <v>0</v>
      </c>
      <c r="K178" s="1369" t="str">
        <f t="shared" si="30"/>
        <v/>
      </c>
      <c r="L178" s="1558"/>
      <c r="M178" s="1364"/>
      <c r="N178" s="1371">
        <f t="shared" si="32"/>
        <v>0</v>
      </c>
      <c r="O178" s="1372"/>
      <c r="P178" s="1371">
        <f t="shared" si="33"/>
        <v>0</v>
      </c>
      <c r="Q178" s="1371">
        <f t="shared" si="33"/>
        <v>0</v>
      </c>
      <c r="R178" s="1371">
        <f t="shared" si="33"/>
        <v>0</v>
      </c>
      <c r="S178" s="1371">
        <f t="shared" si="33"/>
        <v>0</v>
      </c>
      <c r="T178" s="1371">
        <f t="shared" si="33"/>
        <v>0</v>
      </c>
      <c r="U178" s="1371">
        <f t="shared" si="28"/>
        <v>0</v>
      </c>
      <c r="V178" s="1373">
        <f t="shared" si="31"/>
        <v>0</v>
      </c>
      <c r="W178" s="960"/>
    </row>
    <row r="179" spans="1:23">
      <c r="A179" s="918">
        <v>300451</v>
      </c>
      <c r="B179" s="919" t="s">
        <v>1081</v>
      </c>
      <c r="C179" s="1363">
        <f>IF('TAR_Tab 2_Volumina'!M182,1,0)</f>
        <v>0</v>
      </c>
      <c r="D179" s="1527">
        <v>0</v>
      </c>
      <c r="E179" s="1528">
        <f t="shared" si="24"/>
        <v>0</v>
      </c>
      <c r="F179" s="1528">
        <f t="shared" si="25"/>
        <v>0</v>
      </c>
      <c r="G179" s="1531"/>
      <c r="H179" s="1528">
        <f t="shared" si="26"/>
        <v>0</v>
      </c>
      <c r="I179" s="1528">
        <f t="shared" si="27"/>
        <v>0</v>
      </c>
      <c r="J179" s="1532">
        <f t="shared" si="29"/>
        <v>0</v>
      </c>
      <c r="K179" s="1369" t="str">
        <f t="shared" si="30"/>
        <v/>
      </c>
      <c r="L179" s="1558"/>
      <c r="M179" s="1364"/>
      <c r="N179" s="1371">
        <f t="shared" si="32"/>
        <v>0</v>
      </c>
      <c r="O179" s="1372"/>
      <c r="P179" s="1371">
        <f t="shared" si="33"/>
        <v>0</v>
      </c>
      <c r="Q179" s="1371">
        <f t="shared" si="33"/>
        <v>0</v>
      </c>
      <c r="R179" s="1371">
        <f t="shared" si="33"/>
        <v>0</v>
      </c>
      <c r="S179" s="1371">
        <f t="shared" si="33"/>
        <v>0</v>
      </c>
      <c r="T179" s="1371">
        <f t="shared" si="33"/>
        <v>0</v>
      </c>
      <c r="U179" s="1371">
        <f t="shared" si="28"/>
        <v>0</v>
      </c>
      <c r="V179" s="1373">
        <f t="shared" si="31"/>
        <v>0</v>
      </c>
      <c r="W179" s="960"/>
    </row>
    <row r="180" spans="1:23">
      <c r="A180" s="918">
        <v>300452</v>
      </c>
      <c r="B180" s="919" t="s">
        <v>424</v>
      </c>
      <c r="C180" s="1363">
        <f>IF('TAR_Tab 2_Volumina'!M183,1,0)</f>
        <v>0</v>
      </c>
      <c r="D180" s="1527">
        <v>0</v>
      </c>
      <c r="E180" s="1528">
        <f t="shared" si="24"/>
        <v>0</v>
      </c>
      <c r="F180" s="1528">
        <f t="shared" si="25"/>
        <v>0</v>
      </c>
      <c r="G180" s="1531"/>
      <c r="H180" s="1528">
        <f t="shared" si="26"/>
        <v>0</v>
      </c>
      <c r="I180" s="1528">
        <f t="shared" si="27"/>
        <v>0</v>
      </c>
      <c r="J180" s="1532">
        <f t="shared" si="29"/>
        <v>0</v>
      </c>
      <c r="K180" s="1369" t="str">
        <f t="shared" si="30"/>
        <v/>
      </c>
      <c r="L180" s="1558"/>
      <c r="M180" s="1364"/>
      <c r="N180" s="1371">
        <f t="shared" si="32"/>
        <v>0</v>
      </c>
      <c r="O180" s="1372"/>
      <c r="P180" s="1371">
        <f t="shared" si="33"/>
        <v>0</v>
      </c>
      <c r="Q180" s="1371">
        <f t="shared" si="33"/>
        <v>0</v>
      </c>
      <c r="R180" s="1371">
        <f t="shared" si="33"/>
        <v>0</v>
      </c>
      <c r="S180" s="1371">
        <f t="shared" si="33"/>
        <v>0</v>
      </c>
      <c r="T180" s="1371">
        <f t="shared" si="33"/>
        <v>0</v>
      </c>
      <c r="U180" s="1371">
        <f t="shared" si="28"/>
        <v>0</v>
      </c>
      <c r="V180" s="1373">
        <f t="shared" si="31"/>
        <v>0</v>
      </c>
      <c r="W180" s="960"/>
    </row>
    <row r="181" spans="1:23">
      <c r="A181" s="918">
        <v>300453</v>
      </c>
      <c r="B181" s="919" t="s">
        <v>131</v>
      </c>
      <c r="C181" s="1363">
        <f>IF('TAR_Tab 2_Volumina'!M184,1,0)</f>
        <v>0</v>
      </c>
      <c r="D181" s="1527">
        <v>0</v>
      </c>
      <c r="E181" s="1528">
        <f t="shared" si="24"/>
        <v>0</v>
      </c>
      <c r="F181" s="1528">
        <f t="shared" si="25"/>
        <v>0</v>
      </c>
      <c r="G181" s="1531"/>
      <c r="H181" s="1528">
        <f t="shared" si="26"/>
        <v>0</v>
      </c>
      <c r="I181" s="1528">
        <f t="shared" si="27"/>
        <v>0</v>
      </c>
      <c r="J181" s="1532">
        <f t="shared" si="29"/>
        <v>0</v>
      </c>
      <c r="K181" s="1369" t="str">
        <f t="shared" si="30"/>
        <v/>
      </c>
      <c r="L181" s="1558"/>
      <c r="M181" s="1364"/>
      <c r="N181" s="1371">
        <f t="shared" si="32"/>
        <v>0</v>
      </c>
      <c r="O181" s="1372"/>
      <c r="P181" s="1371">
        <f t="shared" si="33"/>
        <v>0</v>
      </c>
      <c r="Q181" s="1371">
        <f t="shared" si="33"/>
        <v>0</v>
      </c>
      <c r="R181" s="1371">
        <f t="shared" si="33"/>
        <v>0</v>
      </c>
      <c r="S181" s="1371">
        <f t="shared" si="33"/>
        <v>0</v>
      </c>
      <c r="T181" s="1371">
        <f t="shared" si="33"/>
        <v>0</v>
      </c>
      <c r="U181" s="1371">
        <f t="shared" si="28"/>
        <v>0</v>
      </c>
      <c r="V181" s="1373">
        <f t="shared" si="31"/>
        <v>0</v>
      </c>
      <c r="W181" s="960"/>
    </row>
    <row r="182" spans="1:23">
      <c r="A182" s="918">
        <v>300455</v>
      </c>
      <c r="B182" s="919" t="s">
        <v>132</v>
      </c>
      <c r="C182" s="1363">
        <f>IF('TAR_Tab 2_Volumina'!M185,1,0)</f>
        <v>1</v>
      </c>
      <c r="D182" s="1527">
        <v>17726.044895293846</v>
      </c>
      <c r="E182" s="1528">
        <f t="shared" si="24"/>
        <v>16903.556412152211</v>
      </c>
      <c r="F182" s="1528">
        <f t="shared" si="25"/>
        <v>17861.013905682543</v>
      </c>
      <c r="G182" s="1531"/>
      <c r="H182" s="1528">
        <f t="shared" si="26"/>
        <v>16967.963210398415</v>
      </c>
      <c r="I182" s="1528">
        <f t="shared" si="27"/>
        <v>18754.064600966671</v>
      </c>
      <c r="J182" s="1532">
        <f t="shared" si="29"/>
        <v>17861.013905682543</v>
      </c>
      <c r="K182" s="1369" t="b">
        <f t="shared" si="30"/>
        <v>1</v>
      </c>
      <c r="L182" s="1558"/>
      <c r="M182" s="1364"/>
      <c r="N182" s="1371">
        <f t="shared" si="32"/>
        <v>17861.013905682543</v>
      </c>
      <c r="O182" s="1372"/>
      <c r="P182" s="1371">
        <f t="shared" si="33"/>
        <v>56.167947152971394</v>
      </c>
      <c r="Q182" s="1371">
        <f t="shared" si="33"/>
        <v>44.520984859919217</v>
      </c>
      <c r="R182" s="1371">
        <f t="shared" si="33"/>
        <v>123.12413435904253</v>
      </c>
      <c r="S182" s="1371">
        <f t="shared" si="33"/>
        <v>0</v>
      </c>
      <c r="T182" s="1371">
        <f t="shared" si="33"/>
        <v>1155.1357038717822</v>
      </c>
      <c r="U182" s="1371">
        <f t="shared" si="28"/>
        <v>19239.962675926257</v>
      </c>
      <c r="V182" s="1373">
        <f t="shared" si="31"/>
        <v>19239.96</v>
      </c>
      <c r="W182" s="960"/>
    </row>
    <row r="183" spans="1:23">
      <c r="A183" s="918">
        <v>300464</v>
      </c>
      <c r="B183" s="919" t="s">
        <v>1082</v>
      </c>
      <c r="C183" s="1363">
        <f>IF('TAR_Tab 2_Volumina'!M186,1,0)</f>
        <v>0</v>
      </c>
      <c r="D183" s="1527">
        <v>0</v>
      </c>
      <c r="E183" s="1528">
        <f t="shared" si="24"/>
        <v>0</v>
      </c>
      <c r="F183" s="1528">
        <f t="shared" si="25"/>
        <v>0</v>
      </c>
      <c r="G183" s="1531"/>
      <c r="H183" s="1528">
        <f t="shared" si="26"/>
        <v>0</v>
      </c>
      <c r="I183" s="1528">
        <f t="shared" si="27"/>
        <v>0</v>
      </c>
      <c r="J183" s="1532">
        <f t="shared" si="29"/>
        <v>0</v>
      </c>
      <c r="K183" s="1369" t="str">
        <f t="shared" si="30"/>
        <v/>
      </c>
      <c r="L183" s="1558"/>
      <c r="M183" s="1364"/>
      <c r="N183" s="1371">
        <f t="shared" si="32"/>
        <v>0</v>
      </c>
      <c r="O183" s="1372"/>
      <c r="P183" s="1371">
        <f t="shared" si="33"/>
        <v>0</v>
      </c>
      <c r="Q183" s="1371">
        <f t="shared" si="33"/>
        <v>0</v>
      </c>
      <c r="R183" s="1371">
        <f t="shared" si="33"/>
        <v>0</v>
      </c>
      <c r="S183" s="1371">
        <f t="shared" si="33"/>
        <v>0</v>
      </c>
      <c r="T183" s="1371">
        <f t="shared" si="33"/>
        <v>0</v>
      </c>
      <c r="U183" s="1371">
        <f t="shared" si="28"/>
        <v>0</v>
      </c>
      <c r="V183" s="1373">
        <f t="shared" si="31"/>
        <v>0</v>
      </c>
      <c r="W183" s="960"/>
    </row>
    <row r="184" spans="1:23">
      <c r="A184" s="918">
        <v>300465</v>
      </c>
      <c r="B184" s="919" t="s">
        <v>133</v>
      </c>
      <c r="C184" s="1363">
        <f>IF('TAR_Tab 2_Volumina'!M187,1,0)</f>
        <v>0</v>
      </c>
      <c r="D184" s="1527">
        <v>0</v>
      </c>
      <c r="E184" s="1528">
        <f t="shared" si="24"/>
        <v>0</v>
      </c>
      <c r="F184" s="1528">
        <f t="shared" si="25"/>
        <v>0</v>
      </c>
      <c r="G184" s="1531"/>
      <c r="H184" s="1528">
        <f t="shared" si="26"/>
        <v>0</v>
      </c>
      <c r="I184" s="1528">
        <f t="shared" si="27"/>
        <v>0</v>
      </c>
      <c r="J184" s="1532">
        <f t="shared" si="29"/>
        <v>0</v>
      </c>
      <c r="K184" s="1369" t="str">
        <f t="shared" si="30"/>
        <v/>
      </c>
      <c r="L184" s="1558"/>
      <c r="M184" s="1364"/>
      <c r="N184" s="1371">
        <f t="shared" si="32"/>
        <v>0</v>
      </c>
      <c r="O184" s="1372"/>
      <c r="P184" s="1371">
        <f t="shared" si="33"/>
        <v>0</v>
      </c>
      <c r="Q184" s="1371">
        <f t="shared" si="33"/>
        <v>0</v>
      </c>
      <c r="R184" s="1371">
        <f t="shared" si="33"/>
        <v>0</v>
      </c>
      <c r="S184" s="1371">
        <f t="shared" si="33"/>
        <v>0</v>
      </c>
      <c r="T184" s="1371">
        <f t="shared" si="33"/>
        <v>0</v>
      </c>
      <c r="U184" s="1371">
        <f t="shared" si="28"/>
        <v>0</v>
      </c>
      <c r="V184" s="1373">
        <f t="shared" si="31"/>
        <v>0</v>
      </c>
      <c r="W184" s="960"/>
    </row>
    <row r="185" spans="1:23">
      <c r="A185" s="918">
        <v>300467</v>
      </c>
      <c r="B185" s="919" t="s">
        <v>134</v>
      </c>
      <c r="C185" s="1363">
        <f>IF('TAR_Tab 2_Volumina'!M188,1,0)</f>
        <v>1</v>
      </c>
      <c r="D185" s="1527">
        <v>17726.044895293846</v>
      </c>
      <c r="E185" s="1528">
        <f t="shared" si="24"/>
        <v>16903.556412152211</v>
      </c>
      <c r="F185" s="1528">
        <f t="shared" si="25"/>
        <v>17861.013905682543</v>
      </c>
      <c r="G185" s="1531"/>
      <c r="H185" s="1528">
        <f t="shared" si="26"/>
        <v>16967.963210398415</v>
      </c>
      <c r="I185" s="1528">
        <f t="shared" si="27"/>
        <v>18754.064600966671</v>
      </c>
      <c r="J185" s="1532">
        <f t="shared" si="29"/>
        <v>17861.013905682543</v>
      </c>
      <c r="K185" s="1369" t="b">
        <f t="shared" si="30"/>
        <v>1</v>
      </c>
      <c r="L185" s="1558"/>
      <c r="M185" s="1364"/>
      <c r="N185" s="1371">
        <f t="shared" si="32"/>
        <v>17861.013905682543</v>
      </c>
      <c r="O185" s="1372"/>
      <c r="P185" s="1371">
        <f t="shared" si="33"/>
        <v>56.167947152971394</v>
      </c>
      <c r="Q185" s="1371">
        <f t="shared" si="33"/>
        <v>44.520984859919217</v>
      </c>
      <c r="R185" s="1371">
        <f t="shared" si="33"/>
        <v>123.12413435904253</v>
      </c>
      <c r="S185" s="1371">
        <f t="shared" si="33"/>
        <v>0</v>
      </c>
      <c r="T185" s="1371">
        <f t="shared" si="33"/>
        <v>1155.1357038717822</v>
      </c>
      <c r="U185" s="1371">
        <f t="shared" si="28"/>
        <v>19239.962675926257</v>
      </c>
      <c r="V185" s="1373">
        <f t="shared" si="31"/>
        <v>19239.96</v>
      </c>
      <c r="W185" s="960"/>
    </row>
    <row r="186" spans="1:23">
      <c r="A186" s="918">
        <v>300469</v>
      </c>
      <c r="B186" s="919" t="s">
        <v>135</v>
      </c>
      <c r="C186" s="1363">
        <f>IF('TAR_Tab 2_Volumina'!M189,1,0)</f>
        <v>1</v>
      </c>
      <c r="D186" s="1527">
        <v>17726.04489529389</v>
      </c>
      <c r="E186" s="1528">
        <f t="shared" si="24"/>
        <v>16903.556412152255</v>
      </c>
      <c r="F186" s="1528">
        <f t="shared" si="25"/>
        <v>17861.01390568259</v>
      </c>
      <c r="G186" s="1531"/>
      <c r="H186" s="1528">
        <f t="shared" si="26"/>
        <v>16967.963210398459</v>
      </c>
      <c r="I186" s="1528">
        <f t="shared" si="27"/>
        <v>18754.064600966722</v>
      </c>
      <c r="J186" s="1532">
        <f t="shared" si="29"/>
        <v>17861.01390568259</v>
      </c>
      <c r="K186" s="1369" t="b">
        <f t="shared" si="30"/>
        <v>1</v>
      </c>
      <c r="L186" s="1558"/>
      <c r="M186" s="1364"/>
      <c r="N186" s="1371">
        <f t="shared" si="32"/>
        <v>17861.01390568259</v>
      </c>
      <c r="O186" s="1372"/>
      <c r="P186" s="1371">
        <f t="shared" si="33"/>
        <v>56.167947152971543</v>
      </c>
      <c r="Q186" s="1371">
        <f t="shared" si="33"/>
        <v>44.520984859919338</v>
      </c>
      <c r="R186" s="1371">
        <f t="shared" si="33"/>
        <v>123.12413435904286</v>
      </c>
      <c r="S186" s="1371">
        <f t="shared" si="33"/>
        <v>0</v>
      </c>
      <c r="T186" s="1371">
        <f t="shared" si="33"/>
        <v>1155.1357038717852</v>
      </c>
      <c r="U186" s="1371">
        <f t="shared" si="28"/>
        <v>19239.962675926312</v>
      </c>
      <c r="V186" s="1373">
        <f t="shared" si="31"/>
        <v>19239.96</v>
      </c>
      <c r="W186" s="960"/>
    </row>
    <row r="187" spans="1:23">
      <c r="A187" s="918">
        <v>300486</v>
      </c>
      <c r="B187" s="919" t="s">
        <v>136</v>
      </c>
      <c r="C187" s="1363">
        <f>IF('TAR_Tab 2_Volumina'!M190,1,0)</f>
        <v>0</v>
      </c>
      <c r="D187" s="1527">
        <v>0</v>
      </c>
      <c r="E187" s="1528">
        <f t="shared" si="24"/>
        <v>0</v>
      </c>
      <c r="F187" s="1528">
        <f t="shared" si="25"/>
        <v>0</v>
      </c>
      <c r="G187" s="1531"/>
      <c r="H187" s="1528">
        <f t="shared" si="26"/>
        <v>0</v>
      </c>
      <c r="I187" s="1528">
        <f t="shared" si="27"/>
        <v>0</v>
      </c>
      <c r="J187" s="1532">
        <f t="shared" si="29"/>
        <v>0</v>
      </c>
      <c r="K187" s="1369" t="str">
        <f t="shared" si="30"/>
        <v/>
      </c>
      <c r="L187" s="1558"/>
      <c r="M187" s="1364"/>
      <c r="N187" s="1371">
        <f t="shared" si="32"/>
        <v>0</v>
      </c>
      <c r="O187" s="1372"/>
      <c r="P187" s="1371">
        <f t="shared" si="33"/>
        <v>0</v>
      </c>
      <c r="Q187" s="1371">
        <f t="shared" si="33"/>
        <v>0</v>
      </c>
      <c r="R187" s="1371">
        <f t="shared" si="33"/>
        <v>0</v>
      </c>
      <c r="S187" s="1371">
        <f t="shared" si="33"/>
        <v>0</v>
      </c>
      <c r="T187" s="1371">
        <f t="shared" si="33"/>
        <v>0</v>
      </c>
      <c r="U187" s="1371">
        <f t="shared" si="28"/>
        <v>0</v>
      </c>
      <c r="V187" s="1373">
        <f t="shared" si="31"/>
        <v>0</v>
      </c>
      <c r="W187" s="960"/>
    </row>
    <row r="188" spans="1:23">
      <c r="A188" s="918">
        <v>300487</v>
      </c>
      <c r="B188" s="919" t="s">
        <v>137</v>
      </c>
      <c r="C188" s="1363">
        <f>IF('TAR_Tab 2_Volumina'!M191,1,0)</f>
        <v>0</v>
      </c>
      <c r="D188" s="1527">
        <v>0</v>
      </c>
      <c r="E188" s="1528">
        <f t="shared" si="24"/>
        <v>0</v>
      </c>
      <c r="F188" s="1528">
        <f t="shared" si="25"/>
        <v>0</v>
      </c>
      <c r="G188" s="1531"/>
      <c r="H188" s="1528">
        <f t="shared" si="26"/>
        <v>0</v>
      </c>
      <c r="I188" s="1528">
        <f t="shared" si="27"/>
        <v>0</v>
      </c>
      <c r="J188" s="1532">
        <f t="shared" si="29"/>
        <v>0</v>
      </c>
      <c r="K188" s="1369" t="str">
        <f t="shared" si="30"/>
        <v/>
      </c>
      <c r="L188" s="1558"/>
      <c r="M188" s="1364"/>
      <c r="N188" s="1371">
        <f t="shared" si="32"/>
        <v>0</v>
      </c>
      <c r="O188" s="1372"/>
      <c r="P188" s="1371">
        <f t="shared" si="33"/>
        <v>0</v>
      </c>
      <c r="Q188" s="1371">
        <f t="shared" si="33"/>
        <v>0</v>
      </c>
      <c r="R188" s="1371">
        <f t="shared" si="33"/>
        <v>0</v>
      </c>
      <c r="S188" s="1371">
        <f t="shared" si="33"/>
        <v>0</v>
      </c>
      <c r="T188" s="1371">
        <f t="shared" si="33"/>
        <v>0</v>
      </c>
      <c r="U188" s="1371">
        <f t="shared" si="28"/>
        <v>0</v>
      </c>
      <c r="V188" s="1373">
        <f t="shared" si="31"/>
        <v>0</v>
      </c>
      <c r="W188" s="960"/>
    </row>
    <row r="189" spans="1:23">
      <c r="A189" s="918">
        <v>300489</v>
      </c>
      <c r="B189" s="919" t="s">
        <v>1083</v>
      </c>
      <c r="C189" s="1363">
        <f>IF('TAR_Tab 2_Volumina'!M192,1,0)</f>
        <v>0</v>
      </c>
      <c r="D189" s="1527">
        <v>0</v>
      </c>
      <c r="E189" s="1528">
        <f t="shared" si="24"/>
        <v>0</v>
      </c>
      <c r="F189" s="1528">
        <f t="shared" si="25"/>
        <v>0</v>
      </c>
      <c r="G189" s="1531"/>
      <c r="H189" s="1528">
        <f t="shared" si="26"/>
        <v>0</v>
      </c>
      <c r="I189" s="1528">
        <f t="shared" si="27"/>
        <v>0</v>
      </c>
      <c r="J189" s="1532">
        <f t="shared" si="29"/>
        <v>0</v>
      </c>
      <c r="K189" s="1369" t="str">
        <f t="shared" si="30"/>
        <v/>
      </c>
      <c r="L189" s="1558"/>
      <c r="M189" s="1364"/>
      <c r="N189" s="1371">
        <f t="shared" si="32"/>
        <v>0</v>
      </c>
      <c r="O189" s="1372"/>
      <c r="P189" s="1371">
        <f t="shared" si="33"/>
        <v>0</v>
      </c>
      <c r="Q189" s="1371">
        <f t="shared" si="33"/>
        <v>0</v>
      </c>
      <c r="R189" s="1371">
        <f t="shared" si="33"/>
        <v>0</v>
      </c>
      <c r="S189" s="1371">
        <f t="shared" si="33"/>
        <v>0</v>
      </c>
      <c r="T189" s="1371">
        <f t="shared" si="33"/>
        <v>0</v>
      </c>
      <c r="U189" s="1371">
        <f t="shared" si="28"/>
        <v>0</v>
      </c>
      <c r="V189" s="1373">
        <f t="shared" si="31"/>
        <v>0</v>
      </c>
      <c r="W189" s="960"/>
    </row>
    <row r="190" spans="1:23">
      <c r="A190" s="918">
        <v>300491</v>
      </c>
      <c r="B190" s="919" t="s">
        <v>1084</v>
      </c>
      <c r="C190" s="1363">
        <f>IF('TAR_Tab 2_Volumina'!M193,1,0)</f>
        <v>0</v>
      </c>
      <c r="D190" s="1527">
        <v>0</v>
      </c>
      <c r="E190" s="1528">
        <f t="shared" si="24"/>
        <v>0</v>
      </c>
      <c r="F190" s="1528">
        <f t="shared" si="25"/>
        <v>0</v>
      </c>
      <c r="G190" s="1531"/>
      <c r="H190" s="1528">
        <f t="shared" si="26"/>
        <v>0</v>
      </c>
      <c r="I190" s="1528">
        <f t="shared" si="27"/>
        <v>0</v>
      </c>
      <c r="J190" s="1532">
        <f t="shared" si="29"/>
        <v>0</v>
      </c>
      <c r="K190" s="1369" t="str">
        <f t="shared" si="30"/>
        <v/>
      </c>
      <c r="L190" s="1558"/>
      <c r="M190" s="1364"/>
      <c r="N190" s="1371">
        <f t="shared" si="32"/>
        <v>0</v>
      </c>
      <c r="O190" s="1372"/>
      <c r="P190" s="1371">
        <f t="shared" si="33"/>
        <v>0</v>
      </c>
      <c r="Q190" s="1371">
        <f t="shared" si="33"/>
        <v>0</v>
      </c>
      <c r="R190" s="1371">
        <f t="shared" si="33"/>
        <v>0</v>
      </c>
      <c r="S190" s="1371">
        <f t="shared" si="33"/>
        <v>0</v>
      </c>
      <c r="T190" s="1371">
        <f t="shared" si="33"/>
        <v>0</v>
      </c>
      <c r="U190" s="1371">
        <f t="shared" si="28"/>
        <v>0</v>
      </c>
      <c r="V190" s="1373">
        <f t="shared" si="31"/>
        <v>0</v>
      </c>
      <c r="W190" s="960"/>
    </row>
    <row r="191" spans="1:23">
      <c r="A191" s="918">
        <v>300492</v>
      </c>
      <c r="B191" s="919" t="s">
        <v>1085</v>
      </c>
      <c r="C191" s="1363">
        <f>IF('TAR_Tab 2_Volumina'!M194,1,0)</f>
        <v>0</v>
      </c>
      <c r="D191" s="1527">
        <v>0</v>
      </c>
      <c r="E191" s="1528">
        <f t="shared" si="24"/>
        <v>0</v>
      </c>
      <c r="F191" s="1528">
        <f t="shared" si="25"/>
        <v>0</v>
      </c>
      <c r="G191" s="1531"/>
      <c r="H191" s="1528">
        <f t="shared" si="26"/>
        <v>0</v>
      </c>
      <c r="I191" s="1528">
        <f t="shared" si="27"/>
        <v>0</v>
      </c>
      <c r="J191" s="1532">
        <f t="shared" si="29"/>
        <v>0</v>
      </c>
      <c r="K191" s="1369" t="str">
        <f t="shared" si="30"/>
        <v/>
      </c>
      <c r="L191" s="1558"/>
      <c r="M191" s="1364"/>
      <c r="N191" s="1371">
        <f t="shared" si="32"/>
        <v>0</v>
      </c>
      <c r="O191" s="1372"/>
      <c r="P191" s="1371">
        <f t="shared" si="33"/>
        <v>0</v>
      </c>
      <c r="Q191" s="1371">
        <f t="shared" si="33"/>
        <v>0</v>
      </c>
      <c r="R191" s="1371">
        <f t="shared" si="33"/>
        <v>0</v>
      </c>
      <c r="S191" s="1371">
        <f t="shared" si="33"/>
        <v>0</v>
      </c>
      <c r="T191" s="1371">
        <f t="shared" si="33"/>
        <v>0</v>
      </c>
      <c r="U191" s="1371">
        <f t="shared" si="28"/>
        <v>0</v>
      </c>
      <c r="V191" s="1373">
        <f t="shared" si="31"/>
        <v>0</v>
      </c>
      <c r="W191" s="960"/>
    </row>
    <row r="192" spans="1:23">
      <c r="A192" s="918">
        <v>300495</v>
      </c>
      <c r="B192" s="919" t="s">
        <v>276</v>
      </c>
      <c r="C192" s="1363">
        <f>IF('TAR_Tab 2_Volumina'!M195,1,0)</f>
        <v>0</v>
      </c>
      <c r="D192" s="1527">
        <v>0</v>
      </c>
      <c r="E192" s="1528">
        <f t="shared" si="24"/>
        <v>0</v>
      </c>
      <c r="F192" s="1528">
        <f t="shared" si="25"/>
        <v>0</v>
      </c>
      <c r="G192" s="1531"/>
      <c r="H192" s="1528">
        <f t="shared" si="26"/>
        <v>0</v>
      </c>
      <c r="I192" s="1528">
        <f t="shared" si="27"/>
        <v>0</v>
      </c>
      <c r="J192" s="1532">
        <f t="shared" si="29"/>
        <v>0</v>
      </c>
      <c r="K192" s="1369" t="str">
        <f t="shared" si="30"/>
        <v/>
      </c>
      <c r="L192" s="1558"/>
      <c r="M192" s="1364"/>
      <c r="N192" s="1371">
        <f t="shared" si="32"/>
        <v>0</v>
      </c>
      <c r="O192" s="1372"/>
      <c r="P192" s="1371">
        <f t="shared" si="33"/>
        <v>0</v>
      </c>
      <c r="Q192" s="1371">
        <f t="shared" si="33"/>
        <v>0</v>
      </c>
      <c r="R192" s="1371">
        <f t="shared" si="33"/>
        <v>0</v>
      </c>
      <c r="S192" s="1371">
        <f t="shared" si="33"/>
        <v>0</v>
      </c>
      <c r="T192" s="1371">
        <f t="shared" si="33"/>
        <v>0</v>
      </c>
      <c r="U192" s="1371">
        <f t="shared" si="28"/>
        <v>0</v>
      </c>
      <c r="V192" s="1373">
        <f t="shared" si="31"/>
        <v>0</v>
      </c>
      <c r="W192" s="960"/>
    </row>
    <row r="193" spans="1:23">
      <c r="A193" s="918">
        <v>300500</v>
      </c>
      <c r="B193" s="919" t="s">
        <v>310</v>
      </c>
      <c r="C193" s="1363">
        <f>IF('TAR_Tab 2_Volumina'!M196,1,0)</f>
        <v>1</v>
      </c>
      <c r="D193" s="1529">
        <v>35452.089790587779</v>
      </c>
      <c r="E193" s="1528">
        <f t="shared" si="24"/>
        <v>33807.11282430451</v>
      </c>
      <c r="F193" s="1528">
        <f t="shared" si="25"/>
        <v>35722.02781136518</v>
      </c>
      <c r="G193" s="1531"/>
      <c r="H193" s="1528">
        <f t="shared" si="26"/>
        <v>33935.926420796917</v>
      </c>
      <c r="I193" s="1528">
        <f t="shared" si="27"/>
        <v>37508.129201933443</v>
      </c>
      <c r="J193" s="1532">
        <f t="shared" si="29"/>
        <v>35722.02781136518</v>
      </c>
      <c r="K193" s="1369" t="b">
        <f t="shared" si="30"/>
        <v>1</v>
      </c>
      <c r="L193" s="1558"/>
      <c r="M193" s="1364"/>
      <c r="N193" s="1371">
        <f t="shared" si="32"/>
        <v>35722.02781136518</v>
      </c>
      <c r="O193" s="1372"/>
      <c r="P193" s="1371">
        <f t="shared" si="33"/>
        <v>112.33589430594309</v>
      </c>
      <c r="Q193" s="1371">
        <f t="shared" si="33"/>
        <v>89.041969719838676</v>
      </c>
      <c r="R193" s="1371">
        <f t="shared" si="33"/>
        <v>246.24826871808571</v>
      </c>
      <c r="S193" s="1371">
        <f t="shared" si="33"/>
        <v>0</v>
      </c>
      <c r="T193" s="1371">
        <f t="shared" si="33"/>
        <v>2310.2714077435703</v>
      </c>
      <c r="U193" s="1371">
        <f t="shared" si="28"/>
        <v>38479.925351852624</v>
      </c>
      <c r="V193" s="1373">
        <f t="shared" si="31"/>
        <v>38479.93</v>
      </c>
      <c r="W193" s="960"/>
    </row>
    <row r="194" spans="1:23">
      <c r="A194" s="918">
        <v>300501</v>
      </c>
      <c r="B194" s="919" t="s">
        <v>277</v>
      </c>
      <c r="C194" s="1363">
        <f>IF('TAR_Tab 2_Volumina'!M197,1,0)</f>
        <v>0</v>
      </c>
      <c r="D194" s="1527">
        <v>0</v>
      </c>
      <c r="E194" s="1528">
        <f t="shared" si="24"/>
        <v>0</v>
      </c>
      <c r="F194" s="1528">
        <f t="shared" si="25"/>
        <v>0</v>
      </c>
      <c r="G194" s="1531"/>
      <c r="H194" s="1528">
        <f t="shared" si="26"/>
        <v>0</v>
      </c>
      <c r="I194" s="1528">
        <f t="shared" si="27"/>
        <v>0</v>
      </c>
      <c r="J194" s="1532">
        <f t="shared" si="29"/>
        <v>0</v>
      </c>
      <c r="K194" s="1369" t="str">
        <f t="shared" si="30"/>
        <v/>
      </c>
      <c r="L194" s="1558"/>
      <c r="M194" s="1364"/>
      <c r="N194" s="1371">
        <f t="shared" si="32"/>
        <v>0</v>
      </c>
      <c r="O194" s="1372"/>
      <c r="P194" s="1371">
        <f t="shared" si="33"/>
        <v>0</v>
      </c>
      <c r="Q194" s="1371">
        <f t="shared" si="33"/>
        <v>0</v>
      </c>
      <c r="R194" s="1371">
        <f t="shared" si="33"/>
        <v>0</v>
      </c>
      <c r="S194" s="1371">
        <f t="shared" si="33"/>
        <v>0</v>
      </c>
      <c r="T194" s="1371">
        <f t="shared" si="33"/>
        <v>0</v>
      </c>
      <c r="U194" s="1371">
        <f t="shared" si="28"/>
        <v>0</v>
      </c>
      <c r="V194" s="1373">
        <f t="shared" si="31"/>
        <v>0</v>
      </c>
      <c r="W194" s="960"/>
    </row>
    <row r="195" spans="1:23">
      <c r="A195" s="918">
        <v>300507</v>
      </c>
      <c r="B195" s="919" t="s">
        <v>138</v>
      </c>
      <c r="C195" s="1363">
        <f>IF('TAR_Tab 2_Volumina'!M198,1,0)</f>
        <v>1</v>
      </c>
      <c r="D195" s="1527">
        <v>17726.04489529389</v>
      </c>
      <c r="E195" s="1528">
        <f t="shared" si="24"/>
        <v>16903.556412152255</v>
      </c>
      <c r="F195" s="1528">
        <f t="shared" si="25"/>
        <v>17861.01390568259</v>
      </c>
      <c r="G195" s="1531"/>
      <c r="H195" s="1528">
        <f t="shared" si="26"/>
        <v>16967.963210398459</v>
      </c>
      <c r="I195" s="1528">
        <f t="shared" si="27"/>
        <v>18754.064600966722</v>
      </c>
      <c r="J195" s="1532">
        <f t="shared" si="29"/>
        <v>17861.01390568259</v>
      </c>
      <c r="K195" s="1369" t="b">
        <f t="shared" si="30"/>
        <v>1</v>
      </c>
      <c r="L195" s="1558"/>
      <c r="M195" s="1364"/>
      <c r="N195" s="1371">
        <f t="shared" si="32"/>
        <v>17861.01390568259</v>
      </c>
      <c r="O195" s="1372"/>
      <c r="P195" s="1371">
        <f t="shared" si="33"/>
        <v>56.167947152971543</v>
      </c>
      <c r="Q195" s="1371">
        <f t="shared" si="33"/>
        <v>44.520984859919338</v>
      </c>
      <c r="R195" s="1371">
        <f t="shared" si="33"/>
        <v>123.12413435904286</v>
      </c>
      <c r="S195" s="1371">
        <f t="shared" si="33"/>
        <v>0</v>
      </c>
      <c r="T195" s="1371">
        <f t="shared" si="33"/>
        <v>1155.1357038717852</v>
      </c>
      <c r="U195" s="1371">
        <f t="shared" si="28"/>
        <v>19239.962675926312</v>
      </c>
      <c r="V195" s="1373">
        <f t="shared" si="31"/>
        <v>19239.96</v>
      </c>
      <c r="W195" s="960"/>
    </row>
    <row r="196" spans="1:23">
      <c r="A196" s="918">
        <v>300516</v>
      </c>
      <c r="B196" s="919" t="s">
        <v>1086</v>
      </c>
      <c r="C196" s="1363">
        <f>IF('TAR_Tab 2_Volumina'!M199,1,0)</f>
        <v>0</v>
      </c>
      <c r="D196" s="1527">
        <v>0</v>
      </c>
      <c r="E196" s="1528">
        <f t="shared" si="24"/>
        <v>0</v>
      </c>
      <c r="F196" s="1528">
        <f t="shared" si="25"/>
        <v>0</v>
      </c>
      <c r="G196" s="1531"/>
      <c r="H196" s="1528">
        <f t="shared" si="26"/>
        <v>0</v>
      </c>
      <c r="I196" s="1528">
        <f t="shared" si="27"/>
        <v>0</v>
      </c>
      <c r="J196" s="1532">
        <f t="shared" si="29"/>
        <v>0</v>
      </c>
      <c r="K196" s="1369" t="str">
        <f t="shared" si="30"/>
        <v/>
      </c>
      <c r="L196" s="1558"/>
      <c r="M196" s="1364"/>
      <c r="N196" s="1371">
        <f t="shared" si="32"/>
        <v>0</v>
      </c>
      <c r="O196" s="1372"/>
      <c r="P196" s="1371">
        <f t="shared" si="33"/>
        <v>0</v>
      </c>
      <c r="Q196" s="1371">
        <f t="shared" si="33"/>
        <v>0</v>
      </c>
      <c r="R196" s="1371">
        <f t="shared" si="33"/>
        <v>0</v>
      </c>
      <c r="S196" s="1371">
        <f t="shared" si="33"/>
        <v>0</v>
      </c>
      <c r="T196" s="1371">
        <f t="shared" si="33"/>
        <v>0</v>
      </c>
      <c r="U196" s="1371">
        <f t="shared" si="28"/>
        <v>0</v>
      </c>
      <c r="V196" s="1373">
        <f t="shared" si="31"/>
        <v>0</v>
      </c>
      <c r="W196" s="960"/>
    </row>
    <row r="197" spans="1:23">
      <c r="A197" s="918">
        <v>300524</v>
      </c>
      <c r="B197" s="919" t="s">
        <v>139</v>
      </c>
      <c r="C197" s="1363">
        <f>IF('TAR_Tab 2_Volumina'!M200,1,0)</f>
        <v>0</v>
      </c>
      <c r="D197" s="1527">
        <v>0</v>
      </c>
      <c r="E197" s="1528">
        <f t="shared" si="24"/>
        <v>0</v>
      </c>
      <c r="F197" s="1528">
        <f t="shared" si="25"/>
        <v>0</v>
      </c>
      <c r="G197" s="1531"/>
      <c r="H197" s="1528">
        <f t="shared" si="26"/>
        <v>0</v>
      </c>
      <c r="I197" s="1528">
        <f t="shared" si="27"/>
        <v>0</v>
      </c>
      <c r="J197" s="1532">
        <f t="shared" si="29"/>
        <v>0</v>
      </c>
      <c r="K197" s="1369" t="str">
        <f t="shared" si="30"/>
        <v/>
      </c>
      <c r="L197" s="1558"/>
      <c r="M197" s="1364"/>
      <c r="N197" s="1371">
        <f t="shared" si="32"/>
        <v>0</v>
      </c>
      <c r="O197" s="1372"/>
      <c r="P197" s="1371">
        <f t="shared" si="33"/>
        <v>0</v>
      </c>
      <c r="Q197" s="1371">
        <f t="shared" si="33"/>
        <v>0</v>
      </c>
      <c r="R197" s="1371">
        <f t="shared" si="33"/>
        <v>0</v>
      </c>
      <c r="S197" s="1371">
        <f t="shared" si="33"/>
        <v>0</v>
      </c>
      <c r="T197" s="1371">
        <f t="shared" si="33"/>
        <v>0</v>
      </c>
      <c r="U197" s="1371">
        <f t="shared" si="28"/>
        <v>0</v>
      </c>
      <c r="V197" s="1373">
        <f t="shared" si="31"/>
        <v>0</v>
      </c>
      <c r="W197" s="960"/>
    </row>
    <row r="198" spans="1:23">
      <c r="A198" s="918">
        <v>300527</v>
      </c>
      <c r="B198" s="919" t="s">
        <v>278</v>
      </c>
      <c r="C198" s="1363">
        <f>IF('TAR_Tab 2_Volumina'!M201,1,0)</f>
        <v>0</v>
      </c>
      <c r="D198" s="1527">
        <v>0</v>
      </c>
      <c r="E198" s="1528">
        <f t="shared" si="24"/>
        <v>0</v>
      </c>
      <c r="F198" s="1528">
        <f t="shared" si="25"/>
        <v>0</v>
      </c>
      <c r="G198" s="1531"/>
      <c r="H198" s="1528">
        <f t="shared" si="26"/>
        <v>0</v>
      </c>
      <c r="I198" s="1528">
        <f t="shared" si="27"/>
        <v>0</v>
      </c>
      <c r="J198" s="1532">
        <f t="shared" si="29"/>
        <v>0</v>
      </c>
      <c r="K198" s="1369" t="str">
        <f t="shared" si="30"/>
        <v/>
      </c>
      <c r="L198" s="1558"/>
      <c r="M198" s="1364"/>
      <c r="N198" s="1371">
        <f t="shared" si="32"/>
        <v>0</v>
      </c>
      <c r="O198" s="1372"/>
      <c r="P198" s="1371">
        <f t="shared" si="33"/>
        <v>0</v>
      </c>
      <c r="Q198" s="1371">
        <f t="shared" si="33"/>
        <v>0</v>
      </c>
      <c r="R198" s="1371">
        <f t="shared" si="33"/>
        <v>0</v>
      </c>
      <c r="S198" s="1371">
        <f t="shared" si="33"/>
        <v>0</v>
      </c>
      <c r="T198" s="1371">
        <f t="shared" si="33"/>
        <v>0</v>
      </c>
      <c r="U198" s="1371">
        <f t="shared" si="28"/>
        <v>0</v>
      </c>
      <c r="V198" s="1373">
        <f t="shared" si="31"/>
        <v>0</v>
      </c>
      <c r="W198" s="960"/>
    </row>
    <row r="199" spans="1:23">
      <c r="A199" s="918">
        <v>300530</v>
      </c>
      <c r="B199" s="919" t="s">
        <v>140</v>
      </c>
      <c r="C199" s="1363">
        <f>IF('TAR_Tab 2_Volumina'!M202,1,0)</f>
        <v>0</v>
      </c>
      <c r="D199" s="1527">
        <v>0</v>
      </c>
      <c r="E199" s="1528">
        <f t="shared" si="24"/>
        <v>0</v>
      </c>
      <c r="F199" s="1528">
        <f t="shared" si="25"/>
        <v>0</v>
      </c>
      <c r="G199" s="1531"/>
      <c r="H199" s="1528">
        <f t="shared" si="26"/>
        <v>0</v>
      </c>
      <c r="I199" s="1528">
        <f t="shared" si="27"/>
        <v>0</v>
      </c>
      <c r="J199" s="1532">
        <f t="shared" si="29"/>
        <v>0</v>
      </c>
      <c r="K199" s="1369" t="str">
        <f t="shared" si="30"/>
        <v/>
      </c>
      <c r="L199" s="1558"/>
      <c r="M199" s="1364"/>
      <c r="N199" s="1371">
        <f t="shared" si="32"/>
        <v>0</v>
      </c>
      <c r="O199" s="1372"/>
      <c r="P199" s="1371">
        <f t="shared" si="33"/>
        <v>0</v>
      </c>
      <c r="Q199" s="1371">
        <f t="shared" si="33"/>
        <v>0</v>
      </c>
      <c r="R199" s="1371">
        <f t="shared" si="33"/>
        <v>0</v>
      </c>
      <c r="S199" s="1371">
        <f t="shared" si="33"/>
        <v>0</v>
      </c>
      <c r="T199" s="1371">
        <f t="shared" si="33"/>
        <v>0</v>
      </c>
      <c r="U199" s="1371">
        <f t="shared" si="28"/>
        <v>0</v>
      </c>
      <c r="V199" s="1373">
        <f t="shared" si="31"/>
        <v>0</v>
      </c>
      <c r="W199" s="960"/>
    </row>
    <row r="200" spans="1:23">
      <c r="A200" s="918">
        <v>300533</v>
      </c>
      <c r="B200" s="919" t="s">
        <v>141</v>
      </c>
      <c r="C200" s="1363">
        <f>IF('TAR_Tab 2_Volumina'!M203,1,0)</f>
        <v>0</v>
      </c>
      <c r="D200" s="1527">
        <v>0</v>
      </c>
      <c r="E200" s="1528">
        <f t="shared" si="24"/>
        <v>0</v>
      </c>
      <c r="F200" s="1528">
        <f t="shared" si="25"/>
        <v>0</v>
      </c>
      <c r="G200" s="1531"/>
      <c r="H200" s="1528">
        <f t="shared" si="26"/>
        <v>0</v>
      </c>
      <c r="I200" s="1528">
        <f t="shared" si="27"/>
        <v>0</v>
      </c>
      <c r="J200" s="1532">
        <f t="shared" si="29"/>
        <v>0</v>
      </c>
      <c r="K200" s="1369" t="str">
        <f t="shared" si="30"/>
        <v/>
      </c>
      <c r="L200" s="1558"/>
      <c r="M200" s="1364"/>
      <c r="N200" s="1371">
        <f t="shared" si="32"/>
        <v>0</v>
      </c>
      <c r="O200" s="1372"/>
      <c r="P200" s="1371">
        <f t="shared" si="33"/>
        <v>0</v>
      </c>
      <c r="Q200" s="1371">
        <f t="shared" si="33"/>
        <v>0</v>
      </c>
      <c r="R200" s="1371">
        <f t="shared" si="33"/>
        <v>0</v>
      </c>
      <c r="S200" s="1371">
        <f t="shared" si="33"/>
        <v>0</v>
      </c>
      <c r="T200" s="1371">
        <f t="shared" si="33"/>
        <v>0</v>
      </c>
      <c r="U200" s="1371">
        <f t="shared" si="28"/>
        <v>0</v>
      </c>
      <c r="V200" s="1373">
        <f t="shared" si="31"/>
        <v>0</v>
      </c>
      <c r="W200" s="960"/>
    </row>
    <row r="201" spans="1:23">
      <c r="A201" s="918">
        <v>300534</v>
      </c>
      <c r="B201" s="919" t="s">
        <v>1087</v>
      </c>
      <c r="C201" s="1363">
        <f>IF('TAR_Tab 2_Volumina'!M204,1,0)</f>
        <v>0</v>
      </c>
      <c r="D201" s="1527">
        <v>0</v>
      </c>
      <c r="E201" s="1528">
        <f t="shared" ref="E201:E264" si="34">D201*$E$7*C201</f>
        <v>0</v>
      </c>
      <c r="F201" s="1528">
        <f t="shared" ref="F201:F264" si="35">E201*$F$7</f>
        <v>0</v>
      </c>
      <c r="G201" s="1531"/>
      <c r="H201" s="1528">
        <f t="shared" ref="H201:H264" si="36">F201*$H$7</f>
        <v>0</v>
      </c>
      <c r="I201" s="1528">
        <f t="shared" ref="I201:I264" si="37">F201*$I$7</f>
        <v>0</v>
      </c>
      <c r="J201" s="1532">
        <f t="shared" si="29"/>
        <v>0</v>
      </c>
      <c r="K201" s="1369" t="str">
        <f t="shared" si="30"/>
        <v/>
      </c>
      <c r="L201" s="1558"/>
      <c r="M201" s="1364"/>
      <c r="N201" s="1371">
        <f t="shared" si="32"/>
        <v>0</v>
      </c>
      <c r="O201" s="1372"/>
      <c r="P201" s="1371">
        <f t="shared" si="33"/>
        <v>0</v>
      </c>
      <c r="Q201" s="1371">
        <f t="shared" si="33"/>
        <v>0</v>
      </c>
      <c r="R201" s="1371">
        <f t="shared" si="33"/>
        <v>0</v>
      </c>
      <c r="S201" s="1371">
        <f t="shared" si="33"/>
        <v>0</v>
      </c>
      <c r="T201" s="1371">
        <f t="shared" si="33"/>
        <v>0</v>
      </c>
      <c r="U201" s="1371">
        <f t="shared" ref="U201:U264" si="38">N201+P201+Q201+R201+S201+T201</f>
        <v>0</v>
      </c>
      <c r="V201" s="1373">
        <f t="shared" si="31"/>
        <v>0</v>
      </c>
      <c r="W201" s="960"/>
    </row>
    <row r="202" spans="1:23">
      <c r="A202" s="918">
        <v>300535</v>
      </c>
      <c r="B202" s="919" t="s">
        <v>279</v>
      </c>
      <c r="C202" s="1363">
        <f>IF('TAR_Tab 2_Volumina'!M205,1,0)</f>
        <v>0</v>
      </c>
      <c r="D202" s="1527">
        <v>0</v>
      </c>
      <c r="E202" s="1528">
        <f t="shared" si="34"/>
        <v>0</v>
      </c>
      <c r="F202" s="1528">
        <f t="shared" si="35"/>
        <v>0</v>
      </c>
      <c r="G202" s="1531"/>
      <c r="H202" s="1528">
        <f t="shared" si="36"/>
        <v>0</v>
      </c>
      <c r="I202" s="1528">
        <f t="shared" si="37"/>
        <v>0</v>
      </c>
      <c r="J202" s="1532">
        <f t="shared" ref="J202:J265" si="39">F202</f>
        <v>0</v>
      </c>
      <c r="K202" s="1369" t="str">
        <f t="shared" ref="K202:K265" si="40">IF(J202&gt;0,AND(J202&gt;=H202,J202&lt;=I202),"")</f>
        <v/>
      </c>
      <c r="L202" s="1558"/>
      <c r="M202" s="1364"/>
      <c r="N202" s="1371">
        <f t="shared" si="32"/>
        <v>0</v>
      </c>
      <c r="O202" s="1372"/>
      <c r="P202" s="1371">
        <f t="shared" si="33"/>
        <v>0</v>
      </c>
      <c r="Q202" s="1371">
        <f t="shared" si="33"/>
        <v>0</v>
      </c>
      <c r="R202" s="1371">
        <f t="shared" si="33"/>
        <v>0</v>
      </c>
      <c r="S202" s="1371">
        <f t="shared" si="33"/>
        <v>0</v>
      </c>
      <c r="T202" s="1371">
        <f t="shared" si="33"/>
        <v>0</v>
      </c>
      <c r="U202" s="1371">
        <f t="shared" si="38"/>
        <v>0</v>
      </c>
      <c r="V202" s="1373">
        <f t="shared" si="31"/>
        <v>0</v>
      </c>
      <c r="W202" s="960"/>
    </row>
    <row r="203" spans="1:23">
      <c r="A203" s="918">
        <v>300541</v>
      </c>
      <c r="B203" s="919" t="s">
        <v>1088</v>
      </c>
      <c r="C203" s="1363">
        <f>IF('TAR_Tab 2_Volumina'!M206,1,0)</f>
        <v>0</v>
      </c>
      <c r="D203" s="1527">
        <v>0</v>
      </c>
      <c r="E203" s="1528">
        <f t="shared" si="34"/>
        <v>0</v>
      </c>
      <c r="F203" s="1528">
        <f t="shared" si="35"/>
        <v>0</v>
      </c>
      <c r="G203" s="1531"/>
      <c r="H203" s="1528">
        <f t="shared" si="36"/>
        <v>0</v>
      </c>
      <c r="I203" s="1528">
        <f t="shared" si="37"/>
        <v>0</v>
      </c>
      <c r="J203" s="1532">
        <f t="shared" si="39"/>
        <v>0</v>
      </c>
      <c r="K203" s="1369" t="str">
        <f t="shared" si="40"/>
        <v/>
      </c>
      <c r="L203" s="1558"/>
      <c r="M203" s="1364"/>
      <c r="N203" s="1371">
        <f t="shared" si="32"/>
        <v>0</v>
      </c>
      <c r="O203" s="1372"/>
      <c r="P203" s="1371">
        <f t="shared" si="33"/>
        <v>0</v>
      </c>
      <c r="Q203" s="1371">
        <f t="shared" si="33"/>
        <v>0</v>
      </c>
      <c r="R203" s="1371">
        <f t="shared" si="33"/>
        <v>0</v>
      </c>
      <c r="S203" s="1371">
        <f t="shared" si="33"/>
        <v>0</v>
      </c>
      <c r="T203" s="1371">
        <f t="shared" si="33"/>
        <v>0</v>
      </c>
      <c r="U203" s="1371">
        <f t="shared" si="38"/>
        <v>0</v>
      </c>
      <c r="V203" s="1373">
        <f t="shared" si="31"/>
        <v>0</v>
      </c>
      <c r="W203" s="960"/>
    </row>
    <row r="204" spans="1:23">
      <c r="A204" s="918">
        <v>300542</v>
      </c>
      <c r="B204" s="919" t="s">
        <v>280</v>
      </c>
      <c r="C204" s="1363">
        <f>IF('TAR_Tab 2_Volumina'!M207,1,0)</f>
        <v>0</v>
      </c>
      <c r="D204" s="1527">
        <v>0</v>
      </c>
      <c r="E204" s="1528">
        <f t="shared" si="34"/>
        <v>0</v>
      </c>
      <c r="F204" s="1528">
        <f t="shared" si="35"/>
        <v>0</v>
      </c>
      <c r="G204" s="1531"/>
      <c r="H204" s="1528">
        <f t="shared" si="36"/>
        <v>0</v>
      </c>
      <c r="I204" s="1528">
        <f t="shared" si="37"/>
        <v>0</v>
      </c>
      <c r="J204" s="1532">
        <f t="shared" si="39"/>
        <v>0</v>
      </c>
      <c r="K204" s="1369" t="str">
        <f t="shared" si="40"/>
        <v/>
      </c>
      <c r="L204" s="1558"/>
      <c r="M204" s="1364"/>
      <c r="N204" s="1371">
        <f t="shared" si="32"/>
        <v>0</v>
      </c>
      <c r="O204" s="1372"/>
      <c r="P204" s="1371">
        <f t="shared" si="33"/>
        <v>0</v>
      </c>
      <c r="Q204" s="1371">
        <f t="shared" si="33"/>
        <v>0</v>
      </c>
      <c r="R204" s="1371">
        <f t="shared" si="33"/>
        <v>0</v>
      </c>
      <c r="S204" s="1371">
        <f t="shared" si="33"/>
        <v>0</v>
      </c>
      <c r="T204" s="1371">
        <f t="shared" si="33"/>
        <v>0</v>
      </c>
      <c r="U204" s="1371">
        <f t="shared" si="38"/>
        <v>0</v>
      </c>
      <c r="V204" s="1373">
        <f t="shared" si="31"/>
        <v>0</v>
      </c>
      <c r="W204" s="960"/>
    </row>
    <row r="205" spans="1:23">
      <c r="A205" s="918">
        <v>300544</v>
      </c>
      <c r="B205" s="919" t="s">
        <v>142</v>
      </c>
      <c r="C205" s="1363">
        <f>IF('TAR_Tab 2_Volumina'!M208,1,0)</f>
        <v>0</v>
      </c>
      <c r="D205" s="1527">
        <v>0</v>
      </c>
      <c r="E205" s="1528">
        <f t="shared" si="34"/>
        <v>0</v>
      </c>
      <c r="F205" s="1528">
        <f t="shared" si="35"/>
        <v>0</v>
      </c>
      <c r="G205" s="1531"/>
      <c r="H205" s="1528">
        <f t="shared" si="36"/>
        <v>0</v>
      </c>
      <c r="I205" s="1528">
        <f t="shared" si="37"/>
        <v>0</v>
      </c>
      <c r="J205" s="1532">
        <f t="shared" si="39"/>
        <v>0</v>
      </c>
      <c r="K205" s="1369" t="str">
        <f t="shared" si="40"/>
        <v/>
      </c>
      <c r="L205" s="1558"/>
      <c r="M205" s="1364"/>
      <c r="N205" s="1371">
        <f t="shared" si="32"/>
        <v>0</v>
      </c>
      <c r="O205" s="1372"/>
      <c r="P205" s="1371">
        <f t="shared" si="33"/>
        <v>0</v>
      </c>
      <c r="Q205" s="1371">
        <f t="shared" si="33"/>
        <v>0</v>
      </c>
      <c r="R205" s="1371">
        <f t="shared" si="33"/>
        <v>0</v>
      </c>
      <c r="S205" s="1371">
        <f t="shared" si="33"/>
        <v>0</v>
      </c>
      <c r="T205" s="1371">
        <f t="shared" si="33"/>
        <v>0</v>
      </c>
      <c r="U205" s="1371">
        <f t="shared" si="38"/>
        <v>0</v>
      </c>
      <c r="V205" s="1373">
        <f t="shared" si="31"/>
        <v>0</v>
      </c>
      <c r="W205" s="960"/>
    </row>
    <row r="206" spans="1:23">
      <c r="A206" s="918">
        <v>300546</v>
      </c>
      <c r="B206" s="919" t="s">
        <v>143</v>
      </c>
      <c r="C206" s="1363">
        <f>IF('TAR_Tab 2_Volumina'!M209,1,0)</f>
        <v>0</v>
      </c>
      <c r="D206" s="1527">
        <v>0</v>
      </c>
      <c r="E206" s="1528">
        <f t="shared" si="34"/>
        <v>0</v>
      </c>
      <c r="F206" s="1528">
        <f t="shared" si="35"/>
        <v>0</v>
      </c>
      <c r="G206" s="1531"/>
      <c r="H206" s="1528">
        <f t="shared" si="36"/>
        <v>0</v>
      </c>
      <c r="I206" s="1528">
        <f t="shared" si="37"/>
        <v>0</v>
      </c>
      <c r="J206" s="1532">
        <f t="shared" si="39"/>
        <v>0</v>
      </c>
      <c r="K206" s="1369" t="str">
        <f t="shared" si="40"/>
        <v/>
      </c>
      <c r="L206" s="1558"/>
      <c r="M206" s="1364"/>
      <c r="N206" s="1371">
        <f t="shared" si="32"/>
        <v>0</v>
      </c>
      <c r="O206" s="1372"/>
      <c r="P206" s="1371">
        <f t="shared" si="33"/>
        <v>0</v>
      </c>
      <c r="Q206" s="1371">
        <f t="shared" si="33"/>
        <v>0</v>
      </c>
      <c r="R206" s="1371">
        <f t="shared" si="33"/>
        <v>0</v>
      </c>
      <c r="S206" s="1371">
        <f t="shared" si="33"/>
        <v>0</v>
      </c>
      <c r="T206" s="1371">
        <f t="shared" si="33"/>
        <v>0</v>
      </c>
      <c r="U206" s="1371">
        <f t="shared" si="38"/>
        <v>0</v>
      </c>
      <c r="V206" s="1373">
        <f t="shared" si="31"/>
        <v>0</v>
      </c>
      <c r="W206" s="960"/>
    </row>
    <row r="207" spans="1:23">
      <c r="A207" s="918">
        <v>300549</v>
      </c>
      <c r="B207" s="919" t="s">
        <v>144</v>
      </c>
      <c r="C207" s="1363">
        <f>IF('TAR_Tab 2_Volumina'!M210,1,0)</f>
        <v>0</v>
      </c>
      <c r="D207" s="1527">
        <v>0</v>
      </c>
      <c r="E207" s="1528">
        <f t="shared" si="34"/>
        <v>0</v>
      </c>
      <c r="F207" s="1528">
        <f t="shared" si="35"/>
        <v>0</v>
      </c>
      <c r="G207" s="1531"/>
      <c r="H207" s="1528">
        <f t="shared" si="36"/>
        <v>0</v>
      </c>
      <c r="I207" s="1528">
        <f t="shared" si="37"/>
        <v>0</v>
      </c>
      <c r="J207" s="1532">
        <f t="shared" si="39"/>
        <v>0</v>
      </c>
      <c r="K207" s="1369" t="str">
        <f t="shared" si="40"/>
        <v/>
      </c>
      <c r="L207" s="1558"/>
      <c r="M207" s="1364"/>
      <c r="N207" s="1371">
        <f t="shared" si="32"/>
        <v>0</v>
      </c>
      <c r="O207" s="1372"/>
      <c r="P207" s="1371">
        <f t="shared" si="33"/>
        <v>0</v>
      </c>
      <c r="Q207" s="1371">
        <f t="shared" si="33"/>
        <v>0</v>
      </c>
      <c r="R207" s="1371">
        <f t="shared" si="33"/>
        <v>0</v>
      </c>
      <c r="S207" s="1371">
        <f t="shared" si="33"/>
        <v>0</v>
      </c>
      <c r="T207" s="1371">
        <f t="shared" si="33"/>
        <v>0</v>
      </c>
      <c r="U207" s="1371">
        <f t="shared" si="38"/>
        <v>0</v>
      </c>
      <c r="V207" s="1373">
        <f t="shared" si="31"/>
        <v>0</v>
      </c>
      <c r="W207" s="960"/>
    </row>
    <row r="208" spans="1:23">
      <c r="A208" s="918">
        <v>300552</v>
      </c>
      <c r="B208" s="919" t="s">
        <v>1089</v>
      </c>
      <c r="C208" s="1363">
        <f>IF('TAR_Tab 2_Volumina'!M211,1,0)</f>
        <v>0</v>
      </c>
      <c r="D208" s="1527">
        <v>0</v>
      </c>
      <c r="E208" s="1528">
        <f t="shared" si="34"/>
        <v>0</v>
      </c>
      <c r="F208" s="1528">
        <f t="shared" si="35"/>
        <v>0</v>
      </c>
      <c r="G208" s="1531"/>
      <c r="H208" s="1528">
        <f t="shared" si="36"/>
        <v>0</v>
      </c>
      <c r="I208" s="1528">
        <f t="shared" si="37"/>
        <v>0</v>
      </c>
      <c r="J208" s="1532">
        <f t="shared" si="39"/>
        <v>0</v>
      </c>
      <c r="K208" s="1369" t="str">
        <f t="shared" si="40"/>
        <v/>
      </c>
      <c r="L208" s="1558"/>
      <c r="M208" s="1364"/>
      <c r="N208" s="1371">
        <f t="shared" si="32"/>
        <v>0</v>
      </c>
      <c r="O208" s="1372"/>
      <c r="P208" s="1371">
        <f t="shared" si="33"/>
        <v>0</v>
      </c>
      <c r="Q208" s="1371">
        <f t="shared" si="33"/>
        <v>0</v>
      </c>
      <c r="R208" s="1371">
        <f t="shared" si="33"/>
        <v>0</v>
      </c>
      <c r="S208" s="1371">
        <f t="shared" si="33"/>
        <v>0</v>
      </c>
      <c r="T208" s="1371">
        <f t="shared" si="33"/>
        <v>0</v>
      </c>
      <c r="U208" s="1371">
        <f t="shared" si="38"/>
        <v>0</v>
      </c>
      <c r="V208" s="1373">
        <f t="shared" si="31"/>
        <v>0</v>
      </c>
      <c r="W208" s="960"/>
    </row>
    <row r="209" spans="1:23">
      <c r="A209" s="918">
        <v>300553</v>
      </c>
      <c r="B209" s="919" t="s">
        <v>145</v>
      </c>
      <c r="C209" s="1363">
        <f>IF('TAR_Tab 2_Volumina'!M212,1,0)</f>
        <v>0</v>
      </c>
      <c r="D209" s="1527">
        <v>0</v>
      </c>
      <c r="E209" s="1528">
        <f t="shared" si="34"/>
        <v>0</v>
      </c>
      <c r="F209" s="1528">
        <f t="shared" si="35"/>
        <v>0</v>
      </c>
      <c r="G209" s="1531"/>
      <c r="H209" s="1528">
        <f t="shared" si="36"/>
        <v>0</v>
      </c>
      <c r="I209" s="1528">
        <f t="shared" si="37"/>
        <v>0</v>
      </c>
      <c r="J209" s="1532">
        <f t="shared" si="39"/>
        <v>0</v>
      </c>
      <c r="K209" s="1369" t="str">
        <f t="shared" si="40"/>
        <v/>
      </c>
      <c r="L209" s="1558"/>
      <c r="M209" s="1364"/>
      <c r="N209" s="1371">
        <f t="shared" si="32"/>
        <v>0</v>
      </c>
      <c r="O209" s="1372"/>
      <c r="P209" s="1371">
        <f t="shared" si="33"/>
        <v>0</v>
      </c>
      <c r="Q209" s="1371">
        <f t="shared" si="33"/>
        <v>0</v>
      </c>
      <c r="R209" s="1371">
        <f t="shared" si="33"/>
        <v>0</v>
      </c>
      <c r="S209" s="1371">
        <f t="shared" si="33"/>
        <v>0</v>
      </c>
      <c r="T209" s="1371">
        <f t="shared" si="33"/>
        <v>0</v>
      </c>
      <c r="U209" s="1371">
        <f t="shared" si="38"/>
        <v>0</v>
      </c>
      <c r="V209" s="1373">
        <f t="shared" si="31"/>
        <v>0</v>
      </c>
      <c r="W209" s="960"/>
    </row>
    <row r="210" spans="1:23">
      <c r="A210" s="918">
        <v>300555</v>
      </c>
      <c r="B210" s="919" t="s">
        <v>168</v>
      </c>
      <c r="C210" s="1363">
        <f>IF('TAR_Tab 2_Volumina'!M213,1,0)</f>
        <v>1</v>
      </c>
      <c r="D210" s="1527">
        <v>17726.04489529389</v>
      </c>
      <c r="E210" s="1528">
        <f t="shared" si="34"/>
        <v>16903.556412152255</v>
      </c>
      <c r="F210" s="1528">
        <f t="shared" si="35"/>
        <v>17861.01390568259</v>
      </c>
      <c r="G210" s="1531"/>
      <c r="H210" s="1528">
        <f t="shared" si="36"/>
        <v>16967.963210398459</v>
      </c>
      <c r="I210" s="1528">
        <f t="shared" si="37"/>
        <v>18754.064600966722</v>
      </c>
      <c r="J210" s="1532">
        <f t="shared" si="39"/>
        <v>17861.01390568259</v>
      </c>
      <c r="K210" s="1369" t="b">
        <f t="shared" si="40"/>
        <v>1</v>
      </c>
      <c r="L210" s="1558"/>
      <c r="M210" s="1364"/>
      <c r="N210" s="1371">
        <f t="shared" si="32"/>
        <v>17861.01390568259</v>
      </c>
      <c r="O210" s="1372"/>
      <c r="P210" s="1371">
        <f t="shared" si="33"/>
        <v>56.167947152971543</v>
      </c>
      <c r="Q210" s="1371">
        <f t="shared" si="33"/>
        <v>44.520984859919338</v>
      </c>
      <c r="R210" s="1371">
        <f t="shared" si="33"/>
        <v>123.12413435904286</v>
      </c>
      <c r="S210" s="1371">
        <f t="shared" si="33"/>
        <v>0</v>
      </c>
      <c r="T210" s="1371">
        <f t="shared" si="33"/>
        <v>1155.1357038717852</v>
      </c>
      <c r="U210" s="1371">
        <f t="shared" si="38"/>
        <v>19239.962675926312</v>
      </c>
      <c r="V210" s="1373">
        <f t="shared" si="31"/>
        <v>19239.96</v>
      </c>
      <c r="W210" s="960"/>
    </row>
    <row r="211" spans="1:23">
      <c r="A211" s="918">
        <v>300556</v>
      </c>
      <c r="B211" s="919" t="s">
        <v>169</v>
      </c>
      <c r="C211" s="1363">
        <f>IF('TAR_Tab 2_Volumina'!M214,1,0)</f>
        <v>0</v>
      </c>
      <c r="D211" s="1527">
        <v>0</v>
      </c>
      <c r="E211" s="1528">
        <f t="shared" si="34"/>
        <v>0</v>
      </c>
      <c r="F211" s="1528">
        <f t="shared" si="35"/>
        <v>0</v>
      </c>
      <c r="G211" s="1531"/>
      <c r="H211" s="1528">
        <f t="shared" si="36"/>
        <v>0</v>
      </c>
      <c r="I211" s="1528">
        <f t="shared" si="37"/>
        <v>0</v>
      </c>
      <c r="J211" s="1532">
        <f t="shared" si="39"/>
        <v>0</v>
      </c>
      <c r="K211" s="1369" t="str">
        <f t="shared" si="40"/>
        <v/>
      </c>
      <c r="L211" s="1558"/>
      <c r="M211" s="1364"/>
      <c r="N211" s="1371">
        <f t="shared" si="32"/>
        <v>0</v>
      </c>
      <c r="O211" s="1372"/>
      <c r="P211" s="1371">
        <f t="shared" si="33"/>
        <v>0</v>
      </c>
      <c r="Q211" s="1371">
        <f t="shared" si="33"/>
        <v>0</v>
      </c>
      <c r="R211" s="1371">
        <f t="shared" si="33"/>
        <v>0</v>
      </c>
      <c r="S211" s="1371">
        <f t="shared" si="33"/>
        <v>0</v>
      </c>
      <c r="T211" s="1371">
        <f t="shared" si="33"/>
        <v>0</v>
      </c>
      <c r="U211" s="1371">
        <f t="shared" si="38"/>
        <v>0</v>
      </c>
      <c r="V211" s="1373">
        <f t="shared" si="31"/>
        <v>0</v>
      </c>
      <c r="W211" s="960"/>
    </row>
    <row r="212" spans="1:23">
      <c r="A212" s="918">
        <v>300558</v>
      </c>
      <c r="B212" s="919" t="s">
        <v>170</v>
      </c>
      <c r="C212" s="1363">
        <f>IF('TAR_Tab 2_Volumina'!M215,1,0)</f>
        <v>0</v>
      </c>
      <c r="D212" s="1527">
        <v>0</v>
      </c>
      <c r="E212" s="1528">
        <f t="shared" si="34"/>
        <v>0</v>
      </c>
      <c r="F212" s="1528">
        <f t="shared" si="35"/>
        <v>0</v>
      </c>
      <c r="G212" s="1531"/>
      <c r="H212" s="1528">
        <f t="shared" si="36"/>
        <v>0</v>
      </c>
      <c r="I212" s="1528">
        <f t="shared" si="37"/>
        <v>0</v>
      </c>
      <c r="J212" s="1532">
        <f t="shared" si="39"/>
        <v>0</v>
      </c>
      <c r="K212" s="1369" t="str">
        <f t="shared" si="40"/>
        <v/>
      </c>
      <c r="L212" s="1558"/>
      <c r="M212" s="1364"/>
      <c r="N212" s="1371">
        <f t="shared" si="32"/>
        <v>0</v>
      </c>
      <c r="O212" s="1372"/>
      <c r="P212" s="1371">
        <f t="shared" si="33"/>
        <v>0</v>
      </c>
      <c r="Q212" s="1371">
        <f t="shared" si="33"/>
        <v>0</v>
      </c>
      <c r="R212" s="1371">
        <f t="shared" si="33"/>
        <v>0</v>
      </c>
      <c r="S212" s="1371">
        <f t="shared" si="33"/>
        <v>0</v>
      </c>
      <c r="T212" s="1371">
        <f t="shared" si="33"/>
        <v>0</v>
      </c>
      <c r="U212" s="1371">
        <f t="shared" si="38"/>
        <v>0</v>
      </c>
      <c r="V212" s="1373">
        <f t="shared" si="31"/>
        <v>0</v>
      </c>
      <c r="W212" s="960"/>
    </row>
    <row r="213" spans="1:23">
      <c r="A213" s="918">
        <v>300563</v>
      </c>
      <c r="B213" s="919" t="s">
        <v>311</v>
      </c>
      <c r="C213" s="1363">
        <f>IF('TAR_Tab 2_Volumina'!M216,1,0)</f>
        <v>1</v>
      </c>
      <c r="D213" s="1529">
        <v>53178.134685881683</v>
      </c>
      <c r="E213" s="1528">
        <f t="shared" si="34"/>
        <v>50710.669236456772</v>
      </c>
      <c r="F213" s="1528">
        <f t="shared" si="35"/>
        <v>53583.041717047781</v>
      </c>
      <c r="G213" s="1531"/>
      <c r="H213" s="1528">
        <f t="shared" si="36"/>
        <v>50903.889631195387</v>
      </c>
      <c r="I213" s="1528">
        <f t="shared" si="37"/>
        <v>56262.193802900176</v>
      </c>
      <c r="J213" s="1532">
        <f t="shared" si="39"/>
        <v>53583.041717047781</v>
      </c>
      <c r="K213" s="1369" t="b">
        <f t="shared" si="40"/>
        <v>1</v>
      </c>
      <c r="L213" s="1558"/>
      <c r="M213" s="1364"/>
      <c r="N213" s="1371">
        <f t="shared" si="32"/>
        <v>53583.041717047781</v>
      </c>
      <c r="O213" s="1372"/>
      <c r="P213" s="1371">
        <f t="shared" si="33"/>
        <v>168.50384145891465</v>
      </c>
      <c r="Q213" s="1371">
        <f t="shared" si="33"/>
        <v>133.56295457975804</v>
      </c>
      <c r="R213" s="1371">
        <f t="shared" si="33"/>
        <v>369.37240307712864</v>
      </c>
      <c r="S213" s="1371">
        <f t="shared" si="33"/>
        <v>0</v>
      </c>
      <c r="T213" s="1371">
        <f t="shared" si="33"/>
        <v>3465.4071116153564</v>
      </c>
      <c r="U213" s="1371">
        <f t="shared" si="38"/>
        <v>57719.888027778936</v>
      </c>
      <c r="V213" s="1373">
        <f t="shared" si="31"/>
        <v>57719.89</v>
      </c>
      <c r="W213" s="960"/>
    </row>
    <row r="214" spans="1:23">
      <c r="A214" s="918">
        <v>300564</v>
      </c>
      <c r="B214" s="919" t="s">
        <v>312</v>
      </c>
      <c r="C214" s="1363">
        <f>IF('TAR_Tab 2_Volumina'!M217,1,0)</f>
        <v>1</v>
      </c>
      <c r="D214" s="1529">
        <v>124082.31426705727</v>
      </c>
      <c r="E214" s="1528">
        <f t="shared" si="34"/>
        <v>118324.89488506582</v>
      </c>
      <c r="F214" s="1528">
        <f t="shared" si="35"/>
        <v>125027.09733977816</v>
      </c>
      <c r="G214" s="1531"/>
      <c r="H214" s="1528">
        <f t="shared" si="36"/>
        <v>118775.74247278925</v>
      </c>
      <c r="I214" s="1528">
        <f t="shared" si="37"/>
        <v>131278.45220676708</v>
      </c>
      <c r="J214" s="1532">
        <f t="shared" si="39"/>
        <v>125027.09733977816</v>
      </c>
      <c r="K214" s="1369" t="b">
        <f t="shared" si="40"/>
        <v>1</v>
      </c>
      <c r="L214" s="1558"/>
      <c r="M214" s="1364"/>
      <c r="N214" s="1371">
        <f t="shared" si="32"/>
        <v>125027.09733977816</v>
      </c>
      <c r="O214" s="1372"/>
      <c r="P214" s="1371">
        <f t="shared" si="33"/>
        <v>393.17563007080088</v>
      </c>
      <c r="Q214" s="1371">
        <f t="shared" si="33"/>
        <v>311.64689401943542</v>
      </c>
      <c r="R214" s="1371">
        <f t="shared" si="33"/>
        <v>861.86894051330023</v>
      </c>
      <c r="S214" s="1371">
        <f t="shared" si="33"/>
        <v>0</v>
      </c>
      <c r="T214" s="1371">
        <f t="shared" si="33"/>
        <v>8085.9499271024988</v>
      </c>
      <c r="U214" s="1371">
        <f t="shared" si="38"/>
        <v>134679.73873148422</v>
      </c>
      <c r="V214" s="1373">
        <f t="shared" si="31"/>
        <v>134679.74</v>
      </c>
      <c r="W214" s="960"/>
    </row>
    <row r="215" spans="1:23">
      <c r="A215" s="918">
        <v>300569</v>
      </c>
      <c r="B215" s="919" t="s">
        <v>313</v>
      </c>
      <c r="C215" s="1363">
        <f>IF('TAR_Tab 2_Volumina'!M218,1,0)</f>
        <v>1</v>
      </c>
      <c r="D215" s="1529">
        <v>35452.089790587779</v>
      </c>
      <c r="E215" s="1528">
        <f t="shared" si="34"/>
        <v>33807.11282430451</v>
      </c>
      <c r="F215" s="1528">
        <f t="shared" si="35"/>
        <v>35722.02781136518</v>
      </c>
      <c r="G215" s="1531"/>
      <c r="H215" s="1528">
        <f t="shared" si="36"/>
        <v>33935.926420796917</v>
      </c>
      <c r="I215" s="1528">
        <f t="shared" si="37"/>
        <v>37508.129201933443</v>
      </c>
      <c r="J215" s="1532">
        <f t="shared" si="39"/>
        <v>35722.02781136518</v>
      </c>
      <c r="K215" s="1369" t="b">
        <f t="shared" si="40"/>
        <v>1</v>
      </c>
      <c r="L215" s="1558"/>
      <c r="M215" s="1364"/>
      <c r="N215" s="1371">
        <f t="shared" si="32"/>
        <v>35722.02781136518</v>
      </c>
      <c r="O215" s="1372"/>
      <c r="P215" s="1371">
        <f t="shared" si="33"/>
        <v>112.33589430594309</v>
      </c>
      <c r="Q215" s="1371">
        <f t="shared" si="33"/>
        <v>89.041969719838676</v>
      </c>
      <c r="R215" s="1371">
        <f t="shared" si="33"/>
        <v>246.24826871808571</v>
      </c>
      <c r="S215" s="1371">
        <f t="shared" si="33"/>
        <v>0</v>
      </c>
      <c r="T215" s="1371">
        <f t="shared" si="33"/>
        <v>2310.2714077435703</v>
      </c>
      <c r="U215" s="1371">
        <f t="shared" si="38"/>
        <v>38479.925351852624</v>
      </c>
      <c r="V215" s="1373">
        <f t="shared" si="31"/>
        <v>38479.93</v>
      </c>
      <c r="W215" s="960"/>
    </row>
    <row r="216" spans="1:23">
      <c r="A216" s="918">
        <v>300571</v>
      </c>
      <c r="B216" s="919" t="s">
        <v>314</v>
      </c>
      <c r="C216" s="1363">
        <f>IF('TAR_Tab 2_Volumina'!M219,1,0)</f>
        <v>1</v>
      </c>
      <c r="D216" s="1529">
        <v>70904.179581175558</v>
      </c>
      <c r="E216" s="1528">
        <f t="shared" si="34"/>
        <v>67614.225648609019</v>
      </c>
      <c r="F216" s="1528">
        <f t="shared" si="35"/>
        <v>71444.05562273036</v>
      </c>
      <c r="G216" s="1531"/>
      <c r="H216" s="1528">
        <f t="shared" si="36"/>
        <v>67871.852841593834</v>
      </c>
      <c r="I216" s="1528">
        <f t="shared" si="37"/>
        <v>75016.258403866887</v>
      </c>
      <c r="J216" s="1532">
        <f t="shared" si="39"/>
        <v>71444.05562273036</v>
      </c>
      <c r="K216" s="1369" t="b">
        <f t="shared" si="40"/>
        <v>1</v>
      </c>
      <c r="L216" s="1558"/>
      <c r="M216" s="1364"/>
      <c r="N216" s="1371">
        <f t="shared" si="32"/>
        <v>71444.05562273036</v>
      </c>
      <c r="O216" s="1372"/>
      <c r="P216" s="1371">
        <f t="shared" si="33"/>
        <v>224.67178861188617</v>
      </c>
      <c r="Q216" s="1371">
        <f t="shared" si="33"/>
        <v>178.08393943967735</v>
      </c>
      <c r="R216" s="1371">
        <f t="shared" si="33"/>
        <v>492.49653743617142</v>
      </c>
      <c r="S216" s="1371">
        <f t="shared" si="33"/>
        <v>0</v>
      </c>
      <c r="T216" s="1371">
        <f t="shared" si="33"/>
        <v>4620.5428154871406</v>
      </c>
      <c r="U216" s="1371">
        <f t="shared" si="38"/>
        <v>76959.850703705248</v>
      </c>
      <c r="V216" s="1373">
        <f t="shared" si="31"/>
        <v>76959.850000000006</v>
      </c>
      <c r="W216" s="960"/>
    </row>
    <row r="217" spans="1:23">
      <c r="A217" s="918">
        <v>300572</v>
      </c>
      <c r="B217" s="919" t="s">
        <v>172</v>
      </c>
      <c r="C217" s="1363">
        <f>IF('TAR_Tab 2_Volumina'!M220,1,0)</f>
        <v>0</v>
      </c>
      <c r="D217" s="1527">
        <v>0</v>
      </c>
      <c r="E217" s="1528">
        <f t="shared" si="34"/>
        <v>0</v>
      </c>
      <c r="F217" s="1528">
        <f t="shared" si="35"/>
        <v>0</v>
      </c>
      <c r="G217" s="1531"/>
      <c r="H217" s="1528">
        <f t="shared" si="36"/>
        <v>0</v>
      </c>
      <c r="I217" s="1528">
        <f t="shared" si="37"/>
        <v>0</v>
      </c>
      <c r="J217" s="1532">
        <f t="shared" si="39"/>
        <v>0</v>
      </c>
      <c r="K217" s="1369" t="str">
        <f t="shared" si="40"/>
        <v/>
      </c>
      <c r="L217" s="1558"/>
      <c r="M217" s="1364"/>
      <c r="N217" s="1371">
        <f t="shared" si="32"/>
        <v>0</v>
      </c>
      <c r="O217" s="1372"/>
      <c r="P217" s="1371">
        <f t="shared" si="33"/>
        <v>0</v>
      </c>
      <c r="Q217" s="1371">
        <f t="shared" si="33"/>
        <v>0</v>
      </c>
      <c r="R217" s="1371">
        <f t="shared" si="33"/>
        <v>0</v>
      </c>
      <c r="S217" s="1371">
        <f t="shared" si="33"/>
        <v>0</v>
      </c>
      <c r="T217" s="1371">
        <f t="shared" si="33"/>
        <v>0</v>
      </c>
      <c r="U217" s="1371">
        <f t="shared" si="38"/>
        <v>0</v>
      </c>
      <c r="V217" s="1373">
        <f t="shared" si="31"/>
        <v>0</v>
      </c>
      <c r="W217" s="960"/>
    </row>
    <row r="218" spans="1:23">
      <c r="A218" s="918">
        <v>300573</v>
      </c>
      <c r="B218" s="919" t="s">
        <v>173</v>
      </c>
      <c r="C218" s="1363">
        <f>IF('TAR_Tab 2_Volumina'!M221,1,0)</f>
        <v>0</v>
      </c>
      <c r="D218" s="1527">
        <v>0</v>
      </c>
      <c r="E218" s="1528">
        <f t="shared" si="34"/>
        <v>0</v>
      </c>
      <c r="F218" s="1528">
        <f t="shared" si="35"/>
        <v>0</v>
      </c>
      <c r="G218" s="1531"/>
      <c r="H218" s="1528">
        <f t="shared" si="36"/>
        <v>0</v>
      </c>
      <c r="I218" s="1528">
        <f t="shared" si="37"/>
        <v>0</v>
      </c>
      <c r="J218" s="1532">
        <f t="shared" si="39"/>
        <v>0</v>
      </c>
      <c r="K218" s="1369" t="str">
        <f t="shared" si="40"/>
        <v/>
      </c>
      <c r="L218" s="1558"/>
      <c r="M218" s="1364"/>
      <c r="N218" s="1371">
        <f t="shared" si="32"/>
        <v>0</v>
      </c>
      <c r="O218" s="1372"/>
      <c r="P218" s="1371">
        <f t="shared" si="33"/>
        <v>0</v>
      </c>
      <c r="Q218" s="1371">
        <f t="shared" si="33"/>
        <v>0</v>
      </c>
      <c r="R218" s="1371">
        <f t="shared" si="33"/>
        <v>0</v>
      </c>
      <c r="S218" s="1371">
        <f t="shared" si="33"/>
        <v>0</v>
      </c>
      <c r="T218" s="1371">
        <f t="shared" si="33"/>
        <v>0</v>
      </c>
      <c r="U218" s="1371">
        <f t="shared" si="38"/>
        <v>0</v>
      </c>
      <c r="V218" s="1373">
        <f t="shared" si="31"/>
        <v>0</v>
      </c>
      <c r="W218" s="960"/>
    </row>
    <row r="219" spans="1:23">
      <c r="A219" s="918">
        <v>300582</v>
      </c>
      <c r="B219" s="919" t="s">
        <v>174</v>
      </c>
      <c r="C219" s="1363">
        <f>IF('TAR_Tab 2_Volumina'!M222,1,0)</f>
        <v>1</v>
      </c>
      <c r="D219" s="1527">
        <v>17726.04489529389</v>
      </c>
      <c r="E219" s="1528">
        <f t="shared" si="34"/>
        <v>16903.556412152255</v>
      </c>
      <c r="F219" s="1528">
        <f t="shared" si="35"/>
        <v>17861.01390568259</v>
      </c>
      <c r="G219" s="1531"/>
      <c r="H219" s="1528">
        <f t="shared" si="36"/>
        <v>16967.963210398459</v>
      </c>
      <c r="I219" s="1528">
        <f t="shared" si="37"/>
        <v>18754.064600966722</v>
      </c>
      <c r="J219" s="1532">
        <f t="shared" si="39"/>
        <v>17861.01390568259</v>
      </c>
      <c r="K219" s="1369" t="b">
        <f t="shared" si="40"/>
        <v>1</v>
      </c>
      <c r="L219" s="1558"/>
      <c r="M219" s="1364"/>
      <c r="N219" s="1371">
        <f t="shared" si="32"/>
        <v>17861.01390568259</v>
      </c>
      <c r="O219" s="1372"/>
      <c r="P219" s="1371">
        <f t="shared" si="33"/>
        <v>56.167947152971543</v>
      </c>
      <c r="Q219" s="1371">
        <f t="shared" si="33"/>
        <v>44.520984859919338</v>
      </c>
      <c r="R219" s="1371">
        <f t="shared" si="33"/>
        <v>123.12413435904286</v>
      </c>
      <c r="S219" s="1371">
        <f t="shared" si="33"/>
        <v>0</v>
      </c>
      <c r="T219" s="1371">
        <f t="shared" si="33"/>
        <v>1155.1357038717852</v>
      </c>
      <c r="U219" s="1371">
        <f t="shared" si="38"/>
        <v>19239.962675926312</v>
      </c>
      <c r="V219" s="1373">
        <f t="shared" si="31"/>
        <v>19239.96</v>
      </c>
      <c r="W219" s="960"/>
    </row>
    <row r="220" spans="1:23">
      <c r="A220" s="918">
        <v>300585</v>
      </c>
      <c r="B220" s="919" t="s">
        <v>315</v>
      </c>
      <c r="C220" s="1363">
        <f>IF('TAR_Tab 2_Volumina'!M223,1,0)</f>
        <v>1</v>
      </c>
      <c r="D220" s="1529">
        <v>35452.089790587779</v>
      </c>
      <c r="E220" s="1528">
        <f t="shared" si="34"/>
        <v>33807.11282430451</v>
      </c>
      <c r="F220" s="1528">
        <f t="shared" si="35"/>
        <v>35722.02781136518</v>
      </c>
      <c r="G220" s="1531"/>
      <c r="H220" s="1528">
        <f t="shared" si="36"/>
        <v>33935.926420796917</v>
      </c>
      <c r="I220" s="1528">
        <f t="shared" si="37"/>
        <v>37508.129201933443</v>
      </c>
      <c r="J220" s="1532">
        <f t="shared" si="39"/>
        <v>35722.02781136518</v>
      </c>
      <c r="K220" s="1369" t="b">
        <f t="shared" si="40"/>
        <v>1</v>
      </c>
      <c r="L220" s="1558"/>
      <c r="M220" s="1364"/>
      <c r="N220" s="1371">
        <f t="shared" si="32"/>
        <v>35722.02781136518</v>
      </c>
      <c r="O220" s="1372"/>
      <c r="P220" s="1371">
        <f t="shared" si="33"/>
        <v>112.33589430594309</v>
      </c>
      <c r="Q220" s="1371">
        <f t="shared" si="33"/>
        <v>89.041969719838676</v>
      </c>
      <c r="R220" s="1371">
        <f t="shared" si="33"/>
        <v>246.24826871808571</v>
      </c>
      <c r="S220" s="1371">
        <f t="shared" si="33"/>
        <v>0</v>
      </c>
      <c r="T220" s="1371">
        <f t="shared" si="33"/>
        <v>2310.2714077435703</v>
      </c>
      <c r="U220" s="1371">
        <f t="shared" si="38"/>
        <v>38479.925351852624</v>
      </c>
      <c r="V220" s="1373">
        <f t="shared" si="31"/>
        <v>38479.93</v>
      </c>
      <c r="W220" s="960"/>
    </row>
    <row r="221" spans="1:23">
      <c r="A221" s="918">
        <v>300587</v>
      </c>
      <c r="B221" s="919" t="s">
        <v>175</v>
      </c>
      <c r="C221" s="1363">
        <f>IF('TAR_Tab 2_Volumina'!M224,1,0)</f>
        <v>0</v>
      </c>
      <c r="D221" s="1527">
        <v>0</v>
      </c>
      <c r="E221" s="1528">
        <f t="shared" si="34"/>
        <v>0</v>
      </c>
      <c r="F221" s="1528">
        <f t="shared" si="35"/>
        <v>0</v>
      </c>
      <c r="G221" s="1531"/>
      <c r="H221" s="1528">
        <f t="shared" si="36"/>
        <v>0</v>
      </c>
      <c r="I221" s="1528">
        <f t="shared" si="37"/>
        <v>0</v>
      </c>
      <c r="J221" s="1532">
        <f t="shared" si="39"/>
        <v>0</v>
      </c>
      <c r="K221" s="1369" t="str">
        <f t="shared" si="40"/>
        <v/>
      </c>
      <c r="L221" s="1558"/>
      <c r="M221" s="1364"/>
      <c r="N221" s="1371">
        <f t="shared" si="32"/>
        <v>0</v>
      </c>
      <c r="O221" s="1372"/>
      <c r="P221" s="1371">
        <f t="shared" si="33"/>
        <v>0</v>
      </c>
      <c r="Q221" s="1371">
        <f t="shared" si="33"/>
        <v>0</v>
      </c>
      <c r="R221" s="1371">
        <f t="shared" si="33"/>
        <v>0</v>
      </c>
      <c r="S221" s="1371">
        <f t="shared" si="33"/>
        <v>0</v>
      </c>
      <c r="T221" s="1371">
        <f t="shared" si="33"/>
        <v>0</v>
      </c>
      <c r="U221" s="1371">
        <f t="shared" si="38"/>
        <v>0</v>
      </c>
      <c r="V221" s="1373">
        <f t="shared" si="31"/>
        <v>0</v>
      </c>
      <c r="W221" s="960"/>
    </row>
    <row r="222" spans="1:23">
      <c r="A222" s="918">
        <v>300591</v>
      </c>
      <c r="B222" s="919" t="s">
        <v>316</v>
      </c>
      <c r="C222" s="1363">
        <f>IF('TAR_Tab 2_Volumina'!M225,1,0)</f>
        <v>1</v>
      </c>
      <c r="D222" s="1529">
        <v>53178.134685881683</v>
      </c>
      <c r="E222" s="1528">
        <f t="shared" si="34"/>
        <v>50710.669236456772</v>
      </c>
      <c r="F222" s="1528">
        <f t="shared" si="35"/>
        <v>53583.041717047781</v>
      </c>
      <c r="G222" s="1531"/>
      <c r="H222" s="1528">
        <f t="shared" si="36"/>
        <v>50903.889631195387</v>
      </c>
      <c r="I222" s="1528">
        <f t="shared" si="37"/>
        <v>56262.193802900176</v>
      </c>
      <c r="J222" s="1532">
        <f t="shared" si="39"/>
        <v>53583.041717047781</v>
      </c>
      <c r="K222" s="1369" t="b">
        <f t="shared" si="40"/>
        <v>1</v>
      </c>
      <c r="L222" s="1558"/>
      <c r="M222" s="1364"/>
      <c r="N222" s="1371">
        <f t="shared" si="32"/>
        <v>53583.041717047781</v>
      </c>
      <c r="O222" s="1372"/>
      <c r="P222" s="1371">
        <f t="shared" si="33"/>
        <v>168.50384145891465</v>
      </c>
      <c r="Q222" s="1371">
        <f t="shared" si="33"/>
        <v>133.56295457975804</v>
      </c>
      <c r="R222" s="1371">
        <f t="shared" si="33"/>
        <v>369.37240307712864</v>
      </c>
      <c r="S222" s="1371">
        <f t="shared" si="33"/>
        <v>0</v>
      </c>
      <c r="T222" s="1371">
        <f t="shared" si="33"/>
        <v>3465.4071116153564</v>
      </c>
      <c r="U222" s="1371">
        <f t="shared" si="38"/>
        <v>57719.888027778936</v>
      </c>
      <c r="V222" s="1373">
        <f t="shared" si="31"/>
        <v>57719.89</v>
      </c>
      <c r="W222" s="960"/>
    </row>
    <row r="223" spans="1:23">
      <c r="A223" s="918">
        <v>300592</v>
      </c>
      <c r="B223" s="919" t="s">
        <v>317</v>
      </c>
      <c r="C223" s="1363">
        <f>IF('TAR_Tab 2_Volumina'!M226,1,0)</f>
        <v>1</v>
      </c>
      <c r="D223" s="1529">
        <v>88630.224476469462</v>
      </c>
      <c r="E223" s="1528">
        <f t="shared" si="34"/>
        <v>84517.782060761281</v>
      </c>
      <c r="F223" s="1528">
        <f t="shared" si="35"/>
        <v>89305.069528412962</v>
      </c>
      <c r="G223" s="1531"/>
      <c r="H223" s="1528">
        <f t="shared" si="36"/>
        <v>84839.816051992311</v>
      </c>
      <c r="I223" s="1528">
        <f t="shared" si="37"/>
        <v>93770.323004833612</v>
      </c>
      <c r="J223" s="1532">
        <f t="shared" si="39"/>
        <v>89305.069528412962</v>
      </c>
      <c r="K223" s="1369" t="b">
        <f t="shared" si="40"/>
        <v>1</v>
      </c>
      <c r="L223" s="1558"/>
      <c r="M223" s="1364"/>
      <c r="N223" s="1371">
        <f t="shared" si="32"/>
        <v>89305.069528412962</v>
      </c>
      <c r="O223" s="1372"/>
      <c r="P223" s="1371">
        <f t="shared" si="33"/>
        <v>280.83973576485772</v>
      </c>
      <c r="Q223" s="1371">
        <f t="shared" si="33"/>
        <v>222.60492429959672</v>
      </c>
      <c r="R223" s="1371">
        <f t="shared" si="33"/>
        <v>615.62067179521432</v>
      </c>
      <c r="S223" s="1371">
        <f t="shared" si="33"/>
        <v>0</v>
      </c>
      <c r="T223" s="1371">
        <f t="shared" si="33"/>
        <v>5775.6785193589267</v>
      </c>
      <c r="U223" s="1371">
        <f t="shared" si="38"/>
        <v>96199.813379631567</v>
      </c>
      <c r="V223" s="1373">
        <f t="shared" si="31"/>
        <v>96199.81</v>
      </c>
      <c r="W223" s="960"/>
    </row>
    <row r="224" spans="1:23">
      <c r="A224" s="918">
        <v>300595</v>
      </c>
      <c r="B224" s="919" t="s">
        <v>1090</v>
      </c>
      <c r="C224" s="1363">
        <f>IF('TAR_Tab 2_Volumina'!M227,1,0)</f>
        <v>1</v>
      </c>
      <c r="D224" s="1527">
        <v>17726.04489529389</v>
      </c>
      <c r="E224" s="1528">
        <f t="shared" si="34"/>
        <v>16903.556412152255</v>
      </c>
      <c r="F224" s="1528">
        <f t="shared" si="35"/>
        <v>17861.01390568259</v>
      </c>
      <c r="G224" s="1531"/>
      <c r="H224" s="1528">
        <f t="shared" si="36"/>
        <v>16967.963210398459</v>
      </c>
      <c r="I224" s="1528">
        <f t="shared" si="37"/>
        <v>18754.064600966722</v>
      </c>
      <c r="J224" s="1532">
        <f t="shared" si="39"/>
        <v>17861.01390568259</v>
      </c>
      <c r="K224" s="1369" t="b">
        <f t="shared" si="40"/>
        <v>1</v>
      </c>
      <c r="L224" s="1558"/>
      <c r="M224" s="1364"/>
      <c r="N224" s="1371">
        <f t="shared" si="32"/>
        <v>17861.01390568259</v>
      </c>
      <c r="O224" s="1372"/>
      <c r="P224" s="1371">
        <f t="shared" si="33"/>
        <v>56.167947152971543</v>
      </c>
      <c r="Q224" s="1371">
        <f t="shared" si="33"/>
        <v>44.520984859919338</v>
      </c>
      <c r="R224" s="1371">
        <f t="shared" si="33"/>
        <v>123.12413435904286</v>
      </c>
      <c r="S224" s="1371">
        <f t="shared" si="33"/>
        <v>0</v>
      </c>
      <c r="T224" s="1371">
        <f t="shared" si="33"/>
        <v>1155.1357038717852</v>
      </c>
      <c r="U224" s="1371">
        <f t="shared" si="38"/>
        <v>19239.962675926312</v>
      </c>
      <c r="V224" s="1373">
        <f t="shared" ref="V224:V262" si="41">ROUND(U224,2)</f>
        <v>19239.96</v>
      </c>
      <c r="W224" s="960"/>
    </row>
    <row r="225" spans="1:23">
      <c r="A225" s="918">
        <v>300596</v>
      </c>
      <c r="B225" s="919" t="s">
        <v>318</v>
      </c>
      <c r="C225" s="1363">
        <f>IF('TAR_Tab 2_Volumina'!M228,1,0)</f>
        <v>1</v>
      </c>
      <c r="D225" s="1529">
        <v>35452.089790587779</v>
      </c>
      <c r="E225" s="1528">
        <f t="shared" si="34"/>
        <v>33807.11282430451</v>
      </c>
      <c r="F225" s="1528">
        <f t="shared" si="35"/>
        <v>35722.02781136518</v>
      </c>
      <c r="G225" s="1531"/>
      <c r="H225" s="1528">
        <f t="shared" si="36"/>
        <v>33935.926420796917</v>
      </c>
      <c r="I225" s="1528">
        <f t="shared" si="37"/>
        <v>37508.129201933443</v>
      </c>
      <c r="J225" s="1532">
        <f t="shared" si="39"/>
        <v>35722.02781136518</v>
      </c>
      <c r="K225" s="1369" t="b">
        <f t="shared" si="40"/>
        <v>1</v>
      </c>
      <c r="L225" s="1558"/>
      <c r="M225" s="1364"/>
      <c r="N225" s="1371">
        <f t="shared" ref="N225:N262" si="42">IF(J225&gt;0,J225,F225)</f>
        <v>35722.02781136518</v>
      </c>
      <c r="O225" s="1372"/>
      <c r="P225" s="1371">
        <f t="shared" si="33"/>
        <v>112.33589430594309</v>
      </c>
      <c r="Q225" s="1371">
        <f t="shared" si="33"/>
        <v>89.041969719838676</v>
      </c>
      <c r="R225" s="1371">
        <f t="shared" si="33"/>
        <v>246.24826871808571</v>
      </c>
      <c r="S225" s="1371">
        <f t="shared" si="33"/>
        <v>0</v>
      </c>
      <c r="T225" s="1371">
        <f t="shared" si="33"/>
        <v>2310.2714077435703</v>
      </c>
      <c r="U225" s="1371">
        <f t="shared" si="38"/>
        <v>38479.925351852624</v>
      </c>
      <c r="V225" s="1373">
        <f t="shared" si="41"/>
        <v>38479.93</v>
      </c>
      <c r="W225" s="960"/>
    </row>
    <row r="226" spans="1:23">
      <c r="A226" s="918">
        <v>300599</v>
      </c>
      <c r="B226" s="919" t="s">
        <v>176</v>
      </c>
      <c r="C226" s="1363">
        <f>IF('TAR_Tab 2_Volumina'!M229,1,0)</f>
        <v>0</v>
      </c>
      <c r="D226" s="1527">
        <v>0</v>
      </c>
      <c r="E226" s="1528">
        <f t="shared" si="34"/>
        <v>0</v>
      </c>
      <c r="F226" s="1528">
        <f t="shared" si="35"/>
        <v>0</v>
      </c>
      <c r="G226" s="1531"/>
      <c r="H226" s="1528">
        <f t="shared" si="36"/>
        <v>0</v>
      </c>
      <c r="I226" s="1528">
        <f t="shared" si="37"/>
        <v>0</v>
      </c>
      <c r="J226" s="1532">
        <f t="shared" si="39"/>
        <v>0</v>
      </c>
      <c r="K226" s="1369" t="str">
        <f t="shared" si="40"/>
        <v/>
      </c>
      <c r="L226" s="1558"/>
      <c r="M226" s="1364"/>
      <c r="N226" s="1371">
        <f t="shared" si="42"/>
        <v>0</v>
      </c>
      <c r="O226" s="1372"/>
      <c r="P226" s="1371">
        <f t="shared" ref="P226:T276" si="43">P$7*$N226</f>
        <v>0</v>
      </c>
      <c r="Q226" s="1371">
        <f t="shared" si="43"/>
        <v>0</v>
      </c>
      <c r="R226" s="1371">
        <f t="shared" si="43"/>
        <v>0</v>
      </c>
      <c r="S226" s="1371">
        <f t="shared" si="43"/>
        <v>0</v>
      </c>
      <c r="T226" s="1371">
        <f t="shared" si="43"/>
        <v>0</v>
      </c>
      <c r="U226" s="1371">
        <f t="shared" si="38"/>
        <v>0</v>
      </c>
      <c r="V226" s="1373">
        <f t="shared" si="41"/>
        <v>0</v>
      </c>
      <c r="W226" s="960"/>
    </row>
    <row r="227" spans="1:23">
      <c r="A227" s="918">
        <v>300600</v>
      </c>
      <c r="B227" s="919" t="s">
        <v>319</v>
      </c>
      <c r="C227" s="1363">
        <f>IF('TAR_Tab 2_Volumina'!M230,1,0)</f>
        <v>1</v>
      </c>
      <c r="D227" s="1529">
        <v>159534.40405764509</v>
      </c>
      <c r="E227" s="1528">
        <f t="shared" si="34"/>
        <v>152132.00770937037</v>
      </c>
      <c r="F227" s="1528">
        <f t="shared" si="35"/>
        <v>160749.12515114341</v>
      </c>
      <c r="G227" s="1531"/>
      <c r="H227" s="1528">
        <f t="shared" si="36"/>
        <v>152711.66889358623</v>
      </c>
      <c r="I227" s="1528">
        <f t="shared" si="37"/>
        <v>168786.58140870059</v>
      </c>
      <c r="J227" s="1532">
        <f t="shared" si="39"/>
        <v>160749.12515114341</v>
      </c>
      <c r="K227" s="1369" t="b">
        <f t="shared" si="40"/>
        <v>1</v>
      </c>
      <c r="L227" s="1558"/>
      <c r="M227" s="1364"/>
      <c r="N227" s="1371">
        <f t="shared" si="42"/>
        <v>160749.12515114341</v>
      </c>
      <c r="O227" s="1372"/>
      <c r="P227" s="1371">
        <f t="shared" si="43"/>
        <v>505.51152437674421</v>
      </c>
      <c r="Q227" s="1371">
        <f t="shared" si="43"/>
        <v>400.68886373927427</v>
      </c>
      <c r="R227" s="1371">
        <f t="shared" si="43"/>
        <v>1108.1172092313864</v>
      </c>
      <c r="S227" s="1371">
        <f t="shared" si="43"/>
        <v>0</v>
      </c>
      <c r="T227" s="1371">
        <f t="shared" si="43"/>
        <v>10396.221334846074</v>
      </c>
      <c r="U227" s="1371">
        <f t="shared" si="38"/>
        <v>173159.66408333692</v>
      </c>
      <c r="V227" s="1373">
        <f t="shared" si="41"/>
        <v>173159.66</v>
      </c>
      <c r="W227" s="960"/>
    </row>
    <row r="228" spans="1:23">
      <c r="A228" s="918">
        <v>300601</v>
      </c>
      <c r="B228" s="919" t="s">
        <v>320</v>
      </c>
      <c r="C228" s="1363">
        <f>IF('TAR_Tab 2_Volumina'!M231,1,0)</f>
        <v>1</v>
      </c>
      <c r="D228" s="1529">
        <v>35452.089790587779</v>
      </c>
      <c r="E228" s="1528">
        <f t="shared" si="34"/>
        <v>33807.11282430451</v>
      </c>
      <c r="F228" s="1528">
        <f t="shared" si="35"/>
        <v>35722.02781136518</v>
      </c>
      <c r="G228" s="1531"/>
      <c r="H228" s="1528">
        <f t="shared" si="36"/>
        <v>33935.926420796917</v>
      </c>
      <c r="I228" s="1528">
        <f t="shared" si="37"/>
        <v>37508.129201933443</v>
      </c>
      <c r="J228" s="1532">
        <f t="shared" si="39"/>
        <v>35722.02781136518</v>
      </c>
      <c r="K228" s="1369" t="b">
        <f t="shared" si="40"/>
        <v>1</v>
      </c>
      <c r="L228" s="1558"/>
      <c r="M228" s="1364"/>
      <c r="N228" s="1371">
        <f t="shared" si="42"/>
        <v>35722.02781136518</v>
      </c>
      <c r="O228" s="1372"/>
      <c r="P228" s="1371">
        <f t="shared" si="43"/>
        <v>112.33589430594309</v>
      </c>
      <c r="Q228" s="1371">
        <f t="shared" si="43"/>
        <v>89.041969719838676</v>
      </c>
      <c r="R228" s="1371">
        <f t="shared" si="43"/>
        <v>246.24826871808571</v>
      </c>
      <c r="S228" s="1371">
        <f t="shared" si="43"/>
        <v>0</v>
      </c>
      <c r="T228" s="1371">
        <f t="shared" si="43"/>
        <v>2310.2714077435703</v>
      </c>
      <c r="U228" s="1371">
        <f t="shared" si="38"/>
        <v>38479.925351852624</v>
      </c>
      <c r="V228" s="1373">
        <f t="shared" si="41"/>
        <v>38479.93</v>
      </c>
      <c r="W228" s="960"/>
    </row>
    <row r="229" spans="1:23">
      <c r="A229" s="918">
        <v>300603</v>
      </c>
      <c r="B229" s="919" t="s">
        <v>177</v>
      </c>
      <c r="C229" s="1363">
        <f>IF('TAR_Tab 2_Volumina'!M232,1,0)</f>
        <v>1</v>
      </c>
      <c r="D229" s="1527">
        <v>17726.04489529389</v>
      </c>
      <c r="E229" s="1528">
        <f t="shared" si="34"/>
        <v>16903.556412152255</v>
      </c>
      <c r="F229" s="1528">
        <f t="shared" si="35"/>
        <v>17861.01390568259</v>
      </c>
      <c r="G229" s="1531"/>
      <c r="H229" s="1528">
        <f t="shared" si="36"/>
        <v>16967.963210398459</v>
      </c>
      <c r="I229" s="1528">
        <f t="shared" si="37"/>
        <v>18754.064600966722</v>
      </c>
      <c r="J229" s="1532">
        <f t="shared" si="39"/>
        <v>17861.01390568259</v>
      </c>
      <c r="K229" s="1369" t="b">
        <f t="shared" si="40"/>
        <v>1</v>
      </c>
      <c r="L229" s="1558"/>
      <c r="M229" s="1364"/>
      <c r="N229" s="1371">
        <f t="shared" si="42"/>
        <v>17861.01390568259</v>
      </c>
      <c r="O229" s="1372"/>
      <c r="P229" s="1371">
        <f t="shared" si="43"/>
        <v>56.167947152971543</v>
      </c>
      <c r="Q229" s="1371">
        <f t="shared" si="43"/>
        <v>44.520984859919338</v>
      </c>
      <c r="R229" s="1371">
        <f t="shared" si="43"/>
        <v>123.12413435904286</v>
      </c>
      <c r="S229" s="1371">
        <f t="shared" si="43"/>
        <v>0</v>
      </c>
      <c r="T229" s="1371">
        <f t="shared" si="43"/>
        <v>1155.1357038717852</v>
      </c>
      <c r="U229" s="1371">
        <f t="shared" si="38"/>
        <v>19239.962675926312</v>
      </c>
      <c r="V229" s="1373">
        <f t="shared" si="41"/>
        <v>19239.96</v>
      </c>
      <c r="W229" s="960"/>
    </row>
    <row r="230" spans="1:23">
      <c r="A230" s="918">
        <v>300606</v>
      </c>
      <c r="B230" s="919" t="s">
        <v>178</v>
      </c>
      <c r="C230" s="1363">
        <f>IF('TAR_Tab 2_Volumina'!M233,1,0)</f>
        <v>0</v>
      </c>
      <c r="D230" s="1527">
        <v>0</v>
      </c>
      <c r="E230" s="1528">
        <f t="shared" si="34"/>
        <v>0</v>
      </c>
      <c r="F230" s="1528">
        <f t="shared" si="35"/>
        <v>0</v>
      </c>
      <c r="G230" s="1531"/>
      <c r="H230" s="1528">
        <f t="shared" si="36"/>
        <v>0</v>
      </c>
      <c r="I230" s="1528">
        <f t="shared" si="37"/>
        <v>0</v>
      </c>
      <c r="J230" s="1532">
        <f t="shared" si="39"/>
        <v>0</v>
      </c>
      <c r="K230" s="1369" t="str">
        <f t="shared" si="40"/>
        <v/>
      </c>
      <c r="L230" s="1558"/>
      <c r="M230" s="1364"/>
      <c r="N230" s="1371">
        <f t="shared" si="42"/>
        <v>0</v>
      </c>
      <c r="O230" s="1372"/>
      <c r="P230" s="1371">
        <f t="shared" si="43"/>
        <v>0</v>
      </c>
      <c r="Q230" s="1371">
        <f t="shared" si="43"/>
        <v>0</v>
      </c>
      <c r="R230" s="1371">
        <f t="shared" si="43"/>
        <v>0</v>
      </c>
      <c r="S230" s="1371">
        <f t="shared" si="43"/>
        <v>0</v>
      </c>
      <c r="T230" s="1371">
        <f t="shared" si="43"/>
        <v>0</v>
      </c>
      <c r="U230" s="1371">
        <f t="shared" si="38"/>
        <v>0</v>
      </c>
      <c r="V230" s="1373">
        <f t="shared" si="41"/>
        <v>0</v>
      </c>
      <c r="W230" s="960"/>
    </row>
    <row r="231" spans="1:23">
      <c r="A231" s="918">
        <v>300611</v>
      </c>
      <c r="B231" s="919" t="s">
        <v>425</v>
      </c>
      <c r="C231" s="1363">
        <f>IF('TAR_Tab 2_Volumina'!M234,1,0)</f>
        <v>0</v>
      </c>
      <c r="D231" s="1527">
        <v>0</v>
      </c>
      <c r="E231" s="1528">
        <f t="shared" si="34"/>
        <v>0</v>
      </c>
      <c r="F231" s="1528">
        <f t="shared" si="35"/>
        <v>0</v>
      </c>
      <c r="G231" s="1531"/>
      <c r="H231" s="1528">
        <f t="shared" si="36"/>
        <v>0</v>
      </c>
      <c r="I231" s="1528">
        <f t="shared" si="37"/>
        <v>0</v>
      </c>
      <c r="J231" s="1532">
        <f t="shared" si="39"/>
        <v>0</v>
      </c>
      <c r="K231" s="1369" t="str">
        <f t="shared" si="40"/>
        <v/>
      </c>
      <c r="L231" s="1558"/>
      <c r="M231" s="1364"/>
      <c r="N231" s="1371">
        <f t="shared" si="42"/>
        <v>0</v>
      </c>
      <c r="O231" s="1372"/>
      <c r="P231" s="1371">
        <f t="shared" si="43"/>
        <v>0</v>
      </c>
      <c r="Q231" s="1371">
        <f t="shared" si="43"/>
        <v>0</v>
      </c>
      <c r="R231" s="1371">
        <f t="shared" si="43"/>
        <v>0</v>
      </c>
      <c r="S231" s="1371">
        <f t="shared" si="43"/>
        <v>0</v>
      </c>
      <c r="T231" s="1371">
        <f t="shared" si="43"/>
        <v>0</v>
      </c>
      <c r="U231" s="1371">
        <f t="shared" si="38"/>
        <v>0</v>
      </c>
      <c r="V231" s="1373">
        <f t="shared" si="41"/>
        <v>0</v>
      </c>
      <c r="W231" s="960"/>
    </row>
    <row r="232" spans="1:23">
      <c r="A232" s="918">
        <v>300617</v>
      </c>
      <c r="B232" s="919" t="s">
        <v>1091</v>
      </c>
      <c r="C232" s="1363">
        <f>IF('TAR_Tab 2_Volumina'!M235,1,0)</f>
        <v>0</v>
      </c>
      <c r="D232" s="1527">
        <v>0</v>
      </c>
      <c r="E232" s="1528">
        <f t="shared" si="34"/>
        <v>0</v>
      </c>
      <c r="F232" s="1528">
        <f t="shared" si="35"/>
        <v>0</v>
      </c>
      <c r="G232" s="1531"/>
      <c r="H232" s="1528">
        <f t="shared" si="36"/>
        <v>0</v>
      </c>
      <c r="I232" s="1528">
        <f t="shared" si="37"/>
        <v>0</v>
      </c>
      <c r="J232" s="1532">
        <f t="shared" si="39"/>
        <v>0</v>
      </c>
      <c r="K232" s="1369" t="str">
        <f t="shared" si="40"/>
        <v/>
      </c>
      <c r="L232" s="1558"/>
      <c r="M232" s="1364"/>
      <c r="N232" s="1371">
        <f t="shared" si="42"/>
        <v>0</v>
      </c>
      <c r="O232" s="1372"/>
      <c r="P232" s="1371">
        <f t="shared" si="43"/>
        <v>0</v>
      </c>
      <c r="Q232" s="1371">
        <f t="shared" si="43"/>
        <v>0</v>
      </c>
      <c r="R232" s="1371">
        <f t="shared" si="43"/>
        <v>0</v>
      </c>
      <c r="S232" s="1371">
        <f t="shared" si="43"/>
        <v>0</v>
      </c>
      <c r="T232" s="1371">
        <f t="shared" si="43"/>
        <v>0</v>
      </c>
      <c r="U232" s="1371">
        <f t="shared" si="38"/>
        <v>0</v>
      </c>
      <c r="V232" s="1373">
        <f t="shared" si="41"/>
        <v>0</v>
      </c>
      <c r="W232" s="960"/>
    </row>
    <row r="233" spans="1:23">
      <c r="A233" s="918">
        <v>300620</v>
      </c>
      <c r="B233" s="919" t="s">
        <v>321</v>
      </c>
      <c r="C233" s="1363">
        <f>IF('TAR_Tab 2_Volumina'!M236,1,0)</f>
        <v>0</v>
      </c>
      <c r="D233" s="1527">
        <v>0</v>
      </c>
      <c r="E233" s="1528">
        <f t="shared" si="34"/>
        <v>0</v>
      </c>
      <c r="F233" s="1528">
        <f t="shared" si="35"/>
        <v>0</v>
      </c>
      <c r="G233" s="1531"/>
      <c r="H233" s="1528">
        <f t="shared" si="36"/>
        <v>0</v>
      </c>
      <c r="I233" s="1528">
        <f t="shared" si="37"/>
        <v>0</v>
      </c>
      <c r="J233" s="1532">
        <f t="shared" si="39"/>
        <v>0</v>
      </c>
      <c r="K233" s="1369" t="str">
        <f t="shared" si="40"/>
        <v/>
      </c>
      <c r="L233" s="1558"/>
      <c r="M233" s="1364"/>
      <c r="N233" s="1371">
        <f t="shared" si="42"/>
        <v>0</v>
      </c>
      <c r="O233" s="1372"/>
      <c r="P233" s="1371">
        <f t="shared" si="43"/>
        <v>0</v>
      </c>
      <c r="Q233" s="1371">
        <f t="shared" si="43"/>
        <v>0</v>
      </c>
      <c r="R233" s="1371">
        <f t="shared" si="43"/>
        <v>0</v>
      </c>
      <c r="S233" s="1371">
        <f t="shared" si="43"/>
        <v>0</v>
      </c>
      <c r="T233" s="1371">
        <f t="shared" si="43"/>
        <v>0</v>
      </c>
      <c r="U233" s="1371">
        <f t="shared" si="38"/>
        <v>0</v>
      </c>
      <c r="V233" s="1373">
        <f t="shared" si="41"/>
        <v>0</v>
      </c>
      <c r="W233" s="960"/>
    </row>
    <row r="234" spans="1:23">
      <c r="A234" s="918">
        <v>300622</v>
      </c>
      <c r="B234" s="919" t="s">
        <v>179</v>
      </c>
      <c r="C234" s="1363">
        <f>IF('TAR_Tab 2_Volumina'!M237,1,0)</f>
        <v>0</v>
      </c>
      <c r="D234" s="1527">
        <v>0</v>
      </c>
      <c r="E234" s="1528">
        <f t="shared" si="34"/>
        <v>0</v>
      </c>
      <c r="F234" s="1528">
        <f t="shared" si="35"/>
        <v>0</v>
      </c>
      <c r="G234" s="1531"/>
      <c r="H234" s="1528">
        <f t="shared" si="36"/>
        <v>0</v>
      </c>
      <c r="I234" s="1528">
        <f t="shared" si="37"/>
        <v>0</v>
      </c>
      <c r="J234" s="1532">
        <f t="shared" si="39"/>
        <v>0</v>
      </c>
      <c r="K234" s="1369" t="str">
        <f t="shared" si="40"/>
        <v/>
      </c>
      <c r="L234" s="1558"/>
      <c r="M234" s="1364"/>
      <c r="N234" s="1371">
        <f t="shared" si="42"/>
        <v>0</v>
      </c>
      <c r="O234" s="1372"/>
      <c r="P234" s="1371">
        <f t="shared" si="43"/>
        <v>0</v>
      </c>
      <c r="Q234" s="1371">
        <f t="shared" si="43"/>
        <v>0</v>
      </c>
      <c r="R234" s="1371">
        <f t="shared" si="43"/>
        <v>0</v>
      </c>
      <c r="S234" s="1371">
        <f t="shared" si="43"/>
        <v>0</v>
      </c>
      <c r="T234" s="1371">
        <f t="shared" si="43"/>
        <v>0</v>
      </c>
      <c r="U234" s="1371">
        <f t="shared" si="38"/>
        <v>0</v>
      </c>
      <c r="V234" s="1373">
        <f t="shared" si="41"/>
        <v>0</v>
      </c>
      <c r="W234" s="960"/>
    </row>
    <row r="235" spans="1:23">
      <c r="A235" s="918">
        <v>300634</v>
      </c>
      <c r="B235" s="919" t="s">
        <v>180</v>
      </c>
      <c r="C235" s="1363">
        <f>IF('TAR_Tab 2_Volumina'!M238,1,0)</f>
        <v>1</v>
      </c>
      <c r="D235" s="1527">
        <v>17726.04489529389</v>
      </c>
      <c r="E235" s="1528">
        <f t="shared" si="34"/>
        <v>16903.556412152255</v>
      </c>
      <c r="F235" s="1528">
        <f t="shared" si="35"/>
        <v>17861.01390568259</v>
      </c>
      <c r="G235" s="1531"/>
      <c r="H235" s="1528">
        <f t="shared" si="36"/>
        <v>16967.963210398459</v>
      </c>
      <c r="I235" s="1528">
        <f t="shared" si="37"/>
        <v>18754.064600966722</v>
      </c>
      <c r="J235" s="1532">
        <f t="shared" si="39"/>
        <v>17861.01390568259</v>
      </c>
      <c r="K235" s="1369" t="b">
        <f t="shared" si="40"/>
        <v>1</v>
      </c>
      <c r="L235" s="1558"/>
      <c r="M235" s="1364"/>
      <c r="N235" s="1371">
        <f t="shared" si="42"/>
        <v>17861.01390568259</v>
      </c>
      <c r="O235" s="1372"/>
      <c r="P235" s="1371">
        <f t="shared" si="43"/>
        <v>56.167947152971543</v>
      </c>
      <c r="Q235" s="1371">
        <f t="shared" si="43"/>
        <v>44.520984859919338</v>
      </c>
      <c r="R235" s="1371">
        <f t="shared" si="43"/>
        <v>123.12413435904286</v>
      </c>
      <c r="S235" s="1371">
        <f t="shared" si="43"/>
        <v>0</v>
      </c>
      <c r="T235" s="1371">
        <f t="shared" si="43"/>
        <v>1155.1357038717852</v>
      </c>
      <c r="U235" s="1371">
        <f t="shared" si="38"/>
        <v>19239.962675926312</v>
      </c>
      <c r="V235" s="1373">
        <f t="shared" si="41"/>
        <v>19239.96</v>
      </c>
      <c r="W235" s="960"/>
    </row>
    <row r="236" spans="1:23">
      <c r="A236" s="918">
        <v>300637</v>
      </c>
      <c r="B236" s="919" t="s">
        <v>181</v>
      </c>
      <c r="C236" s="1363">
        <f>IF('TAR_Tab 2_Volumina'!M239,1,0)</f>
        <v>1</v>
      </c>
      <c r="D236" s="1527">
        <v>17726.04489529389</v>
      </c>
      <c r="E236" s="1528">
        <f t="shared" si="34"/>
        <v>16903.556412152255</v>
      </c>
      <c r="F236" s="1528">
        <f t="shared" si="35"/>
        <v>17861.01390568259</v>
      </c>
      <c r="G236" s="1531"/>
      <c r="H236" s="1528">
        <f t="shared" si="36"/>
        <v>16967.963210398459</v>
      </c>
      <c r="I236" s="1528">
        <f t="shared" si="37"/>
        <v>18754.064600966722</v>
      </c>
      <c r="J236" s="1532">
        <f t="shared" si="39"/>
        <v>17861.01390568259</v>
      </c>
      <c r="K236" s="1369" t="b">
        <f t="shared" si="40"/>
        <v>1</v>
      </c>
      <c r="L236" s="1558"/>
      <c r="M236" s="1364"/>
      <c r="N236" s="1371">
        <f t="shared" si="42"/>
        <v>17861.01390568259</v>
      </c>
      <c r="O236" s="1372"/>
      <c r="P236" s="1371">
        <f t="shared" si="43"/>
        <v>56.167947152971543</v>
      </c>
      <c r="Q236" s="1371">
        <f t="shared" si="43"/>
        <v>44.520984859919338</v>
      </c>
      <c r="R236" s="1371">
        <f t="shared" si="43"/>
        <v>123.12413435904286</v>
      </c>
      <c r="S236" s="1371">
        <f t="shared" si="43"/>
        <v>0</v>
      </c>
      <c r="T236" s="1371">
        <f t="shared" si="43"/>
        <v>1155.1357038717852</v>
      </c>
      <c r="U236" s="1371">
        <f t="shared" si="38"/>
        <v>19239.962675926312</v>
      </c>
      <c r="V236" s="1373">
        <f t="shared" si="41"/>
        <v>19239.96</v>
      </c>
      <c r="W236" s="960"/>
    </row>
    <row r="237" spans="1:23">
      <c r="A237" s="918">
        <v>300638</v>
      </c>
      <c r="B237" s="919" t="s">
        <v>426</v>
      </c>
      <c r="C237" s="1363">
        <f>IF('TAR_Tab 2_Volumina'!M240,1,0)</f>
        <v>0</v>
      </c>
      <c r="D237" s="1527">
        <v>0</v>
      </c>
      <c r="E237" s="1528">
        <f t="shared" si="34"/>
        <v>0</v>
      </c>
      <c r="F237" s="1528">
        <f t="shared" si="35"/>
        <v>0</v>
      </c>
      <c r="G237" s="1531"/>
      <c r="H237" s="1528">
        <f t="shared" si="36"/>
        <v>0</v>
      </c>
      <c r="I237" s="1528">
        <f t="shared" si="37"/>
        <v>0</v>
      </c>
      <c r="J237" s="1532">
        <f t="shared" si="39"/>
        <v>0</v>
      </c>
      <c r="K237" s="1369" t="str">
        <f t="shared" si="40"/>
        <v/>
      </c>
      <c r="L237" s="1558"/>
      <c r="M237" s="1364"/>
      <c r="N237" s="1371">
        <f t="shared" si="42"/>
        <v>0</v>
      </c>
      <c r="O237" s="1372"/>
      <c r="P237" s="1371">
        <f t="shared" si="43"/>
        <v>0</v>
      </c>
      <c r="Q237" s="1371">
        <f t="shared" si="43"/>
        <v>0</v>
      </c>
      <c r="R237" s="1371">
        <f t="shared" si="43"/>
        <v>0</v>
      </c>
      <c r="S237" s="1371">
        <f t="shared" si="43"/>
        <v>0</v>
      </c>
      <c r="T237" s="1371">
        <f t="shared" si="43"/>
        <v>0</v>
      </c>
      <c r="U237" s="1371">
        <f t="shared" si="38"/>
        <v>0</v>
      </c>
      <c r="V237" s="1373">
        <f t="shared" si="41"/>
        <v>0</v>
      </c>
      <c r="W237" s="960"/>
    </row>
    <row r="238" spans="1:23">
      <c r="A238" s="918">
        <v>300639</v>
      </c>
      <c r="B238" s="919" t="s">
        <v>182</v>
      </c>
      <c r="C238" s="1363">
        <f>IF('TAR_Tab 2_Volumina'!M241,1,0)</f>
        <v>1</v>
      </c>
      <c r="D238" s="1527">
        <v>17726.04489529389</v>
      </c>
      <c r="E238" s="1528">
        <f t="shared" si="34"/>
        <v>16903.556412152255</v>
      </c>
      <c r="F238" s="1528">
        <f t="shared" si="35"/>
        <v>17861.01390568259</v>
      </c>
      <c r="G238" s="1531"/>
      <c r="H238" s="1528">
        <f t="shared" si="36"/>
        <v>16967.963210398459</v>
      </c>
      <c r="I238" s="1528">
        <f t="shared" si="37"/>
        <v>18754.064600966722</v>
      </c>
      <c r="J238" s="1532">
        <f t="shared" si="39"/>
        <v>17861.01390568259</v>
      </c>
      <c r="K238" s="1369" t="b">
        <f t="shared" si="40"/>
        <v>1</v>
      </c>
      <c r="L238" s="1558"/>
      <c r="M238" s="1364"/>
      <c r="N238" s="1371">
        <f t="shared" si="42"/>
        <v>17861.01390568259</v>
      </c>
      <c r="O238" s="1372"/>
      <c r="P238" s="1371">
        <f t="shared" si="43"/>
        <v>56.167947152971543</v>
      </c>
      <c r="Q238" s="1371">
        <f t="shared" si="43"/>
        <v>44.520984859919338</v>
      </c>
      <c r="R238" s="1371">
        <f t="shared" si="43"/>
        <v>123.12413435904286</v>
      </c>
      <c r="S238" s="1371">
        <f t="shared" si="43"/>
        <v>0</v>
      </c>
      <c r="T238" s="1371">
        <f t="shared" si="43"/>
        <v>1155.1357038717852</v>
      </c>
      <c r="U238" s="1371">
        <f t="shared" si="38"/>
        <v>19239.962675926312</v>
      </c>
      <c r="V238" s="1373">
        <f t="shared" si="41"/>
        <v>19239.96</v>
      </c>
      <c r="W238" s="960"/>
    </row>
    <row r="239" spans="1:23">
      <c r="A239" s="918">
        <v>300640</v>
      </c>
      <c r="B239" s="919" t="s">
        <v>183</v>
      </c>
      <c r="C239" s="1363">
        <f>IF('TAR_Tab 2_Volumina'!M242,1,0)</f>
        <v>0</v>
      </c>
      <c r="D239" s="1527">
        <v>0</v>
      </c>
      <c r="E239" s="1528">
        <f t="shared" si="34"/>
        <v>0</v>
      </c>
      <c r="F239" s="1528">
        <f t="shared" si="35"/>
        <v>0</v>
      </c>
      <c r="G239" s="1531"/>
      <c r="H239" s="1528">
        <f t="shared" si="36"/>
        <v>0</v>
      </c>
      <c r="I239" s="1528">
        <f t="shared" si="37"/>
        <v>0</v>
      </c>
      <c r="J239" s="1532">
        <f t="shared" si="39"/>
        <v>0</v>
      </c>
      <c r="K239" s="1369" t="str">
        <f t="shared" si="40"/>
        <v/>
      </c>
      <c r="L239" s="1558"/>
      <c r="M239" s="1364"/>
      <c r="N239" s="1371">
        <f t="shared" si="42"/>
        <v>0</v>
      </c>
      <c r="O239" s="1372"/>
      <c r="P239" s="1371">
        <f t="shared" si="43"/>
        <v>0</v>
      </c>
      <c r="Q239" s="1371">
        <f t="shared" si="43"/>
        <v>0</v>
      </c>
      <c r="R239" s="1371">
        <f t="shared" si="43"/>
        <v>0</v>
      </c>
      <c r="S239" s="1371">
        <f t="shared" si="43"/>
        <v>0</v>
      </c>
      <c r="T239" s="1371">
        <f t="shared" si="43"/>
        <v>0</v>
      </c>
      <c r="U239" s="1371">
        <f t="shared" si="38"/>
        <v>0</v>
      </c>
      <c r="V239" s="1373">
        <f t="shared" si="41"/>
        <v>0</v>
      </c>
      <c r="W239" s="960"/>
    </row>
    <row r="240" spans="1:23">
      <c r="A240" s="918">
        <v>300642</v>
      </c>
      <c r="B240" s="919" t="s">
        <v>184</v>
      </c>
      <c r="C240" s="1363">
        <f>IF('TAR_Tab 2_Volumina'!M243,1,0)</f>
        <v>1</v>
      </c>
      <c r="D240" s="1527">
        <v>17726.04489529389</v>
      </c>
      <c r="E240" s="1528">
        <f t="shared" si="34"/>
        <v>16903.556412152255</v>
      </c>
      <c r="F240" s="1528">
        <f t="shared" si="35"/>
        <v>17861.01390568259</v>
      </c>
      <c r="G240" s="1531"/>
      <c r="H240" s="1528">
        <f t="shared" si="36"/>
        <v>16967.963210398459</v>
      </c>
      <c r="I240" s="1528">
        <f t="shared" si="37"/>
        <v>18754.064600966722</v>
      </c>
      <c r="J240" s="1532">
        <f t="shared" si="39"/>
        <v>17861.01390568259</v>
      </c>
      <c r="K240" s="1369" t="b">
        <f t="shared" si="40"/>
        <v>1</v>
      </c>
      <c r="L240" s="1558"/>
      <c r="M240" s="1364"/>
      <c r="N240" s="1371">
        <f t="shared" si="42"/>
        <v>17861.01390568259</v>
      </c>
      <c r="O240" s="1372"/>
      <c r="P240" s="1371">
        <f t="shared" si="43"/>
        <v>56.167947152971543</v>
      </c>
      <c r="Q240" s="1371">
        <f t="shared" si="43"/>
        <v>44.520984859919338</v>
      </c>
      <c r="R240" s="1371">
        <f t="shared" si="43"/>
        <v>123.12413435904286</v>
      </c>
      <c r="S240" s="1371">
        <f t="shared" si="43"/>
        <v>0</v>
      </c>
      <c r="T240" s="1371">
        <f t="shared" si="43"/>
        <v>1155.1357038717852</v>
      </c>
      <c r="U240" s="1371">
        <f t="shared" si="38"/>
        <v>19239.962675926312</v>
      </c>
      <c r="V240" s="1373">
        <f t="shared" si="41"/>
        <v>19239.96</v>
      </c>
      <c r="W240" s="960"/>
    </row>
    <row r="241" spans="1:23">
      <c r="A241" s="918">
        <v>300644</v>
      </c>
      <c r="B241" s="919" t="s">
        <v>427</v>
      </c>
      <c r="C241" s="1363">
        <f>IF('TAR_Tab 2_Volumina'!M244,1,0)</f>
        <v>0</v>
      </c>
      <c r="D241" s="1527">
        <v>0</v>
      </c>
      <c r="E241" s="1528">
        <f t="shared" si="34"/>
        <v>0</v>
      </c>
      <c r="F241" s="1528">
        <f t="shared" si="35"/>
        <v>0</v>
      </c>
      <c r="G241" s="1531"/>
      <c r="H241" s="1528">
        <f t="shared" si="36"/>
        <v>0</v>
      </c>
      <c r="I241" s="1528">
        <f t="shared" si="37"/>
        <v>0</v>
      </c>
      <c r="J241" s="1532">
        <f t="shared" si="39"/>
        <v>0</v>
      </c>
      <c r="K241" s="1369" t="str">
        <f t="shared" si="40"/>
        <v/>
      </c>
      <c r="L241" s="1558"/>
      <c r="M241" s="1364"/>
      <c r="N241" s="1371">
        <f t="shared" si="42"/>
        <v>0</v>
      </c>
      <c r="O241" s="1372"/>
      <c r="P241" s="1371">
        <f t="shared" si="43"/>
        <v>0</v>
      </c>
      <c r="Q241" s="1371">
        <f t="shared" si="43"/>
        <v>0</v>
      </c>
      <c r="R241" s="1371">
        <f t="shared" si="43"/>
        <v>0</v>
      </c>
      <c r="S241" s="1371">
        <f t="shared" si="43"/>
        <v>0</v>
      </c>
      <c r="T241" s="1371">
        <f t="shared" si="43"/>
        <v>0</v>
      </c>
      <c r="U241" s="1371">
        <f t="shared" si="38"/>
        <v>0</v>
      </c>
      <c r="V241" s="1373">
        <f t="shared" si="41"/>
        <v>0</v>
      </c>
      <c r="W241" s="960"/>
    </row>
    <row r="242" spans="1:23">
      <c r="A242" s="918">
        <v>300645</v>
      </c>
      <c r="B242" s="919" t="s">
        <v>185</v>
      </c>
      <c r="C242" s="1363">
        <f>IF('TAR_Tab 2_Volumina'!M245,1,0)</f>
        <v>0</v>
      </c>
      <c r="D242" s="1527">
        <v>0</v>
      </c>
      <c r="E242" s="1528">
        <f t="shared" si="34"/>
        <v>0</v>
      </c>
      <c r="F242" s="1528">
        <f t="shared" si="35"/>
        <v>0</v>
      </c>
      <c r="G242" s="1531"/>
      <c r="H242" s="1528">
        <f t="shared" si="36"/>
        <v>0</v>
      </c>
      <c r="I242" s="1528">
        <f t="shared" si="37"/>
        <v>0</v>
      </c>
      <c r="J242" s="1532">
        <f t="shared" si="39"/>
        <v>0</v>
      </c>
      <c r="K242" s="1369" t="str">
        <f t="shared" si="40"/>
        <v/>
      </c>
      <c r="L242" s="1558"/>
      <c r="M242" s="1364"/>
      <c r="N242" s="1371">
        <f t="shared" si="42"/>
        <v>0</v>
      </c>
      <c r="O242" s="1372"/>
      <c r="P242" s="1371">
        <f t="shared" si="43"/>
        <v>0</v>
      </c>
      <c r="Q242" s="1371">
        <f t="shared" si="43"/>
        <v>0</v>
      </c>
      <c r="R242" s="1371">
        <f t="shared" si="43"/>
        <v>0</v>
      </c>
      <c r="S242" s="1371">
        <f t="shared" si="43"/>
        <v>0</v>
      </c>
      <c r="T242" s="1371">
        <f t="shared" si="43"/>
        <v>0</v>
      </c>
      <c r="U242" s="1371">
        <f t="shared" si="38"/>
        <v>0</v>
      </c>
      <c r="V242" s="1373">
        <f t="shared" si="41"/>
        <v>0</v>
      </c>
      <c r="W242" s="960"/>
    </row>
    <row r="243" spans="1:23">
      <c r="A243" s="918">
        <v>300648</v>
      </c>
      <c r="B243" s="919" t="s">
        <v>186</v>
      </c>
      <c r="C243" s="1363">
        <f>IF('TAR_Tab 2_Volumina'!M246,1,0)</f>
        <v>0</v>
      </c>
      <c r="D243" s="1527">
        <v>0</v>
      </c>
      <c r="E243" s="1528">
        <f t="shared" si="34"/>
        <v>0</v>
      </c>
      <c r="F243" s="1528">
        <f t="shared" si="35"/>
        <v>0</v>
      </c>
      <c r="G243" s="1531"/>
      <c r="H243" s="1528">
        <f t="shared" si="36"/>
        <v>0</v>
      </c>
      <c r="I243" s="1528">
        <f t="shared" si="37"/>
        <v>0</v>
      </c>
      <c r="J243" s="1532">
        <f t="shared" si="39"/>
        <v>0</v>
      </c>
      <c r="K243" s="1369" t="str">
        <f t="shared" si="40"/>
        <v/>
      </c>
      <c r="L243" s="1558"/>
      <c r="M243" s="1364"/>
      <c r="N243" s="1371">
        <f t="shared" si="42"/>
        <v>0</v>
      </c>
      <c r="O243" s="1372"/>
      <c r="P243" s="1371">
        <f t="shared" si="43"/>
        <v>0</v>
      </c>
      <c r="Q243" s="1371">
        <f t="shared" si="43"/>
        <v>0</v>
      </c>
      <c r="R243" s="1371">
        <f t="shared" si="43"/>
        <v>0</v>
      </c>
      <c r="S243" s="1371">
        <f t="shared" si="43"/>
        <v>0</v>
      </c>
      <c r="T243" s="1371">
        <f t="shared" si="43"/>
        <v>0</v>
      </c>
      <c r="U243" s="1371">
        <f t="shared" si="38"/>
        <v>0</v>
      </c>
      <c r="V243" s="1373">
        <f t="shared" si="41"/>
        <v>0</v>
      </c>
      <c r="W243" s="960"/>
    </row>
    <row r="244" spans="1:23">
      <c r="A244" s="918">
        <v>300649</v>
      </c>
      <c r="B244" s="919" t="s">
        <v>187</v>
      </c>
      <c r="C244" s="1363">
        <f>IF('TAR_Tab 2_Volumina'!M247,1,0)</f>
        <v>0</v>
      </c>
      <c r="D244" s="1527">
        <v>0</v>
      </c>
      <c r="E244" s="1528">
        <f t="shared" si="34"/>
        <v>0</v>
      </c>
      <c r="F244" s="1528">
        <f t="shared" si="35"/>
        <v>0</v>
      </c>
      <c r="G244" s="1531"/>
      <c r="H244" s="1528">
        <f t="shared" si="36"/>
        <v>0</v>
      </c>
      <c r="I244" s="1528">
        <f t="shared" si="37"/>
        <v>0</v>
      </c>
      <c r="J244" s="1532">
        <f t="shared" si="39"/>
        <v>0</v>
      </c>
      <c r="K244" s="1369" t="str">
        <f t="shared" si="40"/>
        <v/>
      </c>
      <c r="L244" s="1558"/>
      <c r="M244" s="1364"/>
      <c r="N244" s="1371">
        <f t="shared" si="42"/>
        <v>0</v>
      </c>
      <c r="O244" s="1372"/>
      <c r="P244" s="1371">
        <f t="shared" si="43"/>
        <v>0</v>
      </c>
      <c r="Q244" s="1371">
        <f t="shared" si="43"/>
        <v>0</v>
      </c>
      <c r="R244" s="1371">
        <f t="shared" si="43"/>
        <v>0</v>
      </c>
      <c r="S244" s="1371">
        <f t="shared" si="43"/>
        <v>0</v>
      </c>
      <c r="T244" s="1371">
        <f t="shared" si="43"/>
        <v>0</v>
      </c>
      <c r="U244" s="1371">
        <f t="shared" si="38"/>
        <v>0</v>
      </c>
      <c r="V244" s="1373">
        <f t="shared" si="41"/>
        <v>0</v>
      </c>
      <c r="W244" s="960"/>
    </row>
    <row r="245" spans="1:23">
      <c r="A245" s="918">
        <v>300650</v>
      </c>
      <c r="B245" s="919" t="s">
        <v>188</v>
      </c>
      <c r="C245" s="1363">
        <f>IF('TAR_Tab 2_Volumina'!M248,1,0)</f>
        <v>1</v>
      </c>
      <c r="D245" s="1527">
        <v>17726.04489529389</v>
      </c>
      <c r="E245" s="1528">
        <f t="shared" si="34"/>
        <v>16903.556412152255</v>
      </c>
      <c r="F245" s="1528">
        <f t="shared" si="35"/>
        <v>17861.01390568259</v>
      </c>
      <c r="G245" s="1531"/>
      <c r="H245" s="1528">
        <f t="shared" si="36"/>
        <v>16967.963210398459</v>
      </c>
      <c r="I245" s="1528">
        <f t="shared" si="37"/>
        <v>18754.064600966722</v>
      </c>
      <c r="J245" s="1532">
        <f t="shared" si="39"/>
        <v>17861.01390568259</v>
      </c>
      <c r="K245" s="1369" t="b">
        <f t="shared" si="40"/>
        <v>1</v>
      </c>
      <c r="L245" s="1558"/>
      <c r="M245" s="1364"/>
      <c r="N245" s="1371">
        <f t="shared" si="42"/>
        <v>17861.01390568259</v>
      </c>
      <c r="O245" s="1372"/>
      <c r="P245" s="1371">
        <f t="shared" si="43"/>
        <v>56.167947152971543</v>
      </c>
      <c r="Q245" s="1371">
        <f t="shared" si="43"/>
        <v>44.520984859919338</v>
      </c>
      <c r="R245" s="1371">
        <f t="shared" si="43"/>
        <v>123.12413435904286</v>
      </c>
      <c r="S245" s="1371">
        <f t="shared" si="43"/>
        <v>0</v>
      </c>
      <c r="T245" s="1371">
        <f t="shared" si="43"/>
        <v>1155.1357038717852</v>
      </c>
      <c r="U245" s="1371">
        <f t="shared" si="38"/>
        <v>19239.962675926312</v>
      </c>
      <c r="V245" s="1373">
        <f t="shared" si="41"/>
        <v>19239.96</v>
      </c>
      <c r="W245" s="960"/>
    </row>
    <row r="246" spans="1:23">
      <c r="A246" s="918">
        <v>300651</v>
      </c>
      <c r="B246" s="919" t="s">
        <v>189</v>
      </c>
      <c r="C246" s="1363">
        <f>IF('TAR_Tab 2_Volumina'!M249,1,0)</f>
        <v>1</v>
      </c>
      <c r="D246" s="1527">
        <v>17726.04489529389</v>
      </c>
      <c r="E246" s="1528">
        <f t="shared" si="34"/>
        <v>16903.556412152255</v>
      </c>
      <c r="F246" s="1528">
        <f t="shared" si="35"/>
        <v>17861.01390568259</v>
      </c>
      <c r="G246" s="1531"/>
      <c r="H246" s="1528">
        <f t="shared" si="36"/>
        <v>16967.963210398459</v>
      </c>
      <c r="I246" s="1528">
        <f t="shared" si="37"/>
        <v>18754.064600966722</v>
      </c>
      <c r="J246" s="1532">
        <f t="shared" si="39"/>
        <v>17861.01390568259</v>
      </c>
      <c r="K246" s="1369" t="b">
        <f t="shared" si="40"/>
        <v>1</v>
      </c>
      <c r="L246" s="1558"/>
      <c r="M246" s="1364"/>
      <c r="N246" s="1371">
        <f t="shared" si="42"/>
        <v>17861.01390568259</v>
      </c>
      <c r="O246" s="1372"/>
      <c r="P246" s="1371">
        <f t="shared" si="43"/>
        <v>56.167947152971543</v>
      </c>
      <c r="Q246" s="1371">
        <f t="shared" si="43"/>
        <v>44.520984859919338</v>
      </c>
      <c r="R246" s="1371">
        <f t="shared" si="43"/>
        <v>123.12413435904286</v>
      </c>
      <c r="S246" s="1371">
        <f t="shared" si="43"/>
        <v>0</v>
      </c>
      <c r="T246" s="1371">
        <f t="shared" si="43"/>
        <v>1155.1357038717852</v>
      </c>
      <c r="U246" s="1371">
        <f t="shared" si="38"/>
        <v>19239.962675926312</v>
      </c>
      <c r="V246" s="1373">
        <f t="shared" si="41"/>
        <v>19239.96</v>
      </c>
      <c r="W246" s="960"/>
    </row>
    <row r="247" spans="1:23">
      <c r="A247" s="918">
        <v>300652</v>
      </c>
      <c r="B247" s="919" t="s">
        <v>190</v>
      </c>
      <c r="C247" s="1363">
        <f>IF('TAR_Tab 2_Volumina'!M250,1,0)</f>
        <v>1</v>
      </c>
      <c r="D247" s="1527">
        <v>17726.04489529389</v>
      </c>
      <c r="E247" s="1528">
        <f t="shared" si="34"/>
        <v>16903.556412152255</v>
      </c>
      <c r="F247" s="1528">
        <f t="shared" si="35"/>
        <v>17861.01390568259</v>
      </c>
      <c r="G247" s="1531"/>
      <c r="H247" s="1528">
        <f t="shared" si="36"/>
        <v>16967.963210398459</v>
      </c>
      <c r="I247" s="1528">
        <f t="shared" si="37"/>
        <v>18754.064600966722</v>
      </c>
      <c r="J247" s="1532">
        <f t="shared" si="39"/>
        <v>17861.01390568259</v>
      </c>
      <c r="K247" s="1369" t="b">
        <f t="shared" si="40"/>
        <v>1</v>
      </c>
      <c r="L247" s="1558"/>
      <c r="M247" s="1364"/>
      <c r="N247" s="1371">
        <f t="shared" si="42"/>
        <v>17861.01390568259</v>
      </c>
      <c r="O247" s="1372"/>
      <c r="P247" s="1371">
        <f t="shared" si="43"/>
        <v>56.167947152971543</v>
      </c>
      <c r="Q247" s="1371">
        <f t="shared" si="43"/>
        <v>44.520984859919338</v>
      </c>
      <c r="R247" s="1371">
        <f t="shared" si="43"/>
        <v>123.12413435904286</v>
      </c>
      <c r="S247" s="1371">
        <f t="shared" si="43"/>
        <v>0</v>
      </c>
      <c r="T247" s="1371">
        <f t="shared" si="43"/>
        <v>1155.1357038717852</v>
      </c>
      <c r="U247" s="1371">
        <f t="shared" si="38"/>
        <v>19239.962675926312</v>
      </c>
      <c r="V247" s="1373">
        <f t="shared" si="41"/>
        <v>19239.96</v>
      </c>
      <c r="W247" s="960"/>
    </row>
    <row r="248" spans="1:23">
      <c r="A248" s="918">
        <v>300655</v>
      </c>
      <c r="B248" s="919" t="s">
        <v>322</v>
      </c>
      <c r="C248" s="1363">
        <f>IF('TAR_Tab 2_Volumina'!M251,1,0)</f>
        <v>1</v>
      </c>
      <c r="D248" s="1529">
        <v>35452.089790587779</v>
      </c>
      <c r="E248" s="1528">
        <f t="shared" si="34"/>
        <v>33807.11282430451</v>
      </c>
      <c r="F248" s="1528">
        <f t="shared" si="35"/>
        <v>35722.02781136518</v>
      </c>
      <c r="G248" s="1531"/>
      <c r="H248" s="1528">
        <f t="shared" si="36"/>
        <v>33935.926420796917</v>
      </c>
      <c r="I248" s="1528">
        <f t="shared" si="37"/>
        <v>37508.129201933443</v>
      </c>
      <c r="J248" s="1532">
        <f t="shared" si="39"/>
        <v>35722.02781136518</v>
      </c>
      <c r="K248" s="1369" t="b">
        <f t="shared" si="40"/>
        <v>1</v>
      </c>
      <c r="L248" s="1558"/>
      <c r="M248" s="1364"/>
      <c r="N248" s="1371">
        <f t="shared" si="42"/>
        <v>35722.02781136518</v>
      </c>
      <c r="O248" s="1372"/>
      <c r="P248" s="1371">
        <f t="shared" si="43"/>
        <v>112.33589430594309</v>
      </c>
      <c r="Q248" s="1371">
        <f t="shared" si="43"/>
        <v>89.041969719838676</v>
      </c>
      <c r="R248" s="1371">
        <f t="shared" si="43"/>
        <v>246.24826871808571</v>
      </c>
      <c r="S248" s="1371">
        <f t="shared" si="43"/>
        <v>0</v>
      </c>
      <c r="T248" s="1371">
        <f t="shared" si="43"/>
        <v>2310.2714077435703</v>
      </c>
      <c r="U248" s="1371">
        <f t="shared" si="38"/>
        <v>38479.925351852624</v>
      </c>
      <c r="V248" s="1373">
        <f t="shared" si="41"/>
        <v>38479.93</v>
      </c>
      <c r="W248" s="960"/>
    </row>
    <row r="249" spans="1:23">
      <c r="A249" s="918">
        <v>300662</v>
      </c>
      <c r="B249" s="919" t="s">
        <v>323</v>
      </c>
      <c r="C249" s="1363">
        <f>IF('TAR_Tab 2_Volumina'!M252,1,0)</f>
        <v>1</v>
      </c>
      <c r="D249" s="1529">
        <v>35452.089790587779</v>
      </c>
      <c r="E249" s="1528">
        <f t="shared" si="34"/>
        <v>33807.11282430451</v>
      </c>
      <c r="F249" s="1528">
        <f t="shared" si="35"/>
        <v>35722.02781136518</v>
      </c>
      <c r="G249" s="1531"/>
      <c r="H249" s="1528">
        <f t="shared" si="36"/>
        <v>33935.926420796917</v>
      </c>
      <c r="I249" s="1528">
        <f t="shared" si="37"/>
        <v>37508.129201933443</v>
      </c>
      <c r="J249" s="1532">
        <f t="shared" si="39"/>
        <v>35722.02781136518</v>
      </c>
      <c r="K249" s="1369" t="b">
        <f t="shared" si="40"/>
        <v>1</v>
      </c>
      <c r="L249" s="1558"/>
      <c r="M249" s="1364"/>
      <c r="N249" s="1371">
        <f t="shared" si="42"/>
        <v>35722.02781136518</v>
      </c>
      <c r="O249" s="1372"/>
      <c r="P249" s="1371">
        <f t="shared" si="43"/>
        <v>112.33589430594309</v>
      </c>
      <c r="Q249" s="1371">
        <f t="shared" si="43"/>
        <v>89.041969719838676</v>
      </c>
      <c r="R249" s="1371">
        <f t="shared" si="43"/>
        <v>246.24826871808571</v>
      </c>
      <c r="S249" s="1371">
        <f t="shared" si="43"/>
        <v>0</v>
      </c>
      <c r="T249" s="1371">
        <f t="shared" si="43"/>
        <v>2310.2714077435703</v>
      </c>
      <c r="U249" s="1371">
        <f t="shared" si="38"/>
        <v>38479.925351852624</v>
      </c>
      <c r="V249" s="1373">
        <f t="shared" si="41"/>
        <v>38479.93</v>
      </c>
      <c r="W249" s="960"/>
    </row>
    <row r="250" spans="1:23">
      <c r="A250" s="918">
        <v>300663</v>
      </c>
      <c r="B250" s="919" t="s">
        <v>1092</v>
      </c>
      <c r="C250" s="1363">
        <f>IF('TAR_Tab 2_Volumina'!M253,1,0)</f>
        <v>0</v>
      </c>
      <c r="D250" s="1527">
        <v>0</v>
      </c>
      <c r="E250" s="1528">
        <f t="shared" si="34"/>
        <v>0</v>
      </c>
      <c r="F250" s="1528">
        <f t="shared" si="35"/>
        <v>0</v>
      </c>
      <c r="G250" s="1531"/>
      <c r="H250" s="1528">
        <f t="shared" si="36"/>
        <v>0</v>
      </c>
      <c r="I250" s="1528">
        <f t="shared" si="37"/>
        <v>0</v>
      </c>
      <c r="J250" s="1532">
        <f t="shared" si="39"/>
        <v>0</v>
      </c>
      <c r="K250" s="1369" t="str">
        <f t="shared" si="40"/>
        <v/>
      </c>
      <c r="L250" s="1558"/>
      <c r="M250" s="1364"/>
      <c r="N250" s="1371">
        <f t="shared" si="42"/>
        <v>0</v>
      </c>
      <c r="O250" s="1372"/>
      <c r="P250" s="1371">
        <f t="shared" si="43"/>
        <v>0</v>
      </c>
      <c r="Q250" s="1371">
        <f t="shared" si="43"/>
        <v>0</v>
      </c>
      <c r="R250" s="1371">
        <f t="shared" si="43"/>
        <v>0</v>
      </c>
      <c r="S250" s="1371">
        <f t="shared" si="43"/>
        <v>0</v>
      </c>
      <c r="T250" s="1371">
        <f t="shared" si="43"/>
        <v>0</v>
      </c>
      <c r="U250" s="1371">
        <f t="shared" si="38"/>
        <v>0</v>
      </c>
      <c r="V250" s="1373">
        <f t="shared" si="41"/>
        <v>0</v>
      </c>
      <c r="W250" s="960"/>
    </row>
    <row r="251" spans="1:23">
      <c r="A251" s="918">
        <v>300664</v>
      </c>
      <c r="B251" s="919" t="s">
        <v>191</v>
      </c>
      <c r="C251" s="1363">
        <f>IF('TAR_Tab 2_Volumina'!M254,1,0)</f>
        <v>0</v>
      </c>
      <c r="D251" s="1527">
        <v>0</v>
      </c>
      <c r="E251" s="1528">
        <f t="shared" si="34"/>
        <v>0</v>
      </c>
      <c r="F251" s="1528">
        <f t="shared" si="35"/>
        <v>0</v>
      </c>
      <c r="G251" s="1531"/>
      <c r="H251" s="1528">
        <f t="shared" si="36"/>
        <v>0</v>
      </c>
      <c r="I251" s="1528">
        <f t="shared" si="37"/>
        <v>0</v>
      </c>
      <c r="J251" s="1532">
        <f t="shared" si="39"/>
        <v>0</v>
      </c>
      <c r="K251" s="1369" t="str">
        <f t="shared" si="40"/>
        <v/>
      </c>
      <c r="L251" s="1558"/>
      <c r="M251" s="1364"/>
      <c r="N251" s="1371">
        <f t="shared" si="42"/>
        <v>0</v>
      </c>
      <c r="O251" s="1372"/>
      <c r="P251" s="1371">
        <f t="shared" si="43"/>
        <v>0</v>
      </c>
      <c r="Q251" s="1371">
        <f t="shared" si="43"/>
        <v>0</v>
      </c>
      <c r="R251" s="1371">
        <f t="shared" si="43"/>
        <v>0</v>
      </c>
      <c r="S251" s="1371">
        <f t="shared" si="43"/>
        <v>0</v>
      </c>
      <c r="T251" s="1371">
        <f t="shared" si="43"/>
        <v>0</v>
      </c>
      <c r="U251" s="1371">
        <f t="shared" si="38"/>
        <v>0</v>
      </c>
      <c r="V251" s="1373">
        <f t="shared" si="41"/>
        <v>0</v>
      </c>
      <c r="W251" s="960"/>
    </row>
    <row r="252" spans="1:23">
      <c r="A252" s="918">
        <v>300665</v>
      </c>
      <c r="B252" s="919" t="s">
        <v>1093</v>
      </c>
      <c r="C252" s="1363">
        <f>IF('TAR_Tab 2_Volumina'!M255,1,0)</f>
        <v>0</v>
      </c>
      <c r="D252" s="1527">
        <v>0</v>
      </c>
      <c r="E252" s="1528">
        <f t="shared" si="34"/>
        <v>0</v>
      </c>
      <c r="F252" s="1528">
        <f t="shared" si="35"/>
        <v>0</v>
      </c>
      <c r="G252" s="1531"/>
      <c r="H252" s="1528">
        <f t="shared" si="36"/>
        <v>0</v>
      </c>
      <c r="I252" s="1528">
        <f t="shared" si="37"/>
        <v>0</v>
      </c>
      <c r="J252" s="1532">
        <f t="shared" si="39"/>
        <v>0</v>
      </c>
      <c r="K252" s="1369" t="str">
        <f t="shared" si="40"/>
        <v/>
      </c>
      <c r="L252" s="1558"/>
      <c r="M252" s="1364"/>
      <c r="N252" s="1371">
        <f t="shared" si="42"/>
        <v>0</v>
      </c>
      <c r="O252" s="1372"/>
      <c r="P252" s="1371">
        <f t="shared" si="43"/>
        <v>0</v>
      </c>
      <c r="Q252" s="1371">
        <f t="shared" si="43"/>
        <v>0</v>
      </c>
      <c r="R252" s="1371">
        <f t="shared" si="43"/>
        <v>0</v>
      </c>
      <c r="S252" s="1371">
        <f t="shared" si="43"/>
        <v>0</v>
      </c>
      <c r="T252" s="1371">
        <f t="shared" si="43"/>
        <v>0</v>
      </c>
      <c r="U252" s="1371">
        <f t="shared" si="38"/>
        <v>0</v>
      </c>
      <c r="V252" s="1373">
        <f t="shared" si="41"/>
        <v>0</v>
      </c>
      <c r="W252" s="960"/>
    </row>
    <row r="253" spans="1:23">
      <c r="A253" s="918">
        <v>300669</v>
      </c>
      <c r="B253" s="919" t="s">
        <v>324</v>
      </c>
      <c r="C253" s="1363">
        <f>IF('TAR_Tab 2_Volumina'!M256,1,0)</f>
        <v>1</v>
      </c>
      <c r="D253" s="1529">
        <v>124082.31426705727</v>
      </c>
      <c r="E253" s="1528">
        <f t="shared" si="34"/>
        <v>118324.89488506582</v>
      </c>
      <c r="F253" s="1528">
        <f t="shared" si="35"/>
        <v>125027.09733977816</v>
      </c>
      <c r="G253" s="1531"/>
      <c r="H253" s="1528">
        <f t="shared" si="36"/>
        <v>118775.74247278925</v>
      </c>
      <c r="I253" s="1528">
        <f t="shared" si="37"/>
        <v>131278.45220676708</v>
      </c>
      <c r="J253" s="1532">
        <f t="shared" si="39"/>
        <v>125027.09733977816</v>
      </c>
      <c r="K253" s="1369" t="b">
        <f t="shared" si="40"/>
        <v>1</v>
      </c>
      <c r="L253" s="1558"/>
      <c r="M253" s="1364"/>
      <c r="N253" s="1371">
        <f t="shared" si="42"/>
        <v>125027.09733977816</v>
      </c>
      <c r="O253" s="1372"/>
      <c r="P253" s="1371">
        <f t="shared" si="43"/>
        <v>393.17563007080088</v>
      </c>
      <c r="Q253" s="1371">
        <f t="shared" si="43"/>
        <v>311.64689401943542</v>
      </c>
      <c r="R253" s="1371">
        <f t="shared" si="43"/>
        <v>861.86894051330023</v>
      </c>
      <c r="S253" s="1371">
        <f t="shared" si="43"/>
        <v>0</v>
      </c>
      <c r="T253" s="1371">
        <f t="shared" si="43"/>
        <v>8085.9499271024988</v>
      </c>
      <c r="U253" s="1371">
        <f t="shared" si="38"/>
        <v>134679.73873148422</v>
      </c>
      <c r="V253" s="1373">
        <f t="shared" si="41"/>
        <v>134679.74</v>
      </c>
      <c r="W253" s="960"/>
    </row>
    <row r="254" spans="1:23">
      <c r="A254" s="918">
        <v>300670</v>
      </c>
      <c r="B254" s="919" t="s">
        <v>192</v>
      </c>
      <c r="C254" s="1363">
        <f>IF('TAR_Tab 2_Volumina'!M257,1,0)</f>
        <v>1</v>
      </c>
      <c r="D254" s="1527">
        <v>17726.044895293846</v>
      </c>
      <c r="E254" s="1528">
        <f t="shared" si="34"/>
        <v>16903.556412152211</v>
      </c>
      <c r="F254" s="1528">
        <f t="shared" si="35"/>
        <v>17861.013905682543</v>
      </c>
      <c r="G254" s="1531"/>
      <c r="H254" s="1528">
        <f t="shared" si="36"/>
        <v>16967.963210398415</v>
      </c>
      <c r="I254" s="1528">
        <f t="shared" si="37"/>
        <v>18754.064600966671</v>
      </c>
      <c r="J254" s="1532">
        <f t="shared" si="39"/>
        <v>17861.013905682543</v>
      </c>
      <c r="K254" s="1369" t="b">
        <f t="shared" si="40"/>
        <v>1</v>
      </c>
      <c r="L254" s="1558"/>
      <c r="M254" s="1364"/>
      <c r="N254" s="1371">
        <f t="shared" si="42"/>
        <v>17861.013905682543</v>
      </c>
      <c r="O254" s="1372"/>
      <c r="P254" s="1371">
        <f t="shared" si="43"/>
        <v>56.167947152971394</v>
      </c>
      <c r="Q254" s="1371">
        <f t="shared" si="43"/>
        <v>44.520984859919217</v>
      </c>
      <c r="R254" s="1371">
        <f t="shared" si="43"/>
        <v>123.12413435904253</v>
      </c>
      <c r="S254" s="1371">
        <f t="shared" si="43"/>
        <v>0</v>
      </c>
      <c r="T254" s="1371">
        <f t="shared" si="43"/>
        <v>1155.1357038717822</v>
      </c>
      <c r="U254" s="1371">
        <f t="shared" si="38"/>
        <v>19239.962675926257</v>
      </c>
      <c r="V254" s="1373">
        <f t="shared" si="41"/>
        <v>19239.96</v>
      </c>
      <c r="W254" s="960"/>
    </row>
    <row r="255" spans="1:23">
      <c r="A255" s="918">
        <v>300674</v>
      </c>
      <c r="B255" s="919" t="s">
        <v>193</v>
      </c>
      <c r="C255" s="1363">
        <f>IF('TAR_Tab 2_Volumina'!M258,1,0)</f>
        <v>0</v>
      </c>
      <c r="D255" s="1527">
        <v>0</v>
      </c>
      <c r="E255" s="1528">
        <f t="shared" si="34"/>
        <v>0</v>
      </c>
      <c r="F255" s="1528">
        <f t="shared" si="35"/>
        <v>0</v>
      </c>
      <c r="G255" s="1531"/>
      <c r="H255" s="1528">
        <f t="shared" si="36"/>
        <v>0</v>
      </c>
      <c r="I255" s="1528">
        <f t="shared" si="37"/>
        <v>0</v>
      </c>
      <c r="J255" s="1532">
        <f t="shared" si="39"/>
        <v>0</v>
      </c>
      <c r="K255" s="1369" t="str">
        <f t="shared" si="40"/>
        <v/>
      </c>
      <c r="L255" s="1558"/>
      <c r="M255" s="1364"/>
      <c r="N255" s="1371">
        <f t="shared" si="42"/>
        <v>0</v>
      </c>
      <c r="O255" s="1372"/>
      <c r="P255" s="1371">
        <f t="shared" si="43"/>
        <v>0</v>
      </c>
      <c r="Q255" s="1371">
        <f t="shared" si="43"/>
        <v>0</v>
      </c>
      <c r="R255" s="1371">
        <f t="shared" si="43"/>
        <v>0</v>
      </c>
      <c r="S255" s="1371">
        <f t="shared" si="43"/>
        <v>0</v>
      </c>
      <c r="T255" s="1371">
        <f t="shared" si="43"/>
        <v>0</v>
      </c>
      <c r="U255" s="1371">
        <f t="shared" si="38"/>
        <v>0</v>
      </c>
      <c r="V255" s="1373">
        <f t="shared" si="41"/>
        <v>0</v>
      </c>
      <c r="W255" s="960"/>
    </row>
    <row r="256" spans="1:23">
      <c r="A256" s="918">
        <v>300675</v>
      </c>
      <c r="B256" s="919" t="s">
        <v>194</v>
      </c>
      <c r="C256" s="1363">
        <f>IF('TAR_Tab 2_Volumina'!M259,1,0)</f>
        <v>0</v>
      </c>
      <c r="D256" s="1527">
        <v>0</v>
      </c>
      <c r="E256" s="1528">
        <f t="shared" si="34"/>
        <v>0</v>
      </c>
      <c r="F256" s="1528">
        <f t="shared" si="35"/>
        <v>0</v>
      </c>
      <c r="G256" s="1531"/>
      <c r="H256" s="1528">
        <f t="shared" si="36"/>
        <v>0</v>
      </c>
      <c r="I256" s="1528">
        <f t="shared" si="37"/>
        <v>0</v>
      </c>
      <c r="J256" s="1532">
        <f t="shared" si="39"/>
        <v>0</v>
      </c>
      <c r="K256" s="1369" t="str">
        <f t="shared" si="40"/>
        <v/>
      </c>
      <c r="L256" s="1558"/>
      <c r="M256" s="1364"/>
      <c r="N256" s="1371">
        <f t="shared" si="42"/>
        <v>0</v>
      </c>
      <c r="O256" s="1372"/>
      <c r="P256" s="1371">
        <f t="shared" si="43"/>
        <v>0</v>
      </c>
      <c r="Q256" s="1371">
        <f t="shared" si="43"/>
        <v>0</v>
      </c>
      <c r="R256" s="1371">
        <f t="shared" si="43"/>
        <v>0</v>
      </c>
      <c r="S256" s="1371">
        <f t="shared" si="43"/>
        <v>0</v>
      </c>
      <c r="T256" s="1371">
        <f t="shared" si="43"/>
        <v>0</v>
      </c>
      <c r="U256" s="1371">
        <f t="shared" si="38"/>
        <v>0</v>
      </c>
      <c r="V256" s="1373">
        <f t="shared" si="41"/>
        <v>0</v>
      </c>
      <c r="W256" s="960"/>
    </row>
    <row r="257" spans="1:23">
      <c r="A257" s="918">
        <v>300678</v>
      </c>
      <c r="B257" s="919" t="s">
        <v>325</v>
      </c>
      <c r="C257" s="1363">
        <f>IF('TAR_Tab 2_Volumina'!M260,1,0)</f>
        <v>1</v>
      </c>
      <c r="D257" s="1527">
        <v>17726.044895293846</v>
      </c>
      <c r="E257" s="1528">
        <f t="shared" si="34"/>
        <v>16903.556412152211</v>
      </c>
      <c r="F257" s="1528">
        <f t="shared" si="35"/>
        <v>17861.013905682543</v>
      </c>
      <c r="G257" s="1531"/>
      <c r="H257" s="1528">
        <f t="shared" si="36"/>
        <v>16967.963210398415</v>
      </c>
      <c r="I257" s="1528">
        <f t="shared" si="37"/>
        <v>18754.064600966671</v>
      </c>
      <c r="J257" s="1532">
        <f t="shared" si="39"/>
        <v>17861.013905682543</v>
      </c>
      <c r="K257" s="1369" t="b">
        <f t="shared" si="40"/>
        <v>1</v>
      </c>
      <c r="L257" s="1558"/>
      <c r="M257" s="1364"/>
      <c r="N257" s="1371">
        <f t="shared" si="42"/>
        <v>17861.013905682543</v>
      </c>
      <c r="O257" s="1372"/>
      <c r="P257" s="1371">
        <f t="shared" si="43"/>
        <v>56.167947152971394</v>
      </c>
      <c r="Q257" s="1371">
        <f t="shared" si="43"/>
        <v>44.520984859919217</v>
      </c>
      <c r="R257" s="1371">
        <f t="shared" si="43"/>
        <v>123.12413435904253</v>
      </c>
      <c r="S257" s="1371">
        <f t="shared" si="43"/>
        <v>0</v>
      </c>
      <c r="T257" s="1371">
        <f t="shared" si="43"/>
        <v>1155.1357038717822</v>
      </c>
      <c r="U257" s="1371">
        <f t="shared" si="38"/>
        <v>19239.962675926257</v>
      </c>
      <c r="V257" s="1373">
        <f t="shared" si="41"/>
        <v>19239.96</v>
      </c>
      <c r="W257" s="960"/>
    </row>
    <row r="258" spans="1:23">
      <c r="A258" s="918">
        <v>300680</v>
      </c>
      <c r="B258" s="919" t="s">
        <v>195</v>
      </c>
      <c r="C258" s="1363">
        <f>IF('TAR_Tab 2_Volumina'!M261,1,0)</f>
        <v>0</v>
      </c>
      <c r="D258" s="1527">
        <v>0</v>
      </c>
      <c r="E258" s="1528">
        <f t="shared" si="34"/>
        <v>0</v>
      </c>
      <c r="F258" s="1528">
        <f t="shared" si="35"/>
        <v>0</v>
      </c>
      <c r="G258" s="1531"/>
      <c r="H258" s="1528">
        <f t="shared" si="36"/>
        <v>0</v>
      </c>
      <c r="I258" s="1528">
        <f t="shared" si="37"/>
        <v>0</v>
      </c>
      <c r="J258" s="1532">
        <f t="shared" si="39"/>
        <v>0</v>
      </c>
      <c r="K258" s="1369" t="str">
        <f t="shared" si="40"/>
        <v/>
      </c>
      <c r="L258" s="1558"/>
      <c r="M258" s="1364"/>
      <c r="N258" s="1371">
        <f t="shared" si="42"/>
        <v>0</v>
      </c>
      <c r="O258" s="1372"/>
      <c r="P258" s="1371">
        <f t="shared" si="43"/>
        <v>0</v>
      </c>
      <c r="Q258" s="1371">
        <f t="shared" si="43"/>
        <v>0</v>
      </c>
      <c r="R258" s="1371">
        <f t="shared" si="43"/>
        <v>0</v>
      </c>
      <c r="S258" s="1371">
        <f t="shared" si="43"/>
        <v>0</v>
      </c>
      <c r="T258" s="1371">
        <f t="shared" si="43"/>
        <v>0</v>
      </c>
      <c r="U258" s="1371">
        <f t="shared" si="38"/>
        <v>0</v>
      </c>
      <c r="V258" s="1373">
        <f t="shared" si="41"/>
        <v>0</v>
      </c>
      <c r="W258" s="960"/>
    </row>
    <row r="259" spans="1:23">
      <c r="A259" s="918">
        <v>300681</v>
      </c>
      <c r="B259" s="919" t="s">
        <v>196</v>
      </c>
      <c r="C259" s="1363">
        <f>IF('TAR_Tab 2_Volumina'!M262,1,0)</f>
        <v>0</v>
      </c>
      <c r="D259" s="1527">
        <v>0</v>
      </c>
      <c r="E259" s="1528">
        <f t="shared" si="34"/>
        <v>0</v>
      </c>
      <c r="F259" s="1528">
        <f t="shared" si="35"/>
        <v>0</v>
      </c>
      <c r="G259" s="1531"/>
      <c r="H259" s="1528">
        <f t="shared" si="36"/>
        <v>0</v>
      </c>
      <c r="I259" s="1528">
        <f t="shared" si="37"/>
        <v>0</v>
      </c>
      <c r="J259" s="1532">
        <f t="shared" si="39"/>
        <v>0</v>
      </c>
      <c r="K259" s="1369" t="str">
        <f t="shared" si="40"/>
        <v/>
      </c>
      <c r="L259" s="1558"/>
      <c r="M259" s="1364"/>
      <c r="N259" s="1371">
        <f t="shared" si="42"/>
        <v>0</v>
      </c>
      <c r="O259" s="1372"/>
      <c r="P259" s="1371">
        <f t="shared" si="43"/>
        <v>0</v>
      </c>
      <c r="Q259" s="1371">
        <f t="shared" si="43"/>
        <v>0</v>
      </c>
      <c r="R259" s="1371">
        <f t="shared" si="43"/>
        <v>0</v>
      </c>
      <c r="S259" s="1371">
        <f t="shared" si="43"/>
        <v>0</v>
      </c>
      <c r="T259" s="1371">
        <f t="shared" si="43"/>
        <v>0</v>
      </c>
      <c r="U259" s="1371">
        <f t="shared" si="38"/>
        <v>0</v>
      </c>
      <c r="V259" s="1373">
        <f t="shared" si="41"/>
        <v>0</v>
      </c>
      <c r="W259" s="960"/>
    </row>
    <row r="260" spans="1:23">
      <c r="A260" s="918">
        <v>300683</v>
      </c>
      <c r="B260" s="919" t="s">
        <v>281</v>
      </c>
      <c r="C260" s="1363">
        <f>IF('TAR_Tab 2_Volumina'!M263,1,0)</f>
        <v>0</v>
      </c>
      <c r="D260" s="1527">
        <v>0</v>
      </c>
      <c r="E260" s="1528">
        <f t="shared" si="34"/>
        <v>0</v>
      </c>
      <c r="F260" s="1528">
        <f t="shared" si="35"/>
        <v>0</v>
      </c>
      <c r="G260" s="1531"/>
      <c r="H260" s="1528">
        <f t="shared" si="36"/>
        <v>0</v>
      </c>
      <c r="I260" s="1528">
        <f t="shared" si="37"/>
        <v>0</v>
      </c>
      <c r="J260" s="1532">
        <f t="shared" si="39"/>
        <v>0</v>
      </c>
      <c r="K260" s="1369" t="str">
        <f t="shared" si="40"/>
        <v/>
      </c>
      <c r="L260" s="1558"/>
      <c r="M260" s="1364"/>
      <c r="N260" s="1371">
        <f t="shared" si="42"/>
        <v>0</v>
      </c>
      <c r="O260" s="1372"/>
      <c r="P260" s="1371">
        <f t="shared" si="43"/>
        <v>0</v>
      </c>
      <c r="Q260" s="1371">
        <f t="shared" si="43"/>
        <v>0</v>
      </c>
      <c r="R260" s="1371">
        <f t="shared" si="43"/>
        <v>0</v>
      </c>
      <c r="S260" s="1371">
        <f t="shared" si="43"/>
        <v>0</v>
      </c>
      <c r="T260" s="1371">
        <f t="shared" si="43"/>
        <v>0</v>
      </c>
      <c r="U260" s="1371">
        <f t="shared" si="38"/>
        <v>0</v>
      </c>
      <c r="V260" s="1373">
        <f t="shared" si="41"/>
        <v>0</v>
      </c>
      <c r="W260" s="960"/>
    </row>
    <row r="261" spans="1:23">
      <c r="A261" s="918">
        <v>300684</v>
      </c>
      <c r="B261" s="919" t="s">
        <v>282</v>
      </c>
      <c r="C261" s="1363">
        <f>IF('TAR_Tab 2_Volumina'!M264,1,0)</f>
        <v>0</v>
      </c>
      <c r="D261" s="1527">
        <v>0</v>
      </c>
      <c r="E261" s="1528">
        <f t="shared" si="34"/>
        <v>0</v>
      </c>
      <c r="F261" s="1528">
        <f t="shared" si="35"/>
        <v>0</v>
      </c>
      <c r="G261" s="1531"/>
      <c r="H261" s="1528">
        <f t="shared" si="36"/>
        <v>0</v>
      </c>
      <c r="I261" s="1528">
        <f t="shared" si="37"/>
        <v>0</v>
      </c>
      <c r="J261" s="1532">
        <f t="shared" si="39"/>
        <v>0</v>
      </c>
      <c r="K261" s="1369" t="str">
        <f t="shared" si="40"/>
        <v/>
      </c>
      <c r="L261" s="1558"/>
      <c r="M261" s="1364"/>
      <c r="N261" s="1371">
        <f t="shared" si="42"/>
        <v>0</v>
      </c>
      <c r="O261" s="1372"/>
      <c r="P261" s="1371">
        <f t="shared" si="43"/>
        <v>0</v>
      </c>
      <c r="Q261" s="1371">
        <f t="shared" si="43"/>
        <v>0</v>
      </c>
      <c r="R261" s="1371">
        <f t="shared" si="43"/>
        <v>0</v>
      </c>
      <c r="S261" s="1371">
        <f t="shared" si="43"/>
        <v>0</v>
      </c>
      <c r="T261" s="1371">
        <f t="shared" si="43"/>
        <v>0</v>
      </c>
      <c r="U261" s="1371">
        <f t="shared" si="38"/>
        <v>0</v>
      </c>
      <c r="V261" s="1373">
        <f t="shared" si="41"/>
        <v>0</v>
      </c>
      <c r="W261" s="960"/>
    </row>
    <row r="262" spans="1:23">
      <c r="A262" s="918">
        <v>300685</v>
      </c>
      <c r="B262" s="919" t="s">
        <v>326</v>
      </c>
      <c r="C262" s="1363">
        <f>IF('TAR_Tab 2_Volumina'!M265,1,0)</f>
        <v>0</v>
      </c>
      <c r="D262" s="1527">
        <v>0</v>
      </c>
      <c r="E262" s="1528">
        <f t="shared" si="34"/>
        <v>0</v>
      </c>
      <c r="F262" s="1528">
        <f t="shared" si="35"/>
        <v>0</v>
      </c>
      <c r="G262" s="1531"/>
      <c r="H262" s="1528">
        <f t="shared" si="36"/>
        <v>0</v>
      </c>
      <c r="I262" s="1528">
        <f t="shared" si="37"/>
        <v>0</v>
      </c>
      <c r="J262" s="1532">
        <f t="shared" si="39"/>
        <v>0</v>
      </c>
      <c r="K262" s="1369" t="str">
        <f t="shared" si="40"/>
        <v/>
      </c>
      <c r="L262" s="1558"/>
      <c r="M262" s="1364"/>
      <c r="N262" s="1371">
        <f t="shared" si="42"/>
        <v>0</v>
      </c>
      <c r="O262" s="1372"/>
      <c r="P262" s="1371">
        <f t="shared" si="43"/>
        <v>0</v>
      </c>
      <c r="Q262" s="1371">
        <f t="shared" si="43"/>
        <v>0</v>
      </c>
      <c r="R262" s="1371">
        <f t="shared" si="43"/>
        <v>0</v>
      </c>
      <c r="S262" s="1371">
        <f t="shared" si="43"/>
        <v>0</v>
      </c>
      <c r="T262" s="1371">
        <f t="shared" si="43"/>
        <v>0</v>
      </c>
      <c r="U262" s="1371">
        <f t="shared" si="38"/>
        <v>0</v>
      </c>
      <c r="V262" s="1373">
        <f t="shared" si="41"/>
        <v>0</v>
      </c>
      <c r="W262" s="960"/>
    </row>
    <row r="263" spans="1:23">
      <c r="A263" s="918">
        <v>300686</v>
      </c>
      <c r="B263" s="919" t="s">
        <v>283</v>
      </c>
      <c r="C263" s="1363">
        <f>IF('TAR_Tab 2_Volumina'!M266,1,0)</f>
        <v>0</v>
      </c>
      <c r="D263" s="1527">
        <v>0</v>
      </c>
      <c r="E263" s="1528">
        <f t="shared" si="34"/>
        <v>0</v>
      </c>
      <c r="F263" s="1528">
        <f t="shared" si="35"/>
        <v>0</v>
      </c>
      <c r="G263" s="1531"/>
      <c r="H263" s="1528">
        <f t="shared" si="36"/>
        <v>0</v>
      </c>
      <c r="I263" s="1528">
        <f t="shared" si="37"/>
        <v>0</v>
      </c>
      <c r="J263" s="1532">
        <f t="shared" si="39"/>
        <v>0</v>
      </c>
      <c r="K263" s="1369" t="str">
        <f t="shared" si="40"/>
        <v/>
      </c>
      <c r="L263" s="1558"/>
      <c r="M263" s="1364"/>
      <c r="N263" s="1371">
        <f t="shared" ref="N263:N311" si="44">IF(J263&gt;0,J263,F263)</f>
        <v>0</v>
      </c>
      <c r="O263" s="1372"/>
      <c r="P263" s="1371">
        <f t="shared" si="43"/>
        <v>0</v>
      </c>
      <c r="Q263" s="1371">
        <f t="shared" si="43"/>
        <v>0</v>
      </c>
      <c r="R263" s="1371">
        <f t="shared" si="43"/>
        <v>0</v>
      </c>
      <c r="S263" s="1371">
        <f t="shared" si="43"/>
        <v>0</v>
      </c>
      <c r="T263" s="1371">
        <f t="shared" si="43"/>
        <v>0</v>
      </c>
      <c r="U263" s="1371">
        <f t="shared" si="38"/>
        <v>0</v>
      </c>
      <c r="V263" s="1373">
        <f t="shared" ref="V263:V311" si="45">ROUND(U263,2)</f>
        <v>0</v>
      </c>
      <c r="W263" s="960"/>
    </row>
    <row r="264" spans="1:23">
      <c r="A264" s="918">
        <v>300687</v>
      </c>
      <c r="B264" s="919" t="s">
        <v>1094</v>
      </c>
      <c r="C264" s="1363">
        <f>IF('TAR_Tab 2_Volumina'!M267,1,0)</f>
        <v>0</v>
      </c>
      <c r="D264" s="1527">
        <v>0</v>
      </c>
      <c r="E264" s="1528">
        <f t="shared" si="34"/>
        <v>0</v>
      </c>
      <c r="F264" s="1528">
        <f t="shared" si="35"/>
        <v>0</v>
      </c>
      <c r="G264" s="1531"/>
      <c r="H264" s="1528">
        <f t="shared" si="36"/>
        <v>0</v>
      </c>
      <c r="I264" s="1528">
        <f t="shared" si="37"/>
        <v>0</v>
      </c>
      <c r="J264" s="1532">
        <f t="shared" si="39"/>
        <v>0</v>
      </c>
      <c r="K264" s="1369" t="str">
        <f t="shared" si="40"/>
        <v/>
      </c>
      <c r="L264" s="1558"/>
      <c r="M264" s="1364"/>
      <c r="N264" s="1371">
        <f t="shared" si="44"/>
        <v>0</v>
      </c>
      <c r="O264" s="1372"/>
      <c r="P264" s="1371">
        <f t="shared" si="43"/>
        <v>0</v>
      </c>
      <c r="Q264" s="1371">
        <f t="shared" si="43"/>
        <v>0</v>
      </c>
      <c r="R264" s="1371">
        <f t="shared" si="43"/>
        <v>0</v>
      </c>
      <c r="S264" s="1371">
        <f t="shared" si="43"/>
        <v>0</v>
      </c>
      <c r="T264" s="1371">
        <f t="shared" si="43"/>
        <v>0</v>
      </c>
      <c r="U264" s="1371">
        <f t="shared" si="38"/>
        <v>0</v>
      </c>
      <c r="V264" s="1373">
        <f t="shared" si="45"/>
        <v>0</v>
      </c>
      <c r="W264" s="960"/>
    </row>
    <row r="265" spans="1:23">
      <c r="A265" s="918">
        <v>300691</v>
      </c>
      <c r="B265" s="919" t="s">
        <v>327</v>
      </c>
      <c r="C265" s="1363">
        <f>IF('TAR_Tab 2_Volumina'!M268,1,0)</f>
        <v>1</v>
      </c>
      <c r="D265" s="1529">
        <v>35452.089790587779</v>
      </c>
      <c r="E265" s="1528">
        <f t="shared" ref="E265:E328" si="46">D265*$E$7*C265</f>
        <v>33807.11282430451</v>
      </c>
      <c r="F265" s="1528">
        <f t="shared" ref="F265:F328" si="47">E265*$F$7</f>
        <v>35722.02781136518</v>
      </c>
      <c r="G265" s="1531"/>
      <c r="H265" s="1528">
        <f t="shared" ref="H265:H328" si="48">F265*$H$7</f>
        <v>33935.926420796917</v>
      </c>
      <c r="I265" s="1528">
        <f t="shared" ref="I265:I328" si="49">F265*$I$7</f>
        <v>37508.129201933443</v>
      </c>
      <c r="J265" s="1532">
        <f t="shared" si="39"/>
        <v>35722.02781136518</v>
      </c>
      <c r="K265" s="1369" t="b">
        <f t="shared" si="40"/>
        <v>1</v>
      </c>
      <c r="L265" s="1558"/>
      <c r="M265" s="1364"/>
      <c r="N265" s="1371">
        <f t="shared" si="44"/>
        <v>35722.02781136518</v>
      </c>
      <c r="O265" s="1372"/>
      <c r="P265" s="1371">
        <f t="shared" si="43"/>
        <v>112.33589430594309</v>
      </c>
      <c r="Q265" s="1371">
        <f t="shared" si="43"/>
        <v>89.041969719838676</v>
      </c>
      <c r="R265" s="1371">
        <f t="shared" si="43"/>
        <v>246.24826871808571</v>
      </c>
      <c r="S265" s="1371">
        <f t="shared" si="43"/>
        <v>0</v>
      </c>
      <c r="T265" s="1371">
        <f t="shared" si="43"/>
        <v>2310.2714077435703</v>
      </c>
      <c r="U265" s="1371">
        <f t="shared" ref="U265:U328" si="50">N265+P265+Q265+R265+S265+T265</f>
        <v>38479.925351852624</v>
      </c>
      <c r="V265" s="1373">
        <f t="shared" si="45"/>
        <v>38479.93</v>
      </c>
      <c r="W265" s="960"/>
    </row>
    <row r="266" spans="1:23">
      <c r="A266" s="918">
        <v>300692</v>
      </c>
      <c r="B266" s="919" t="s">
        <v>328</v>
      </c>
      <c r="C266" s="1363">
        <f>IF('TAR_Tab 2_Volumina'!M269,1,0)</f>
        <v>0</v>
      </c>
      <c r="D266" s="1527">
        <v>0</v>
      </c>
      <c r="E266" s="1528">
        <f t="shared" si="46"/>
        <v>0</v>
      </c>
      <c r="F266" s="1528">
        <f t="shared" si="47"/>
        <v>0</v>
      </c>
      <c r="G266" s="1531"/>
      <c r="H266" s="1528">
        <f t="shared" si="48"/>
        <v>0</v>
      </c>
      <c r="I266" s="1528">
        <f t="shared" si="49"/>
        <v>0</v>
      </c>
      <c r="J266" s="1532">
        <f t="shared" ref="J266:J329" si="51">F266</f>
        <v>0</v>
      </c>
      <c r="K266" s="1369" t="str">
        <f t="shared" ref="K266:K329" si="52">IF(J266&gt;0,AND(J266&gt;=H266,J266&lt;=I266),"")</f>
        <v/>
      </c>
      <c r="L266" s="1558"/>
      <c r="M266" s="1364"/>
      <c r="N266" s="1371">
        <f t="shared" si="44"/>
        <v>0</v>
      </c>
      <c r="O266" s="1372"/>
      <c r="P266" s="1371">
        <f t="shared" si="43"/>
        <v>0</v>
      </c>
      <c r="Q266" s="1371">
        <f t="shared" si="43"/>
        <v>0</v>
      </c>
      <c r="R266" s="1371">
        <f t="shared" si="43"/>
        <v>0</v>
      </c>
      <c r="S266" s="1371">
        <f t="shared" si="43"/>
        <v>0</v>
      </c>
      <c r="T266" s="1371">
        <f t="shared" si="43"/>
        <v>0</v>
      </c>
      <c r="U266" s="1371">
        <f t="shared" si="50"/>
        <v>0</v>
      </c>
      <c r="V266" s="1373">
        <f t="shared" si="45"/>
        <v>0</v>
      </c>
      <c r="W266" s="960"/>
    </row>
    <row r="267" spans="1:23">
      <c r="A267" s="918">
        <v>300693</v>
      </c>
      <c r="B267" s="919" t="s">
        <v>198</v>
      </c>
      <c r="C267" s="1363">
        <f>IF('TAR_Tab 2_Volumina'!M270,1,0)</f>
        <v>0</v>
      </c>
      <c r="D267" s="1527">
        <v>0</v>
      </c>
      <c r="E267" s="1528">
        <f t="shared" si="46"/>
        <v>0</v>
      </c>
      <c r="F267" s="1528">
        <f t="shared" si="47"/>
        <v>0</v>
      </c>
      <c r="G267" s="1531"/>
      <c r="H267" s="1528">
        <f t="shared" si="48"/>
        <v>0</v>
      </c>
      <c r="I267" s="1528">
        <f t="shared" si="49"/>
        <v>0</v>
      </c>
      <c r="J267" s="1532">
        <f t="shared" si="51"/>
        <v>0</v>
      </c>
      <c r="K267" s="1369" t="str">
        <f t="shared" si="52"/>
        <v/>
      </c>
      <c r="L267" s="1558"/>
      <c r="M267" s="1364"/>
      <c r="N267" s="1371">
        <f t="shared" si="44"/>
        <v>0</v>
      </c>
      <c r="O267" s="1372"/>
      <c r="P267" s="1371">
        <f t="shared" si="43"/>
        <v>0</v>
      </c>
      <c r="Q267" s="1371">
        <f t="shared" si="43"/>
        <v>0</v>
      </c>
      <c r="R267" s="1371">
        <f t="shared" si="43"/>
        <v>0</v>
      </c>
      <c r="S267" s="1371">
        <f t="shared" si="43"/>
        <v>0</v>
      </c>
      <c r="T267" s="1371">
        <f t="shared" si="43"/>
        <v>0</v>
      </c>
      <c r="U267" s="1371">
        <f t="shared" si="50"/>
        <v>0</v>
      </c>
      <c r="V267" s="1373">
        <f t="shared" si="45"/>
        <v>0</v>
      </c>
      <c r="W267" s="960"/>
    </row>
    <row r="268" spans="1:23">
      <c r="A268" s="918">
        <v>300694</v>
      </c>
      <c r="B268" s="919" t="s">
        <v>199</v>
      </c>
      <c r="C268" s="1363">
        <f>IF('TAR_Tab 2_Volumina'!M271,1,0)</f>
        <v>0</v>
      </c>
      <c r="D268" s="1527">
        <v>0</v>
      </c>
      <c r="E268" s="1528">
        <f t="shared" si="46"/>
        <v>0</v>
      </c>
      <c r="F268" s="1528">
        <f t="shared" si="47"/>
        <v>0</v>
      </c>
      <c r="G268" s="1531"/>
      <c r="H268" s="1528">
        <f t="shared" si="48"/>
        <v>0</v>
      </c>
      <c r="I268" s="1528">
        <f t="shared" si="49"/>
        <v>0</v>
      </c>
      <c r="J268" s="1532">
        <f t="shared" si="51"/>
        <v>0</v>
      </c>
      <c r="K268" s="1369" t="str">
        <f t="shared" si="52"/>
        <v/>
      </c>
      <c r="L268" s="1558"/>
      <c r="M268" s="1364"/>
      <c r="N268" s="1371">
        <f t="shared" si="44"/>
        <v>0</v>
      </c>
      <c r="O268" s="1372"/>
      <c r="P268" s="1371">
        <f t="shared" si="43"/>
        <v>0</v>
      </c>
      <c r="Q268" s="1371">
        <f t="shared" si="43"/>
        <v>0</v>
      </c>
      <c r="R268" s="1371">
        <f t="shared" si="43"/>
        <v>0</v>
      </c>
      <c r="S268" s="1371">
        <f t="shared" si="43"/>
        <v>0</v>
      </c>
      <c r="T268" s="1371">
        <f t="shared" si="43"/>
        <v>0</v>
      </c>
      <c r="U268" s="1371">
        <f t="shared" si="50"/>
        <v>0</v>
      </c>
      <c r="V268" s="1373">
        <f t="shared" si="45"/>
        <v>0</v>
      </c>
      <c r="W268" s="960"/>
    </row>
    <row r="269" spans="1:23">
      <c r="A269" s="918">
        <v>300696</v>
      </c>
      <c r="B269" s="919" t="s">
        <v>200</v>
      </c>
      <c r="C269" s="1363">
        <f>IF('TAR_Tab 2_Volumina'!M272,1,0)</f>
        <v>0</v>
      </c>
      <c r="D269" s="1527">
        <v>0</v>
      </c>
      <c r="E269" s="1528">
        <f t="shared" si="46"/>
        <v>0</v>
      </c>
      <c r="F269" s="1528">
        <f t="shared" si="47"/>
        <v>0</v>
      </c>
      <c r="G269" s="1531"/>
      <c r="H269" s="1528">
        <f t="shared" si="48"/>
        <v>0</v>
      </c>
      <c r="I269" s="1528">
        <f t="shared" si="49"/>
        <v>0</v>
      </c>
      <c r="J269" s="1532">
        <f t="shared" si="51"/>
        <v>0</v>
      </c>
      <c r="K269" s="1369" t="str">
        <f t="shared" si="52"/>
        <v/>
      </c>
      <c r="L269" s="1558"/>
      <c r="M269" s="1364"/>
      <c r="N269" s="1371">
        <f t="shared" si="44"/>
        <v>0</v>
      </c>
      <c r="O269" s="1372"/>
      <c r="P269" s="1371">
        <f t="shared" si="43"/>
        <v>0</v>
      </c>
      <c r="Q269" s="1371">
        <f t="shared" si="43"/>
        <v>0</v>
      </c>
      <c r="R269" s="1371">
        <f t="shared" si="43"/>
        <v>0</v>
      </c>
      <c r="S269" s="1371">
        <f t="shared" si="43"/>
        <v>0</v>
      </c>
      <c r="T269" s="1371">
        <f t="shared" si="43"/>
        <v>0</v>
      </c>
      <c r="U269" s="1371">
        <f t="shared" si="50"/>
        <v>0</v>
      </c>
      <c r="V269" s="1373">
        <f t="shared" si="45"/>
        <v>0</v>
      </c>
      <c r="W269" s="960"/>
    </row>
    <row r="270" spans="1:23">
      <c r="A270" s="918">
        <v>300703</v>
      </c>
      <c r="B270" s="919" t="s">
        <v>201</v>
      </c>
      <c r="C270" s="1363">
        <f>IF('TAR_Tab 2_Volumina'!M273,1,0)</f>
        <v>0</v>
      </c>
      <c r="D270" s="1527">
        <v>0</v>
      </c>
      <c r="E270" s="1528">
        <f t="shared" si="46"/>
        <v>0</v>
      </c>
      <c r="F270" s="1528">
        <f t="shared" si="47"/>
        <v>0</v>
      </c>
      <c r="G270" s="1531"/>
      <c r="H270" s="1528">
        <f t="shared" si="48"/>
        <v>0</v>
      </c>
      <c r="I270" s="1528">
        <f t="shared" si="49"/>
        <v>0</v>
      </c>
      <c r="J270" s="1532">
        <f t="shared" si="51"/>
        <v>0</v>
      </c>
      <c r="K270" s="1369" t="str">
        <f t="shared" si="52"/>
        <v/>
      </c>
      <c r="L270" s="1558"/>
      <c r="M270" s="1364"/>
      <c r="N270" s="1371">
        <f t="shared" si="44"/>
        <v>0</v>
      </c>
      <c r="O270" s="1372"/>
      <c r="P270" s="1371">
        <f t="shared" si="43"/>
        <v>0</v>
      </c>
      <c r="Q270" s="1371">
        <f t="shared" si="43"/>
        <v>0</v>
      </c>
      <c r="R270" s="1371">
        <f t="shared" si="43"/>
        <v>0</v>
      </c>
      <c r="S270" s="1371">
        <f t="shared" si="43"/>
        <v>0</v>
      </c>
      <c r="T270" s="1371">
        <f t="shared" si="43"/>
        <v>0</v>
      </c>
      <c r="U270" s="1371">
        <f t="shared" si="50"/>
        <v>0</v>
      </c>
      <c r="V270" s="1373">
        <f t="shared" si="45"/>
        <v>0</v>
      </c>
      <c r="W270" s="960"/>
    </row>
    <row r="271" spans="1:23">
      <c r="A271" s="918">
        <v>300705</v>
      </c>
      <c r="B271" s="919" t="s">
        <v>1095</v>
      </c>
      <c r="C271" s="1363">
        <f>IF('TAR_Tab 2_Volumina'!M274,1,0)</f>
        <v>0</v>
      </c>
      <c r="D271" s="1527">
        <v>0</v>
      </c>
      <c r="E271" s="1528">
        <f t="shared" si="46"/>
        <v>0</v>
      </c>
      <c r="F271" s="1528">
        <f t="shared" si="47"/>
        <v>0</v>
      </c>
      <c r="G271" s="1531"/>
      <c r="H271" s="1528">
        <f t="shared" si="48"/>
        <v>0</v>
      </c>
      <c r="I271" s="1528">
        <f t="shared" si="49"/>
        <v>0</v>
      </c>
      <c r="J271" s="1532">
        <f t="shared" si="51"/>
        <v>0</v>
      </c>
      <c r="K271" s="1369" t="str">
        <f t="shared" si="52"/>
        <v/>
      </c>
      <c r="L271" s="1558"/>
      <c r="M271" s="1364"/>
      <c r="N271" s="1371">
        <f t="shared" si="44"/>
        <v>0</v>
      </c>
      <c r="O271" s="1372"/>
      <c r="P271" s="1371">
        <f t="shared" si="43"/>
        <v>0</v>
      </c>
      <c r="Q271" s="1371">
        <f t="shared" si="43"/>
        <v>0</v>
      </c>
      <c r="R271" s="1371">
        <f t="shared" si="43"/>
        <v>0</v>
      </c>
      <c r="S271" s="1371">
        <f t="shared" si="43"/>
        <v>0</v>
      </c>
      <c r="T271" s="1371">
        <f t="shared" si="43"/>
        <v>0</v>
      </c>
      <c r="U271" s="1371">
        <f t="shared" si="50"/>
        <v>0</v>
      </c>
      <c r="V271" s="1373">
        <f t="shared" si="45"/>
        <v>0</v>
      </c>
      <c r="W271" s="960"/>
    </row>
    <row r="272" spans="1:23">
      <c r="A272" s="918">
        <v>300706</v>
      </c>
      <c r="B272" s="919" t="s">
        <v>202</v>
      </c>
      <c r="C272" s="1363">
        <f>IF('TAR_Tab 2_Volumina'!M275,1,0)</f>
        <v>0</v>
      </c>
      <c r="D272" s="1527">
        <v>0</v>
      </c>
      <c r="E272" s="1528">
        <f t="shared" si="46"/>
        <v>0</v>
      </c>
      <c r="F272" s="1528">
        <f t="shared" si="47"/>
        <v>0</v>
      </c>
      <c r="G272" s="1531"/>
      <c r="H272" s="1528">
        <f t="shared" si="48"/>
        <v>0</v>
      </c>
      <c r="I272" s="1528">
        <f t="shared" si="49"/>
        <v>0</v>
      </c>
      <c r="J272" s="1532">
        <f t="shared" si="51"/>
        <v>0</v>
      </c>
      <c r="K272" s="1369" t="str">
        <f t="shared" si="52"/>
        <v/>
      </c>
      <c r="L272" s="1558"/>
      <c r="M272" s="1364"/>
      <c r="N272" s="1371">
        <f t="shared" si="44"/>
        <v>0</v>
      </c>
      <c r="O272" s="1372"/>
      <c r="P272" s="1371">
        <f t="shared" si="43"/>
        <v>0</v>
      </c>
      <c r="Q272" s="1371">
        <f t="shared" si="43"/>
        <v>0</v>
      </c>
      <c r="R272" s="1371">
        <f t="shared" si="43"/>
        <v>0</v>
      </c>
      <c r="S272" s="1371">
        <f t="shared" si="43"/>
        <v>0</v>
      </c>
      <c r="T272" s="1371">
        <f t="shared" si="43"/>
        <v>0</v>
      </c>
      <c r="U272" s="1371">
        <f t="shared" si="50"/>
        <v>0</v>
      </c>
      <c r="V272" s="1373">
        <f t="shared" si="45"/>
        <v>0</v>
      </c>
      <c r="W272" s="960"/>
    </row>
    <row r="273" spans="1:23">
      <c r="A273" s="918">
        <v>300710</v>
      </c>
      <c r="B273" s="919" t="s">
        <v>203</v>
      </c>
      <c r="C273" s="1363">
        <f>IF('TAR_Tab 2_Volumina'!M276,1,0)</f>
        <v>1</v>
      </c>
      <c r="D273" s="1527">
        <v>17726.04489529389</v>
      </c>
      <c r="E273" s="1528">
        <f t="shared" si="46"/>
        <v>16903.556412152255</v>
      </c>
      <c r="F273" s="1528">
        <f t="shared" si="47"/>
        <v>17861.01390568259</v>
      </c>
      <c r="G273" s="1531"/>
      <c r="H273" s="1528">
        <f t="shared" si="48"/>
        <v>16967.963210398459</v>
      </c>
      <c r="I273" s="1528">
        <f t="shared" si="49"/>
        <v>18754.064600966722</v>
      </c>
      <c r="J273" s="1532">
        <f t="shared" si="51"/>
        <v>17861.01390568259</v>
      </c>
      <c r="K273" s="1369" t="b">
        <f t="shared" si="52"/>
        <v>1</v>
      </c>
      <c r="L273" s="1558"/>
      <c r="M273" s="1364"/>
      <c r="N273" s="1371">
        <f t="shared" si="44"/>
        <v>17861.01390568259</v>
      </c>
      <c r="O273" s="1372"/>
      <c r="P273" s="1371">
        <f t="shared" si="43"/>
        <v>56.167947152971543</v>
      </c>
      <c r="Q273" s="1371">
        <f t="shared" si="43"/>
        <v>44.520984859919338</v>
      </c>
      <c r="R273" s="1371">
        <f t="shared" si="43"/>
        <v>123.12413435904286</v>
      </c>
      <c r="S273" s="1371">
        <f t="shared" si="43"/>
        <v>0</v>
      </c>
      <c r="T273" s="1371">
        <f t="shared" si="43"/>
        <v>1155.1357038717852</v>
      </c>
      <c r="U273" s="1371">
        <f t="shared" si="50"/>
        <v>19239.962675926312</v>
      </c>
      <c r="V273" s="1373">
        <f t="shared" si="45"/>
        <v>19239.96</v>
      </c>
      <c r="W273" s="960"/>
    </row>
    <row r="274" spans="1:23">
      <c r="A274" s="918">
        <v>300711</v>
      </c>
      <c r="B274" s="919" t="s">
        <v>204</v>
      </c>
      <c r="C274" s="1363">
        <f>IF('TAR_Tab 2_Volumina'!M277,1,0)</f>
        <v>0</v>
      </c>
      <c r="D274" s="1527">
        <v>0</v>
      </c>
      <c r="E274" s="1528">
        <f t="shared" si="46"/>
        <v>0</v>
      </c>
      <c r="F274" s="1528">
        <f t="shared" si="47"/>
        <v>0</v>
      </c>
      <c r="G274" s="1531"/>
      <c r="H274" s="1528">
        <f t="shared" si="48"/>
        <v>0</v>
      </c>
      <c r="I274" s="1528">
        <f t="shared" si="49"/>
        <v>0</v>
      </c>
      <c r="J274" s="1532">
        <f t="shared" si="51"/>
        <v>0</v>
      </c>
      <c r="K274" s="1369" t="str">
        <f t="shared" si="52"/>
        <v/>
      </c>
      <c r="L274" s="1558"/>
      <c r="M274" s="1364"/>
      <c r="N274" s="1371">
        <f t="shared" si="44"/>
        <v>0</v>
      </c>
      <c r="O274" s="1372"/>
      <c r="P274" s="1371">
        <f t="shared" si="43"/>
        <v>0</v>
      </c>
      <c r="Q274" s="1371">
        <f t="shared" si="43"/>
        <v>0</v>
      </c>
      <c r="R274" s="1371">
        <f t="shared" si="43"/>
        <v>0</v>
      </c>
      <c r="S274" s="1371">
        <f t="shared" si="43"/>
        <v>0</v>
      </c>
      <c r="T274" s="1371">
        <f t="shared" si="43"/>
        <v>0</v>
      </c>
      <c r="U274" s="1371">
        <f t="shared" si="50"/>
        <v>0</v>
      </c>
      <c r="V274" s="1373">
        <f t="shared" si="45"/>
        <v>0</v>
      </c>
      <c r="W274" s="960"/>
    </row>
    <row r="275" spans="1:23">
      <c r="A275" s="918">
        <v>300712</v>
      </c>
      <c r="B275" s="919" t="s">
        <v>205</v>
      </c>
      <c r="C275" s="1363">
        <f>IF('TAR_Tab 2_Volumina'!M278,1,0)</f>
        <v>0</v>
      </c>
      <c r="D275" s="1527">
        <v>0</v>
      </c>
      <c r="E275" s="1528">
        <f t="shared" si="46"/>
        <v>0</v>
      </c>
      <c r="F275" s="1528">
        <f t="shared" si="47"/>
        <v>0</v>
      </c>
      <c r="G275" s="1531"/>
      <c r="H275" s="1528">
        <f t="shared" si="48"/>
        <v>0</v>
      </c>
      <c r="I275" s="1528">
        <f t="shared" si="49"/>
        <v>0</v>
      </c>
      <c r="J275" s="1532">
        <f t="shared" si="51"/>
        <v>0</v>
      </c>
      <c r="K275" s="1369" t="str">
        <f t="shared" si="52"/>
        <v/>
      </c>
      <c r="L275" s="1558"/>
      <c r="M275" s="1364"/>
      <c r="N275" s="1371">
        <f t="shared" si="44"/>
        <v>0</v>
      </c>
      <c r="O275" s="1372"/>
      <c r="P275" s="1371">
        <f t="shared" si="43"/>
        <v>0</v>
      </c>
      <c r="Q275" s="1371">
        <f t="shared" si="43"/>
        <v>0</v>
      </c>
      <c r="R275" s="1371">
        <f t="shared" si="43"/>
        <v>0</v>
      </c>
      <c r="S275" s="1371">
        <f t="shared" si="43"/>
        <v>0</v>
      </c>
      <c r="T275" s="1371">
        <f t="shared" si="43"/>
        <v>0</v>
      </c>
      <c r="U275" s="1371">
        <f t="shared" si="50"/>
        <v>0</v>
      </c>
      <c r="V275" s="1373">
        <f t="shared" si="45"/>
        <v>0</v>
      </c>
      <c r="W275" s="960"/>
    </row>
    <row r="276" spans="1:23">
      <c r="A276" s="918">
        <v>300713</v>
      </c>
      <c r="B276" s="919" t="s">
        <v>206</v>
      </c>
      <c r="C276" s="1363">
        <f>IF('TAR_Tab 2_Volumina'!M279,1,0)</f>
        <v>0</v>
      </c>
      <c r="D276" s="1527">
        <v>0</v>
      </c>
      <c r="E276" s="1528">
        <f t="shared" si="46"/>
        <v>0</v>
      </c>
      <c r="F276" s="1528">
        <f t="shared" si="47"/>
        <v>0</v>
      </c>
      <c r="G276" s="1531"/>
      <c r="H276" s="1528">
        <f t="shared" si="48"/>
        <v>0</v>
      </c>
      <c r="I276" s="1528">
        <f t="shared" si="49"/>
        <v>0</v>
      </c>
      <c r="J276" s="1532">
        <f t="shared" si="51"/>
        <v>0</v>
      </c>
      <c r="K276" s="1369" t="str">
        <f t="shared" si="52"/>
        <v/>
      </c>
      <c r="L276" s="1558"/>
      <c r="M276" s="1364"/>
      <c r="N276" s="1371">
        <f t="shared" si="44"/>
        <v>0</v>
      </c>
      <c r="O276" s="1372"/>
      <c r="P276" s="1371">
        <f t="shared" si="43"/>
        <v>0</v>
      </c>
      <c r="Q276" s="1371">
        <f t="shared" si="43"/>
        <v>0</v>
      </c>
      <c r="R276" s="1371">
        <f t="shared" si="43"/>
        <v>0</v>
      </c>
      <c r="S276" s="1371">
        <f t="shared" si="43"/>
        <v>0</v>
      </c>
      <c r="T276" s="1371">
        <f t="shared" si="43"/>
        <v>0</v>
      </c>
      <c r="U276" s="1371">
        <f t="shared" si="50"/>
        <v>0</v>
      </c>
      <c r="V276" s="1373">
        <f t="shared" si="45"/>
        <v>0</v>
      </c>
      <c r="W276" s="960"/>
    </row>
    <row r="277" spans="1:23">
      <c r="A277" s="918">
        <v>300716</v>
      </c>
      <c r="B277" s="919" t="s">
        <v>1096</v>
      </c>
      <c r="C277" s="1363">
        <f>IF('TAR_Tab 2_Volumina'!M280,1,0)</f>
        <v>0</v>
      </c>
      <c r="D277" s="1527">
        <v>0</v>
      </c>
      <c r="E277" s="1528">
        <f t="shared" si="46"/>
        <v>0</v>
      </c>
      <c r="F277" s="1528">
        <f t="shared" si="47"/>
        <v>0</v>
      </c>
      <c r="G277" s="1531"/>
      <c r="H277" s="1528">
        <f t="shared" si="48"/>
        <v>0</v>
      </c>
      <c r="I277" s="1528">
        <f t="shared" si="49"/>
        <v>0</v>
      </c>
      <c r="J277" s="1532">
        <f t="shared" si="51"/>
        <v>0</v>
      </c>
      <c r="K277" s="1369" t="str">
        <f t="shared" si="52"/>
        <v/>
      </c>
      <c r="L277" s="1558"/>
      <c r="M277" s="1364"/>
      <c r="N277" s="1371">
        <f t="shared" si="44"/>
        <v>0</v>
      </c>
      <c r="O277" s="1372"/>
      <c r="P277" s="1371">
        <f t="shared" ref="P277:T327" si="53">P$7*$N277</f>
        <v>0</v>
      </c>
      <c r="Q277" s="1371">
        <f t="shared" si="53"/>
        <v>0</v>
      </c>
      <c r="R277" s="1371">
        <f t="shared" si="53"/>
        <v>0</v>
      </c>
      <c r="S277" s="1371">
        <f t="shared" si="53"/>
        <v>0</v>
      </c>
      <c r="T277" s="1371">
        <f t="shared" si="53"/>
        <v>0</v>
      </c>
      <c r="U277" s="1371">
        <f t="shared" si="50"/>
        <v>0</v>
      </c>
      <c r="V277" s="1373">
        <f t="shared" si="45"/>
        <v>0</v>
      </c>
      <c r="W277" s="960"/>
    </row>
    <row r="278" spans="1:23">
      <c r="A278" s="918">
        <v>300719</v>
      </c>
      <c r="B278" s="919" t="s">
        <v>207</v>
      </c>
      <c r="C278" s="1363">
        <f>IF('TAR_Tab 2_Volumina'!M281,1,0)</f>
        <v>1</v>
      </c>
      <c r="D278" s="1527">
        <v>17726.04489529389</v>
      </c>
      <c r="E278" s="1528">
        <f t="shared" si="46"/>
        <v>16903.556412152255</v>
      </c>
      <c r="F278" s="1528">
        <f t="shared" si="47"/>
        <v>17861.01390568259</v>
      </c>
      <c r="G278" s="1531"/>
      <c r="H278" s="1528">
        <f t="shared" si="48"/>
        <v>16967.963210398459</v>
      </c>
      <c r="I278" s="1528">
        <f t="shared" si="49"/>
        <v>18754.064600966722</v>
      </c>
      <c r="J278" s="1532">
        <f t="shared" si="51"/>
        <v>17861.01390568259</v>
      </c>
      <c r="K278" s="1369" t="b">
        <f t="shared" si="52"/>
        <v>1</v>
      </c>
      <c r="L278" s="1558"/>
      <c r="M278" s="1364"/>
      <c r="N278" s="1371">
        <f t="shared" si="44"/>
        <v>17861.01390568259</v>
      </c>
      <c r="O278" s="1372"/>
      <c r="P278" s="1371">
        <f t="shared" si="53"/>
        <v>56.167947152971543</v>
      </c>
      <c r="Q278" s="1371">
        <f t="shared" si="53"/>
        <v>44.520984859919338</v>
      </c>
      <c r="R278" s="1371">
        <f t="shared" si="53"/>
        <v>123.12413435904286</v>
      </c>
      <c r="S278" s="1371">
        <f t="shared" si="53"/>
        <v>0</v>
      </c>
      <c r="T278" s="1371">
        <f t="shared" si="53"/>
        <v>1155.1357038717852</v>
      </c>
      <c r="U278" s="1371">
        <f t="shared" si="50"/>
        <v>19239.962675926312</v>
      </c>
      <c r="V278" s="1373">
        <f t="shared" si="45"/>
        <v>19239.96</v>
      </c>
      <c r="W278" s="960"/>
    </row>
    <row r="279" spans="1:23">
      <c r="A279" s="918">
        <v>300720</v>
      </c>
      <c r="B279" s="919" t="s">
        <v>208</v>
      </c>
      <c r="C279" s="1363">
        <f>IF('TAR_Tab 2_Volumina'!M282,1,0)</f>
        <v>0</v>
      </c>
      <c r="D279" s="1527">
        <v>0</v>
      </c>
      <c r="E279" s="1528">
        <f t="shared" si="46"/>
        <v>0</v>
      </c>
      <c r="F279" s="1528">
        <f t="shared" si="47"/>
        <v>0</v>
      </c>
      <c r="G279" s="1531"/>
      <c r="H279" s="1528">
        <f t="shared" si="48"/>
        <v>0</v>
      </c>
      <c r="I279" s="1528">
        <f t="shared" si="49"/>
        <v>0</v>
      </c>
      <c r="J279" s="1532">
        <f t="shared" si="51"/>
        <v>0</v>
      </c>
      <c r="K279" s="1369" t="str">
        <f t="shared" si="52"/>
        <v/>
      </c>
      <c r="L279" s="1558"/>
      <c r="M279" s="1364"/>
      <c r="N279" s="1371">
        <f t="shared" si="44"/>
        <v>0</v>
      </c>
      <c r="O279" s="1372"/>
      <c r="P279" s="1371">
        <f t="shared" si="53"/>
        <v>0</v>
      </c>
      <c r="Q279" s="1371">
        <f t="shared" si="53"/>
        <v>0</v>
      </c>
      <c r="R279" s="1371">
        <f t="shared" si="53"/>
        <v>0</v>
      </c>
      <c r="S279" s="1371">
        <f t="shared" si="53"/>
        <v>0</v>
      </c>
      <c r="T279" s="1371">
        <f t="shared" si="53"/>
        <v>0</v>
      </c>
      <c r="U279" s="1371">
        <f t="shared" si="50"/>
        <v>0</v>
      </c>
      <c r="V279" s="1373">
        <f t="shared" si="45"/>
        <v>0</v>
      </c>
      <c r="W279" s="960"/>
    </row>
    <row r="280" spans="1:23">
      <c r="A280" s="918">
        <v>300722</v>
      </c>
      <c r="B280" s="919" t="s">
        <v>209</v>
      </c>
      <c r="C280" s="1363">
        <f>IF('TAR_Tab 2_Volumina'!M283,1,0)</f>
        <v>0</v>
      </c>
      <c r="D280" s="1527">
        <v>0</v>
      </c>
      <c r="E280" s="1528">
        <f t="shared" si="46"/>
        <v>0</v>
      </c>
      <c r="F280" s="1528">
        <f t="shared" si="47"/>
        <v>0</v>
      </c>
      <c r="G280" s="1531"/>
      <c r="H280" s="1528">
        <f t="shared" si="48"/>
        <v>0</v>
      </c>
      <c r="I280" s="1528">
        <f t="shared" si="49"/>
        <v>0</v>
      </c>
      <c r="J280" s="1532">
        <f t="shared" si="51"/>
        <v>0</v>
      </c>
      <c r="K280" s="1369" t="str">
        <f t="shared" si="52"/>
        <v/>
      </c>
      <c r="L280" s="1558"/>
      <c r="M280" s="1364"/>
      <c r="N280" s="1371">
        <f t="shared" si="44"/>
        <v>0</v>
      </c>
      <c r="O280" s="1372"/>
      <c r="P280" s="1371">
        <f t="shared" si="53"/>
        <v>0</v>
      </c>
      <c r="Q280" s="1371">
        <f t="shared" si="53"/>
        <v>0</v>
      </c>
      <c r="R280" s="1371">
        <f t="shared" si="53"/>
        <v>0</v>
      </c>
      <c r="S280" s="1371">
        <f t="shared" si="53"/>
        <v>0</v>
      </c>
      <c r="T280" s="1371">
        <f t="shared" si="53"/>
        <v>0</v>
      </c>
      <c r="U280" s="1371">
        <f t="shared" si="50"/>
        <v>0</v>
      </c>
      <c r="V280" s="1373">
        <f t="shared" si="45"/>
        <v>0</v>
      </c>
      <c r="W280" s="960"/>
    </row>
    <row r="281" spans="1:23">
      <c r="A281" s="918">
        <v>300725</v>
      </c>
      <c r="B281" s="919" t="s">
        <v>415</v>
      </c>
      <c r="C281" s="1363">
        <f>IF('TAR_Tab 2_Volumina'!M284,1,0)</f>
        <v>0</v>
      </c>
      <c r="D281" s="1527">
        <v>0</v>
      </c>
      <c r="E281" s="1528">
        <f t="shared" si="46"/>
        <v>0</v>
      </c>
      <c r="F281" s="1528">
        <f t="shared" si="47"/>
        <v>0</v>
      </c>
      <c r="G281" s="1531"/>
      <c r="H281" s="1528">
        <f t="shared" si="48"/>
        <v>0</v>
      </c>
      <c r="I281" s="1528">
        <f t="shared" si="49"/>
        <v>0</v>
      </c>
      <c r="J281" s="1532">
        <f t="shared" si="51"/>
        <v>0</v>
      </c>
      <c r="K281" s="1369" t="str">
        <f t="shared" si="52"/>
        <v/>
      </c>
      <c r="L281" s="1558"/>
      <c r="M281" s="1364"/>
      <c r="N281" s="1371">
        <f t="shared" si="44"/>
        <v>0</v>
      </c>
      <c r="O281" s="1372"/>
      <c r="P281" s="1371">
        <f t="shared" si="53"/>
        <v>0</v>
      </c>
      <c r="Q281" s="1371">
        <f t="shared" si="53"/>
        <v>0</v>
      </c>
      <c r="R281" s="1371">
        <f t="shared" si="53"/>
        <v>0</v>
      </c>
      <c r="S281" s="1371">
        <f t="shared" si="53"/>
        <v>0</v>
      </c>
      <c r="T281" s="1371">
        <f t="shared" si="53"/>
        <v>0</v>
      </c>
      <c r="U281" s="1371">
        <f t="shared" si="50"/>
        <v>0</v>
      </c>
      <c r="V281" s="1373">
        <f t="shared" si="45"/>
        <v>0</v>
      </c>
      <c r="W281" s="960"/>
    </row>
    <row r="282" spans="1:23">
      <c r="A282" s="918">
        <v>300727</v>
      </c>
      <c r="B282" s="919" t="s">
        <v>329</v>
      </c>
      <c r="C282" s="1363">
        <f>IF('TAR_Tab 2_Volumina'!M285,1,0)</f>
        <v>1</v>
      </c>
      <c r="D282" s="1529">
        <v>53178.134685881683</v>
      </c>
      <c r="E282" s="1528">
        <f t="shared" si="46"/>
        <v>50710.669236456772</v>
      </c>
      <c r="F282" s="1528">
        <f t="shared" si="47"/>
        <v>53583.041717047781</v>
      </c>
      <c r="G282" s="1531"/>
      <c r="H282" s="1528">
        <f t="shared" si="48"/>
        <v>50903.889631195387</v>
      </c>
      <c r="I282" s="1528">
        <f t="shared" si="49"/>
        <v>56262.193802900176</v>
      </c>
      <c r="J282" s="1532">
        <f t="shared" si="51"/>
        <v>53583.041717047781</v>
      </c>
      <c r="K282" s="1369" t="b">
        <f t="shared" si="52"/>
        <v>1</v>
      </c>
      <c r="L282" s="1558"/>
      <c r="M282" s="1364"/>
      <c r="N282" s="1371">
        <f t="shared" si="44"/>
        <v>53583.041717047781</v>
      </c>
      <c r="O282" s="1372"/>
      <c r="P282" s="1371">
        <f t="shared" si="53"/>
        <v>168.50384145891465</v>
      </c>
      <c r="Q282" s="1371">
        <f t="shared" si="53"/>
        <v>133.56295457975804</v>
      </c>
      <c r="R282" s="1371">
        <f t="shared" si="53"/>
        <v>369.37240307712864</v>
      </c>
      <c r="S282" s="1371">
        <f t="shared" si="53"/>
        <v>0</v>
      </c>
      <c r="T282" s="1371">
        <f t="shared" si="53"/>
        <v>3465.4071116153564</v>
      </c>
      <c r="U282" s="1371">
        <f t="shared" si="50"/>
        <v>57719.888027778936</v>
      </c>
      <c r="V282" s="1373">
        <f t="shared" si="45"/>
        <v>57719.89</v>
      </c>
      <c r="W282" s="960"/>
    </row>
    <row r="283" spans="1:23">
      <c r="A283" s="918">
        <v>300728</v>
      </c>
      <c r="B283" s="919" t="s">
        <v>210</v>
      </c>
      <c r="C283" s="1363">
        <f>IF('TAR_Tab 2_Volumina'!M286,1,0)</f>
        <v>1</v>
      </c>
      <c r="D283" s="1527">
        <v>17726.04489529389</v>
      </c>
      <c r="E283" s="1528">
        <f t="shared" si="46"/>
        <v>16903.556412152255</v>
      </c>
      <c r="F283" s="1528">
        <f t="shared" si="47"/>
        <v>17861.01390568259</v>
      </c>
      <c r="G283" s="1531"/>
      <c r="H283" s="1528">
        <f t="shared" si="48"/>
        <v>16967.963210398459</v>
      </c>
      <c r="I283" s="1528">
        <f t="shared" si="49"/>
        <v>18754.064600966722</v>
      </c>
      <c r="J283" s="1532">
        <f t="shared" si="51"/>
        <v>17861.01390568259</v>
      </c>
      <c r="K283" s="1369" t="b">
        <f t="shared" si="52"/>
        <v>1</v>
      </c>
      <c r="L283" s="1558"/>
      <c r="M283" s="1364"/>
      <c r="N283" s="1371">
        <f t="shared" si="44"/>
        <v>17861.01390568259</v>
      </c>
      <c r="O283" s="1372"/>
      <c r="P283" s="1371">
        <f t="shared" si="53"/>
        <v>56.167947152971543</v>
      </c>
      <c r="Q283" s="1371">
        <f t="shared" si="53"/>
        <v>44.520984859919338</v>
      </c>
      <c r="R283" s="1371">
        <f t="shared" si="53"/>
        <v>123.12413435904286</v>
      </c>
      <c r="S283" s="1371">
        <f t="shared" si="53"/>
        <v>0</v>
      </c>
      <c r="T283" s="1371">
        <f t="shared" si="53"/>
        <v>1155.1357038717852</v>
      </c>
      <c r="U283" s="1371">
        <f t="shared" si="50"/>
        <v>19239.962675926312</v>
      </c>
      <c r="V283" s="1373">
        <f t="shared" si="45"/>
        <v>19239.96</v>
      </c>
      <c r="W283" s="960"/>
    </row>
    <row r="284" spans="1:23">
      <c r="A284" s="918">
        <v>300729</v>
      </c>
      <c r="B284" s="919" t="s">
        <v>1097</v>
      </c>
      <c r="C284" s="1363">
        <f>IF('TAR_Tab 2_Volumina'!M287,1,0)</f>
        <v>0</v>
      </c>
      <c r="D284" s="1527">
        <v>0</v>
      </c>
      <c r="E284" s="1528">
        <f t="shared" si="46"/>
        <v>0</v>
      </c>
      <c r="F284" s="1528">
        <f t="shared" si="47"/>
        <v>0</v>
      </c>
      <c r="G284" s="1531"/>
      <c r="H284" s="1528">
        <f t="shared" si="48"/>
        <v>0</v>
      </c>
      <c r="I284" s="1528">
        <f t="shared" si="49"/>
        <v>0</v>
      </c>
      <c r="J284" s="1532">
        <f t="shared" si="51"/>
        <v>0</v>
      </c>
      <c r="K284" s="1369" t="str">
        <f t="shared" si="52"/>
        <v/>
      </c>
      <c r="L284" s="1558"/>
      <c r="M284" s="1364"/>
      <c r="N284" s="1371">
        <f t="shared" si="44"/>
        <v>0</v>
      </c>
      <c r="O284" s="1372"/>
      <c r="P284" s="1371">
        <f t="shared" si="53"/>
        <v>0</v>
      </c>
      <c r="Q284" s="1371">
        <f t="shared" si="53"/>
        <v>0</v>
      </c>
      <c r="R284" s="1371">
        <f t="shared" si="53"/>
        <v>0</v>
      </c>
      <c r="S284" s="1371">
        <f t="shared" si="53"/>
        <v>0</v>
      </c>
      <c r="T284" s="1371">
        <f t="shared" si="53"/>
        <v>0</v>
      </c>
      <c r="U284" s="1371">
        <f t="shared" si="50"/>
        <v>0</v>
      </c>
      <c r="V284" s="1373">
        <f t="shared" si="45"/>
        <v>0</v>
      </c>
      <c r="W284" s="960"/>
    </row>
    <row r="285" spans="1:23">
      <c r="A285" s="918">
        <v>300734</v>
      </c>
      <c r="B285" s="919" t="s">
        <v>1098</v>
      </c>
      <c r="C285" s="1363">
        <f>IF('TAR_Tab 2_Volumina'!M288,1,0)</f>
        <v>0</v>
      </c>
      <c r="D285" s="1527">
        <v>0</v>
      </c>
      <c r="E285" s="1528">
        <f t="shared" si="46"/>
        <v>0</v>
      </c>
      <c r="F285" s="1528">
        <f t="shared" si="47"/>
        <v>0</v>
      </c>
      <c r="G285" s="1531"/>
      <c r="H285" s="1528">
        <f t="shared" si="48"/>
        <v>0</v>
      </c>
      <c r="I285" s="1528">
        <f t="shared" si="49"/>
        <v>0</v>
      </c>
      <c r="J285" s="1532">
        <f t="shared" si="51"/>
        <v>0</v>
      </c>
      <c r="K285" s="1369" t="str">
        <f t="shared" si="52"/>
        <v/>
      </c>
      <c r="L285" s="1558"/>
      <c r="M285" s="1364"/>
      <c r="N285" s="1371">
        <f t="shared" si="44"/>
        <v>0</v>
      </c>
      <c r="O285" s="1372"/>
      <c r="P285" s="1371">
        <f t="shared" si="53"/>
        <v>0</v>
      </c>
      <c r="Q285" s="1371">
        <f t="shared" si="53"/>
        <v>0</v>
      </c>
      <c r="R285" s="1371">
        <f t="shared" si="53"/>
        <v>0</v>
      </c>
      <c r="S285" s="1371">
        <f t="shared" si="53"/>
        <v>0</v>
      </c>
      <c r="T285" s="1371">
        <f t="shared" si="53"/>
        <v>0</v>
      </c>
      <c r="U285" s="1371">
        <f t="shared" si="50"/>
        <v>0</v>
      </c>
      <c r="V285" s="1373">
        <f t="shared" si="45"/>
        <v>0</v>
      </c>
      <c r="W285" s="960"/>
    </row>
    <row r="286" spans="1:23">
      <c r="A286" s="918">
        <v>300736</v>
      </c>
      <c r="B286" s="919" t="s">
        <v>1099</v>
      </c>
      <c r="C286" s="1363">
        <f>IF('TAR_Tab 2_Volumina'!M289,1,0)</f>
        <v>0</v>
      </c>
      <c r="D286" s="1527">
        <v>0</v>
      </c>
      <c r="E286" s="1528">
        <f t="shared" si="46"/>
        <v>0</v>
      </c>
      <c r="F286" s="1528">
        <f t="shared" si="47"/>
        <v>0</v>
      </c>
      <c r="G286" s="1531"/>
      <c r="H286" s="1528">
        <f t="shared" si="48"/>
        <v>0</v>
      </c>
      <c r="I286" s="1528">
        <f t="shared" si="49"/>
        <v>0</v>
      </c>
      <c r="J286" s="1532">
        <f t="shared" si="51"/>
        <v>0</v>
      </c>
      <c r="K286" s="1369" t="str">
        <f t="shared" si="52"/>
        <v/>
      </c>
      <c r="L286" s="1558"/>
      <c r="M286" s="1364"/>
      <c r="N286" s="1371">
        <f t="shared" si="44"/>
        <v>0</v>
      </c>
      <c r="O286" s="1372"/>
      <c r="P286" s="1371">
        <f t="shared" si="53"/>
        <v>0</v>
      </c>
      <c r="Q286" s="1371">
        <f t="shared" si="53"/>
        <v>0</v>
      </c>
      <c r="R286" s="1371">
        <f t="shared" si="53"/>
        <v>0</v>
      </c>
      <c r="S286" s="1371">
        <f t="shared" si="53"/>
        <v>0</v>
      </c>
      <c r="T286" s="1371">
        <f t="shared" si="53"/>
        <v>0</v>
      </c>
      <c r="U286" s="1371">
        <f t="shared" si="50"/>
        <v>0</v>
      </c>
      <c r="V286" s="1373">
        <f t="shared" si="45"/>
        <v>0</v>
      </c>
      <c r="W286" s="960"/>
    </row>
    <row r="287" spans="1:23">
      <c r="A287" s="918">
        <v>300737</v>
      </c>
      <c r="B287" s="919" t="s">
        <v>330</v>
      </c>
      <c r="C287" s="1363">
        <f>IF('TAR_Tab 2_Volumina'!M290,1,0)</f>
        <v>0</v>
      </c>
      <c r="D287" s="1527">
        <v>0</v>
      </c>
      <c r="E287" s="1528">
        <f t="shared" si="46"/>
        <v>0</v>
      </c>
      <c r="F287" s="1528">
        <f t="shared" si="47"/>
        <v>0</v>
      </c>
      <c r="G287" s="1531"/>
      <c r="H287" s="1528">
        <f t="shared" si="48"/>
        <v>0</v>
      </c>
      <c r="I287" s="1528">
        <f t="shared" si="49"/>
        <v>0</v>
      </c>
      <c r="J287" s="1532">
        <f t="shared" si="51"/>
        <v>0</v>
      </c>
      <c r="K287" s="1369" t="str">
        <f t="shared" si="52"/>
        <v/>
      </c>
      <c r="L287" s="1558"/>
      <c r="M287" s="1364"/>
      <c r="N287" s="1371">
        <f t="shared" si="44"/>
        <v>0</v>
      </c>
      <c r="O287" s="1372"/>
      <c r="P287" s="1371">
        <f t="shared" si="53"/>
        <v>0</v>
      </c>
      <c r="Q287" s="1371">
        <f t="shared" si="53"/>
        <v>0</v>
      </c>
      <c r="R287" s="1371">
        <f t="shared" si="53"/>
        <v>0</v>
      </c>
      <c r="S287" s="1371">
        <f t="shared" si="53"/>
        <v>0</v>
      </c>
      <c r="T287" s="1371">
        <f t="shared" si="53"/>
        <v>0</v>
      </c>
      <c r="U287" s="1371">
        <f t="shared" si="50"/>
        <v>0</v>
      </c>
      <c r="V287" s="1373">
        <f t="shared" si="45"/>
        <v>0</v>
      </c>
      <c r="W287" s="960"/>
    </row>
    <row r="288" spans="1:23">
      <c r="A288" s="918">
        <v>300740</v>
      </c>
      <c r="B288" s="919" t="s">
        <v>1100</v>
      </c>
      <c r="C288" s="1363">
        <f>IF('TAR_Tab 2_Volumina'!M291,1,0)</f>
        <v>0</v>
      </c>
      <c r="D288" s="1527">
        <v>0</v>
      </c>
      <c r="E288" s="1528">
        <f t="shared" si="46"/>
        <v>0</v>
      </c>
      <c r="F288" s="1528">
        <f t="shared" si="47"/>
        <v>0</v>
      </c>
      <c r="G288" s="1531"/>
      <c r="H288" s="1528">
        <f t="shared" si="48"/>
        <v>0</v>
      </c>
      <c r="I288" s="1528">
        <f t="shared" si="49"/>
        <v>0</v>
      </c>
      <c r="J288" s="1532">
        <f t="shared" si="51"/>
        <v>0</v>
      </c>
      <c r="K288" s="1369" t="str">
        <f t="shared" si="52"/>
        <v/>
      </c>
      <c r="L288" s="1558"/>
      <c r="M288" s="1364"/>
      <c r="N288" s="1371">
        <f t="shared" si="44"/>
        <v>0</v>
      </c>
      <c r="O288" s="1372"/>
      <c r="P288" s="1371">
        <f t="shared" si="53"/>
        <v>0</v>
      </c>
      <c r="Q288" s="1371">
        <f t="shared" si="53"/>
        <v>0</v>
      </c>
      <c r="R288" s="1371">
        <f t="shared" si="53"/>
        <v>0</v>
      </c>
      <c r="S288" s="1371">
        <f t="shared" si="53"/>
        <v>0</v>
      </c>
      <c r="T288" s="1371">
        <f t="shared" si="53"/>
        <v>0</v>
      </c>
      <c r="U288" s="1371">
        <f t="shared" si="50"/>
        <v>0</v>
      </c>
      <c r="V288" s="1373">
        <f t="shared" si="45"/>
        <v>0</v>
      </c>
      <c r="W288" s="960"/>
    </row>
    <row r="289" spans="1:23">
      <c r="A289" s="918">
        <v>300747</v>
      </c>
      <c r="B289" s="919" t="s">
        <v>430</v>
      </c>
      <c r="C289" s="1363">
        <f>IF('TAR_Tab 2_Volumina'!M292,1,0)</f>
        <v>0</v>
      </c>
      <c r="D289" s="1527">
        <v>0</v>
      </c>
      <c r="E289" s="1528">
        <f t="shared" si="46"/>
        <v>0</v>
      </c>
      <c r="F289" s="1528">
        <f t="shared" si="47"/>
        <v>0</v>
      </c>
      <c r="G289" s="1531"/>
      <c r="H289" s="1528">
        <f t="shared" si="48"/>
        <v>0</v>
      </c>
      <c r="I289" s="1528">
        <f t="shared" si="49"/>
        <v>0</v>
      </c>
      <c r="J289" s="1532">
        <f t="shared" si="51"/>
        <v>0</v>
      </c>
      <c r="K289" s="1369" t="str">
        <f t="shared" si="52"/>
        <v/>
      </c>
      <c r="L289" s="1558"/>
      <c r="M289" s="1364"/>
      <c r="N289" s="1371">
        <f t="shared" si="44"/>
        <v>0</v>
      </c>
      <c r="O289" s="1372"/>
      <c r="P289" s="1371">
        <f t="shared" si="53"/>
        <v>0</v>
      </c>
      <c r="Q289" s="1371">
        <f t="shared" si="53"/>
        <v>0</v>
      </c>
      <c r="R289" s="1371">
        <f t="shared" si="53"/>
        <v>0</v>
      </c>
      <c r="S289" s="1371">
        <f t="shared" si="53"/>
        <v>0</v>
      </c>
      <c r="T289" s="1371">
        <f t="shared" si="53"/>
        <v>0</v>
      </c>
      <c r="U289" s="1371">
        <f t="shared" si="50"/>
        <v>0</v>
      </c>
      <c r="V289" s="1373">
        <f t="shared" si="45"/>
        <v>0</v>
      </c>
      <c r="W289" s="960"/>
    </row>
    <row r="290" spans="1:23">
      <c r="A290" s="918">
        <v>300748</v>
      </c>
      <c r="B290" s="919" t="s">
        <v>431</v>
      </c>
      <c r="C290" s="1363">
        <f>IF('TAR_Tab 2_Volumina'!M293,1,0)</f>
        <v>0</v>
      </c>
      <c r="D290" s="1527">
        <v>0</v>
      </c>
      <c r="E290" s="1528">
        <f t="shared" si="46"/>
        <v>0</v>
      </c>
      <c r="F290" s="1528">
        <f t="shared" si="47"/>
        <v>0</v>
      </c>
      <c r="G290" s="1531"/>
      <c r="H290" s="1528">
        <f t="shared" si="48"/>
        <v>0</v>
      </c>
      <c r="I290" s="1528">
        <f t="shared" si="49"/>
        <v>0</v>
      </c>
      <c r="J290" s="1532">
        <f t="shared" si="51"/>
        <v>0</v>
      </c>
      <c r="K290" s="1369" t="str">
        <f t="shared" si="52"/>
        <v/>
      </c>
      <c r="L290" s="1558"/>
      <c r="M290" s="1364"/>
      <c r="N290" s="1371">
        <f t="shared" si="44"/>
        <v>0</v>
      </c>
      <c r="O290" s="1372"/>
      <c r="P290" s="1371">
        <f t="shared" si="53"/>
        <v>0</v>
      </c>
      <c r="Q290" s="1371">
        <f t="shared" si="53"/>
        <v>0</v>
      </c>
      <c r="R290" s="1371">
        <f t="shared" si="53"/>
        <v>0</v>
      </c>
      <c r="S290" s="1371">
        <f t="shared" si="53"/>
        <v>0</v>
      </c>
      <c r="T290" s="1371">
        <f t="shared" si="53"/>
        <v>0</v>
      </c>
      <c r="U290" s="1371">
        <f t="shared" si="50"/>
        <v>0</v>
      </c>
      <c r="V290" s="1373">
        <f t="shared" si="45"/>
        <v>0</v>
      </c>
      <c r="W290" s="960"/>
    </row>
    <row r="291" spans="1:23">
      <c r="A291" s="918">
        <v>300754</v>
      </c>
      <c r="B291" s="919" t="s">
        <v>432</v>
      </c>
      <c r="C291" s="1363">
        <f>IF('TAR_Tab 2_Volumina'!M294,1,0)</f>
        <v>1</v>
      </c>
      <c r="D291" s="1527">
        <v>17726.04489529389</v>
      </c>
      <c r="E291" s="1528">
        <f t="shared" si="46"/>
        <v>16903.556412152255</v>
      </c>
      <c r="F291" s="1528">
        <f t="shared" si="47"/>
        <v>17861.01390568259</v>
      </c>
      <c r="G291" s="1531"/>
      <c r="H291" s="1528">
        <f t="shared" si="48"/>
        <v>16967.963210398459</v>
      </c>
      <c r="I291" s="1528">
        <f t="shared" si="49"/>
        <v>18754.064600966722</v>
      </c>
      <c r="J291" s="1532">
        <f t="shared" si="51"/>
        <v>17861.01390568259</v>
      </c>
      <c r="K291" s="1369" t="b">
        <f t="shared" si="52"/>
        <v>1</v>
      </c>
      <c r="L291" s="1558"/>
      <c r="M291" s="1364"/>
      <c r="N291" s="1371">
        <f t="shared" si="44"/>
        <v>17861.01390568259</v>
      </c>
      <c r="O291" s="1372"/>
      <c r="P291" s="1371">
        <f t="shared" si="53"/>
        <v>56.167947152971543</v>
      </c>
      <c r="Q291" s="1371">
        <f t="shared" si="53"/>
        <v>44.520984859919338</v>
      </c>
      <c r="R291" s="1371">
        <f t="shared" si="53"/>
        <v>123.12413435904286</v>
      </c>
      <c r="S291" s="1371">
        <f t="shared" si="53"/>
        <v>0</v>
      </c>
      <c r="T291" s="1371">
        <f t="shared" si="53"/>
        <v>1155.1357038717852</v>
      </c>
      <c r="U291" s="1371">
        <f t="shared" si="50"/>
        <v>19239.962675926312</v>
      </c>
      <c r="V291" s="1373">
        <f t="shared" si="45"/>
        <v>19239.96</v>
      </c>
      <c r="W291" s="960"/>
    </row>
    <row r="292" spans="1:23">
      <c r="A292" s="918">
        <v>300755</v>
      </c>
      <c r="B292" s="919" t="s">
        <v>433</v>
      </c>
      <c r="C292" s="1363">
        <f>IF('TAR_Tab 2_Volumina'!M295,1,0)</f>
        <v>1</v>
      </c>
      <c r="D292" s="1527">
        <v>17726.04489529389</v>
      </c>
      <c r="E292" s="1528">
        <f t="shared" si="46"/>
        <v>16903.556412152255</v>
      </c>
      <c r="F292" s="1528">
        <f t="shared" si="47"/>
        <v>17861.01390568259</v>
      </c>
      <c r="G292" s="1531"/>
      <c r="H292" s="1528">
        <f t="shared" si="48"/>
        <v>16967.963210398459</v>
      </c>
      <c r="I292" s="1528">
        <f t="shared" si="49"/>
        <v>18754.064600966722</v>
      </c>
      <c r="J292" s="1532">
        <f t="shared" si="51"/>
        <v>17861.01390568259</v>
      </c>
      <c r="K292" s="1369" t="b">
        <f t="shared" si="52"/>
        <v>1</v>
      </c>
      <c r="L292" s="1558"/>
      <c r="M292" s="1364"/>
      <c r="N292" s="1371">
        <f t="shared" si="44"/>
        <v>17861.01390568259</v>
      </c>
      <c r="O292" s="1372"/>
      <c r="P292" s="1371">
        <f t="shared" si="53"/>
        <v>56.167947152971543</v>
      </c>
      <c r="Q292" s="1371">
        <f t="shared" si="53"/>
        <v>44.520984859919338</v>
      </c>
      <c r="R292" s="1371">
        <f t="shared" si="53"/>
        <v>123.12413435904286</v>
      </c>
      <c r="S292" s="1371">
        <f t="shared" si="53"/>
        <v>0</v>
      </c>
      <c r="T292" s="1371">
        <f t="shared" si="53"/>
        <v>1155.1357038717852</v>
      </c>
      <c r="U292" s="1371">
        <f t="shared" si="50"/>
        <v>19239.962675926312</v>
      </c>
      <c r="V292" s="1373">
        <f t="shared" si="45"/>
        <v>19239.96</v>
      </c>
      <c r="W292" s="960"/>
    </row>
    <row r="293" spans="1:23">
      <c r="A293" s="918">
        <v>300758</v>
      </c>
      <c r="B293" s="919" t="s">
        <v>434</v>
      </c>
      <c r="C293" s="1363">
        <f>IF('TAR_Tab 2_Volumina'!M296,1,0)</f>
        <v>1</v>
      </c>
      <c r="D293" s="1527">
        <v>17726.04489529389</v>
      </c>
      <c r="E293" s="1528">
        <f t="shared" si="46"/>
        <v>16903.556412152255</v>
      </c>
      <c r="F293" s="1528">
        <f t="shared" si="47"/>
        <v>17861.01390568259</v>
      </c>
      <c r="G293" s="1531"/>
      <c r="H293" s="1528">
        <f t="shared" si="48"/>
        <v>16967.963210398459</v>
      </c>
      <c r="I293" s="1528">
        <f t="shared" si="49"/>
        <v>18754.064600966722</v>
      </c>
      <c r="J293" s="1532">
        <f t="shared" si="51"/>
        <v>17861.01390568259</v>
      </c>
      <c r="K293" s="1369" t="b">
        <f t="shared" si="52"/>
        <v>1</v>
      </c>
      <c r="L293" s="1558"/>
      <c r="M293" s="1364"/>
      <c r="N293" s="1371">
        <f t="shared" si="44"/>
        <v>17861.01390568259</v>
      </c>
      <c r="O293" s="1372"/>
      <c r="P293" s="1371">
        <f t="shared" si="53"/>
        <v>56.167947152971543</v>
      </c>
      <c r="Q293" s="1371">
        <f t="shared" si="53"/>
        <v>44.520984859919338</v>
      </c>
      <c r="R293" s="1371">
        <f t="shared" si="53"/>
        <v>123.12413435904286</v>
      </c>
      <c r="S293" s="1371">
        <f t="shared" si="53"/>
        <v>0</v>
      </c>
      <c r="T293" s="1371">
        <f t="shared" si="53"/>
        <v>1155.1357038717852</v>
      </c>
      <c r="U293" s="1371">
        <f t="shared" si="50"/>
        <v>19239.962675926312</v>
      </c>
      <c r="V293" s="1373">
        <f t="shared" si="45"/>
        <v>19239.96</v>
      </c>
      <c r="W293" s="960"/>
    </row>
    <row r="294" spans="1:23">
      <c r="A294" s="918">
        <v>300767</v>
      </c>
      <c r="B294" s="919" t="s">
        <v>435</v>
      </c>
      <c r="C294" s="1363">
        <f>IF('TAR_Tab 2_Volumina'!M297,1,0)</f>
        <v>0</v>
      </c>
      <c r="D294" s="1527">
        <v>0</v>
      </c>
      <c r="E294" s="1528">
        <f t="shared" si="46"/>
        <v>0</v>
      </c>
      <c r="F294" s="1528">
        <f t="shared" si="47"/>
        <v>0</v>
      </c>
      <c r="G294" s="1531"/>
      <c r="H294" s="1528">
        <f t="shared" si="48"/>
        <v>0</v>
      </c>
      <c r="I294" s="1528">
        <f t="shared" si="49"/>
        <v>0</v>
      </c>
      <c r="J294" s="1532">
        <f t="shared" si="51"/>
        <v>0</v>
      </c>
      <c r="K294" s="1369" t="str">
        <f t="shared" si="52"/>
        <v/>
      </c>
      <c r="L294" s="1558"/>
      <c r="M294" s="1364"/>
      <c r="N294" s="1371">
        <f t="shared" si="44"/>
        <v>0</v>
      </c>
      <c r="O294" s="1372"/>
      <c r="P294" s="1371">
        <f t="shared" si="53"/>
        <v>0</v>
      </c>
      <c r="Q294" s="1371">
        <f t="shared" si="53"/>
        <v>0</v>
      </c>
      <c r="R294" s="1371">
        <f t="shared" si="53"/>
        <v>0</v>
      </c>
      <c r="S294" s="1371">
        <f t="shared" si="53"/>
        <v>0</v>
      </c>
      <c r="T294" s="1371">
        <f t="shared" si="53"/>
        <v>0</v>
      </c>
      <c r="U294" s="1371">
        <f t="shared" si="50"/>
        <v>0</v>
      </c>
      <c r="V294" s="1373">
        <f t="shared" si="45"/>
        <v>0</v>
      </c>
      <c r="W294" s="960"/>
    </row>
    <row r="295" spans="1:23">
      <c r="A295" s="918">
        <v>300768</v>
      </c>
      <c r="B295" s="919" t="s">
        <v>436</v>
      </c>
      <c r="C295" s="1363">
        <f>IF('TAR_Tab 2_Volumina'!M298,1,0)</f>
        <v>0</v>
      </c>
      <c r="D295" s="1527">
        <v>0</v>
      </c>
      <c r="E295" s="1528">
        <f t="shared" si="46"/>
        <v>0</v>
      </c>
      <c r="F295" s="1528">
        <f t="shared" si="47"/>
        <v>0</v>
      </c>
      <c r="G295" s="1531"/>
      <c r="H295" s="1528">
        <f t="shared" si="48"/>
        <v>0</v>
      </c>
      <c r="I295" s="1528">
        <f t="shared" si="49"/>
        <v>0</v>
      </c>
      <c r="J295" s="1532">
        <f t="shared" si="51"/>
        <v>0</v>
      </c>
      <c r="K295" s="1369" t="str">
        <f t="shared" si="52"/>
        <v/>
      </c>
      <c r="L295" s="1558"/>
      <c r="M295" s="1364"/>
      <c r="N295" s="1371">
        <f t="shared" si="44"/>
        <v>0</v>
      </c>
      <c r="O295" s="1372"/>
      <c r="P295" s="1371">
        <f t="shared" si="53"/>
        <v>0</v>
      </c>
      <c r="Q295" s="1371">
        <f t="shared" si="53"/>
        <v>0</v>
      </c>
      <c r="R295" s="1371">
        <f t="shared" si="53"/>
        <v>0</v>
      </c>
      <c r="S295" s="1371">
        <f t="shared" si="53"/>
        <v>0</v>
      </c>
      <c r="T295" s="1371">
        <f t="shared" si="53"/>
        <v>0</v>
      </c>
      <c r="U295" s="1371">
        <f t="shared" si="50"/>
        <v>0</v>
      </c>
      <c r="V295" s="1373">
        <f t="shared" si="45"/>
        <v>0</v>
      </c>
      <c r="W295" s="960"/>
    </row>
    <row r="296" spans="1:23">
      <c r="A296" s="918">
        <v>300771</v>
      </c>
      <c r="B296" s="919" t="s">
        <v>416</v>
      </c>
      <c r="C296" s="1363">
        <f>IF('TAR_Tab 2_Volumina'!M299,1,0)</f>
        <v>0</v>
      </c>
      <c r="D296" s="1527">
        <v>0</v>
      </c>
      <c r="E296" s="1528">
        <f t="shared" si="46"/>
        <v>0</v>
      </c>
      <c r="F296" s="1528">
        <f t="shared" si="47"/>
        <v>0</v>
      </c>
      <c r="G296" s="1531"/>
      <c r="H296" s="1528">
        <f t="shared" si="48"/>
        <v>0</v>
      </c>
      <c r="I296" s="1528">
        <f t="shared" si="49"/>
        <v>0</v>
      </c>
      <c r="J296" s="1532">
        <f t="shared" si="51"/>
        <v>0</v>
      </c>
      <c r="K296" s="1369" t="str">
        <f t="shared" si="52"/>
        <v/>
      </c>
      <c r="L296" s="1558"/>
      <c r="M296" s="1364"/>
      <c r="N296" s="1371">
        <f t="shared" si="44"/>
        <v>0</v>
      </c>
      <c r="O296" s="1372"/>
      <c r="P296" s="1371">
        <f t="shared" si="53"/>
        <v>0</v>
      </c>
      <c r="Q296" s="1371">
        <f t="shared" si="53"/>
        <v>0</v>
      </c>
      <c r="R296" s="1371">
        <f t="shared" si="53"/>
        <v>0</v>
      </c>
      <c r="S296" s="1371">
        <f t="shared" si="53"/>
        <v>0</v>
      </c>
      <c r="T296" s="1371">
        <f t="shared" si="53"/>
        <v>0</v>
      </c>
      <c r="U296" s="1371">
        <f t="shared" si="50"/>
        <v>0</v>
      </c>
      <c r="V296" s="1373">
        <f t="shared" si="45"/>
        <v>0</v>
      </c>
      <c r="W296" s="960"/>
    </row>
    <row r="297" spans="1:23">
      <c r="A297" s="918">
        <v>300772</v>
      </c>
      <c r="B297" s="919" t="s">
        <v>1101</v>
      </c>
      <c r="C297" s="1363">
        <f>IF('TAR_Tab 2_Volumina'!M300,1,0)</f>
        <v>0</v>
      </c>
      <c r="D297" s="1527">
        <v>0</v>
      </c>
      <c r="E297" s="1528">
        <f t="shared" si="46"/>
        <v>0</v>
      </c>
      <c r="F297" s="1528">
        <f t="shared" si="47"/>
        <v>0</v>
      </c>
      <c r="G297" s="1531"/>
      <c r="H297" s="1528">
        <f t="shared" si="48"/>
        <v>0</v>
      </c>
      <c r="I297" s="1528">
        <f t="shared" si="49"/>
        <v>0</v>
      </c>
      <c r="J297" s="1532">
        <f t="shared" si="51"/>
        <v>0</v>
      </c>
      <c r="K297" s="1369" t="str">
        <f t="shared" si="52"/>
        <v/>
      </c>
      <c r="L297" s="1558"/>
      <c r="M297" s="1364"/>
      <c r="N297" s="1371">
        <f t="shared" si="44"/>
        <v>0</v>
      </c>
      <c r="O297" s="1372"/>
      <c r="P297" s="1371">
        <f t="shared" si="53"/>
        <v>0</v>
      </c>
      <c r="Q297" s="1371">
        <f t="shared" si="53"/>
        <v>0</v>
      </c>
      <c r="R297" s="1371">
        <f t="shared" si="53"/>
        <v>0</v>
      </c>
      <c r="S297" s="1371">
        <f t="shared" si="53"/>
        <v>0</v>
      </c>
      <c r="T297" s="1371">
        <f t="shared" si="53"/>
        <v>0</v>
      </c>
      <c r="U297" s="1371">
        <f t="shared" si="50"/>
        <v>0</v>
      </c>
      <c r="V297" s="1373">
        <f t="shared" si="45"/>
        <v>0</v>
      </c>
      <c r="W297" s="960"/>
    </row>
    <row r="298" spans="1:23">
      <c r="A298" s="918">
        <v>300773</v>
      </c>
      <c r="B298" s="919" t="s">
        <v>171</v>
      </c>
      <c r="C298" s="1363">
        <f>IF('TAR_Tab 2_Volumina'!M301,1,0)</f>
        <v>0</v>
      </c>
      <c r="D298" s="1527">
        <v>0</v>
      </c>
      <c r="E298" s="1528">
        <f t="shared" si="46"/>
        <v>0</v>
      </c>
      <c r="F298" s="1528">
        <f t="shared" si="47"/>
        <v>0</v>
      </c>
      <c r="G298" s="1531"/>
      <c r="H298" s="1528">
        <f t="shared" si="48"/>
        <v>0</v>
      </c>
      <c r="I298" s="1528">
        <f t="shared" si="49"/>
        <v>0</v>
      </c>
      <c r="J298" s="1532">
        <f t="shared" si="51"/>
        <v>0</v>
      </c>
      <c r="K298" s="1369" t="str">
        <f t="shared" si="52"/>
        <v/>
      </c>
      <c r="L298" s="1558"/>
      <c r="M298" s="1364"/>
      <c r="N298" s="1371">
        <f t="shared" si="44"/>
        <v>0</v>
      </c>
      <c r="O298" s="1372"/>
      <c r="P298" s="1371">
        <f t="shared" si="53"/>
        <v>0</v>
      </c>
      <c r="Q298" s="1371">
        <f t="shared" si="53"/>
        <v>0</v>
      </c>
      <c r="R298" s="1371">
        <f t="shared" si="53"/>
        <v>0</v>
      </c>
      <c r="S298" s="1371">
        <f t="shared" si="53"/>
        <v>0</v>
      </c>
      <c r="T298" s="1371">
        <f t="shared" si="53"/>
        <v>0</v>
      </c>
      <c r="U298" s="1371">
        <f t="shared" si="50"/>
        <v>0</v>
      </c>
      <c r="V298" s="1373">
        <f t="shared" si="45"/>
        <v>0</v>
      </c>
      <c r="W298" s="960"/>
    </row>
    <row r="299" spans="1:23">
      <c r="A299" s="918">
        <v>300779</v>
      </c>
      <c r="B299" s="919" t="s">
        <v>1102</v>
      </c>
      <c r="C299" s="1363">
        <f>IF('TAR_Tab 2_Volumina'!M302,1,0)</f>
        <v>0</v>
      </c>
      <c r="D299" s="1527">
        <v>0</v>
      </c>
      <c r="E299" s="1528">
        <f t="shared" si="46"/>
        <v>0</v>
      </c>
      <c r="F299" s="1528">
        <f t="shared" si="47"/>
        <v>0</v>
      </c>
      <c r="G299" s="1531"/>
      <c r="H299" s="1528">
        <f t="shared" si="48"/>
        <v>0</v>
      </c>
      <c r="I299" s="1528">
        <f t="shared" si="49"/>
        <v>0</v>
      </c>
      <c r="J299" s="1532">
        <f t="shared" si="51"/>
        <v>0</v>
      </c>
      <c r="K299" s="1369" t="str">
        <f t="shared" si="52"/>
        <v/>
      </c>
      <c r="L299" s="1558"/>
      <c r="M299" s="1364"/>
      <c r="N299" s="1371">
        <f t="shared" si="44"/>
        <v>0</v>
      </c>
      <c r="O299" s="1372"/>
      <c r="P299" s="1371">
        <f t="shared" si="53"/>
        <v>0</v>
      </c>
      <c r="Q299" s="1371">
        <f t="shared" si="53"/>
        <v>0</v>
      </c>
      <c r="R299" s="1371">
        <f t="shared" si="53"/>
        <v>0</v>
      </c>
      <c r="S299" s="1371">
        <f t="shared" si="53"/>
        <v>0</v>
      </c>
      <c r="T299" s="1371">
        <f t="shared" si="53"/>
        <v>0</v>
      </c>
      <c r="U299" s="1371">
        <f t="shared" si="50"/>
        <v>0</v>
      </c>
      <c r="V299" s="1373">
        <f t="shared" si="45"/>
        <v>0</v>
      </c>
      <c r="W299" s="960"/>
    </row>
    <row r="300" spans="1:23">
      <c r="A300" s="918">
        <v>300784</v>
      </c>
      <c r="B300" s="919" t="s">
        <v>437</v>
      </c>
      <c r="C300" s="1363">
        <f>IF('TAR_Tab 2_Volumina'!M303,1,0)</f>
        <v>0</v>
      </c>
      <c r="D300" s="1527">
        <v>0</v>
      </c>
      <c r="E300" s="1528">
        <f t="shared" si="46"/>
        <v>0</v>
      </c>
      <c r="F300" s="1528">
        <f t="shared" si="47"/>
        <v>0</v>
      </c>
      <c r="G300" s="1531"/>
      <c r="H300" s="1528">
        <f t="shared" si="48"/>
        <v>0</v>
      </c>
      <c r="I300" s="1528">
        <f t="shared" si="49"/>
        <v>0</v>
      </c>
      <c r="J300" s="1532">
        <f t="shared" si="51"/>
        <v>0</v>
      </c>
      <c r="K300" s="1369" t="str">
        <f t="shared" si="52"/>
        <v/>
      </c>
      <c r="L300" s="1558"/>
      <c r="M300" s="1364"/>
      <c r="N300" s="1371">
        <f t="shared" si="44"/>
        <v>0</v>
      </c>
      <c r="O300" s="1372"/>
      <c r="P300" s="1371">
        <f t="shared" si="53"/>
        <v>0</v>
      </c>
      <c r="Q300" s="1371">
        <f t="shared" si="53"/>
        <v>0</v>
      </c>
      <c r="R300" s="1371">
        <f t="shared" si="53"/>
        <v>0</v>
      </c>
      <c r="S300" s="1371">
        <f t="shared" si="53"/>
        <v>0</v>
      </c>
      <c r="T300" s="1371">
        <f t="shared" si="53"/>
        <v>0</v>
      </c>
      <c r="U300" s="1371">
        <f t="shared" si="50"/>
        <v>0</v>
      </c>
      <c r="V300" s="1373">
        <f t="shared" si="45"/>
        <v>0</v>
      </c>
      <c r="W300" s="960"/>
    </row>
    <row r="301" spans="1:23">
      <c r="A301" s="918">
        <v>300785</v>
      </c>
      <c r="B301" s="919" t="s">
        <v>629</v>
      </c>
      <c r="C301" s="1363">
        <f>IF('TAR_Tab 2_Volumina'!M304,1,0)</f>
        <v>0</v>
      </c>
      <c r="D301" s="1527">
        <v>0</v>
      </c>
      <c r="E301" s="1528">
        <f t="shared" si="46"/>
        <v>0</v>
      </c>
      <c r="F301" s="1528">
        <f t="shared" si="47"/>
        <v>0</v>
      </c>
      <c r="G301" s="1531"/>
      <c r="H301" s="1528">
        <f t="shared" si="48"/>
        <v>0</v>
      </c>
      <c r="I301" s="1528">
        <f t="shared" si="49"/>
        <v>0</v>
      </c>
      <c r="J301" s="1532">
        <f t="shared" si="51"/>
        <v>0</v>
      </c>
      <c r="K301" s="1369" t="str">
        <f t="shared" si="52"/>
        <v/>
      </c>
      <c r="L301" s="1558"/>
      <c r="M301" s="1364"/>
      <c r="N301" s="1371">
        <f t="shared" si="44"/>
        <v>0</v>
      </c>
      <c r="O301" s="1372"/>
      <c r="P301" s="1371">
        <f t="shared" si="53"/>
        <v>0</v>
      </c>
      <c r="Q301" s="1371">
        <f t="shared" si="53"/>
        <v>0</v>
      </c>
      <c r="R301" s="1371">
        <f t="shared" si="53"/>
        <v>0</v>
      </c>
      <c r="S301" s="1371">
        <f t="shared" si="53"/>
        <v>0</v>
      </c>
      <c r="T301" s="1371">
        <f t="shared" si="53"/>
        <v>0</v>
      </c>
      <c r="U301" s="1371">
        <f t="shared" si="50"/>
        <v>0</v>
      </c>
      <c r="V301" s="1373">
        <f t="shared" si="45"/>
        <v>0</v>
      </c>
      <c r="W301" s="960"/>
    </row>
    <row r="302" spans="1:23">
      <c r="A302" s="918">
        <v>300786</v>
      </c>
      <c r="B302" s="919" t="s">
        <v>438</v>
      </c>
      <c r="C302" s="1363">
        <f>IF('TAR_Tab 2_Volumina'!M305,1,0)</f>
        <v>0</v>
      </c>
      <c r="D302" s="1527">
        <v>0</v>
      </c>
      <c r="E302" s="1528">
        <f t="shared" si="46"/>
        <v>0</v>
      </c>
      <c r="F302" s="1528">
        <f t="shared" si="47"/>
        <v>0</v>
      </c>
      <c r="G302" s="1531"/>
      <c r="H302" s="1528">
        <f t="shared" si="48"/>
        <v>0</v>
      </c>
      <c r="I302" s="1528">
        <f t="shared" si="49"/>
        <v>0</v>
      </c>
      <c r="J302" s="1532">
        <f t="shared" si="51"/>
        <v>0</v>
      </c>
      <c r="K302" s="1369" t="str">
        <f t="shared" si="52"/>
        <v/>
      </c>
      <c r="L302" s="1558"/>
      <c r="M302" s="1364"/>
      <c r="N302" s="1371">
        <f t="shared" si="44"/>
        <v>0</v>
      </c>
      <c r="O302" s="1372"/>
      <c r="P302" s="1371">
        <f t="shared" si="53"/>
        <v>0</v>
      </c>
      <c r="Q302" s="1371">
        <f t="shared" si="53"/>
        <v>0</v>
      </c>
      <c r="R302" s="1371">
        <f t="shared" si="53"/>
        <v>0</v>
      </c>
      <c r="S302" s="1371">
        <f t="shared" si="53"/>
        <v>0</v>
      </c>
      <c r="T302" s="1371">
        <f t="shared" si="53"/>
        <v>0</v>
      </c>
      <c r="U302" s="1371">
        <f t="shared" si="50"/>
        <v>0</v>
      </c>
      <c r="V302" s="1373">
        <f t="shared" si="45"/>
        <v>0</v>
      </c>
      <c r="W302" s="960"/>
    </row>
    <row r="303" spans="1:23">
      <c r="A303" s="918">
        <v>300788</v>
      </c>
      <c r="B303" s="919" t="s">
        <v>1103</v>
      </c>
      <c r="C303" s="1363">
        <f>IF('TAR_Tab 2_Volumina'!M306,1,0)</f>
        <v>0</v>
      </c>
      <c r="D303" s="1527">
        <v>0</v>
      </c>
      <c r="E303" s="1528">
        <f t="shared" si="46"/>
        <v>0</v>
      </c>
      <c r="F303" s="1528">
        <f t="shared" si="47"/>
        <v>0</v>
      </c>
      <c r="G303" s="1531"/>
      <c r="H303" s="1528">
        <f t="shared" si="48"/>
        <v>0</v>
      </c>
      <c r="I303" s="1528">
        <f t="shared" si="49"/>
        <v>0</v>
      </c>
      <c r="J303" s="1532">
        <f t="shared" si="51"/>
        <v>0</v>
      </c>
      <c r="K303" s="1369" t="str">
        <f t="shared" si="52"/>
        <v/>
      </c>
      <c r="L303" s="1558"/>
      <c r="M303" s="1364"/>
      <c r="N303" s="1371">
        <f t="shared" si="44"/>
        <v>0</v>
      </c>
      <c r="O303" s="1372"/>
      <c r="P303" s="1371">
        <f t="shared" si="53"/>
        <v>0</v>
      </c>
      <c r="Q303" s="1371">
        <f t="shared" si="53"/>
        <v>0</v>
      </c>
      <c r="R303" s="1371">
        <f t="shared" si="53"/>
        <v>0</v>
      </c>
      <c r="S303" s="1371">
        <f t="shared" si="53"/>
        <v>0</v>
      </c>
      <c r="T303" s="1371">
        <f t="shared" si="53"/>
        <v>0</v>
      </c>
      <c r="U303" s="1371">
        <f t="shared" si="50"/>
        <v>0</v>
      </c>
      <c r="V303" s="1373">
        <f t="shared" si="45"/>
        <v>0</v>
      </c>
      <c r="W303" s="960"/>
    </row>
    <row r="304" spans="1:23">
      <c r="A304" s="918">
        <v>300790</v>
      </c>
      <c r="B304" s="919" t="s">
        <v>439</v>
      </c>
      <c r="C304" s="1363">
        <f>IF('TAR_Tab 2_Volumina'!M307,1,0)</f>
        <v>1</v>
      </c>
      <c r="D304" s="1527">
        <v>17726.04489529389</v>
      </c>
      <c r="E304" s="1528">
        <f t="shared" si="46"/>
        <v>16903.556412152255</v>
      </c>
      <c r="F304" s="1528">
        <f t="shared" si="47"/>
        <v>17861.01390568259</v>
      </c>
      <c r="G304" s="1531"/>
      <c r="H304" s="1528">
        <f t="shared" si="48"/>
        <v>16967.963210398459</v>
      </c>
      <c r="I304" s="1528">
        <f t="shared" si="49"/>
        <v>18754.064600966722</v>
      </c>
      <c r="J304" s="1532">
        <f t="shared" si="51"/>
        <v>17861.01390568259</v>
      </c>
      <c r="K304" s="1369" t="b">
        <f t="shared" si="52"/>
        <v>1</v>
      </c>
      <c r="L304" s="1558"/>
      <c r="M304" s="1364"/>
      <c r="N304" s="1371">
        <f t="shared" si="44"/>
        <v>17861.01390568259</v>
      </c>
      <c r="O304" s="1372"/>
      <c r="P304" s="1371">
        <f t="shared" si="53"/>
        <v>56.167947152971543</v>
      </c>
      <c r="Q304" s="1371">
        <f t="shared" si="53"/>
        <v>44.520984859919338</v>
      </c>
      <c r="R304" s="1371">
        <f t="shared" si="53"/>
        <v>123.12413435904286</v>
      </c>
      <c r="S304" s="1371">
        <f t="shared" si="53"/>
        <v>0</v>
      </c>
      <c r="T304" s="1371">
        <f t="shared" si="53"/>
        <v>1155.1357038717852</v>
      </c>
      <c r="U304" s="1371">
        <f t="shared" si="50"/>
        <v>19239.962675926312</v>
      </c>
      <c r="V304" s="1373">
        <f t="shared" si="45"/>
        <v>19239.96</v>
      </c>
      <c r="W304" s="960"/>
    </row>
    <row r="305" spans="1:23">
      <c r="A305" s="918">
        <v>300791</v>
      </c>
      <c r="B305" s="919" t="s">
        <v>331</v>
      </c>
      <c r="C305" s="1363">
        <f>IF('TAR_Tab 2_Volumina'!M308,1,0)</f>
        <v>0</v>
      </c>
      <c r="D305" s="1527">
        <v>0</v>
      </c>
      <c r="E305" s="1528">
        <f t="shared" si="46"/>
        <v>0</v>
      </c>
      <c r="F305" s="1528">
        <f t="shared" si="47"/>
        <v>0</v>
      </c>
      <c r="G305" s="1531"/>
      <c r="H305" s="1528">
        <f t="shared" si="48"/>
        <v>0</v>
      </c>
      <c r="I305" s="1528">
        <f t="shared" si="49"/>
        <v>0</v>
      </c>
      <c r="J305" s="1532">
        <f t="shared" si="51"/>
        <v>0</v>
      </c>
      <c r="K305" s="1369" t="str">
        <f t="shared" si="52"/>
        <v/>
      </c>
      <c r="L305" s="1558"/>
      <c r="M305" s="1364"/>
      <c r="N305" s="1371">
        <f t="shared" si="44"/>
        <v>0</v>
      </c>
      <c r="O305" s="1372"/>
      <c r="P305" s="1371">
        <f t="shared" si="53"/>
        <v>0</v>
      </c>
      <c r="Q305" s="1371">
        <f t="shared" si="53"/>
        <v>0</v>
      </c>
      <c r="R305" s="1371">
        <f t="shared" si="53"/>
        <v>0</v>
      </c>
      <c r="S305" s="1371">
        <f t="shared" si="53"/>
        <v>0</v>
      </c>
      <c r="T305" s="1371">
        <f t="shared" si="53"/>
        <v>0</v>
      </c>
      <c r="U305" s="1371">
        <f t="shared" si="50"/>
        <v>0</v>
      </c>
      <c r="V305" s="1373">
        <f t="shared" si="45"/>
        <v>0</v>
      </c>
      <c r="W305" s="960"/>
    </row>
    <row r="306" spans="1:23">
      <c r="A306" s="918">
        <v>300792</v>
      </c>
      <c r="B306" s="919" t="s">
        <v>440</v>
      </c>
      <c r="C306" s="1363">
        <f>IF('TAR_Tab 2_Volumina'!M309,1,0)</f>
        <v>1</v>
      </c>
      <c r="D306" s="1527">
        <v>17726.04489529389</v>
      </c>
      <c r="E306" s="1528">
        <f t="shared" si="46"/>
        <v>16903.556412152255</v>
      </c>
      <c r="F306" s="1528">
        <f t="shared" si="47"/>
        <v>17861.01390568259</v>
      </c>
      <c r="G306" s="1531"/>
      <c r="H306" s="1528">
        <f t="shared" si="48"/>
        <v>16967.963210398459</v>
      </c>
      <c r="I306" s="1528">
        <f t="shared" si="49"/>
        <v>18754.064600966722</v>
      </c>
      <c r="J306" s="1532">
        <f t="shared" si="51"/>
        <v>17861.01390568259</v>
      </c>
      <c r="K306" s="1369" t="b">
        <f t="shared" si="52"/>
        <v>1</v>
      </c>
      <c r="L306" s="1558"/>
      <c r="M306" s="1364"/>
      <c r="N306" s="1371">
        <f t="shared" si="44"/>
        <v>17861.01390568259</v>
      </c>
      <c r="O306" s="1372"/>
      <c r="P306" s="1371">
        <f t="shared" si="53"/>
        <v>56.167947152971543</v>
      </c>
      <c r="Q306" s="1371">
        <f t="shared" si="53"/>
        <v>44.520984859919338</v>
      </c>
      <c r="R306" s="1371">
        <f t="shared" si="53"/>
        <v>123.12413435904286</v>
      </c>
      <c r="S306" s="1371">
        <f t="shared" si="53"/>
        <v>0</v>
      </c>
      <c r="T306" s="1371">
        <f t="shared" si="53"/>
        <v>1155.1357038717852</v>
      </c>
      <c r="U306" s="1371">
        <f t="shared" si="50"/>
        <v>19239.962675926312</v>
      </c>
      <c r="V306" s="1373">
        <f t="shared" si="45"/>
        <v>19239.96</v>
      </c>
      <c r="W306" s="960"/>
    </row>
    <row r="307" spans="1:23">
      <c r="A307" s="918">
        <v>300794</v>
      </c>
      <c r="B307" s="919" t="s">
        <v>441</v>
      </c>
      <c r="C307" s="1363">
        <f>IF('TAR_Tab 2_Volumina'!M310,1,0)</f>
        <v>1</v>
      </c>
      <c r="D307" s="1527">
        <v>17726.04489529389</v>
      </c>
      <c r="E307" s="1528">
        <f t="shared" si="46"/>
        <v>16903.556412152255</v>
      </c>
      <c r="F307" s="1528">
        <f t="shared" si="47"/>
        <v>17861.01390568259</v>
      </c>
      <c r="G307" s="1531"/>
      <c r="H307" s="1528">
        <f t="shared" si="48"/>
        <v>16967.963210398459</v>
      </c>
      <c r="I307" s="1528">
        <f t="shared" si="49"/>
        <v>18754.064600966722</v>
      </c>
      <c r="J307" s="1532">
        <f t="shared" si="51"/>
        <v>17861.01390568259</v>
      </c>
      <c r="K307" s="1369" t="b">
        <f t="shared" si="52"/>
        <v>1</v>
      </c>
      <c r="L307" s="1558"/>
      <c r="M307" s="1364"/>
      <c r="N307" s="1371">
        <f t="shared" si="44"/>
        <v>17861.01390568259</v>
      </c>
      <c r="O307" s="1372"/>
      <c r="P307" s="1371">
        <f t="shared" si="53"/>
        <v>56.167947152971543</v>
      </c>
      <c r="Q307" s="1371">
        <f t="shared" si="53"/>
        <v>44.520984859919338</v>
      </c>
      <c r="R307" s="1371">
        <f t="shared" si="53"/>
        <v>123.12413435904286</v>
      </c>
      <c r="S307" s="1371">
        <f t="shared" si="53"/>
        <v>0</v>
      </c>
      <c r="T307" s="1371">
        <f t="shared" si="53"/>
        <v>1155.1357038717852</v>
      </c>
      <c r="U307" s="1371">
        <f t="shared" si="50"/>
        <v>19239.962675926312</v>
      </c>
      <c r="V307" s="1373">
        <f t="shared" si="45"/>
        <v>19239.96</v>
      </c>
      <c r="W307" s="960"/>
    </row>
    <row r="308" spans="1:23">
      <c r="A308" s="918">
        <v>300795</v>
      </c>
      <c r="B308" s="919" t="s">
        <v>442</v>
      </c>
      <c r="C308" s="1363">
        <f>IF('TAR_Tab 2_Volumina'!M311,1,0)</f>
        <v>0</v>
      </c>
      <c r="D308" s="1527">
        <v>0</v>
      </c>
      <c r="E308" s="1528">
        <f t="shared" si="46"/>
        <v>0</v>
      </c>
      <c r="F308" s="1528">
        <f t="shared" si="47"/>
        <v>0</v>
      </c>
      <c r="G308" s="1531"/>
      <c r="H308" s="1528">
        <f t="shared" si="48"/>
        <v>0</v>
      </c>
      <c r="I308" s="1528">
        <f t="shared" si="49"/>
        <v>0</v>
      </c>
      <c r="J308" s="1532">
        <f t="shared" si="51"/>
        <v>0</v>
      </c>
      <c r="K308" s="1369" t="str">
        <f t="shared" si="52"/>
        <v/>
      </c>
      <c r="L308" s="1558"/>
      <c r="M308" s="1364"/>
      <c r="N308" s="1371">
        <f t="shared" si="44"/>
        <v>0</v>
      </c>
      <c r="O308" s="1372"/>
      <c r="P308" s="1371">
        <f t="shared" si="53"/>
        <v>0</v>
      </c>
      <c r="Q308" s="1371">
        <f t="shared" si="53"/>
        <v>0</v>
      </c>
      <c r="R308" s="1371">
        <f t="shared" si="53"/>
        <v>0</v>
      </c>
      <c r="S308" s="1371">
        <f t="shared" si="53"/>
        <v>0</v>
      </c>
      <c r="T308" s="1371">
        <f t="shared" si="53"/>
        <v>0</v>
      </c>
      <c r="U308" s="1371">
        <f t="shared" si="50"/>
        <v>0</v>
      </c>
      <c r="V308" s="1373">
        <f t="shared" si="45"/>
        <v>0</v>
      </c>
      <c r="W308" s="960"/>
    </row>
    <row r="309" spans="1:23">
      <c r="A309" s="918">
        <v>300798</v>
      </c>
      <c r="B309" s="919" t="s">
        <v>332</v>
      </c>
      <c r="C309" s="1363">
        <f>IF('TAR_Tab 2_Volumina'!M312,1,0)</f>
        <v>0</v>
      </c>
      <c r="D309" s="1527">
        <v>0</v>
      </c>
      <c r="E309" s="1528">
        <f t="shared" si="46"/>
        <v>0</v>
      </c>
      <c r="F309" s="1528">
        <f t="shared" si="47"/>
        <v>0</v>
      </c>
      <c r="G309" s="1531"/>
      <c r="H309" s="1528">
        <f t="shared" si="48"/>
        <v>0</v>
      </c>
      <c r="I309" s="1528">
        <f t="shared" si="49"/>
        <v>0</v>
      </c>
      <c r="J309" s="1532">
        <f t="shared" si="51"/>
        <v>0</v>
      </c>
      <c r="K309" s="1369" t="str">
        <f t="shared" si="52"/>
        <v/>
      </c>
      <c r="L309" s="1558"/>
      <c r="M309" s="1364"/>
      <c r="N309" s="1371">
        <f t="shared" si="44"/>
        <v>0</v>
      </c>
      <c r="O309" s="1372"/>
      <c r="P309" s="1371">
        <f t="shared" si="53"/>
        <v>0</v>
      </c>
      <c r="Q309" s="1371">
        <f t="shared" si="53"/>
        <v>0</v>
      </c>
      <c r="R309" s="1371">
        <f t="shared" si="53"/>
        <v>0</v>
      </c>
      <c r="S309" s="1371">
        <f t="shared" si="53"/>
        <v>0</v>
      </c>
      <c r="T309" s="1371">
        <f t="shared" si="53"/>
        <v>0</v>
      </c>
      <c r="U309" s="1371">
        <f t="shared" si="50"/>
        <v>0</v>
      </c>
      <c r="V309" s="1373">
        <f t="shared" si="45"/>
        <v>0</v>
      </c>
      <c r="W309" s="960"/>
    </row>
    <row r="310" spans="1:23">
      <c r="A310" s="918">
        <v>300800</v>
      </c>
      <c r="B310" s="919" t="s">
        <v>443</v>
      </c>
      <c r="C310" s="1363">
        <f>IF('TAR_Tab 2_Volumina'!M313,1,0)</f>
        <v>0</v>
      </c>
      <c r="D310" s="1527">
        <v>0</v>
      </c>
      <c r="E310" s="1528">
        <f t="shared" si="46"/>
        <v>0</v>
      </c>
      <c r="F310" s="1528">
        <f t="shared" si="47"/>
        <v>0</v>
      </c>
      <c r="G310" s="1531"/>
      <c r="H310" s="1528">
        <f t="shared" si="48"/>
        <v>0</v>
      </c>
      <c r="I310" s="1528">
        <f t="shared" si="49"/>
        <v>0</v>
      </c>
      <c r="J310" s="1532">
        <f t="shared" si="51"/>
        <v>0</v>
      </c>
      <c r="K310" s="1369" t="str">
        <f t="shared" si="52"/>
        <v/>
      </c>
      <c r="L310" s="1558"/>
      <c r="M310" s="1364"/>
      <c r="N310" s="1371">
        <f t="shared" si="44"/>
        <v>0</v>
      </c>
      <c r="O310" s="1372"/>
      <c r="P310" s="1371">
        <f t="shared" si="53"/>
        <v>0</v>
      </c>
      <c r="Q310" s="1371">
        <f t="shared" si="53"/>
        <v>0</v>
      </c>
      <c r="R310" s="1371">
        <f t="shared" si="53"/>
        <v>0</v>
      </c>
      <c r="S310" s="1371">
        <f t="shared" si="53"/>
        <v>0</v>
      </c>
      <c r="T310" s="1371">
        <f t="shared" si="53"/>
        <v>0</v>
      </c>
      <c r="U310" s="1371">
        <f t="shared" si="50"/>
        <v>0</v>
      </c>
      <c r="V310" s="1373">
        <f t="shared" si="45"/>
        <v>0</v>
      </c>
      <c r="W310" s="960"/>
    </row>
    <row r="311" spans="1:23">
      <c r="A311" s="918">
        <v>300801</v>
      </c>
      <c r="B311" s="919" t="s">
        <v>1104</v>
      </c>
      <c r="C311" s="1363">
        <f>IF('TAR_Tab 2_Volumina'!M314,1,0)</f>
        <v>0</v>
      </c>
      <c r="D311" s="1527">
        <v>0</v>
      </c>
      <c r="E311" s="1528">
        <f t="shared" si="46"/>
        <v>0</v>
      </c>
      <c r="F311" s="1528">
        <f t="shared" si="47"/>
        <v>0</v>
      </c>
      <c r="G311" s="1531"/>
      <c r="H311" s="1528">
        <f t="shared" si="48"/>
        <v>0</v>
      </c>
      <c r="I311" s="1528">
        <f t="shared" si="49"/>
        <v>0</v>
      </c>
      <c r="J311" s="1532">
        <f t="shared" si="51"/>
        <v>0</v>
      </c>
      <c r="K311" s="1369" t="str">
        <f t="shared" si="52"/>
        <v/>
      </c>
      <c r="L311" s="1558"/>
      <c r="M311" s="1364"/>
      <c r="N311" s="1371">
        <f t="shared" si="44"/>
        <v>0</v>
      </c>
      <c r="O311" s="1372"/>
      <c r="P311" s="1371">
        <f t="shared" si="53"/>
        <v>0</v>
      </c>
      <c r="Q311" s="1371">
        <f t="shared" si="53"/>
        <v>0</v>
      </c>
      <c r="R311" s="1371">
        <f t="shared" si="53"/>
        <v>0</v>
      </c>
      <c r="S311" s="1371">
        <f t="shared" si="53"/>
        <v>0</v>
      </c>
      <c r="T311" s="1371">
        <f t="shared" si="53"/>
        <v>0</v>
      </c>
      <c r="U311" s="1371">
        <f t="shared" si="50"/>
        <v>0</v>
      </c>
      <c r="V311" s="1373">
        <f t="shared" si="45"/>
        <v>0</v>
      </c>
      <c r="W311" s="960"/>
    </row>
    <row r="312" spans="1:23">
      <c r="A312" s="918">
        <v>300802</v>
      </c>
      <c r="B312" s="919" t="s">
        <v>444</v>
      </c>
      <c r="C312" s="1363">
        <f>IF('TAR_Tab 2_Volumina'!M315,1,0)</f>
        <v>1</v>
      </c>
      <c r="D312" s="1527">
        <v>17726.04489529389</v>
      </c>
      <c r="E312" s="1528">
        <f t="shared" si="46"/>
        <v>16903.556412152255</v>
      </c>
      <c r="F312" s="1528">
        <f t="shared" si="47"/>
        <v>17861.01390568259</v>
      </c>
      <c r="G312" s="1531"/>
      <c r="H312" s="1528">
        <f t="shared" si="48"/>
        <v>16967.963210398459</v>
      </c>
      <c r="I312" s="1528">
        <f t="shared" si="49"/>
        <v>18754.064600966722</v>
      </c>
      <c r="J312" s="1532">
        <f t="shared" si="51"/>
        <v>17861.01390568259</v>
      </c>
      <c r="K312" s="1369" t="b">
        <f t="shared" si="52"/>
        <v>1</v>
      </c>
      <c r="L312" s="1558"/>
      <c r="M312" s="1364"/>
      <c r="N312" s="1371">
        <f t="shared" ref="N312:N355" si="54">IF(J312&gt;0,J312,F312)</f>
        <v>17861.01390568259</v>
      </c>
      <c r="O312" s="1372"/>
      <c r="P312" s="1371">
        <f t="shared" si="53"/>
        <v>56.167947152971543</v>
      </c>
      <c r="Q312" s="1371">
        <f t="shared" si="53"/>
        <v>44.520984859919338</v>
      </c>
      <c r="R312" s="1371">
        <f t="shared" si="53"/>
        <v>123.12413435904286</v>
      </c>
      <c r="S312" s="1371">
        <f t="shared" si="53"/>
        <v>0</v>
      </c>
      <c r="T312" s="1371">
        <f t="shared" si="53"/>
        <v>1155.1357038717852</v>
      </c>
      <c r="U312" s="1371">
        <f t="shared" si="50"/>
        <v>19239.962675926312</v>
      </c>
      <c r="V312" s="1373">
        <f t="shared" ref="V312:V355" si="55">ROUND(U312,2)</f>
        <v>19239.96</v>
      </c>
      <c r="W312" s="960"/>
    </row>
    <row r="313" spans="1:23">
      <c r="A313" s="918">
        <v>300803</v>
      </c>
      <c r="B313" s="919" t="s">
        <v>445</v>
      </c>
      <c r="C313" s="1363">
        <f>IF('TAR_Tab 2_Volumina'!M316,1,0)</f>
        <v>0</v>
      </c>
      <c r="D313" s="1527">
        <v>0</v>
      </c>
      <c r="E313" s="1528">
        <f t="shared" si="46"/>
        <v>0</v>
      </c>
      <c r="F313" s="1528">
        <f t="shared" si="47"/>
        <v>0</v>
      </c>
      <c r="G313" s="1531"/>
      <c r="H313" s="1528">
        <f t="shared" si="48"/>
        <v>0</v>
      </c>
      <c r="I313" s="1528">
        <f t="shared" si="49"/>
        <v>0</v>
      </c>
      <c r="J313" s="1532">
        <f t="shared" si="51"/>
        <v>0</v>
      </c>
      <c r="K313" s="1369" t="str">
        <f t="shared" si="52"/>
        <v/>
      </c>
      <c r="L313" s="1558"/>
      <c r="M313" s="1364"/>
      <c r="N313" s="1371">
        <f t="shared" si="54"/>
        <v>0</v>
      </c>
      <c r="O313" s="1372"/>
      <c r="P313" s="1371">
        <f t="shared" si="53"/>
        <v>0</v>
      </c>
      <c r="Q313" s="1371">
        <f t="shared" si="53"/>
        <v>0</v>
      </c>
      <c r="R313" s="1371">
        <f t="shared" si="53"/>
        <v>0</v>
      </c>
      <c r="S313" s="1371">
        <f t="shared" si="53"/>
        <v>0</v>
      </c>
      <c r="T313" s="1371">
        <f t="shared" si="53"/>
        <v>0</v>
      </c>
      <c r="U313" s="1371">
        <f t="shared" si="50"/>
        <v>0</v>
      </c>
      <c r="V313" s="1373">
        <f t="shared" si="55"/>
        <v>0</v>
      </c>
      <c r="W313" s="960"/>
    </row>
    <row r="314" spans="1:23">
      <c r="A314" s="918">
        <v>300804</v>
      </c>
      <c r="B314" s="919" t="s">
        <v>446</v>
      </c>
      <c r="C314" s="1363">
        <f>IF('TAR_Tab 2_Volumina'!M317,1,0)</f>
        <v>0</v>
      </c>
      <c r="D314" s="1527">
        <v>0</v>
      </c>
      <c r="E314" s="1528">
        <f t="shared" si="46"/>
        <v>0</v>
      </c>
      <c r="F314" s="1528">
        <f t="shared" si="47"/>
        <v>0</v>
      </c>
      <c r="G314" s="1531"/>
      <c r="H314" s="1528">
        <f t="shared" si="48"/>
        <v>0</v>
      </c>
      <c r="I314" s="1528">
        <f t="shared" si="49"/>
        <v>0</v>
      </c>
      <c r="J314" s="1532">
        <f t="shared" si="51"/>
        <v>0</v>
      </c>
      <c r="K314" s="1369" t="str">
        <f t="shared" si="52"/>
        <v/>
      </c>
      <c r="L314" s="1558"/>
      <c r="M314" s="1364"/>
      <c r="N314" s="1371">
        <f t="shared" si="54"/>
        <v>0</v>
      </c>
      <c r="O314" s="1372"/>
      <c r="P314" s="1371">
        <f t="shared" si="53"/>
        <v>0</v>
      </c>
      <c r="Q314" s="1371">
        <f t="shared" si="53"/>
        <v>0</v>
      </c>
      <c r="R314" s="1371">
        <f t="shared" si="53"/>
        <v>0</v>
      </c>
      <c r="S314" s="1371">
        <f t="shared" si="53"/>
        <v>0</v>
      </c>
      <c r="T314" s="1371">
        <f t="shared" si="53"/>
        <v>0</v>
      </c>
      <c r="U314" s="1371">
        <f t="shared" si="50"/>
        <v>0</v>
      </c>
      <c r="V314" s="1373">
        <f t="shared" si="55"/>
        <v>0</v>
      </c>
      <c r="W314" s="960"/>
    </row>
    <row r="315" spans="1:23">
      <c r="A315" s="918">
        <v>300807</v>
      </c>
      <c r="B315" s="919" t="s">
        <v>447</v>
      </c>
      <c r="C315" s="1363">
        <f>IF('TAR_Tab 2_Volumina'!M318,1,0)</f>
        <v>0</v>
      </c>
      <c r="D315" s="1527">
        <v>0</v>
      </c>
      <c r="E315" s="1528">
        <f t="shared" si="46"/>
        <v>0</v>
      </c>
      <c r="F315" s="1528">
        <f t="shared" si="47"/>
        <v>0</v>
      </c>
      <c r="G315" s="1531"/>
      <c r="H315" s="1528">
        <f t="shared" si="48"/>
        <v>0</v>
      </c>
      <c r="I315" s="1528">
        <f t="shared" si="49"/>
        <v>0</v>
      </c>
      <c r="J315" s="1532">
        <f t="shared" si="51"/>
        <v>0</v>
      </c>
      <c r="K315" s="1369" t="str">
        <f t="shared" si="52"/>
        <v/>
      </c>
      <c r="L315" s="1558"/>
      <c r="M315" s="1364"/>
      <c r="N315" s="1371">
        <f t="shared" si="54"/>
        <v>0</v>
      </c>
      <c r="O315" s="1372"/>
      <c r="P315" s="1371">
        <f t="shared" si="53"/>
        <v>0</v>
      </c>
      <c r="Q315" s="1371">
        <f t="shared" si="53"/>
        <v>0</v>
      </c>
      <c r="R315" s="1371">
        <f t="shared" si="53"/>
        <v>0</v>
      </c>
      <c r="S315" s="1371">
        <f t="shared" si="53"/>
        <v>0</v>
      </c>
      <c r="T315" s="1371">
        <f t="shared" si="53"/>
        <v>0</v>
      </c>
      <c r="U315" s="1371">
        <f t="shared" si="50"/>
        <v>0</v>
      </c>
      <c r="V315" s="1373">
        <f t="shared" si="55"/>
        <v>0</v>
      </c>
      <c r="W315" s="960"/>
    </row>
    <row r="316" spans="1:23">
      <c r="A316" s="918">
        <v>300808</v>
      </c>
      <c r="B316" s="919" t="s">
        <v>448</v>
      </c>
      <c r="C316" s="1363">
        <f>IF('TAR_Tab 2_Volumina'!M319,1,0)</f>
        <v>0</v>
      </c>
      <c r="D316" s="1527">
        <v>0</v>
      </c>
      <c r="E316" s="1528">
        <f t="shared" si="46"/>
        <v>0</v>
      </c>
      <c r="F316" s="1528">
        <f t="shared" si="47"/>
        <v>0</v>
      </c>
      <c r="G316" s="1531"/>
      <c r="H316" s="1528">
        <f t="shared" si="48"/>
        <v>0</v>
      </c>
      <c r="I316" s="1528">
        <f t="shared" si="49"/>
        <v>0</v>
      </c>
      <c r="J316" s="1532">
        <f t="shared" si="51"/>
        <v>0</v>
      </c>
      <c r="K316" s="1369" t="str">
        <f t="shared" si="52"/>
        <v/>
      </c>
      <c r="L316" s="1558"/>
      <c r="M316" s="1364"/>
      <c r="N316" s="1371">
        <f t="shared" si="54"/>
        <v>0</v>
      </c>
      <c r="O316" s="1372"/>
      <c r="P316" s="1371">
        <f t="shared" si="53"/>
        <v>0</v>
      </c>
      <c r="Q316" s="1371">
        <f t="shared" si="53"/>
        <v>0</v>
      </c>
      <c r="R316" s="1371">
        <f t="shared" si="53"/>
        <v>0</v>
      </c>
      <c r="S316" s="1371">
        <f t="shared" si="53"/>
        <v>0</v>
      </c>
      <c r="T316" s="1371">
        <f t="shared" si="53"/>
        <v>0</v>
      </c>
      <c r="U316" s="1371">
        <f t="shared" si="50"/>
        <v>0</v>
      </c>
      <c r="V316" s="1373">
        <f t="shared" si="55"/>
        <v>0</v>
      </c>
      <c r="W316" s="960"/>
    </row>
    <row r="317" spans="1:23">
      <c r="A317" s="918">
        <v>300809</v>
      </c>
      <c r="B317" s="919" t="s">
        <v>449</v>
      </c>
      <c r="C317" s="1363">
        <f>IF('TAR_Tab 2_Volumina'!M320,1,0)</f>
        <v>1</v>
      </c>
      <c r="D317" s="1527">
        <v>17726.04489529389</v>
      </c>
      <c r="E317" s="1528">
        <f t="shared" si="46"/>
        <v>16903.556412152255</v>
      </c>
      <c r="F317" s="1528">
        <f t="shared" si="47"/>
        <v>17861.01390568259</v>
      </c>
      <c r="G317" s="1531"/>
      <c r="H317" s="1528">
        <f t="shared" si="48"/>
        <v>16967.963210398459</v>
      </c>
      <c r="I317" s="1528">
        <f t="shared" si="49"/>
        <v>18754.064600966722</v>
      </c>
      <c r="J317" s="1532">
        <f t="shared" si="51"/>
        <v>17861.01390568259</v>
      </c>
      <c r="K317" s="1369" t="b">
        <f t="shared" si="52"/>
        <v>1</v>
      </c>
      <c r="L317" s="1558"/>
      <c r="M317" s="1364"/>
      <c r="N317" s="1371">
        <f t="shared" si="54"/>
        <v>17861.01390568259</v>
      </c>
      <c r="O317" s="1372"/>
      <c r="P317" s="1371">
        <f t="shared" si="53"/>
        <v>56.167947152971543</v>
      </c>
      <c r="Q317" s="1371">
        <f t="shared" si="53"/>
        <v>44.520984859919338</v>
      </c>
      <c r="R317" s="1371">
        <f t="shared" si="53"/>
        <v>123.12413435904286</v>
      </c>
      <c r="S317" s="1371">
        <f t="shared" si="53"/>
        <v>0</v>
      </c>
      <c r="T317" s="1371">
        <f t="shared" si="53"/>
        <v>1155.1357038717852</v>
      </c>
      <c r="U317" s="1371">
        <f t="shared" si="50"/>
        <v>19239.962675926312</v>
      </c>
      <c r="V317" s="1373">
        <f t="shared" si="55"/>
        <v>19239.96</v>
      </c>
      <c r="W317" s="960"/>
    </row>
    <row r="318" spans="1:23">
      <c r="A318" s="918">
        <v>300812</v>
      </c>
      <c r="B318" s="919" t="s">
        <v>450</v>
      </c>
      <c r="C318" s="1363">
        <f>IF('TAR_Tab 2_Volumina'!M321,1,0)</f>
        <v>1</v>
      </c>
      <c r="D318" s="1527">
        <v>17726.04489529389</v>
      </c>
      <c r="E318" s="1528">
        <f t="shared" si="46"/>
        <v>16903.556412152255</v>
      </c>
      <c r="F318" s="1528">
        <f t="shared" si="47"/>
        <v>17861.01390568259</v>
      </c>
      <c r="G318" s="1531"/>
      <c r="H318" s="1528">
        <f t="shared" si="48"/>
        <v>16967.963210398459</v>
      </c>
      <c r="I318" s="1528">
        <f t="shared" si="49"/>
        <v>18754.064600966722</v>
      </c>
      <c r="J318" s="1532">
        <f t="shared" si="51"/>
        <v>17861.01390568259</v>
      </c>
      <c r="K318" s="1369" t="b">
        <f t="shared" si="52"/>
        <v>1</v>
      </c>
      <c r="L318" s="1558"/>
      <c r="M318" s="1364"/>
      <c r="N318" s="1371">
        <f t="shared" si="54"/>
        <v>17861.01390568259</v>
      </c>
      <c r="O318" s="1372"/>
      <c r="P318" s="1371">
        <f t="shared" si="53"/>
        <v>56.167947152971543</v>
      </c>
      <c r="Q318" s="1371">
        <f t="shared" si="53"/>
        <v>44.520984859919338</v>
      </c>
      <c r="R318" s="1371">
        <f t="shared" si="53"/>
        <v>123.12413435904286</v>
      </c>
      <c r="S318" s="1371">
        <f t="shared" si="53"/>
        <v>0</v>
      </c>
      <c r="T318" s="1371">
        <f t="shared" si="53"/>
        <v>1155.1357038717852</v>
      </c>
      <c r="U318" s="1371">
        <f t="shared" si="50"/>
        <v>19239.962675926312</v>
      </c>
      <c r="V318" s="1373">
        <f t="shared" si="55"/>
        <v>19239.96</v>
      </c>
      <c r="W318" s="960"/>
    </row>
    <row r="319" spans="1:23">
      <c r="A319" s="918">
        <v>300813</v>
      </c>
      <c r="B319" s="919" t="s">
        <v>451</v>
      </c>
      <c r="C319" s="1363">
        <f>IF('TAR_Tab 2_Volumina'!M322,1,0)</f>
        <v>1</v>
      </c>
      <c r="D319" s="1527">
        <v>17726.04489529389</v>
      </c>
      <c r="E319" s="1528">
        <f t="shared" si="46"/>
        <v>16903.556412152255</v>
      </c>
      <c r="F319" s="1528">
        <f t="shared" si="47"/>
        <v>17861.01390568259</v>
      </c>
      <c r="G319" s="1531"/>
      <c r="H319" s="1528">
        <f t="shared" si="48"/>
        <v>16967.963210398459</v>
      </c>
      <c r="I319" s="1528">
        <f t="shared" si="49"/>
        <v>18754.064600966722</v>
      </c>
      <c r="J319" s="1532">
        <f t="shared" si="51"/>
        <v>17861.01390568259</v>
      </c>
      <c r="K319" s="1369" t="b">
        <f t="shared" si="52"/>
        <v>1</v>
      </c>
      <c r="L319" s="1558"/>
      <c r="M319" s="1364"/>
      <c r="N319" s="1371">
        <f t="shared" si="54"/>
        <v>17861.01390568259</v>
      </c>
      <c r="O319" s="1372"/>
      <c r="P319" s="1371">
        <f t="shared" si="53"/>
        <v>56.167947152971543</v>
      </c>
      <c r="Q319" s="1371">
        <f t="shared" si="53"/>
        <v>44.520984859919338</v>
      </c>
      <c r="R319" s="1371">
        <f t="shared" si="53"/>
        <v>123.12413435904286</v>
      </c>
      <c r="S319" s="1371">
        <f t="shared" si="53"/>
        <v>0</v>
      </c>
      <c r="T319" s="1371">
        <f t="shared" si="53"/>
        <v>1155.1357038717852</v>
      </c>
      <c r="U319" s="1371">
        <f t="shared" si="50"/>
        <v>19239.962675926312</v>
      </c>
      <c r="V319" s="1373">
        <f t="shared" si="55"/>
        <v>19239.96</v>
      </c>
      <c r="W319" s="960"/>
    </row>
    <row r="320" spans="1:23">
      <c r="A320" s="918">
        <v>300814</v>
      </c>
      <c r="B320" s="919" t="s">
        <v>333</v>
      </c>
      <c r="C320" s="1363">
        <f>IF('TAR_Tab 2_Volumina'!M323,1,0)</f>
        <v>0</v>
      </c>
      <c r="D320" s="1527">
        <v>0</v>
      </c>
      <c r="E320" s="1528">
        <f t="shared" si="46"/>
        <v>0</v>
      </c>
      <c r="F320" s="1528">
        <f t="shared" si="47"/>
        <v>0</v>
      </c>
      <c r="G320" s="1531"/>
      <c r="H320" s="1528">
        <f t="shared" si="48"/>
        <v>0</v>
      </c>
      <c r="I320" s="1528">
        <f t="shared" si="49"/>
        <v>0</v>
      </c>
      <c r="J320" s="1532">
        <f t="shared" si="51"/>
        <v>0</v>
      </c>
      <c r="K320" s="1369" t="str">
        <f t="shared" si="52"/>
        <v/>
      </c>
      <c r="L320" s="1558"/>
      <c r="M320" s="1364"/>
      <c r="N320" s="1371">
        <f t="shared" si="54"/>
        <v>0</v>
      </c>
      <c r="O320" s="1372"/>
      <c r="P320" s="1371">
        <f t="shared" si="53"/>
        <v>0</v>
      </c>
      <c r="Q320" s="1371">
        <f t="shared" si="53"/>
        <v>0</v>
      </c>
      <c r="R320" s="1371">
        <f t="shared" si="53"/>
        <v>0</v>
      </c>
      <c r="S320" s="1371">
        <f t="shared" si="53"/>
        <v>0</v>
      </c>
      <c r="T320" s="1371">
        <f t="shared" si="53"/>
        <v>0</v>
      </c>
      <c r="U320" s="1371">
        <f t="shared" si="50"/>
        <v>0</v>
      </c>
      <c r="V320" s="1373">
        <f t="shared" si="55"/>
        <v>0</v>
      </c>
      <c r="W320" s="960"/>
    </row>
    <row r="321" spans="1:23">
      <c r="A321" s="918">
        <v>300816</v>
      </c>
      <c r="B321" s="919" t="s">
        <v>452</v>
      </c>
      <c r="C321" s="1363">
        <f>IF('TAR_Tab 2_Volumina'!M324,1,0)</f>
        <v>0</v>
      </c>
      <c r="D321" s="1527">
        <v>0</v>
      </c>
      <c r="E321" s="1528">
        <f t="shared" si="46"/>
        <v>0</v>
      </c>
      <c r="F321" s="1528">
        <f t="shared" si="47"/>
        <v>0</v>
      </c>
      <c r="G321" s="1531"/>
      <c r="H321" s="1528">
        <f t="shared" si="48"/>
        <v>0</v>
      </c>
      <c r="I321" s="1528">
        <f t="shared" si="49"/>
        <v>0</v>
      </c>
      <c r="J321" s="1532">
        <f t="shared" si="51"/>
        <v>0</v>
      </c>
      <c r="K321" s="1369" t="str">
        <f t="shared" si="52"/>
        <v/>
      </c>
      <c r="L321" s="1558"/>
      <c r="M321" s="1364"/>
      <c r="N321" s="1371">
        <f t="shared" si="54"/>
        <v>0</v>
      </c>
      <c r="O321" s="1372"/>
      <c r="P321" s="1371">
        <f t="shared" si="53"/>
        <v>0</v>
      </c>
      <c r="Q321" s="1371">
        <f t="shared" si="53"/>
        <v>0</v>
      </c>
      <c r="R321" s="1371">
        <f t="shared" si="53"/>
        <v>0</v>
      </c>
      <c r="S321" s="1371">
        <f t="shared" si="53"/>
        <v>0</v>
      </c>
      <c r="T321" s="1371">
        <f t="shared" si="53"/>
        <v>0</v>
      </c>
      <c r="U321" s="1371">
        <f t="shared" si="50"/>
        <v>0</v>
      </c>
      <c r="V321" s="1373">
        <f t="shared" si="55"/>
        <v>0</v>
      </c>
      <c r="W321" s="960"/>
    </row>
    <row r="322" spans="1:23">
      <c r="A322" s="918">
        <v>300822</v>
      </c>
      <c r="B322" s="919" t="s">
        <v>334</v>
      </c>
      <c r="C322" s="1363">
        <f>IF('TAR_Tab 2_Volumina'!M325,1,0)</f>
        <v>1</v>
      </c>
      <c r="D322" s="1529">
        <v>35452.089790587779</v>
      </c>
      <c r="E322" s="1528">
        <f t="shared" si="46"/>
        <v>33807.11282430451</v>
      </c>
      <c r="F322" s="1528">
        <f t="shared" si="47"/>
        <v>35722.02781136518</v>
      </c>
      <c r="G322" s="1531"/>
      <c r="H322" s="1528">
        <f t="shared" si="48"/>
        <v>33935.926420796917</v>
      </c>
      <c r="I322" s="1528">
        <f t="shared" si="49"/>
        <v>37508.129201933443</v>
      </c>
      <c r="J322" s="1532">
        <f t="shared" si="51"/>
        <v>35722.02781136518</v>
      </c>
      <c r="K322" s="1369" t="b">
        <f t="shared" si="52"/>
        <v>1</v>
      </c>
      <c r="L322" s="1558"/>
      <c r="M322" s="1364"/>
      <c r="N322" s="1371">
        <f t="shared" si="54"/>
        <v>35722.02781136518</v>
      </c>
      <c r="O322" s="1372"/>
      <c r="P322" s="1371">
        <f t="shared" si="53"/>
        <v>112.33589430594309</v>
      </c>
      <c r="Q322" s="1371">
        <f t="shared" si="53"/>
        <v>89.041969719838676</v>
      </c>
      <c r="R322" s="1371">
        <f t="shared" si="53"/>
        <v>246.24826871808571</v>
      </c>
      <c r="S322" s="1371">
        <f t="shared" si="53"/>
        <v>0</v>
      </c>
      <c r="T322" s="1371">
        <f t="shared" si="53"/>
        <v>2310.2714077435703</v>
      </c>
      <c r="U322" s="1371">
        <f t="shared" si="50"/>
        <v>38479.925351852624</v>
      </c>
      <c r="V322" s="1373">
        <f t="shared" si="55"/>
        <v>38479.93</v>
      </c>
      <c r="W322" s="960"/>
    </row>
    <row r="323" spans="1:23">
      <c r="A323" s="918">
        <v>300823</v>
      </c>
      <c r="B323" s="919" t="s">
        <v>453</v>
      </c>
      <c r="C323" s="1363">
        <f>IF('TAR_Tab 2_Volumina'!M326,1,0)</f>
        <v>1</v>
      </c>
      <c r="D323" s="1527">
        <v>17726.04489529389</v>
      </c>
      <c r="E323" s="1528">
        <f t="shared" si="46"/>
        <v>16903.556412152255</v>
      </c>
      <c r="F323" s="1528">
        <f t="shared" si="47"/>
        <v>17861.01390568259</v>
      </c>
      <c r="G323" s="1531"/>
      <c r="H323" s="1528">
        <f t="shared" si="48"/>
        <v>16967.963210398459</v>
      </c>
      <c r="I323" s="1528">
        <f t="shared" si="49"/>
        <v>18754.064600966722</v>
      </c>
      <c r="J323" s="1532">
        <f t="shared" si="51"/>
        <v>17861.01390568259</v>
      </c>
      <c r="K323" s="1369" t="b">
        <f t="shared" si="52"/>
        <v>1</v>
      </c>
      <c r="L323" s="1558"/>
      <c r="M323" s="1364"/>
      <c r="N323" s="1371">
        <f t="shared" si="54"/>
        <v>17861.01390568259</v>
      </c>
      <c r="O323" s="1372"/>
      <c r="P323" s="1371">
        <f t="shared" si="53"/>
        <v>56.167947152971543</v>
      </c>
      <c r="Q323" s="1371">
        <f t="shared" si="53"/>
        <v>44.520984859919338</v>
      </c>
      <c r="R323" s="1371">
        <f t="shared" si="53"/>
        <v>123.12413435904286</v>
      </c>
      <c r="S323" s="1371">
        <f t="shared" si="53"/>
        <v>0</v>
      </c>
      <c r="T323" s="1371">
        <f t="shared" si="53"/>
        <v>1155.1357038717852</v>
      </c>
      <c r="U323" s="1371">
        <f t="shared" si="50"/>
        <v>19239.962675926312</v>
      </c>
      <c r="V323" s="1373">
        <f t="shared" si="55"/>
        <v>19239.96</v>
      </c>
      <c r="W323" s="960"/>
    </row>
    <row r="324" spans="1:23">
      <c r="A324" s="918">
        <v>300825</v>
      </c>
      <c r="B324" s="919" t="s">
        <v>454</v>
      </c>
      <c r="C324" s="1363">
        <f>IF('TAR_Tab 2_Volumina'!M327,1,0)</f>
        <v>0</v>
      </c>
      <c r="D324" s="1527">
        <v>0</v>
      </c>
      <c r="E324" s="1528">
        <f t="shared" si="46"/>
        <v>0</v>
      </c>
      <c r="F324" s="1528">
        <f t="shared" si="47"/>
        <v>0</v>
      </c>
      <c r="G324" s="1531"/>
      <c r="H324" s="1528">
        <f t="shared" si="48"/>
        <v>0</v>
      </c>
      <c r="I324" s="1528">
        <f t="shared" si="49"/>
        <v>0</v>
      </c>
      <c r="J324" s="1532">
        <f t="shared" si="51"/>
        <v>0</v>
      </c>
      <c r="K324" s="1369" t="str">
        <f t="shared" si="52"/>
        <v/>
      </c>
      <c r="L324" s="1558"/>
      <c r="M324" s="1364"/>
      <c r="N324" s="1371">
        <f t="shared" si="54"/>
        <v>0</v>
      </c>
      <c r="O324" s="1372"/>
      <c r="P324" s="1371">
        <f t="shared" si="53"/>
        <v>0</v>
      </c>
      <c r="Q324" s="1371">
        <f t="shared" si="53"/>
        <v>0</v>
      </c>
      <c r="R324" s="1371">
        <f t="shared" si="53"/>
        <v>0</v>
      </c>
      <c r="S324" s="1371">
        <f t="shared" si="53"/>
        <v>0</v>
      </c>
      <c r="T324" s="1371">
        <f t="shared" si="53"/>
        <v>0</v>
      </c>
      <c r="U324" s="1371">
        <f t="shared" si="50"/>
        <v>0</v>
      </c>
      <c r="V324" s="1373">
        <f t="shared" si="55"/>
        <v>0</v>
      </c>
      <c r="W324" s="960"/>
    </row>
    <row r="325" spans="1:23">
      <c r="A325" s="918">
        <v>300826</v>
      </c>
      <c r="B325" s="919" t="s">
        <v>455</v>
      </c>
      <c r="C325" s="1363">
        <f>IF('TAR_Tab 2_Volumina'!M328,1,0)</f>
        <v>0</v>
      </c>
      <c r="D325" s="1527">
        <v>0</v>
      </c>
      <c r="E325" s="1528">
        <f t="shared" si="46"/>
        <v>0</v>
      </c>
      <c r="F325" s="1528">
        <f t="shared" si="47"/>
        <v>0</v>
      </c>
      <c r="G325" s="1531"/>
      <c r="H325" s="1528">
        <f t="shared" si="48"/>
        <v>0</v>
      </c>
      <c r="I325" s="1528">
        <f t="shared" si="49"/>
        <v>0</v>
      </c>
      <c r="J325" s="1532">
        <f t="shared" si="51"/>
        <v>0</v>
      </c>
      <c r="K325" s="1369" t="str">
        <f t="shared" si="52"/>
        <v/>
      </c>
      <c r="L325" s="1558"/>
      <c r="M325" s="1364"/>
      <c r="N325" s="1371">
        <f t="shared" si="54"/>
        <v>0</v>
      </c>
      <c r="O325" s="1372"/>
      <c r="P325" s="1371">
        <f t="shared" si="53"/>
        <v>0</v>
      </c>
      <c r="Q325" s="1371">
        <f t="shared" si="53"/>
        <v>0</v>
      </c>
      <c r="R325" s="1371">
        <f t="shared" si="53"/>
        <v>0</v>
      </c>
      <c r="S325" s="1371">
        <f t="shared" si="53"/>
        <v>0</v>
      </c>
      <c r="T325" s="1371">
        <f t="shared" si="53"/>
        <v>0</v>
      </c>
      <c r="U325" s="1371">
        <f t="shared" si="50"/>
        <v>0</v>
      </c>
      <c r="V325" s="1373">
        <f t="shared" si="55"/>
        <v>0</v>
      </c>
      <c r="W325" s="960"/>
    </row>
    <row r="326" spans="1:23">
      <c r="A326" s="918">
        <v>300827</v>
      </c>
      <c r="B326" s="919" t="s">
        <v>335</v>
      </c>
      <c r="C326" s="1363">
        <f>IF('TAR_Tab 2_Volumina'!M329,1,0)</f>
        <v>0</v>
      </c>
      <c r="D326" s="1527">
        <v>0</v>
      </c>
      <c r="E326" s="1528">
        <f t="shared" si="46"/>
        <v>0</v>
      </c>
      <c r="F326" s="1528">
        <f t="shared" si="47"/>
        <v>0</v>
      </c>
      <c r="G326" s="1531"/>
      <c r="H326" s="1528">
        <f t="shared" si="48"/>
        <v>0</v>
      </c>
      <c r="I326" s="1528">
        <f t="shared" si="49"/>
        <v>0</v>
      </c>
      <c r="J326" s="1532">
        <f t="shared" si="51"/>
        <v>0</v>
      </c>
      <c r="K326" s="1369" t="str">
        <f t="shared" si="52"/>
        <v/>
      </c>
      <c r="L326" s="1558"/>
      <c r="M326" s="1364"/>
      <c r="N326" s="1371">
        <f t="shared" si="54"/>
        <v>0</v>
      </c>
      <c r="O326" s="1372"/>
      <c r="P326" s="1371">
        <f t="shared" si="53"/>
        <v>0</v>
      </c>
      <c r="Q326" s="1371">
        <f t="shared" si="53"/>
        <v>0</v>
      </c>
      <c r="R326" s="1371">
        <f t="shared" si="53"/>
        <v>0</v>
      </c>
      <c r="S326" s="1371">
        <f t="shared" si="53"/>
        <v>0</v>
      </c>
      <c r="T326" s="1371">
        <f t="shared" si="53"/>
        <v>0</v>
      </c>
      <c r="U326" s="1371">
        <f t="shared" si="50"/>
        <v>0</v>
      </c>
      <c r="V326" s="1373">
        <f t="shared" si="55"/>
        <v>0</v>
      </c>
      <c r="W326" s="960"/>
    </row>
    <row r="327" spans="1:23">
      <c r="A327" s="918">
        <v>300829</v>
      </c>
      <c r="B327" s="919" t="s">
        <v>456</v>
      </c>
      <c r="C327" s="1363">
        <f>IF('TAR_Tab 2_Volumina'!M330,1,0)</f>
        <v>0</v>
      </c>
      <c r="D327" s="1527">
        <v>0</v>
      </c>
      <c r="E327" s="1528">
        <f t="shared" si="46"/>
        <v>0</v>
      </c>
      <c r="F327" s="1528">
        <f t="shared" si="47"/>
        <v>0</v>
      </c>
      <c r="G327" s="1531"/>
      <c r="H327" s="1528">
        <f t="shared" si="48"/>
        <v>0</v>
      </c>
      <c r="I327" s="1528">
        <f t="shared" si="49"/>
        <v>0</v>
      </c>
      <c r="J327" s="1532">
        <f t="shared" si="51"/>
        <v>0</v>
      </c>
      <c r="K327" s="1369" t="str">
        <f t="shared" si="52"/>
        <v/>
      </c>
      <c r="L327" s="1558"/>
      <c r="M327" s="1364"/>
      <c r="N327" s="1371">
        <f t="shared" si="54"/>
        <v>0</v>
      </c>
      <c r="O327" s="1372"/>
      <c r="P327" s="1371">
        <f t="shared" si="53"/>
        <v>0</v>
      </c>
      <c r="Q327" s="1371">
        <f t="shared" si="53"/>
        <v>0</v>
      </c>
      <c r="R327" s="1371">
        <f t="shared" si="53"/>
        <v>0</v>
      </c>
      <c r="S327" s="1371">
        <f t="shared" si="53"/>
        <v>0</v>
      </c>
      <c r="T327" s="1371">
        <f t="shared" si="53"/>
        <v>0</v>
      </c>
      <c r="U327" s="1371">
        <f t="shared" si="50"/>
        <v>0</v>
      </c>
      <c r="V327" s="1373">
        <f t="shared" si="55"/>
        <v>0</v>
      </c>
      <c r="W327" s="960"/>
    </row>
    <row r="328" spans="1:23">
      <c r="A328" s="918">
        <v>300830</v>
      </c>
      <c r="B328" s="919" t="s">
        <v>457</v>
      </c>
      <c r="C328" s="1363">
        <f>IF('TAR_Tab 2_Volumina'!M331,1,0)</f>
        <v>0</v>
      </c>
      <c r="D328" s="1527">
        <v>0</v>
      </c>
      <c r="E328" s="1528">
        <f t="shared" si="46"/>
        <v>0</v>
      </c>
      <c r="F328" s="1528">
        <f t="shared" si="47"/>
        <v>0</v>
      </c>
      <c r="G328" s="1531"/>
      <c r="H328" s="1528">
        <f t="shared" si="48"/>
        <v>0</v>
      </c>
      <c r="I328" s="1528">
        <f t="shared" si="49"/>
        <v>0</v>
      </c>
      <c r="J328" s="1532">
        <f t="shared" si="51"/>
        <v>0</v>
      </c>
      <c r="K328" s="1369" t="str">
        <f t="shared" si="52"/>
        <v/>
      </c>
      <c r="L328" s="1558"/>
      <c r="M328" s="1364"/>
      <c r="N328" s="1371">
        <f t="shared" si="54"/>
        <v>0</v>
      </c>
      <c r="O328" s="1372"/>
      <c r="P328" s="1371">
        <f t="shared" ref="P328:T378" si="56">P$7*$N328</f>
        <v>0</v>
      </c>
      <c r="Q328" s="1371">
        <f t="shared" si="56"/>
        <v>0</v>
      </c>
      <c r="R328" s="1371">
        <f t="shared" si="56"/>
        <v>0</v>
      </c>
      <c r="S328" s="1371">
        <f t="shared" si="56"/>
        <v>0</v>
      </c>
      <c r="T328" s="1371">
        <f t="shared" si="56"/>
        <v>0</v>
      </c>
      <c r="U328" s="1371">
        <f t="shared" si="50"/>
        <v>0</v>
      </c>
      <c r="V328" s="1373">
        <f t="shared" si="55"/>
        <v>0</v>
      </c>
      <c r="W328" s="960"/>
    </row>
    <row r="329" spans="1:23">
      <c r="A329" s="918">
        <v>300840</v>
      </c>
      <c r="B329" s="919" t="s">
        <v>792</v>
      </c>
      <c r="C329" s="1363">
        <f>IF('TAR_Tab 2_Volumina'!M332,1,0)</f>
        <v>0</v>
      </c>
      <c r="D329" s="1527">
        <v>0</v>
      </c>
      <c r="E329" s="1528">
        <f t="shared" ref="E329:E392" si="57">D329*$E$7*C329</f>
        <v>0</v>
      </c>
      <c r="F329" s="1528">
        <f t="shared" ref="F329:F392" si="58">E329*$F$7</f>
        <v>0</v>
      </c>
      <c r="G329" s="1531"/>
      <c r="H329" s="1528">
        <f t="shared" ref="H329:H392" si="59">F329*$H$7</f>
        <v>0</v>
      </c>
      <c r="I329" s="1528">
        <f t="shared" ref="I329:I392" si="60">F329*$I$7</f>
        <v>0</v>
      </c>
      <c r="J329" s="1532">
        <f t="shared" si="51"/>
        <v>0</v>
      </c>
      <c r="K329" s="1369" t="str">
        <f t="shared" si="52"/>
        <v/>
      </c>
      <c r="L329" s="1558"/>
      <c r="M329" s="1364"/>
      <c r="N329" s="1371">
        <f t="shared" si="54"/>
        <v>0</v>
      </c>
      <c r="O329" s="1372"/>
      <c r="P329" s="1371">
        <f t="shared" si="56"/>
        <v>0</v>
      </c>
      <c r="Q329" s="1371">
        <f t="shared" si="56"/>
        <v>0</v>
      </c>
      <c r="R329" s="1371">
        <f t="shared" si="56"/>
        <v>0</v>
      </c>
      <c r="S329" s="1371">
        <f t="shared" si="56"/>
        <v>0</v>
      </c>
      <c r="T329" s="1371">
        <f t="shared" si="56"/>
        <v>0</v>
      </c>
      <c r="U329" s="1371">
        <f t="shared" ref="U329:U392" si="61">N329+P329+Q329+R329+S329+T329</f>
        <v>0</v>
      </c>
      <c r="V329" s="1373">
        <f t="shared" si="55"/>
        <v>0</v>
      </c>
      <c r="W329" s="960"/>
    </row>
    <row r="330" spans="1:23">
      <c r="A330" s="918">
        <v>300843</v>
      </c>
      <c r="B330" s="919" t="s">
        <v>458</v>
      </c>
      <c r="C330" s="1363">
        <f>IF('TAR_Tab 2_Volumina'!M333,1,0)</f>
        <v>0</v>
      </c>
      <c r="D330" s="1527">
        <v>0</v>
      </c>
      <c r="E330" s="1528">
        <f t="shared" si="57"/>
        <v>0</v>
      </c>
      <c r="F330" s="1528">
        <f t="shared" si="58"/>
        <v>0</v>
      </c>
      <c r="G330" s="1531"/>
      <c r="H330" s="1528">
        <f t="shared" si="59"/>
        <v>0</v>
      </c>
      <c r="I330" s="1528">
        <f t="shared" si="60"/>
        <v>0</v>
      </c>
      <c r="J330" s="1532">
        <f t="shared" ref="J330:J393" si="62">F330</f>
        <v>0</v>
      </c>
      <c r="K330" s="1369" t="str">
        <f t="shared" ref="K330:K393" si="63">IF(J330&gt;0,AND(J330&gt;=H330,J330&lt;=I330),"")</f>
        <v/>
      </c>
      <c r="L330" s="1558"/>
      <c r="M330" s="1364"/>
      <c r="N330" s="1371">
        <f t="shared" si="54"/>
        <v>0</v>
      </c>
      <c r="O330" s="1372"/>
      <c r="P330" s="1371">
        <f t="shared" si="56"/>
        <v>0</v>
      </c>
      <c r="Q330" s="1371">
        <f t="shared" si="56"/>
        <v>0</v>
      </c>
      <c r="R330" s="1371">
        <f t="shared" si="56"/>
        <v>0</v>
      </c>
      <c r="S330" s="1371">
        <f t="shared" si="56"/>
        <v>0</v>
      </c>
      <c r="T330" s="1371">
        <f t="shared" si="56"/>
        <v>0</v>
      </c>
      <c r="U330" s="1371">
        <f t="shared" si="61"/>
        <v>0</v>
      </c>
      <c r="V330" s="1373">
        <f t="shared" si="55"/>
        <v>0</v>
      </c>
      <c r="W330" s="960"/>
    </row>
    <row r="331" spans="1:23">
      <c r="A331" s="918">
        <v>300844</v>
      </c>
      <c r="B331" s="919" t="s">
        <v>459</v>
      </c>
      <c r="C331" s="1363">
        <f>IF('TAR_Tab 2_Volumina'!M334,1,0)</f>
        <v>0</v>
      </c>
      <c r="D331" s="1527">
        <v>0</v>
      </c>
      <c r="E331" s="1528">
        <f t="shared" si="57"/>
        <v>0</v>
      </c>
      <c r="F331" s="1528">
        <f t="shared" si="58"/>
        <v>0</v>
      </c>
      <c r="G331" s="1531"/>
      <c r="H331" s="1528">
        <f t="shared" si="59"/>
        <v>0</v>
      </c>
      <c r="I331" s="1528">
        <f t="shared" si="60"/>
        <v>0</v>
      </c>
      <c r="J331" s="1532">
        <f t="shared" si="62"/>
        <v>0</v>
      </c>
      <c r="K331" s="1369" t="str">
        <f t="shared" si="63"/>
        <v/>
      </c>
      <c r="L331" s="1558"/>
      <c r="M331" s="1364"/>
      <c r="N331" s="1371">
        <f t="shared" si="54"/>
        <v>0</v>
      </c>
      <c r="O331" s="1372"/>
      <c r="P331" s="1371">
        <f t="shared" si="56"/>
        <v>0</v>
      </c>
      <c r="Q331" s="1371">
        <f t="shared" si="56"/>
        <v>0</v>
      </c>
      <c r="R331" s="1371">
        <f t="shared" si="56"/>
        <v>0</v>
      </c>
      <c r="S331" s="1371">
        <f t="shared" si="56"/>
        <v>0</v>
      </c>
      <c r="T331" s="1371">
        <f t="shared" si="56"/>
        <v>0</v>
      </c>
      <c r="U331" s="1371">
        <f t="shared" si="61"/>
        <v>0</v>
      </c>
      <c r="V331" s="1373">
        <f t="shared" si="55"/>
        <v>0</v>
      </c>
      <c r="W331" s="960"/>
    </row>
    <row r="332" spans="1:23">
      <c r="A332" s="918">
        <v>300846</v>
      </c>
      <c r="B332" s="919" t="s">
        <v>460</v>
      </c>
      <c r="C332" s="1363">
        <f>IF('TAR_Tab 2_Volumina'!M335,1,0)</f>
        <v>0</v>
      </c>
      <c r="D332" s="1527">
        <v>0</v>
      </c>
      <c r="E332" s="1528">
        <f t="shared" si="57"/>
        <v>0</v>
      </c>
      <c r="F332" s="1528">
        <f t="shared" si="58"/>
        <v>0</v>
      </c>
      <c r="G332" s="1531"/>
      <c r="H332" s="1528">
        <f t="shared" si="59"/>
        <v>0</v>
      </c>
      <c r="I332" s="1528">
        <f t="shared" si="60"/>
        <v>0</v>
      </c>
      <c r="J332" s="1532">
        <f t="shared" si="62"/>
        <v>0</v>
      </c>
      <c r="K332" s="1369" t="str">
        <f t="shared" si="63"/>
        <v/>
      </c>
      <c r="L332" s="1558"/>
      <c r="M332" s="1364"/>
      <c r="N332" s="1371">
        <f t="shared" si="54"/>
        <v>0</v>
      </c>
      <c r="O332" s="1372"/>
      <c r="P332" s="1371">
        <f t="shared" si="56"/>
        <v>0</v>
      </c>
      <c r="Q332" s="1371">
        <f t="shared" si="56"/>
        <v>0</v>
      </c>
      <c r="R332" s="1371">
        <f t="shared" si="56"/>
        <v>0</v>
      </c>
      <c r="S332" s="1371">
        <f t="shared" si="56"/>
        <v>0</v>
      </c>
      <c r="T332" s="1371">
        <f t="shared" si="56"/>
        <v>0</v>
      </c>
      <c r="U332" s="1371">
        <f t="shared" si="61"/>
        <v>0</v>
      </c>
      <c r="V332" s="1373">
        <f t="shared" si="55"/>
        <v>0</v>
      </c>
      <c r="W332" s="960"/>
    </row>
    <row r="333" spans="1:23">
      <c r="A333" s="918">
        <v>300847</v>
      </c>
      <c r="B333" s="919" t="s">
        <v>461</v>
      </c>
      <c r="C333" s="1363">
        <f>IF('TAR_Tab 2_Volumina'!M336,1,0)</f>
        <v>0</v>
      </c>
      <c r="D333" s="1527">
        <v>0</v>
      </c>
      <c r="E333" s="1528">
        <f t="shared" si="57"/>
        <v>0</v>
      </c>
      <c r="F333" s="1528">
        <f t="shared" si="58"/>
        <v>0</v>
      </c>
      <c r="G333" s="1531"/>
      <c r="H333" s="1528">
        <f t="shared" si="59"/>
        <v>0</v>
      </c>
      <c r="I333" s="1528">
        <f t="shared" si="60"/>
        <v>0</v>
      </c>
      <c r="J333" s="1532">
        <f t="shared" si="62"/>
        <v>0</v>
      </c>
      <c r="K333" s="1369" t="str">
        <f t="shared" si="63"/>
        <v/>
      </c>
      <c r="L333" s="1558"/>
      <c r="M333" s="1364"/>
      <c r="N333" s="1371">
        <f t="shared" si="54"/>
        <v>0</v>
      </c>
      <c r="O333" s="1372"/>
      <c r="P333" s="1371">
        <f t="shared" si="56"/>
        <v>0</v>
      </c>
      <c r="Q333" s="1371">
        <f t="shared" si="56"/>
        <v>0</v>
      </c>
      <c r="R333" s="1371">
        <f t="shared" si="56"/>
        <v>0</v>
      </c>
      <c r="S333" s="1371">
        <f t="shared" si="56"/>
        <v>0</v>
      </c>
      <c r="T333" s="1371">
        <f t="shared" si="56"/>
        <v>0</v>
      </c>
      <c r="U333" s="1371">
        <f t="shared" si="61"/>
        <v>0</v>
      </c>
      <c r="V333" s="1373">
        <f t="shared" si="55"/>
        <v>0</v>
      </c>
      <c r="W333" s="960"/>
    </row>
    <row r="334" spans="1:23">
      <c r="A334" s="918">
        <v>300851</v>
      </c>
      <c r="B334" s="919" t="s">
        <v>463</v>
      </c>
      <c r="C334" s="1363">
        <f>IF('TAR_Tab 2_Volumina'!M337,1,0)</f>
        <v>0</v>
      </c>
      <c r="D334" s="1527">
        <v>0</v>
      </c>
      <c r="E334" s="1528">
        <f t="shared" si="57"/>
        <v>0</v>
      </c>
      <c r="F334" s="1528">
        <f t="shared" si="58"/>
        <v>0</v>
      </c>
      <c r="G334" s="1531"/>
      <c r="H334" s="1528">
        <f t="shared" si="59"/>
        <v>0</v>
      </c>
      <c r="I334" s="1528">
        <f t="shared" si="60"/>
        <v>0</v>
      </c>
      <c r="J334" s="1532">
        <f t="shared" si="62"/>
        <v>0</v>
      </c>
      <c r="K334" s="1369" t="str">
        <f t="shared" si="63"/>
        <v/>
      </c>
      <c r="L334" s="1558"/>
      <c r="M334" s="1364"/>
      <c r="N334" s="1371">
        <f t="shared" si="54"/>
        <v>0</v>
      </c>
      <c r="O334" s="1372"/>
      <c r="P334" s="1371">
        <f t="shared" si="56"/>
        <v>0</v>
      </c>
      <c r="Q334" s="1371">
        <f t="shared" si="56"/>
        <v>0</v>
      </c>
      <c r="R334" s="1371">
        <f t="shared" si="56"/>
        <v>0</v>
      </c>
      <c r="S334" s="1371">
        <f t="shared" si="56"/>
        <v>0</v>
      </c>
      <c r="T334" s="1371">
        <f t="shared" si="56"/>
        <v>0</v>
      </c>
      <c r="U334" s="1371">
        <f t="shared" si="61"/>
        <v>0</v>
      </c>
      <c r="V334" s="1373">
        <f t="shared" si="55"/>
        <v>0</v>
      </c>
      <c r="W334" s="960"/>
    </row>
    <row r="335" spans="1:23">
      <c r="A335" s="918">
        <v>300852</v>
      </c>
      <c r="B335" s="919" t="s">
        <v>464</v>
      </c>
      <c r="C335" s="1363">
        <f>IF('TAR_Tab 2_Volumina'!M338,1,0)</f>
        <v>0</v>
      </c>
      <c r="D335" s="1527">
        <v>0</v>
      </c>
      <c r="E335" s="1528">
        <f t="shared" si="57"/>
        <v>0</v>
      </c>
      <c r="F335" s="1528">
        <f t="shared" si="58"/>
        <v>0</v>
      </c>
      <c r="G335" s="1531"/>
      <c r="H335" s="1528">
        <f t="shared" si="59"/>
        <v>0</v>
      </c>
      <c r="I335" s="1528">
        <f t="shared" si="60"/>
        <v>0</v>
      </c>
      <c r="J335" s="1532">
        <f t="shared" si="62"/>
        <v>0</v>
      </c>
      <c r="K335" s="1369" t="str">
        <f t="shared" si="63"/>
        <v/>
      </c>
      <c r="L335" s="1558"/>
      <c r="M335" s="1364"/>
      <c r="N335" s="1371">
        <f t="shared" si="54"/>
        <v>0</v>
      </c>
      <c r="O335" s="1372"/>
      <c r="P335" s="1371">
        <f t="shared" si="56"/>
        <v>0</v>
      </c>
      <c r="Q335" s="1371">
        <f t="shared" si="56"/>
        <v>0</v>
      </c>
      <c r="R335" s="1371">
        <f t="shared" si="56"/>
        <v>0</v>
      </c>
      <c r="S335" s="1371">
        <f t="shared" si="56"/>
        <v>0</v>
      </c>
      <c r="T335" s="1371">
        <f t="shared" si="56"/>
        <v>0</v>
      </c>
      <c r="U335" s="1371">
        <f t="shared" si="61"/>
        <v>0</v>
      </c>
      <c r="V335" s="1373">
        <f t="shared" si="55"/>
        <v>0</v>
      </c>
      <c r="W335" s="960"/>
    </row>
    <row r="336" spans="1:23">
      <c r="A336" s="918">
        <v>300854</v>
      </c>
      <c r="B336" s="919" t="s">
        <v>465</v>
      </c>
      <c r="C336" s="1363">
        <f>IF('TAR_Tab 2_Volumina'!M339,1,0)</f>
        <v>0</v>
      </c>
      <c r="D336" s="1527">
        <v>0</v>
      </c>
      <c r="E336" s="1528">
        <f t="shared" si="57"/>
        <v>0</v>
      </c>
      <c r="F336" s="1528">
        <f t="shared" si="58"/>
        <v>0</v>
      </c>
      <c r="G336" s="1531"/>
      <c r="H336" s="1528">
        <f t="shared" si="59"/>
        <v>0</v>
      </c>
      <c r="I336" s="1528">
        <f t="shared" si="60"/>
        <v>0</v>
      </c>
      <c r="J336" s="1532">
        <f t="shared" si="62"/>
        <v>0</v>
      </c>
      <c r="K336" s="1369" t="str">
        <f t="shared" si="63"/>
        <v/>
      </c>
      <c r="L336" s="1558"/>
      <c r="M336" s="1364"/>
      <c r="N336" s="1371">
        <f t="shared" si="54"/>
        <v>0</v>
      </c>
      <c r="O336" s="1372"/>
      <c r="P336" s="1371">
        <f t="shared" si="56"/>
        <v>0</v>
      </c>
      <c r="Q336" s="1371">
        <f t="shared" si="56"/>
        <v>0</v>
      </c>
      <c r="R336" s="1371">
        <f t="shared" si="56"/>
        <v>0</v>
      </c>
      <c r="S336" s="1371">
        <f t="shared" si="56"/>
        <v>0</v>
      </c>
      <c r="T336" s="1371">
        <f t="shared" si="56"/>
        <v>0</v>
      </c>
      <c r="U336" s="1371">
        <f t="shared" si="61"/>
        <v>0</v>
      </c>
      <c r="V336" s="1373">
        <f t="shared" si="55"/>
        <v>0</v>
      </c>
      <c r="W336" s="960"/>
    </row>
    <row r="337" spans="1:23">
      <c r="A337" s="918">
        <v>300855</v>
      </c>
      <c r="B337" s="919" t="s">
        <v>336</v>
      </c>
      <c r="C337" s="1363">
        <f>IF('TAR_Tab 2_Volumina'!M340,1,0)</f>
        <v>0</v>
      </c>
      <c r="D337" s="1527">
        <v>0</v>
      </c>
      <c r="E337" s="1528">
        <f t="shared" si="57"/>
        <v>0</v>
      </c>
      <c r="F337" s="1528">
        <f t="shared" si="58"/>
        <v>0</v>
      </c>
      <c r="G337" s="1531"/>
      <c r="H337" s="1528">
        <f t="shared" si="59"/>
        <v>0</v>
      </c>
      <c r="I337" s="1528">
        <f t="shared" si="60"/>
        <v>0</v>
      </c>
      <c r="J337" s="1532">
        <f t="shared" si="62"/>
        <v>0</v>
      </c>
      <c r="K337" s="1369" t="str">
        <f t="shared" si="63"/>
        <v/>
      </c>
      <c r="L337" s="1558"/>
      <c r="M337" s="1364"/>
      <c r="N337" s="1371">
        <f t="shared" si="54"/>
        <v>0</v>
      </c>
      <c r="O337" s="1372"/>
      <c r="P337" s="1371">
        <f t="shared" si="56"/>
        <v>0</v>
      </c>
      <c r="Q337" s="1371">
        <f t="shared" si="56"/>
        <v>0</v>
      </c>
      <c r="R337" s="1371">
        <f t="shared" si="56"/>
        <v>0</v>
      </c>
      <c r="S337" s="1371">
        <f t="shared" si="56"/>
        <v>0</v>
      </c>
      <c r="T337" s="1371">
        <f t="shared" si="56"/>
        <v>0</v>
      </c>
      <c r="U337" s="1371">
        <f t="shared" si="61"/>
        <v>0</v>
      </c>
      <c r="V337" s="1373">
        <f t="shared" si="55"/>
        <v>0</v>
      </c>
      <c r="W337" s="960"/>
    </row>
    <row r="338" spans="1:23">
      <c r="A338" s="918">
        <v>300856</v>
      </c>
      <c r="B338" s="919" t="s">
        <v>1105</v>
      </c>
      <c r="C338" s="1363">
        <f>IF('TAR_Tab 2_Volumina'!M341,1,0)</f>
        <v>0</v>
      </c>
      <c r="D338" s="1527">
        <v>0</v>
      </c>
      <c r="E338" s="1528">
        <f t="shared" si="57"/>
        <v>0</v>
      </c>
      <c r="F338" s="1528">
        <f t="shared" si="58"/>
        <v>0</v>
      </c>
      <c r="G338" s="1531"/>
      <c r="H338" s="1528">
        <f t="shared" si="59"/>
        <v>0</v>
      </c>
      <c r="I338" s="1528">
        <f t="shared" si="60"/>
        <v>0</v>
      </c>
      <c r="J338" s="1532">
        <f t="shared" si="62"/>
        <v>0</v>
      </c>
      <c r="K338" s="1369" t="str">
        <f t="shared" si="63"/>
        <v/>
      </c>
      <c r="L338" s="1558"/>
      <c r="M338" s="1364"/>
      <c r="N338" s="1371">
        <f t="shared" si="54"/>
        <v>0</v>
      </c>
      <c r="O338" s="1372"/>
      <c r="P338" s="1371">
        <f t="shared" si="56"/>
        <v>0</v>
      </c>
      <c r="Q338" s="1371">
        <f t="shared" si="56"/>
        <v>0</v>
      </c>
      <c r="R338" s="1371">
        <f t="shared" si="56"/>
        <v>0</v>
      </c>
      <c r="S338" s="1371">
        <f t="shared" si="56"/>
        <v>0</v>
      </c>
      <c r="T338" s="1371">
        <f t="shared" si="56"/>
        <v>0</v>
      </c>
      <c r="U338" s="1371">
        <f t="shared" si="61"/>
        <v>0</v>
      </c>
      <c r="V338" s="1373">
        <f t="shared" si="55"/>
        <v>0</v>
      </c>
      <c r="W338" s="960"/>
    </row>
    <row r="339" spans="1:23">
      <c r="A339" s="918">
        <v>300857</v>
      </c>
      <c r="B339" s="919" t="s">
        <v>466</v>
      </c>
      <c r="C339" s="1363">
        <f>IF('TAR_Tab 2_Volumina'!M342,1,0)</f>
        <v>0</v>
      </c>
      <c r="D339" s="1527">
        <v>0</v>
      </c>
      <c r="E339" s="1528">
        <f t="shared" si="57"/>
        <v>0</v>
      </c>
      <c r="F339" s="1528">
        <f t="shared" si="58"/>
        <v>0</v>
      </c>
      <c r="G339" s="1531"/>
      <c r="H339" s="1528">
        <f t="shared" si="59"/>
        <v>0</v>
      </c>
      <c r="I339" s="1528">
        <f t="shared" si="60"/>
        <v>0</v>
      </c>
      <c r="J339" s="1532">
        <f t="shared" si="62"/>
        <v>0</v>
      </c>
      <c r="K339" s="1369" t="str">
        <f t="shared" si="63"/>
        <v/>
      </c>
      <c r="L339" s="1558"/>
      <c r="M339" s="1364"/>
      <c r="N339" s="1371">
        <f t="shared" si="54"/>
        <v>0</v>
      </c>
      <c r="O339" s="1372"/>
      <c r="P339" s="1371">
        <f t="shared" si="56"/>
        <v>0</v>
      </c>
      <c r="Q339" s="1371">
        <f t="shared" si="56"/>
        <v>0</v>
      </c>
      <c r="R339" s="1371">
        <f t="shared" si="56"/>
        <v>0</v>
      </c>
      <c r="S339" s="1371">
        <f t="shared" si="56"/>
        <v>0</v>
      </c>
      <c r="T339" s="1371">
        <f t="shared" si="56"/>
        <v>0</v>
      </c>
      <c r="U339" s="1371">
        <f t="shared" si="61"/>
        <v>0</v>
      </c>
      <c r="V339" s="1373">
        <f t="shared" si="55"/>
        <v>0</v>
      </c>
      <c r="W339" s="960"/>
    </row>
    <row r="340" spans="1:23">
      <c r="A340" s="918">
        <v>300858</v>
      </c>
      <c r="B340" s="919" t="s">
        <v>337</v>
      </c>
      <c r="C340" s="1363">
        <f>IF('TAR_Tab 2_Volumina'!M343,1,0)</f>
        <v>0</v>
      </c>
      <c r="D340" s="1527">
        <v>0</v>
      </c>
      <c r="E340" s="1528">
        <f t="shared" si="57"/>
        <v>0</v>
      </c>
      <c r="F340" s="1528">
        <f t="shared" si="58"/>
        <v>0</v>
      </c>
      <c r="G340" s="1531"/>
      <c r="H340" s="1528">
        <f t="shared" si="59"/>
        <v>0</v>
      </c>
      <c r="I340" s="1528">
        <f t="shared" si="60"/>
        <v>0</v>
      </c>
      <c r="J340" s="1532">
        <f t="shared" si="62"/>
        <v>0</v>
      </c>
      <c r="K340" s="1369" t="str">
        <f t="shared" si="63"/>
        <v/>
      </c>
      <c r="L340" s="1558"/>
      <c r="M340" s="1364"/>
      <c r="N340" s="1371">
        <f t="shared" si="54"/>
        <v>0</v>
      </c>
      <c r="O340" s="1372"/>
      <c r="P340" s="1371">
        <f t="shared" si="56"/>
        <v>0</v>
      </c>
      <c r="Q340" s="1371">
        <f t="shared" si="56"/>
        <v>0</v>
      </c>
      <c r="R340" s="1371">
        <f t="shared" si="56"/>
        <v>0</v>
      </c>
      <c r="S340" s="1371">
        <f t="shared" si="56"/>
        <v>0</v>
      </c>
      <c r="T340" s="1371">
        <f t="shared" si="56"/>
        <v>0</v>
      </c>
      <c r="U340" s="1371">
        <f t="shared" si="61"/>
        <v>0</v>
      </c>
      <c r="V340" s="1373">
        <f t="shared" si="55"/>
        <v>0</v>
      </c>
      <c r="W340" s="960"/>
    </row>
    <row r="341" spans="1:23">
      <c r="A341" s="918">
        <v>300885</v>
      </c>
      <c r="B341" s="919" t="s">
        <v>793</v>
      </c>
      <c r="C341" s="1363">
        <f>IF('TAR_Tab 2_Volumina'!M344,1,0)</f>
        <v>0</v>
      </c>
      <c r="D341" s="1527">
        <v>0</v>
      </c>
      <c r="E341" s="1528">
        <f t="shared" si="57"/>
        <v>0</v>
      </c>
      <c r="F341" s="1528">
        <f t="shared" si="58"/>
        <v>0</v>
      </c>
      <c r="G341" s="1531"/>
      <c r="H341" s="1528">
        <f t="shared" si="59"/>
        <v>0</v>
      </c>
      <c r="I341" s="1528">
        <f t="shared" si="60"/>
        <v>0</v>
      </c>
      <c r="J341" s="1532">
        <f t="shared" si="62"/>
        <v>0</v>
      </c>
      <c r="K341" s="1369" t="str">
        <f t="shared" si="63"/>
        <v/>
      </c>
      <c r="L341" s="1558"/>
      <c r="M341" s="1364"/>
      <c r="N341" s="1371">
        <f t="shared" si="54"/>
        <v>0</v>
      </c>
      <c r="O341" s="1372"/>
      <c r="P341" s="1371">
        <f t="shared" si="56"/>
        <v>0</v>
      </c>
      <c r="Q341" s="1371">
        <f t="shared" si="56"/>
        <v>0</v>
      </c>
      <c r="R341" s="1371">
        <f t="shared" si="56"/>
        <v>0</v>
      </c>
      <c r="S341" s="1371">
        <f t="shared" si="56"/>
        <v>0</v>
      </c>
      <c r="T341" s="1371">
        <f t="shared" si="56"/>
        <v>0</v>
      </c>
      <c r="U341" s="1371">
        <f t="shared" si="61"/>
        <v>0</v>
      </c>
      <c r="V341" s="1373">
        <f t="shared" si="55"/>
        <v>0</v>
      </c>
      <c r="W341" s="960"/>
    </row>
    <row r="342" spans="1:23">
      <c r="A342" s="918">
        <v>300887</v>
      </c>
      <c r="B342" s="919" t="s">
        <v>1106</v>
      </c>
      <c r="C342" s="1363">
        <f>IF('TAR_Tab 2_Volumina'!M345,1,0)</f>
        <v>1</v>
      </c>
      <c r="D342" s="1529">
        <v>53178.134685881683</v>
      </c>
      <c r="E342" s="1528">
        <f t="shared" si="57"/>
        <v>50710.669236456772</v>
      </c>
      <c r="F342" s="1528">
        <f t="shared" si="58"/>
        <v>53583.041717047781</v>
      </c>
      <c r="G342" s="1531"/>
      <c r="H342" s="1528">
        <f t="shared" si="59"/>
        <v>50903.889631195387</v>
      </c>
      <c r="I342" s="1528">
        <f t="shared" si="60"/>
        <v>56262.193802900176</v>
      </c>
      <c r="J342" s="1532">
        <f t="shared" si="62"/>
        <v>53583.041717047781</v>
      </c>
      <c r="K342" s="1369" t="b">
        <f t="shared" si="63"/>
        <v>1</v>
      </c>
      <c r="L342" s="1558"/>
      <c r="M342" s="1364"/>
      <c r="N342" s="1371">
        <f t="shared" si="54"/>
        <v>53583.041717047781</v>
      </c>
      <c r="O342" s="1372"/>
      <c r="P342" s="1371">
        <f t="shared" si="56"/>
        <v>168.50384145891465</v>
      </c>
      <c r="Q342" s="1371">
        <f t="shared" si="56"/>
        <v>133.56295457975804</v>
      </c>
      <c r="R342" s="1371">
        <f t="shared" si="56"/>
        <v>369.37240307712864</v>
      </c>
      <c r="S342" s="1371">
        <f t="shared" si="56"/>
        <v>0</v>
      </c>
      <c r="T342" s="1371">
        <f t="shared" si="56"/>
        <v>3465.4071116153564</v>
      </c>
      <c r="U342" s="1371">
        <f t="shared" si="61"/>
        <v>57719.888027778936</v>
      </c>
      <c r="V342" s="1373">
        <f t="shared" si="55"/>
        <v>57719.89</v>
      </c>
      <c r="W342" s="960"/>
    </row>
    <row r="343" spans="1:23">
      <c r="A343" s="918">
        <v>300888</v>
      </c>
      <c r="B343" s="919" t="s">
        <v>428</v>
      </c>
      <c r="C343" s="1363">
        <f>IF('TAR_Tab 2_Volumina'!M346,1,0)</f>
        <v>0</v>
      </c>
      <c r="D343" s="1527">
        <v>0</v>
      </c>
      <c r="E343" s="1528">
        <f t="shared" si="57"/>
        <v>0</v>
      </c>
      <c r="F343" s="1528">
        <f t="shared" si="58"/>
        <v>0</v>
      </c>
      <c r="G343" s="1531"/>
      <c r="H343" s="1528">
        <f t="shared" si="59"/>
        <v>0</v>
      </c>
      <c r="I343" s="1528">
        <f t="shared" si="60"/>
        <v>0</v>
      </c>
      <c r="J343" s="1532">
        <f t="shared" si="62"/>
        <v>0</v>
      </c>
      <c r="K343" s="1369" t="str">
        <f t="shared" si="63"/>
        <v/>
      </c>
      <c r="L343" s="1558"/>
      <c r="M343" s="1364"/>
      <c r="N343" s="1371">
        <f t="shared" si="54"/>
        <v>0</v>
      </c>
      <c r="O343" s="1372"/>
      <c r="P343" s="1371">
        <f t="shared" si="56"/>
        <v>0</v>
      </c>
      <c r="Q343" s="1371">
        <f t="shared" si="56"/>
        <v>0</v>
      </c>
      <c r="R343" s="1371">
        <f t="shared" si="56"/>
        <v>0</v>
      </c>
      <c r="S343" s="1371">
        <f t="shared" si="56"/>
        <v>0</v>
      </c>
      <c r="T343" s="1371">
        <f t="shared" si="56"/>
        <v>0</v>
      </c>
      <c r="U343" s="1371">
        <f t="shared" si="61"/>
        <v>0</v>
      </c>
      <c r="V343" s="1373">
        <f t="shared" si="55"/>
        <v>0</v>
      </c>
      <c r="W343" s="960"/>
    </row>
    <row r="344" spans="1:23">
      <c r="A344" s="918">
        <v>300889</v>
      </c>
      <c r="B344" s="919" t="s">
        <v>1107</v>
      </c>
      <c r="C344" s="1363">
        <f>IF('TAR_Tab 2_Volumina'!M347,1,0)</f>
        <v>0</v>
      </c>
      <c r="D344" s="1527">
        <v>0</v>
      </c>
      <c r="E344" s="1528">
        <f t="shared" si="57"/>
        <v>0</v>
      </c>
      <c r="F344" s="1528">
        <f t="shared" si="58"/>
        <v>0</v>
      </c>
      <c r="G344" s="1531"/>
      <c r="H344" s="1528">
        <f t="shared" si="59"/>
        <v>0</v>
      </c>
      <c r="I344" s="1528">
        <f t="shared" si="60"/>
        <v>0</v>
      </c>
      <c r="J344" s="1532">
        <f t="shared" si="62"/>
        <v>0</v>
      </c>
      <c r="K344" s="1369" t="str">
        <f t="shared" si="63"/>
        <v/>
      </c>
      <c r="L344" s="1558"/>
      <c r="M344" s="1364"/>
      <c r="N344" s="1371">
        <f t="shared" si="54"/>
        <v>0</v>
      </c>
      <c r="O344" s="1372"/>
      <c r="P344" s="1371">
        <f t="shared" si="56"/>
        <v>0</v>
      </c>
      <c r="Q344" s="1371">
        <f t="shared" si="56"/>
        <v>0</v>
      </c>
      <c r="R344" s="1371">
        <f t="shared" si="56"/>
        <v>0</v>
      </c>
      <c r="S344" s="1371">
        <f t="shared" si="56"/>
        <v>0</v>
      </c>
      <c r="T344" s="1371">
        <f t="shared" si="56"/>
        <v>0</v>
      </c>
      <c r="U344" s="1371">
        <f t="shared" si="61"/>
        <v>0</v>
      </c>
      <c r="V344" s="1373">
        <f t="shared" si="55"/>
        <v>0</v>
      </c>
      <c r="W344" s="960"/>
    </row>
    <row r="345" spans="1:23">
      <c r="A345" s="918">
        <v>300892</v>
      </c>
      <c r="B345" s="919" t="s">
        <v>467</v>
      </c>
      <c r="C345" s="1363">
        <f>IF('TAR_Tab 2_Volumina'!M348,1,0)</f>
        <v>0</v>
      </c>
      <c r="D345" s="1527">
        <v>0</v>
      </c>
      <c r="E345" s="1528">
        <f t="shared" si="57"/>
        <v>0</v>
      </c>
      <c r="F345" s="1528">
        <f t="shared" si="58"/>
        <v>0</v>
      </c>
      <c r="G345" s="1531"/>
      <c r="H345" s="1528">
        <f t="shared" si="59"/>
        <v>0</v>
      </c>
      <c r="I345" s="1528">
        <f t="shared" si="60"/>
        <v>0</v>
      </c>
      <c r="J345" s="1532">
        <f t="shared" si="62"/>
        <v>0</v>
      </c>
      <c r="K345" s="1369" t="str">
        <f t="shared" si="63"/>
        <v/>
      </c>
      <c r="L345" s="1558"/>
      <c r="M345" s="1364"/>
      <c r="N345" s="1371">
        <f t="shared" si="54"/>
        <v>0</v>
      </c>
      <c r="O345" s="1372"/>
      <c r="P345" s="1371">
        <f t="shared" si="56"/>
        <v>0</v>
      </c>
      <c r="Q345" s="1371">
        <f t="shared" si="56"/>
        <v>0</v>
      </c>
      <c r="R345" s="1371">
        <f t="shared" si="56"/>
        <v>0</v>
      </c>
      <c r="S345" s="1371">
        <f t="shared" si="56"/>
        <v>0</v>
      </c>
      <c r="T345" s="1371">
        <f t="shared" si="56"/>
        <v>0</v>
      </c>
      <c r="U345" s="1371">
        <f t="shared" si="61"/>
        <v>0</v>
      </c>
      <c r="V345" s="1373">
        <f t="shared" si="55"/>
        <v>0</v>
      </c>
      <c r="W345" s="960"/>
    </row>
    <row r="346" spans="1:23">
      <c r="A346" s="918">
        <v>300893</v>
      </c>
      <c r="B346" s="919" t="s">
        <v>468</v>
      </c>
      <c r="C346" s="1363">
        <f>IF('TAR_Tab 2_Volumina'!M349,1,0)</f>
        <v>0</v>
      </c>
      <c r="D346" s="1527">
        <v>0</v>
      </c>
      <c r="E346" s="1528">
        <f t="shared" si="57"/>
        <v>0</v>
      </c>
      <c r="F346" s="1528">
        <f t="shared" si="58"/>
        <v>0</v>
      </c>
      <c r="G346" s="1531"/>
      <c r="H346" s="1528">
        <f t="shared" si="59"/>
        <v>0</v>
      </c>
      <c r="I346" s="1528">
        <f t="shared" si="60"/>
        <v>0</v>
      </c>
      <c r="J346" s="1532">
        <f t="shared" si="62"/>
        <v>0</v>
      </c>
      <c r="K346" s="1369" t="str">
        <f t="shared" si="63"/>
        <v/>
      </c>
      <c r="L346" s="1558"/>
      <c r="M346" s="1364"/>
      <c r="N346" s="1371">
        <f t="shared" si="54"/>
        <v>0</v>
      </c>
      <c r="O346" s="1372"/>
      <c r="P346" s="1371">
        <f t="shared" si="56"/>
        <v>0</v>
      </c>
      <c r="Q346" s="1371">
        <f t="shared" si="56"/>
        <v>0</v>
      </c>
      <c r="R346" s="1371">
        <f t="shared" si="56"/>
        <v>0</v>
      </c>
      <c r="S346" s="1371">
        <f t="shared" si="56"/>
        <v>0</v>
      </c>
      <c r="T346" s="1371">
        <f t="shared" si="56"/>
        <v>0</v>
      </c>
      <c r="U346" s="1371">
        <f t="shared" si="61"/>
        <v>0</v>
      </c>
      <c r="V346" s="1373">
        <f t="shared" si="55"/>
        <v>0</v>
      </c>
      <c r="W346" s="960"/>
    </row>
    <row r="347" spans="1:23">
      <c r="A347" s="918">
        <v>300895</v>
      </c>
      <c r="B347" s="919" t="s">
        <v>469</v>
      </c>
      <c r="C347" s="1363">
        <f>IF('TAR_Tab 2_Volumina'!M350,1,0)</f>
        <v>0</v>
      </c>
      <c r="D347" s="1527">
        <v>0</v>
      </c>
      <c r="E347" s="1528">
        <f t="shared" si="57"/>
        <v>0</v>
      </c>
      <c r="F347" s="1528">
        <f t="shared" si="58"/>
        <v>0</v>
      </c>
      <c r="G347" s="1531"/>
      <c r="H347" s="1528">
        <f t="shared" si="59"/>
        <v>0</v>
      </c>
      <c r="I347" s="1528">
        <f t="shared" si="60"/>
        <v>0</v>
      </c>
      <c r="J347" s="1532">
        <f t="shared" si="62"/>
        <v>0</v>
      </c>
      <c r="K347" s="1369" t="str">
        <f t="shared" si="63"/>
        <v/>
      </c>
      <c r="L347" s="1558"/>
      <c r="M347" s="1364"/>
      <c r="N347" s="1371">
        <f t="shared" si="54"/>
        <v>0</v>
      </c>
      <c r="O347" s="1372"/>
      <c r="P347" s="1371">
        <f t="shared" si="56"/>
        <v>0</v>
      </c>
      <c r="Q347" s="1371">
        <f t="shared" si="56"/>
        <v>0</v>
      </c>
      <c r="R347" s="1371">
        <f t="shared" si="56"/>
        <v>0</v>
      </c>
      <c r="S347" s="1371">
        <f t="shared" si="56"/>
        <v>0</v>
      </c>
      <c r="T347" s="1371">
        <f t="shared" si="56"/>
        <v>0</v>
      </c>
      <c r="U347" s="1371">
        <f t="shared" si="61"/>
        <v>0</v>
      </c>
      <c r="V347" s="1373">
        <f t="shared" si="55"/>
        <v>0</v>
      </c>
      <c r="W347" s="960"/>
    </row>
    <row r="348" spans="1:23">
      <c r="A348" s="918">
        <v>300896</v>
      </c>
      <c r="B348" s="919" t="s">
        <v>470</v>
      </c>
      <c r="C348" s="1363">
        <f>IF('TAR_Tab 2_Volumina'!M351,1,0)</f>
        <v>0</v>
      </c>
      <c r="D348" s="1527">
        <v>0</v>
      </c>
      <c r="E348" s="1528">
        <f t="shared" si="57"/>
        <v>0</v>
      </c>
      <c r="F348" s="1528">
        <f t="shared" si="58"/>
        <v>0</v>
      </c>
      <c r="G348" s="1531"/>
      <c r="H348" s="1528">
        <f t="shared" si="59"/>
        <v>0</v>
      </c>
      <c r="I348" s="1528">
        <f t="shared" si="60"/>
        <v>0</v>
      </c>
      <c r="J348" s="1532">
        <f t="shared" si="62"/>
        <v>0</v>
      </c>
      <c r="K348" s="1369" t="str">
        <f t="shared" si="63"/>
        <v/>
      </c>
      <c r="L348" s="1558"/>
      <c r="M348" s="1364"/>
      <c r="N348" s="1371">
        <f t="shared" si="54"/>
        <v>0</v>
      </c>
      <c r="O348" s="1372"/>
      <c r="P348" s="1371">
        <f t="shared" si="56"/>
        <v>0</v>
      </c>
      <c r="Q348" s="1371">
        <f t="shared" si="56"/>
        <v>0</v>
      </c>
      <c r="R348" s="1371">
        <f t="shared" si="56"/>
        <v>0</v>
      </c>
      <c r="S348" s="1371">
        <f t="shared" si="56"/>
        <v>0</v>
      </c>
      <c r="T348" s="1371">
        <f t="shared" si="56"/>
        <v>0</v>
      </c>
      <c r="U348" s="1371">
        <f t="shared" si="61"/>
        <v>0</v>
      </c>
      <c r="V348" s="1373">
        <f t="shared" si="55"/>
        <v>0</v>
      </c>
      <c r="W348" s="960"/>
    </row>
    <row r="349" spans="1:23">
      <c r="A349" s="918">
        <v>300899</v>
      </c>
      <c r="B349" s="919" t="s">
        <v>794</v>
      </c>
      <c r="C349" s="1363">
        <f>IF('TAR_Tab 2_Volumina'!M352,1,0)</f>
        <v>0</v>
      </c>
      <c r="D349" s="1527">
        <v>0</v>
      </c>
      <c r="E349" s="1528">
        <f t="shared" si="57"/>
        <v>0</v>
      </c>
      <c r="F349" s="1528">
        <f t="shared" si="58"/>
        <v>0</v>
      </c>
      <c r="G349" s="1531"/>
      <c r="H349" s="1528">
        <f t="shared" si="59"/>
        <v>0</v>
      </c>
      <c r="I349" s="1528">
        <f t="shared" si="60"/>
        <v>0</v>
      </c>
      <c r="J349" s="1532">
        <f t="shared" si="62"/>
        <v>0</v>
      </c>
      <c r="K349" s="1369" t="str">
        <f t="shared" si="63"/>
        <v/>
      </c>
      <c r="L349" s="1558"/>
      <c r="M349" s="1364"/>
      <c r="N349" s="1371">
        <f t="shared" si="54"/>
        <v>0</v>
      </c>
      <c r="O349" s="1372"/>
      <c r="P349" s="1371">
        <f t="shared" si="56"/>
        <v>0</v>
      </c>
      <c r="Q349" s="1371">
        <f t="shared" si="56"/>
        <v>0</v>
      </c>
      <c r="R349" s="1371">
        <f t="shared" si="56"/>
        <v>0</v>
      </c>
      <c r="S349" s="1371">
        <f t="shared" si="56"/>
        <v>0</v>
      </c>
      <c r="T349" s="1371">
        <f t="shared" si="56"/>
        <v>0</v>
      </c>
      <c r="U349" s="1371">
        <f t="shared" si="61"/>
        <v>0</v>
      </c>
      <c r="V349" s="1373">
        <f t="shared" si="55"/>
        <v>0</v>
      </c>
      <c r="W349" s="960"/>
    </row>
    <row r="350" spans="1:23">
      <c r="A350" s="918">
        <v>300903</v>
      </c>
      <c r="B350" s="919" t="s">
        <v>471</v>
      </c>
      <c r="C350" s="1363">
        <f>IF('TAR_Tab 2_Volumina'!M353,1,0)</f>
        <v>0</v>
      </c>
      <c r="D350" s="1527">
        <v>0</v>
      </c>
      <c r="E350" s="1528">
        <f t="shared" si="57"/>
        <v>0</v>
      </c>
      <c r="F350" s="1528">
        <f t="shared" si="58"/>
        <v>0</v>
      </c>
      <c r="G350" s="1531"/>
      <c r="H350" s="1528">
        <f t="shared" si="59"/>
        <v>0</v>
      </c>
      <c r="I350" s="1528">
        <f t="shared" si="60"/>
        <v>0</v>
      </c>
      <c r="J350" s="1532">
        <f t="shared" si="62"/>
        <v>0</v>
      </c>
      <c r="K350" s="1369" t="str">
        <f t="shared" si="63"/>
        <v/>
      </c>
      <c r="L350" s="1558"/>
      <c r="M350" s="1364"/>
      <c r="N350" s="1371">
        <f t="shared" si="54"/>
        <v>0</v>
      </c>
      <c r="O350" s="1372"/>
      <c r="P350" s="1371">
        <f t="shared" si="56"/>
        <v>0</v>
      </c>
      <c r="Q350" s="1371">
        <f t="shared" si="56"/>
        <v>0</v>
      </c>
      <c r="R350" s="1371">
        <f t="shared" si="56"/>
        <v>0</v>
      </c>
      <c r="S350" s="1371">
        <f t="shared" si="56"/>
        <v>0</v>
      </c>
      <c r="T350" s="1371">
        <f t="shared" si="56"/>
        <v>0</v>
      </c>
      <c r="U350" s="1371">
        <f t="shared" si="61"/>
        <v>0</v>
      </c>
      <c r="V350" s="1373">
        <f t="shared" si="55"/>
        <v>0</v>
      </c>
      <c r="W350" s="960"/>
    </row>
    <row r="351" spans="1:23">
      <c r="A351" s="918">
        <v>300905</v>
      </c>
      <c r="B351" s="919" t="s">
        <v>472</v>
      </c>
      <c r="C351" s="1363">
        <f>IF('TAR_Tab 2_Volumina'!M354,1,0)</f>
        <v>0</v>
      </c>
      <c r="D351" s="1527">
        <v>0</v>
      </c>
      <c r="E351" s="1528">
        <f t="shared" si="57"/>
        <v>0</v>
      </c>
      <c r="F351" s="1528">
        <f t="shared" si="58"/>
        <v>0</v>
      </c>
      <c r="G351" s="1531"/>
      <c r="H351" s="1528">
        <f t="shared" si="59"/>
        <v>0</v>
      </c>
      <c r="I351" s="1528">
        <f t="shared" si="60"/>
        <v>0</v>
      </c>
      <c r="J351" s="1532">
        <f t="shared" si="62"/>
        <v>0</v>
      </c>
      <c r="K351" s="1369" t="str">
        <f t="shared" si="63"/>
        <v/>
      </c>
      <c r="L351" s="1558"/>
      <c r="M351" s="1364"/>
      <c r="N351" s="1371">
        <f t="shared" si="54"/>
        <v>0</v>
      </c>
      <c r="O351" s="1372"/>
      <c r="P351" s="1371">
        <f t="shared" si="56"/>
        <v>0</v>
      </c>
      <c r="Q351" s="1371">
        <f t="shared" si="56"/>
        <v>0</v>
      </c>
      <c r="R351" s="1371">
        <f t="shared" si="56"/>
        <v>0</v>
      </c>
      <c r="S351" s="1371">
        <f t="shared" si="56"/>
        <v>0</v>
      </c>
      <c r="T351" s="1371">
        <f t="shared" si="56"/>
        <v>0</v>
      </c>
      <c r="U351" s="1371">
        <f t="shared" si="61"/>
        <v>0</v>
      </c>
      <c r="V351" s="1373">
        <f t="shared" si="55"/>
        <v>0</v>
      </c>
      <c r="W351" s="960"/>
    </row>
    <row r="352" spans="1:23">
      <c r="A352" s="918">
        <v>300906</v>
      </c>
      <c r="B352" s="919" t="s">
        <v>1108</v>
      </c>
      <c r="C352" s="1363">
        <f>IF('TAR_Tab 2_Volumina'!M355,1,0)</f>
        <v>0</v>
      </c>
      <c r="D352" s="1527">
        <v>0</v>
      </c>
      <c r="E352" s="1528">
        <f t="shared" si="57"/>
        <v>0</v>
      </c>
      <c r="F352" s="1528">
        <f t="shared" si="58"/>
        <v>0</v>
      </c>
      <c r="G352" s="1531"/>
      <c r="H352" s="1528">
        <f t="shared" si="59"/>
        <v>0</v>
      </c>
      <c r="I352" s="1528">
        <f t="shared" si="60"/>
        <v>0</v>
      </c>
      <c r="J352" s="1532">
        <f t="shared" si="62"/>
        <v>0</v>
      </c>
      <c r="K352" s="1369" t="str">
        <f t="shared" si="63"/>
        <v/>
      </c>
      <c r="L352" s="1558"/>
      <c r="M352" s="1364"/>
      <c r="N352" s="1371">
        <f t="shared" si="54"/>
        <v>0</v>
      </c>
      <c r="O352" s="1372"/>
      <c r="P352" s="1371">
        <f t="shared" si="56"/>
        <v>0</v>
      </c>
      <c r="Q352" s="1371">
        <f t="shared" si="56"/>
        <v>0</v>
      </c>
      <c r="R352" s="1371">
        <f t="shared" si="56"/>
        <v>0</v>
      </c>
      <c r="S352" s="1371">
        <f t="shared" si="56"/>
        <v>0</v>
      </c>
      <c r="T352" s="1371">
        <f t="shared" si="56"/>
        <v>0</v>
      </c>
      <c r="U352" s="1371">
        <f t="shared" si="61"/>
        <v>0</v>
      </c>
      <c r="V352" s="1373">
        <f t="shared" si="55"/>
        <v>0</v>
      </c>
      <c r="W352" s="960"/>
    </row>
    <row r="353" spans="1:23">
      <c r="A353" s="918">
        <v>300907</v>
      </c>
      <c r="B353" s="919" t="s">
        <v>473</v>
      </c>
      <c r="C353" s="1363">
        <f>IF('TAR_Tab 2_Volumina'!M356,1,0)</f>
        <v>0</v>
      </c>
      <c r="D353" s="1527">
        <v>0</v>
      </c>
      <c r="E353" s="1528">
        <f t="shared" si="57"/>
        <v>0</v>
      </c>
      <c r="F353" s="1528">
        <f t="shared" si="58"/>
        <v>0</v>
      </c>
      <c r="G353" s="1531"/>
      <c r="H353" s="1528">
        <f t="shared" si="59"/>
        <v>0</v>
      </c>
      <c r="I353" s="1528">
        <f t="shared" si="60"/>
        <v>0</v>
      </c>
      <c r="J353" s="1532">
        <f t="shared" si="62"/>
        <v>0</v>
      </c>
      <c r="K353" s="1369" t="str">
        <f t="shared" si="63"/>
        <v/>
      </c>
      <c r="L353" s="1558"/>
      <c r="M353" s="1364"/>
      <c r="N353" s="1371">
        <f t="shared" si="54"/>
        <v>0</v>
      </c>
      <c r="O353" s="1372"/>
      <c r="P353" s="1371">
        <f t="shared" si="56"/>
        <v>0</v>
      </c>
      <c r="Q353" s="1371">
        <f t="shared" si="56"/>
        <v>0</v>
      </c>
      <c r="R353" s="1371">
        <f t="shared" si="56"/>
        <v>0</v>
      </c>
      <c r="S353" s="1371">
        <f t="shared" si="56"/>
        <v>0</v>
      </c>
      <c r="T353" s="1371">
        <f t="shared" si="56"/>
        <v>0</v>
      </c>
      <c r="U353" s="1371">
        <f t="shared" si="61"/>
        <v>0</v>
      </c>
      <c r="V353" s="1373">
        <f t="shared" si="55"/>
        <v>0</v>
      </c>
      <c r="W353" s="960"/>
    </row>
    <row r="354" spans="1:23">
      <c r="A354" s="918">
        <v>300908</v>
      </c>
      <c r="B354" s="919" t="s">
        <v>474</v>
      </c>
      <c r="C354" s="1363">
        <f>IF('TAR_Tab 2_Volumina'!M357,1,0)</f>
        <v>0</v>
      </c>
      <c r="D354" s="1527">
        <v>0</v>
      </c>
      <c r="E354" s="1528">
        <f t="shared" si="57"/>
        <v>0</v>
      </c>
      <c r="F354" s="1528">
        <f t="shared" si="58"/>
        <v>0</v>
      </c>
      <c r="G354" s="1531"/>
      <c r="H354" s="1528">
        <f t="shared" si="59"/>
        <v>0</v>
      </c>
      <c r="I354" s="1528">
        <f t="shared" si="60"/>
        <v>0</v>
      </c>
      <c r="J354" s="1532">
        <f t="shared" si="62"/>
        <v>0</v>
      </c>
      <c r="K354" s="1369" t="str">
        <f t="shared" si="63"/>
        <v/>
      </c>
      <c r="L354" s="1558"/>
      <c r="M354" s="1364"/>
      <c r="N354" s="1371">
        <f t="shared" si="54"/>
        <v>0</v>
      </c>
      <c r="O354" s="1372"/>
      <c r="P354" s="1371">
        <f t="shared" si="56"/>
        <v>0</v>
      </c>
      <c r="Q354" s="1371">
        <f t="shared" si="56"/>
        <v>0</v>
      </c>
      <c r="R354" s="1371">
        <f t="shared" si="56"/>
        <v>0</v>
      </c>
      <c r="S354" s="1371">
        <f t="shared" si="56"/>
        <v>0</v>
      </c>
      <c r="T354" s="1371">
        <f t="shared" si="56"/>
        <v>0</v>
      </c>
      <c r="U354" s="1371">
        <f t="shared" si="61"/>
        <v>0</v>
      </c>
      <c r="V354" s="1373">
        <f t="shared" si="55"/>
        <v>0</v>
      </c>
      <c r="W354" s="960"/>
    </row>
    <row r="355" spans="1:23">
      <c r="A355" s="918">
        <v>300909</v>
      </c>
      <c r="B355" s="919" t="s">
        <v>1109</v>
      </c>
      <c r="C355" s="1363">
        <f>IF('TAR_Tab 2_Volumina'!M358,1,0)</f>
        <v>0</v>
      </c>
      <c r="D355" s="1527">
        <v>0</v>
      </c>
      <c r="E355" s="1528">
        <f t="shared" si="57"/>
        <v>0</v>
      </c>
      <c r="F355" s="1528">
        <f t="shared" si="58"/>
        <v>0</v>
      </c>
      <c r="G355" s="1531"/>
      <c r="H355" s="1528">
        <f t="shared" si="59"/>
        <v>0</v>
      </c>
      <c r="I355" s="1528">
        <f t="shared" si="60"/>
        <v>0</v>
      </c>
      <c r="J355" s="1532">
        <f t="shared" si="62"/>
        <v>0</v>
      </c>
      <c r="K355" s="1369" t="str">
        <f t="shared" si="63"/>
        <v/>
      </c>
      <c r="L355" s="1558"/>
      <c r="M355" s="1364"/>
      <c r="N355" s="1371">
        <f t="shared" si="54"/>
        <v>0</v>
      </c>
      <c r="O355" s="1372"/>
      <c r="P355" s="1371">
        <f t="shared" si="56"/>
        <v>0</v>
      </c>
      <c r="Q355" s="1371">
        <f t="shared" si="56"/>
        <v>0</v>
      </c>
      <c r="R355" s="1371">
        <f t="shared" si="56"/>
        <v>0</v>
      </c>
      <c r="S355" s="1371">
        <f t="shared" si="56"/>
        <v>0</v>
      </c>
      <c r="T355" s="1371">
        <f t="shared" si="56"/>
        <v>0</v>
      </c>
      <c r="U355" s="1371">
        <f t="shared" si="61"/>
        <v>0</v>
      </c>
      <c r="V355" s="1373">
        <f t="shared" si="55"/>
        <v>0</v>
      </c>
      <c r="W355" s="960"/>
    </row>
    <row r="356" spans="1:23">
      <c r="A356" s="918">
        <v>300910</v>
      </c>
      <c r="B356" s="919" t="s">
        <v>338</v>
      </c>
      <c r="C356" s="1363">
        <f>IF('TAR_Tab 2_Volumina'!M359,1,0)</f>
        <v>0</v>
      </c>
      <c r="D356" s="1527">
        <v>0</v>
      </c>
      <c r="E356" s="1528">
        <f t="shared" si="57"/>
        <v>0</v>
      </c>
      <c r="F356" s="1528">
        <f t="shared" si="58"/>
        <v>0</v>
      </c>
      <c r="G356" s="1531"/>
      <c r="H356" s="1528">
        <f t="shared" si="59"/>
        <v>0</v>
      </c>
      <c r="I356" s="1528">
        <f t="shared" si="60"/>
        <v>0</v>
      </c>
      <c r="J356" s="1532">
        <f t="shared" si="62"/>
        <v>0</v>
      </c>
      <c r="K356" s="1369" t="str">
        <f t="shared" si="63"/>
        <v/>
      </c>
      <c r="L356" s="1558"/>
      <c r="M356" s="1364"/>
      <c r="N356" s="1371">
        <f t="shared" ref="N356:N389" si="64">IF(J356&gt;0,J356,F356)</f>
        <v>0</v>
      </c>
      <c r="O356" s="1372"/>
      <c r="P356" s="1371">
        <f t="shared" si="56"/>
        <v>0</v>
      </c>
      <c r="Q356" s="1371">
        <f t="shared" si="56"/>
        <v>0</v>
      </c>
      <c r="R356" s="1371">
        <f t="shared" si="56"/>
        <v>0</v>
      </c>
      <c r="S356" s="1371">
        <f t="shared" si="56"/>
        <v>0</v>
      </c>
      <c r="T356" s="1371">
        <f t="shared" si="56"/>
        <v>0</v>
      </c>
      <c r="U356" s="1371">
        <f t="shared" si="61"/>
        <v>0</v>
      </c>
      <c r="V356" s="1373">
        <f t="shared" ref="V356:V388" si="65">ROUND(U356,2)</f>
        <v>0</v>
      </c>
      <c r="W356" s="960"/>
    </row>
    <row r="357" spans="1:23">
      <c r="A357" s="918">
        <v>300911</v>
      </c>
      <c r="B357" s="919" t="s">
        <v>1110</v>
      </c>
      <c r="C357" s="1363">
        <f>IF('TAR_Tab 2_Volumina'!M360,1,0)</f>
        <v>0</v>
      </c>
      <c r="D357" s="1527">
        <v>0</v>
      </c>
      <c r="E357" s="1528">
        <f t="shared" si="57"/>
        <v>0</v>
      </c>
      <c r="F357" s="1528">
        <f t="shared" si="58"/>
        <v>0</v>
      </c>
      <c r="G357" s="1531"/>
      <c r="H357" s="1528">
        <f t="shared" si="59"/>
        <v>0</v>
      </c>
      <c r="I357" s="1528">
        <f t="shared" si="60"/>
        <v>0</v>
      </c>
      <c r="J357" s="1532">
        <f t="shared" si="62"/>
        <v>0</v>
      </c>
      <c r="K357" s="1369" t="str">
        <f t="shared" si="63"/>
        <v/>
      </c>
      <c r="L357" s="1558"/>
      <c r="M357" s="1364"/>
      <c r="N357" s="1371">
        <f t="shared" si="64"/>
        <v>0</v>
      </c>
      <c r="O357" s="1372"/>
      <c r="P357" s="1371">
        <f t="shared" si="56"/>
        <v>0</v>
      </c>
      <c r="Q357" s="1371">
        <f t="shared" si="56"/>
        <v>0</v>
      </c>
      <c r="R357" s="1371">
        <f t="shared" si="56"/>
        <v>0</v>
      </c>
      <c r="S357" s="1371">
        <f t="shared" si="56"/>
        <v>0</v>
      </c>
      <c r="T357" s="1371">
        <f t="shared" si="56"/>
        <v>0</v>
      </c>
      <c r="U357" s="1371">
        <f t="shared" si="61"/>
        <v>0</v>
      </c>
      <c r="V357" s="1373">
        <f t="shared" si="65"/>
        <v>0</v>
      </c>
      <c r="W357" s="960"/>
    </row>
    <row r="358" spans="1:23">
      <c r="A358" s="918">
        <v>300912</v>
      </c>
      <c r="B358" s="919" t="s">
        <v>1111</v>
      </c>
      <c r="C358" s="1363">
        <f>IF('TAR_Tab 2_Volumina'!M361,1,0)</f>
        <v>0</v>
      </c>
      <c r="D358" s="1527">
        <v>0</v>
      </c>
      <c r="E358" s="1528">
        <f t="shared" si="57"/>
        <v>0</v>
      </c>
      <c r="F358" s="1528">
        <f t="shared" si="58"/>
        <v>0</v>
      </c>
      <c r="G358" s="1531"/>
      <c r="H358" s="1528">
        <f t="shared" si="59"/>
        <v>0</v>
      </c>
      <c r="I358" s="1528">
        <f t="shared" si="60"/>
        <v>0</v>
      </c>
      <c r="J358" s="1532">
        <f t="shared" si="62"/>
        <v>0</v>
      </c>
      <c r="K358" s="1369" t="str">
        <f t="shared" si="63"/>
        <v/>
      </c>
      <c r="L358" s="1558"/>
      <c r="M358" s="1364"/>
      <c r="N358" s="1371">
        <f t="shared" si="64"/>
        <v>0</v>
      </c>
      <c r="O358" s="1372"/>
      <c r="P358" s="1371">
        <f t="shared" si="56"/>
        <v>0</v>
      </c>
      <c r="Q358" s="1371">
        <f t="shared" si="56"/>
        <v>0</v>
      </c>
      <c r="R358" s="1371">
        <f t="shared" si="56"/>
        <v>0</v>
      </c>
      <c r="S358" s="1371">
        <f t="shared" si="56"/>
        <v>0</v>
      </c>
      <c r="T358" s="1371">
        <f t="shared" si="56"/>
        <v>0</v>
      </c>
      <c r="U358" s="1371">
        <f t="shared" si="61"/>
        <v>0</v>
      </c>
      <c r="V358" s="1373">
        <f t="shared" si="65"/>
        <v>0</v>
      </c>
      <c r="W358" s="960"/>
    </row>
    <row r="359" spans="1:23">
      <c r="A359" s="918">
        <v>300916</v>
      </c>
      <c r="B359" s="919" t="s">
        <v>339</v>
      </c>
      <c r="C359" s="1363">
        <f>IF('TAR_Tab 2_Volumina'!M362,1,0)</f>
        <v>1</v>
      </c>
      <c r="D359" s="1529">
        <v>35452.089790587779</v>
      </c>
      <c r="E359" s="1528">
        <f t="shared" si="57"/>
        <v>33807.11282430451</v>
      </c>
      <c r="F359" s="1528">
        <f t="shared" si="58"/>
        <v>35722.02781136518</v>
      </c>
      <c r="G359" s="1531"/>
      <c r="H359" s="1528">
        <f t="shared" si="59"/>
        <v>33935.926420796917</v>
      </c>
      <c r="I359" s="1528">
        <f t="shared" si="60"/>
        <v>37508.129201933443</v>
      </c>
      <c r="J359" s="1532">
        <f t="shared" si="62"/>
        <v>35722.02781136518</v>
      </c>
      <c r="K359" s="1369" t="b">
        <f t="shared" si="63"/>
        <v>1</v>
      </c>
      <c r="L359" s="1558"/>
      <c r="M359" s="1364"/>
      <c r="N359" s="1371">
        <f t="shared" si="64"/>
        <v>35722.02781136518</v>
      </c>
      <c r="O359" s="1372"/>
      <c r="P359" s="1371">
        <f t="shared" si="56"/>
        <v>112.33589430594309</v>
      </c>
      <c r="Q359" s="1371">
        <f t="shared" si="56"/>
        <v>89.041969719838676</v>
      </c>
      <c r="R359" s="1371">
        <f t="shared" si="56"/>
        <v>246.24826871808571</v>
      </c>
      <c r="S359" s="1371">
        <f t="shared" si="56"/>
        <v>0</v>
      </c>
      <c r="T359" s="1371">
        <f t="shared" si="56"/>
        <v>2310.2714077435703</v>
      </c>
      <c r="U359" s="1371">
        <f t="shared" si="61"/>
        <v>38479.925351852624</v>
      </c>
      <c r="V359" s="1373">
        <f t="shared" si="65"/>
        <v>38479.93</v>
      </c>
      <c r="W359" s="960"/>
    </row>
    <row r="360" spans="1:23">
      <c r="A360" s="918">
        <v>300923</v>
      </c>
      <c r="B360" s="919" t="s">
        <v>340</v>
      </c>
      <c r="C360" s="1363">
        <f>IF('TAR_Tab 2_Volumina'!M363,1,0)</f>
        <v>1</v>
      </c>
      <c r="D360" s="1529">
        <v>53178.134685881683</v>
      </c>
      <c r="E360" s="1528">
        <f t="shared" si="57"/>
        <v>50710.669236456772</v>
      </c>
      <c r="F360" s="1528">
        <f t="shared" si="58"/>
        <v>53583.041717047781</v>
      </c>
      <c r="G360" s="1531"/>
      <c r="H360" s="1528">
        <f t="shared" si="59"/>
        <v>50903.889631195387</v>
      </c>
      <c r="I360" s="1528">
        <f t="shared" si="60"/>
        <v>56262.193802900176</v>
      </c>
      <c r="J360" s="1532">
        <f t="shared" si="62"/>
        <v>53583.041717047781</v>
      </c>
      <c r="K360" s="1369" t="b">
        <f t="shared" si="63"/>
        <v>1</v>
      </c>
      <c r="L360" s="1558"/>
      <c r="M360" s="1364"/>
      <c r="N360" s="1371">
        <f t="shared" si="64"/>
        <v>53583.041717047781</v>
      </c>
      <c r="O360" s="1372"/>
      <c r="P360" s="1371">
        <f t="shared" si="56"/>
        <v>168.50384145891465</v>
      </c>
      <c r="Q360" s="1371">
        <f t="shared" si="56"/>
        <v>133.56295457975804</v>
      </c>
      <c r="R360" s="1371">
        <f t="shared" si="56"/>
        <v>369.37240307712864</v>
      </c>
      <c r="S360" s="1371">
        <f t="shared" si="56"/>
        <v>0</v>
      </c>
      <c r="T360" s="1371">
        <f t="shared" si="56"/>
        <v>3465.4071116153564</v>
      </c>
      <c r="U360" s="1371">
        <f t="shared" si="61"/>
        <v>57719.888027778936</v>
      </c>
      <c r="V360" s="1373">
        <f t="shared" si="65"/>
        <v>57719.89</v>
      </c>
      <c r="W360" s="960"/>
    </row>
    <row r="361" spans="1:23">
      <c r="A361" s="918">
        <v>300927</v>
      </c>
      <c r="B361" s="919" t="s">
        <v>226</v>
      </c>
      <c r="C361" s="1363">
        <f>IF('TAR_Tab 2_Volumina'!M364,1,0)</f>
        <v>1</v>
      </c>
      <c r="D361" s="1527">
        <v>17726.04489529389</v>
      </c>
      <c r="E361" s="1528">
        <f t="shared" si="57"/>
        <v>16903.556412152255</v>
      </c>
      <c r="F361" s="1528">
        <f t="shared" si="58"/>
        <v>17861.01390568259</v>
      </c>
      <c r="G361" s="1531"/>
      <c r="H361" s="1528">
        <f t="shared" si="59"/>
        <v>16967.963210398459</v>
      </c>
      <c r="I361" s="1528">
        <f t="shared" si="60"/>
        <v>18754.064600966722</v>
      </c>
      <c r="J361" s="1532">
        <f t="shared" si="62"/>
        <v>17861.01390568259</v>
      </c>
      <c r="K361" s="1369" t="b">
        <f t="shared" si="63"/>
        <v>1</v>
      </c>
      <c r="L361" s="1558"/>
      <c r="M361" s="1364"/>
      <c r="N361" s="1371">
        <f t="shared" si="64"/>
        <v>17861.01390568259</v>
      </c>
      <c r="O361" s="1372"/>
      <c r="P361" s="1371">
        <f t="shared" si="56"/>
        <v>56.167947152971543</v>
      </c>
      <c r="Q361" s="1371">
        <f t="shared" si="56"/>
        <v>44.520984859919338</v>
      </c>
      <c r="R361" s="1371">
        <f t="shared" si="56"/>
        <v>123.12413435904286</v>
      </c>
      <c r="S361" s="1371">
        <f t="shared" si="56"/>
        <v>0</v>
      </c>
      <c r="T361" s="1371">
        <f t="shared" si="56"/>
        <v>1155.1357038717852</v>
      </c>
      <c r="U361" s="1371">
        <f t="shared" si="61"/>
        <v>19239.962675926312</v>
      </c>
      <c r="V361" s="1373">
        <f t="shared" si="65"/>
        <v>19239.96</v>
      </c>
      <c r="W361" s="960"/>
    </row>
    <row r="362" spans="1:23">
      <c r="A362" s="918">
        <v>300940</v>
      </c>
      <c r="B362" s="919" t="s">
        <v>227</v>
      </c>
      <c r="C362" s="1363">
        <f>IF('TAR_Tab 2_Volumina'!M365,1,0)</f>
        <v>0</v>
      </c>
      <c r="D362" s="1527">
        <v>0</v>
      </c>
      <c r="E362" s="1528">
        <f t="shared" si="57"/>
        <v>0</v>
      </c>
      <c r="F362" s="1528">
        <f t="shared" si="58"/>
        <v>0</v>
      </c>
      <c r="G362" s="1531"/>
      <c r="H362" s="1528">
        <f t="shared" si="59"/>
        <v>0</v>
      </c>
      <c r="I362" s="1528">
        <f t="shared" si="60"/>
        <v>0</v>
      </c>
      <c r="J362" s="1532">
        <f t="shared" si="62"/>
        <v>0</v>
      </c>
      <c r="K362" s="1369" t="str">
        <f t="shared" si="63"/>
        <v/>
      </c>
      <c r="L362" s="1558"/>
      <c r="M362" s="1364"/>
      <c r="N362" s="1371">
        <f t="shared" si="64"/>
        <v>0</v>
      </c>
      <c r="O362" s="1372"/>
      <c r="P362" s="1371">
        <f t="shared" si="56"/>
        <v>0</v>
      </c>
      <c r="Q362" s="1371">
        <f t="shared" si="56"/>
        <v>0</v>
      </c>
      <c r="R362" s="1371">
        <f t="shared" si="56"/>
        <v>0</v>
      </c>
      <c r="S362" s="1371">
        <f t="shared" si="56"/>
        <v>0</v>
      </c>
      <c r="T362" s="1371">
        <f t="shared" si="56"/>
        <v>0</v>
      </c>
      <c r="U362" s="1371">
        <f t="shared" si="61"/>
        <v>0</v>
      </c>
      <c r="V362" s="1373">
        <f t="shared" si="65"/>
        <v>0</v>
      </c>
      <c r="W362" s="960"/>
    </row>
    <row r="363" spans="1:23">
      <c r="A363" s="918">
        <v>300942</v>
      </c>
      <c r="B363" s="919" t="s">
        <v>228</v>
      </c>
      <c r="C363" s="1363">
        <f>IF('TAR_Tab 2_Volumina'!M366,1,0)</f>
        <v>1</v>
      </c>
      <c r="D363" s="1527">
        <v>17726.04489529389</v>
      </c>
      <c r="E363" s="1528">
        <f t="shared" si="57"/>
        <v>16903.556412152255</v>
      </c>
      <c r="F363" s="1528">
        <f t="shared" si="58"/>
        <v>17861.01390568259</v>
      </c>
      <c r="G363" s="1531"/>
      <c r="H363" s="1528">
        <f t="shared" si="59"/>
        <v>16967.963210398459</v>
      </c>
      <c r="I363" s="1528">
        <f t="shared" si="60"/>
        <v>18754.064600966722</v>
      </c>
      <c r="J363" s="1532">
        <f t="shared" si="62"/>
        <v>17861.01390568259</v>
      </c>
      <c r="K363" s="1369" t="b">
        <f t="shared" si="63"/>
        <v>1</v>
      </c>
      <c r="L363" s="1558"/>
      <c r="M363" s="1364"/>
      <c r="N363" s="1371">
        <f t="shared" si="64"/>
        <v>17861.01390568259</v>
      </c>
      <c r="O363" s="1372"/>
      <c r="P363" s="1371">
        <f t="shared" si="56"/>
        <v>56.167947152971543</v>
      </c>
      <c r="Q363" s="1371">
        <f t="shared" si="56"/>
        <v>44.520984859919338</v>
      </c>
      <c r="R363" s="1371">
        <f t="shared" si="56"/>
        <v>123.12413435904286</v>
      </c>
      <c r="S363" s="1371">
        <f t="shared" si="56"/>
        <v>0</v>
      </c>
      <c r="T363" s="1371">
        <f t="shared" si="56"/>
        <v>1155.1357038717852</v>
      </c>
      <c r="U363" s="1371">
        <f t="shared" si="61"/>
        <v>19239.962675926312</v>
      </c>
      <c r="V363" s="1373">
        <f t="shared" si="65"/>
        <v>19239.96</v>
      </c>
      <c r="W363" s="960"/>
    </row>
    <row r="364" spans="1:23">
      <c r="A364" s="918">
        <v>300952</v>
      </c>
      <c r="B364" s="919" t="s">
        <v>229</v>
      </c>
      <c r="C364" s="1363">
        <f>IF('TAR_Tab 2_Volumina'!M367,1,0)</f>
        <v>1</v>
      </c>
      <c r="D364" s="1527">
        <v>17726.04489529389</v>
      </c>
      <c r="E364" s="1528">
        <f t="shared" si="57"/>
        <v>16903.556412152255</v>
      </c>
      <c r="F364" s="1528">
        <f t="shared" si="58"/>
        <v>17861.01390568259</v>
      </c>
      <c r="G364" s="1531"/>
      <c r="H364" s="1528">
        <f t="shared" si="59"/>
        <v>16967.963210398459</v>
      </c>
      <c r="I364" s="1528">
        <f t="shared" si="60"/>
        <v>18754.064600966722</v>
      </c>
      <c r="J364" s="1532">
        <f t="shared" si="62"/>
        <v>17861.01390568259</v>
      </c>
      <c r="K364" s="1369" t="b">
        <f t="shared" si="63"/>
        <v>1</v>
      </c>
      <c r="L364" s="1558"/>
      <c r="M364" s="1364"/>
      <c r="N364" s="1371">
        <f t="shared" si="64"/>
        <v>17861.01390568259</v>
      </c>
      <c r="O364" s="1372"/>
      <c r="P364" s="1371">
        <f t="shared" si="56"/>
        <v>56.167947152971543</v>
      </c>
      <c r="Q364" s="1371">
        <f t="shared" si="56"/>
        <v>44.520984859919338</v>
      </c>
      <c r="R364" s="1371">
        <f t="shared" si="56"/>
        <v>123.12413435904286</v>
      </c>
      <c r="S364" s="1371">
        <f t="shared" si="56"/>
        <v>0</v>
      </c>
      <c r="T364" s="1371">
        <f t="shared" si="56"/>
        <v>1155.1357038717852</v>
      </c>
      <c r="U364" s="1371">
        <f t="shared" si="61"/>
        <v>19239.962675926312</v>
      </c>
      <c r="V364" s="1373">
        <f t="shared" si="65"/>
        <v>19239.96</v>
      </c>
      <c r="W364" s="960"/>
    </row>
    <row r="365" spans="1:23">
      <c r="A365" s="918">
        <v>300954</v>
      </c>
      <c r="B365" s="919" t="s">
        <v>341</v>
      </c>
      <c r="C365" s="1363">
        <f>IF('TAR_Tab 2_Volumina'!M368,1,0)</f>
        <v>1</v>
      </c>
      <c r="D365" s="1527">
        <v>17726.04489529389</v>
      </c>
      <c r="E365" s="1528">
        <f t="shared" si="57"/>
        <v>16903.556412152255</v>
      </c>
      <c r="F365" s="1528">
        <f t="shared" si="58"/>
        <v>17861.01390568259</v>
      </c>
      <c r="G365" s="1531"/>
      <c r="H365" s="1528">
        <f t="shared" si="59"/>
        <v>16967.963210398459</v>
      </c>
      <c r="I365" s="1528">
        <f t="shared" si="60"/>
        <v>18754.064600966722</v>
      </c>
      <c r="J365" s="1532">
        <f t="shared" si="62"/>
        <v>17861.01390568259</v>
      </c>
      <c r="K365" s="1369" t="b">
        <f t="shared" si="63"/>
        <v>1</v>
      </c>
      <c r="L365" s="1558"/>
      <c r="M365" s="1364"/>
      <c r="N365" s="1371">
        <f t="shared" si="64"/>
        <v>17861.01390568259</v>
      </c>
      <c r="O365" s="1372"/>
      <c r="P365" s="1371">
        <f t="shared" si="56"/>
        <v>56.167947152971543</v>
      </c>
      <c r="Q365" s="1371">
        <f t="shared" si="56"/>
        <v>44.520984859919338</v>
      </c>
      <c r="R365" s="1371">
        <f t="shared" si="56"/>
        <v>123.12413435904286</v>
      </c>
      <c r="S365" s="1371">
        <f t="shared" si="56"/>
        <v>0</v>
      </c>
      <c r="T365" s="1371">
        <f t="shared" si="56"/>
        <v>1155.1357038717852</v>
      </c>
      <c r="U365" s="1371">
        <f t="shared" si="61"/>
        <v>19239.962675926312</v>
      </c>
      <c r="V365" s="1373">
        <f t="shared" si="65"/>
        <v>19239.96</v>
      </c>
      <c r="W365" s="960"/>
    </row>
    <row r="366" spans="1:23">
      <c r="A366" s="918">
        <v>300958</v>
      </c>
      <c r="B366" s="919" t="s">
        <v>230</v>
      </c>
      <c r="C366" s="1363">
        <f>IF('TAR_Tab 2_Volumina'!M369,1,0)</f>
        <v>1</v>
      </c>
      <c r="D366" s="1527">
        <v>17726.04489529389</v>
      </c>
      <c r="E366" s="1528">
        <f t="shared" si="57"/>
        <v>16903.556412152255</v>
      </c>
      <c r="F366" s="1528">
        <f t="shared" si="58"/>
        <v>17861.01390568259</v>
      </c>
      <c r="G366" s="1531"/>
      <c r="H366" s="1528">
        <f t="shared" si="59"/>
        <v>16967.963210398459</v>
      </c>
      <c r="I366" s="1528">
        <f t="shared" si="60"/>
        <v>18754.064600966722</v>
      </c>
      <c r="J366" s="1532">
        <f t="shared" si="62"/>
        <v>17861.01390568259</v>
      </c>
      <c r="K366" s="1369" t="b">
        <f t="shared" si="63"/>
        <v>1</v>
      </c>
      <c r="L366" s="1558"/>
      <c r="M366" s="1364"/>
      <c r="N366" s="1371">
        <f t="shared" si="64"/>
        <v>17861.01390568259</v>
      </c>
      <c r="O366" s="1372"/>
      <c r="P366" s="1371">
        <f t="shared" si="56"/>
        <v>56.167947152971543</v>
      </c>
      <c r="Q366" s="1371">
        <f t="shared" si="56"/>
        <v>44.520984859919338</v>
      </c>
      <c r="R366" s="1371">
        <f t="shared" si="56"/>
        <v>123.12413435904286</v>
      </c>
      <c r="S366" s="1371">
        <f t="shared" si="56"/>
        <v>0</v>
      </c>
      <c r="T366" s="1371">
        <f t="shared" si="56"/>
        <v>1155.1357038717852</v>
      </c>
      <c r="U366" s="1371">
        <f t="shared" si="61"/>
        <v>19239.962675926312</v>
      </c>
      <c r="V366" s="1373">
        <f t="shared" si="65"/>
        <v>19239.96</v>
      </c>
      <c r="W366" s="960"/>
    </row>
    <row r="367" spans="1:23">
      <c r="A367" s="918">
        <v>300965</v>
      </c>
      <c r="B367" s="919" t="s">
        <v>231</v>
      </c>
      <c r="C367" s="1363">
        <f>IF('TAR_Tab 2_Volumina'!M370,1,0)</f>
        <v>1</v>
      </c>
      <c r="D367" s="1527">
        <v>17726.04489529389</v>
      </c>
      <c r="E367" s="1528">
        <f t="shared" si="57"/>
        <v>16903.556412152255</v>
      </c>
      <c r="F367" s="1528">
        <f t="shared" si="58"/>
        <v>17861.01390568259</v>
      </c>
      <c r="G367" s="1531"/>
      <c r="H367" s="1528">
        <f t="shared" si="59"/>
        <v>16967.963210398459</v>
      </c>
      <c r="I367" s="1528">
        <f t="shared" si="60"/>
        <v>18754.064600966722</v>
      </c>
      <c r="J367" s="1532">
        <f t="shared" si="62"/>
        <v>17861.01390568259</v>
      </c>
      <c r="K367" s="1369" t="b">
        <f t="shared" si="63"/>
        <v>1</v>
      </c>
      <c r="L367" s="1558"/>
      <c r="M367" s="1364"/>
      <c r="N367" s="1371">
        <f t="shared" si="64"/>
        <v>17861.01390568259</v>
      </c>
      <c r="O367" s="1372"/>
      <c r="P367" s="1371">
        <f t="shared" si="56"/>
        <v>56.167947152971543</v>
      </c>
      <c r="Q367" s="1371">
        <f t="shared" si="56"/>
        <v>44.520984859919338</v>
      </c>
      <c r="R367" s="1371">
        <f t="shared" si="56"/>
        <v>123.12413435904286</v>
      </c>
      <c r="S367" s="1371">
        <f t="shared" si="56"/>
        <v>0</v>
      </c>
      <c r="T367" s="1371">
        <f t="shared" si="56"/>
        <v>1155.1357038717852</v>
      </c>
      <c r="U367" s="1371">
        <f t="shared" si="61"/>
        <v>19239.962675926312</v>
      </c>
      <c r="V367" s="1373">
        <f t="shared" si="65"/>
        <v>19239.96</v>
      </c>
      <c r="W367" s="960"/>
    </row>
    <row r="368" spans="1:23">
      <c r="A368" s="918">
        <v>300968</v>
      </c>
      <c r="B368" s="919" t="s">
        <v>232</v>
      </c>
      <c r="C368" s="1363">
        <f>IF('TAR_Tab 2_Volumina'!M371,1,0)</f>
        <v>0</v>
      </c>
      <c r="D368" s="1527">
        <v>0</v>
      </c>
      <c r="E368" s="1528">
        <f t="shared" si="57"/>
        <v>0</v>
      </c>
      <c r="F368" s="1528">
        <f t="shared" si="58"/>
        <v>0</v>
      </c>
      <c r="G368" s="1531"/>
      <c r="H368" s="1528">
        <f t="shared" si="59"/>
        <v>0</v>
      </c>
      <c r="I368" s="1528">
        <f t="shared" si="60"/>
        <v>0</v>
      </c>
      <c r="J368" s="1532">
        <f t="shared" si="62"/>
        <v>0</v>
      </c>
      <c r="K368" s="1369" t="str">
        <f t="shared" si="63"/>
        <v/>
      </c>
      <c r="L368" s="1558"/>
      <c r="M368" s="1364"/>
      <c r="N368" s="1371">
        <f t="shared" si="64"/>
        <v>0</v>
      </c>
      <c r="O368" s="1372"/>
      <c r="P368" s="1371">
        <f t="shared" si="56"/>
        <v>0</v>
      </c>
      <c r="Q368" s="1371">
        <f t="shared" si="56"/>
        <v>0</v>
      </c>
      <c r="R368" s="1371">
        <f t="shared" si="56"/>
        <v>0</v>
      </c>
      <c r="S368" s="1371">
        <f t="shared" si="56"/>
        <v>0</v>
      </c>
      <c r="T368" s="1371">
        <f t="shared" si="56"/>
        <v>0</v>
      </c>
      <c r="U368" s="1371">
        <f t="shared" si="61"/>
        <v>0</v>
      </c>
      <c r="V368" s="1373">
        <f t="shared" si="65"/>
        <v>0</v>
      </c>
      <c r="W368" s="960"/>
    </row>
    <row r="369" spans="1:23">
      <c r="A369" s="918">
        <v>300975</v>
      </c>
      <c r="B369" s="919" t="s">
        <v>1112</v>
      </c>
      <c r="C369" s="1363">
        <f>IF('TAR_Tab 2_Volumina'!M372,1,0)</f>
        <v>0</v>
      </c>
      <c r="D369" s="1527">
        <v>0</v>
      </c>
      <c r="E369" s="1528">
        <f t="shared" si="57"/>
        <v>0</v>
      </c>
      <c r="F369" s="1528">
        <f t="shared" si="58"/>
        <v>0</v>
      </c>
      <c r="G369" s="1531"/>
      <c r="H369" s="1528">
        <f t="shared" si="59"/>
        <v>0</v>
      </c>
      <c r="I369" s="1528">
        <f t="shared" si="60"/>
        <v>0</v>
      </c>
      <c r="J369" s="1532">
        <f t="shared" si="62"/>
        <v>0</v>
      </c>
      <c r="K369" s="1369" t="str">
        <f t="shared" si="63"/>
        <v/>
      </c>
      <c r="L369" s="1558"/>
      <c r="M369" s="1364"/>
      <c r="N369" s="1371">
        <f t="shared" si="64"/>
        <v>0</v>
      </c>
      <c r="O369" s="1372"/>
      <c r="P369" s="1371">
        <f t="shared" si="56"/>
        <v>0</v>
      </c>
      <c r="Q369" s="1371">
        <f t="shared" si="56"/>
        <v>0</v>
      </c>
      <c r="R369" s="1371">
        <f t="shared" si="56"/>
        <v>0</v>
      </c>
      <c r="S369" s="1371">
        <f t="shared" si="56"/>
        <v>0</v>
      </c>
      <c r="T369" s="1371">
        <f t="shared" si="56"/>
        <v>0</v>
      </c>
      <c r="U369" s="1371">
        <f t="shared" si="61"/>
        <v>0</v>
      </c>
      <c r="V369" s="1373">
        <f t="shared" si="65"/>
        <v>0</v>
      </c>
      <c r="W369" s="960"/>
    </row>
    <row r="370" spans="1:23">
      <c r="A370" s="918">
        <v>300982</v>
      </c>
      <c r="B370" s="919" t="s">
        <v>233</v>
      </c>
      <c r="C370" s="1363">
        <f>IF('TAR_Tab 2_Volumina'!M373,1,0)</f>
        <v>0</v>
      </c>
      <c r="D370" s="1527">
        <v>0</v>
      </c>
      <c r="E370" s="1528">
        <f t="shared" si="57"/>
        <v>0</v>
      </c>
      <c r="F370" s="1528">
        <f t="shared" si="58"/>
        <v>0</v>
      </c>
      <c r="G370" s="1531"/>
      <c r="H370" s="1528">
        <f t="shared" si="59"/>
        <v>0</v>
      </c>
      <c r="I370" s="1528">
        <f t="shared" si="60"/>
        <v>0</v>
      </c>
      <c r="J370" s="1532">
        <f t="shared" si="62"/>
        <v>0</v>
      </c>
      <c r="K370" s="1369" t="str">
        <f t="shared" si="63"/>
        <v/>
      </c>
      <c r="L370" s="1558"/>
      <c r="M370" s="1364"/>
      <c r="N370" s="1371">
        <f t="shared" si="64"/>
        <v>0</v>
      </c>
      <c r="O370" s="1372"/>
      <c r="P370" s="1371">
        <f t="shared" si="56"/>
        <v>0</v>
      </c>
      <c r="Q370" s="1371">
        <f t="shared" si="56"/>
        <v>0</v>
      </c>
      <c r="R370" s="1371">
        <f t="shared" si="56"/>
        <v>0</v>
      </c>
      <c r="S370" s="1371">
        <f t="shared" si="56"/>
        <v>0</v>
      </c>
      <c r="T370" s="1371">
        <f t="shared" si="56"/>
        <v>0</v>
      </c>
      <c r="U370" s="1371">
        <f t="shared" si="61"/>
        <v>0</v>
      </c>
      <c r="V370" s="1373">
        <f t="shared" si="65"/>
        <v>0</v>
      </c>
      <c r="W370" s="960"/>
    </row>
    <row r="371" spans="1:23">
      <c r="A371" s="918">
        <v>300983</v>
      </c>
      <c r="B371" s="919" t="s">
        <v>342</v>
      </c>
      <c r="C371" s="1363">
        <f>IF('TAR_Tab 2_Volumina'!M374,1,0)</f>
        <v>0</v>
      </c>
      <c r="D371" s="1527">
        <v>0</v>
      </c>
      <c r="E371" s="1528">
        <f t="shared" si="57"/>
        <v>0</v>
      </c>
      <c r="F371" s="1528">
        <f t="shared" si="58"/>
        <v>0</v>
      </c>
      <c r="G371" s="1531"/>
      <c r="H371" s="1528">
        <f t="shared" si="59"/>
        <v>0</v>
      </c>
      <c r="I371" s="1528">
        <f t="shared" si="60"/>
        <v>0</v>
      </c>
      <c r="J371" s="1532">
        <f t="shared" si="62"/>
        <v>0</v>
      </c>
      <c r="K371" s="1369" t="str">
        <f t="shared" si="63"/>
        <v/>
      </c>
      <c r="L371" s="1558"/>
      <c r="M371" s="1364"/>
      <c r="N371" s="1371">
        <f t="shared" si="64"/>
        <v>0</v>
      </c>
      <c r="O371" s="1372"/>
      <c r="P371" s="1371">
        <f t="shared" si="56"/>
        <v>0</v>
      </c>
      <c r="Q371" s="1371">
        <f t="shared" si="56"/>
        <v>0</v>
      </c>
      <c r="R371" s="1371">
        <f t="shared" si="56"/>
        <v>0</v>
      </c>
      <c r="S371" s="1371">
        <f t="shared" si="56"/>
        <v>0</v>
      </c>
      <c r="T371" s="1371">
        <f t="shared" si="56"/>
        <v>0</v>
      </c>
      <c r="U371" s="1371">
        <f t="shared" si="61"/>
        <v>0</v>
      </c>
      <c r="V371" s="1373">
        <f t="shared" si="65"/>
        <v>0</v>
      </c>
      <c r="W371" s="960"/>
    </row>
    <row r="372" spans="1:23">
      <c r="A372" s="918">
        <v>300989</v>
      </c>
      <c r="B372" s="919" t="s">
        <v>117</v>
      </c>
      <c r="C372" s="1363">
        <f>IF('TAR_Tab 2_Volumina'!M375,1,0)</f>
        <v>0</v>
      </c>
      <c r="D372" s="1527">
        <v>0</v>
      </c>
      <c r="E372" s="1528">
        <f t="shared" si="57"/>
        <v>0</v>
      </c>
      <c r="F372" s="1528">
        <f t="shared" si="58"/>
        <v>0</v>
      </c>
      <c r="G372" s="1531"/>
      <c r="H372" s="1528">
        <f t="shared" si="59"/>
        <v>0</v>
      </c>
      <c r="I372" s="1528">
        <f t="shared" si="60"/>
        <v>0</v>
      </c>
      <c r="J372" s="1532">
        <f t="shared" si="62"/>
        <v>0</v>
      </c>
      <c r="K372" s="1369" t="str">
        <f t="shared" si="63"/>
        <v/>
      </c>
      <c r="L372" s="1558"/>
      <c r="M372" s="1364"/>
      <c r="N372" s="1371">
        <f t="shared" si="64"/>
        <v>0</v>
      </c>
      <c r="O372" s="1372"/>
      <c r="P372" s="1371">
        <f t="shared" si="56"/>
        <v>0</v>
      </c>
      <c r="Q372" s="1371">
        <f t="shared" si="56"/>
        <v>0</v>
      </c>
      <c r="R372" s="1371">
        <f t="shared" si="56"/>
        <v>0</v>
      </c>
      <c r="S372" s="1371">
        <f t="shared" si="56"/>
        <v>0</v>
      </c>
      <c r="T372" s="1371">
        <f t="shared" si="56"/>
        <v>0</v>
      </c>
      <c r="U372" s="1371">
        <f t="shared" si="61"/>
        <v>0</v>
      </c>
      <c r="V372" s="1373">
        <f t="shared" si="65"/>
        <v>0</v>
      </c>
      <c r="W372" s="960"/>
    </row>
    <row r="373" spans="1:23">
      <c r="A373" s="918">
        <v>300991</v>
      </c>
      <c r="B373" s="919" t="s">
        <v>234</v>
      </c>
      <c r="C373" s="1363">
        <f>IF('TAR_Tab 2_Volumina'!M376,1,0)</f>
        <v>0</v>
      </c>
      <c r="D373" s="1527">
        <v>0</v>
      </c>
      <c r="E373" s="1528">
        <f t="shared" si="57"/>
        <v>0</v>
      </c>
      <c r="F373" s="1528">
        <f t="shared" si="58"/>
        <v>0</v>
      </c>
      <c r="G373" s="1531"/>
      <c r="H373" s="1528">
        <f t="shared" si="59"/>
        <v>0</v>
      </c>
      <c r="I373" s="1528">
        <f t="shared" si="60"/>
        <v>0</v>
      </c>
      <c r="J373" s="1532">
        <f t="shared" si="62"/>
        <v>0</v>
      </c>
      <c r="K373" s="1369" t="str">
        <f t="shared" si="63"/>
        <v/>
      </c>
      <c r="L373" s="1558"/>
      <c r="M373" s="1364"/>
      <c r="N373" s="1371">
        <f t="shared" si="64"/>
        <v>0</v>
      </c>
      <c r="O373" s="1372"/>
      <c r="P373" s="1371">
        <f t="shared" si="56"/>
        <v>0</v>
      </c>
      <c r="Q373" s="1371">
        <f t="shared" si="56"/>
        <v>0</v>
      </c>
      <c r="R373" s="1371">
        <f t="shared" si="56"/>
        <v>0</v>
      </c>
      <c r="S373" s="1371">
        <f t="shared" si="56"/>
        <v>0</v>
      </c>
      <c r="T373" s="1371">
        <f t="shared" si="56"/>
        <v>0</v>
      </c>
      <c r="U373" s="1371">
        <f t="shared" si="61"/>
        <v>0</v>
      </c>
      <c r="V373" s="1373">
        <f t="shared" si="65"/>
        <v>0</v>
      </c>
      <c r="W373" s="960"/>
    </row>
    <row r="374" spans="1:23">
      <c r="A374" s="918">
        <v>300997</v>
      </c>
      <c r="B374" s="919" t="s">
        <v>118</v>
      </c>
      <c r="C374" s="1363">
        <f>IF('TAR_Tab 2_Volumina'!M377,1,0)</f>
        <v>0</v>
      </c>
      <c r="D374" s="1527">
        <v>0</v>
      </c>
      <c r="E374" s="1528">
        <f t="shared" si="57"/>
        <v>0</v>
      </c>
      <c r="F374" s="1528">
        <f t="shared" si="58"/>
        <v>0</v>
      </c>
      <c r="G374" s="1531"/>
      <c r="H374" s="1528">
        <f t="shared" si="59"/>
        <v>0</v>
      </c>
      <c r="I374" s="1528">
        <f t="shared" si="60"/>
        <v>0</v>
      </c>
      <c r="J374" s="1532">
        <f t="shared" si="62"/>
        <v>0</v>
      </c>
      <c r="K374" s="1369" t="str">
        <f t="shared" si="63"/>
        <v/>
      </c>
      <c r="L374" s="1558"/>
      <c r="M374" s="1364"/>
      <c r="N374" s="1371">
        <f t="shared" si="64"/>
        <v>0</v>
      </c>
      <c r="O374" s="1372"/>
      <c r="P374" s="1371">
        <f t="shared" si="56"/>
        <v>0</v>
      </c>
      <c r="Q374" s="1371">
        <f t="shared" si="56"/>
        <v>0</v>
      </c>
      <c r="R374" s="1371">
        <f t="shared" si="56"/>
        <v>0</v>
      </c>
      <c r="S374" s="1371">
        <f t="shared" si="56"/>
        <v>0</v>
      </c>
      <c r="T374" s="1371">
        <f t="shared" si="56"/>
        <v>0</v>
      </c>
      <c r="U374" s="1371">
        <f t="shared" si="61"/>
        <v>0</v>
      </c>
      <c r="V374" s="1373">
        <f t="shared" si="65"/>
        <v>0</v>
      </c>
      <c r="W374" s="960"/>
    </row>
    <row r="375" spans="1:23">
      <c r="A375" s="918">
        <v>300998</v>
      </c>
      <c r="B375" s="919" t="s">
        <v>1113</v>
      </c>
      <c r="C375" s="1363">
        <f>IF('TAR_Tab 2_Volumina'!M378,1,0)</f>
        <v>0</v>
      </c>
      <c r="D375" s="1527">
        <v>0</v>
      </c>
      <c r="E375" s="1528">
        <f t="shared" si="57"/>
        <v>0</v>
      </c>
      <c r="F375" s="1528">
        <f t="shared" si="58"/>
        <v>0</v>
      </c>
      <c r="G375" s="1531"/>
      <c r="H375" s="1528">
        <f t="shared" si="59"/>
        <v>0</v>
      </c>
      <c r="I375" s="1528">
        <f t="shared" si="60"/>
        <v>0</v>
      </c>
      <c r="J375" s="1532">
        <f t="shared" si="62"/>
        <v>0</v>
      </c>
      <c r="K375" s="1369" t="str">
        <f t="shared" si="63"/>
        <v/>
      </c>
      <c r="L375" s="1558"/>
      <c r="M375" s="1364"/>
      <c r="N375" s="1371">
        <f t="shared" si="64"/>
        <v>0</v>
      </c>
      <c r="O375" s="1372"/>
      <c r="P375" s="1371">
        <f t="shared" si="56"/>
        <v>0</v>
      </c>
      <c r="Q375" s="1371">
        <f t="shared" si="56"/>
        <v>0</v>
      </c>
      <c r="R375" s="1371">
        <f t="shared" si="56"/>
        <v>0</v>
      </c>
      <c r="S375" s="1371">
        <f t="shared" si="56"/>
        <v>0</v>
      </c>
      <c r="T375" s="1371">
        <f t="shared" si="56"/>
        <v>0</v>
      </c>
      <c r="U375" s="1371">
        <f t="shared" si="61"/>
        <v>0</v>
      </c>
      <c r="V375" s="1373">
        <f t="shared" si="65"/>
        <v>0</v>
      </c>
      <c r="W375" s="960"/>
    </row>
    <row r="376" spans="1:23">
      <c r="A376" s="918">
        <v>301001</v>
      </c>
      <c r="B376" s="919" t="s">
        <v>1114</v>
      </c>
      <c r="C376" s="1363">
        <f>IF('TAR_Tab 2_Volumina'!M379,1,0)</f>
        <v>1</v>
      </c>
      <c r="D376" s="1527">
        <v>17726.04489529389</v>
      </c>
      <c r="E376" s="1528">
        <f t="shared" si="57"/>
        <v>16903.556412152255</v>
      </c>
      <c r="F376" s="1528">
        <f t="shared" si="58"/>
        <v>17861.01390568259</v>
      </c>
      <c r="G376" s="1531"/>
      <c r="H376" s="1528">
        <f t="shared" si="59"/>
        <v>16967.963210398459</v>
      </c>
      <c r="I376" s="1528">
        <f t="shared" si="60"/>
        <v>18754.064600966722</v>
      </c>
      <c r="J376" s="1532">
        <f t="shared" si="62"/>
        <v>17861.01390568259</v>
      </c>
      <c r="K376" s="1369" t="b">
        <f t="shared" si="63"/>
        <v>1</v>
      </c>
      <c r="L376" s="1558"/>
      <c r="M376" s="1364"/>
      <c r="N376" s="1371">
        <f t="shared" si="64"/>
        <v>17861.01390568259</v>
      </c>
      <c r="O376" s="1372"/>
      <c r="P376" s="1371">
        <f t="shared" si="56"/>
        <v>56.167947152971543</v>
      </c>
      <c r="Q376" s="1371">
        <f t="shared" si="56"/>
        <v>44.520984859919338</v>
      </c>
      <c r="R376" s="1371">
        <f t="shared" si="56"/>
        <v>123.12413435904286</v>
      </c>
      <c r="S376" s="1371">
        <f t="shared" si="56"/>
        <v>0</v>
      </c>
      <c r="T376" s="1371">
        <f t="shared" si="56"/>
        <v>1155.1357038717852</v>
      </c>
      <c r="U376" s="1371">
        <f t="shared" si="61"/>
        <v>19239.962675926312</v>
      </c>
      <c r="V376" s="1373">
        <f t="shared" si="65"/>
        <v>19239.96</v>
      </c>
      <c r="W376" s="960"/>
    </row>
    <row r="377" spans="1:23">
      <c r="A377" s="918">
        <v>301002</v>
      </c>
      <c r="B377" s="919" t="s">
        <v>343</v>
      </c>
      <c r="C377" s="1363">
        <f>IF('TAR_Tab 2_Volumina'!M380,1,0)</f>
        <v>0</v>
      </c>
      <c r="D377" s="1527">
        <v>0</v>
      </c>
      <c r="E377" s="1528">
        <f t="shared" si="57"/>
        <v>0</v>
      </c>
      <c r="F377" s="1528">
        <f t="shared" si="58"/>
        <v>0</v>
      </c>
      <c r="G377" s="1531"/>
      <c r="H377" s="1528">
        <f t="shared" si="59"/>
        <v>0</v>
      </c>
      <c r="I377" s="1528">
        <f t="shared" si="60"/>
        <v>0</v>
      </c>
      <c r="J377" s="1532">
        <f t="shared" si="62"/>
        <v>0</v>
      </c>
      <c r="K377" s="1369" t="str">
        <f t="shared" si="63"/>
        <v/>
      </c>
      <c r="L377" s="1558"/>
      <c r="M377" s="1364"/>
      <c r="N377" s="1371">
        <f t="shared" si="64"/>
        <v>0</v>
      </c>
      <c r="O377" s="1372"/>
      <c r="P377" s="1371">
        <f t="shared" si="56"/>
        <v>0</v>
      </c>
      <c r="Q377" s="1371">
        <f t="shared" si="56"/>
        <v>0</v>
      </c>
      <c r="R377" s="1371">
        <f t="shared" si="56"/>
        <v>0</v>
      </c>
      <c r="S377" s="1371">
        <f t="shared" si="56"/>
        <v>0</v>
      </c>
      <c r="T377" s="1371">
        <f t="shared" si="56"/>
        <v>0</v>
      </c>
      <c r="U377" s="1371">
        <f t="shared" si="61"/>
        <v>0</v>
      </c>
      <c r="V377" s="1373">
        <f t="shared" si="65"/>
        <v>0</v>
      </c>
      <c r="W377" s="960"/>
    </row>
    <row r="378" spans="1:23">
      <c r="A378" s="918">
        <v>301006</v>
      </c>
      <c r="B378" s="919" t="s">
        <v>235</v>
      </c>
      <c r="C378" s="1363">
        <f>IF('TAR_Tab 2_Volumina'!M381,1,0)</f>
        <v>0</v>
      </c>
      <c r="D378" s="1527">
        <v>0</v>
      </c>
      <c r="E378" s="1528">
        <f t="shared" si="57"/>
        <v>0</v>
      </c>
      <c r="F378" s="1528">
        <f t="shared" si="58"/>
        <v>0</v>
      </c>
      <c r="G378" s="1531"/>
      <c r="H378" s="1528">
        <f t="shared" si="59"/>
        <v>0</v>
      </c>
      <c r="I378" s="1528">
        <f t="shared" si="60"/>
        <v>0</v>
      </c>
      <c r="J378" s="1532">
        <f t="shared" si="62"/>
        <v>0</v>
      </c>
      <c r="K378" s="1369" t="str">
        <f t="shared" si="63"/>
        <v/>
      </c>
      <c r="L378" s="1558"/>
      <c r="M378" s="1364"/>
      <c r="N378" s="1371">
        <f t="shared" si="64"/>
        <v>0</v>
      </c>
      <c r="O378" s="1372"/>
      <c r="P378" s="1371">
        <f t="shared" si="56"/>
        <v>0</v>
      </c>
      <c r="Q378" s="1371">
        <f t="shared" si="56"/>
        <v>0</v>
      </c>
      <c r="R378" s="1371">
        <f t="shared" si="56"/>
        <v>0</v>
      </c>
      <c r="S378" s="1371">
        <f t="shared" si="56"/>
        <v>0</v>
      </c>
      <c r="T378" s="1371">
        <f t="shared" si="56"/>
        <v>0</v>
      </c>
      <c r="U378" s="1371">
        <f t="shared" si="61"/>
        <v>0</v>
      </c>
      <c r="V378" s="1373">
        <f t="shared" si="65"/>
        <v>0</v>
      </c>
      <c r="W378" s="960"/>
    </row>
    <row r="379" spans="1:23">
      <c r="A379" s="918">
        <v>301009</v>
      </c>
      <c r="B379" s="919" t="s">
        <v>119</v>
      </c>
      <c r="C379" s="1363">
        <f>IF('TAR_Tab 2_Volumina'!M382,1,0)</f>
        <v>0</v>
      </c>
      <c r="D379" s="1527">
        <v>0</v>
      </c>
      <c r="E379" s="1528">
        <f t="shared" si="57"/>
        <v>0</v>
      </c>
      <c r="F379" s="1528">
        <f t="shared" si="58"/>
        <v>0</v>
      </c>
      <c r="G379" s="1531"/>
      <c r="H379" s="1528">
        <f t="shared" si="59"/>
        <v>0</v>
      </c>
      <c r="I379" s="1528">
        <f t="shared" si="60"/>
        <v>0</v>
      </c>
      <c r="J379" s="1532">
        <f t="shared" si="62"/>
        <v>0</v>
      </c>
      <c r="K379" s="1369" t="str">
        <f t="shared" si="63"/>
        <v/>
      </c>
      <c r="L379" s="1558"/>
      <c r="M379" s="1364"/>
      <c r="N379" s="1371">
        <f t="shared" si="64"/>
        <v>0</v>
      </c>
      <c r="O379" s="1372"/>
      <c r="P379" s="1371">
        <f t="shared" ref="P379:T429" si="66">P$7*$N379</f>
        <v>0</v>
      </c>
      <c r="Q379" s="1371">
        <f t="shared" si="66"/>
        <v>0</v>
      </c>
      <c r="R379" s="1371">
        <f t="shared" si="66"/>
        <v>0</v>
      </c>
      <c r="S379" s="1371">
        <f t="shared" si="66"/>
        <v>0</v>
      </c>
      <c r="T379" s="1371">
        <f t="shared" si="66"/>
        <v>0</v>
      </c>
      <c r="U379" s="1371">
        <f t="shared" si="61"/>
        <v>0</v>
      </c>
      <c r="V379" s="1373">
        <f t="shared" si="65"/>
        <v>0</v>
      </c>
      <c r="W379" s="960"/>
    </row>
    <row r="380" spans="1:23">
      <c r="A380" s="918">
        <v>301013</v>
      </c>
      <c r="B380" s="919" t="s">
        <v>236</v>
      </c>
      <c r="C380" s="1363">
        <f>IF('TAR_Tab 2_Volumina'!M383,1,0)</f>
        <v>0</v>
      </c>
      <c r="D380" s="1527">
        <v>0</v>
      </c>
      <c r="E380" s="1528">
        <f t="shared" si="57"/>
        <v>0</v>
      </c>
      <c r="F380" s="1528">
        <f t="shared" si="58"/>
        <v>0</v>
      </c>
      <c r="G380" s="1531"/>
      <c r="H380" s="1528">
        <f t="shared" si="59"/>
        <v>0</v>
      </c>
      <c r="I380" s="1528">
        <f t="shared" si="60"/>
        <v>0</v>
      </c>
      <c r="J380" s="1532">
        <f t="shared" si="62"/>
        <v>0</v>
      </c>
      <c r="K380" s="1369" t="str">
        <f t="shared" si="63"/>
        <v/>
      </c>
      <c r="L380" s="1558"/>
      <c r="M380" s="1364"/>
      <c r="N380" s="1371">
        <f t="shared" si="64"/>
        <v>0</v>
      </c>
      <c r="O380" s="1372"/>
      <c r="P380" s="1371">
        <f t="shared" si="66"/>
        <v>0</v>
      </c>
      <c r="Q380" s="1371">
        <f t="shared" si="66"/>
        <v>0</v>
      </c>
      <c r="R380" s="1371">
        <f t="shared" si="66"/>
        <v>0</v>
      </c>
      <c r="S380" s="1371">
        <f t="shared" si="66"/>
        <v>0</v>
      </c>
      <c r="T380" s="1371">
        <f t="shared" si="66"/>
        <v>0</v>
      </c>
      <c r="U380" s="1371">
        <f t="shared" si="61"/>
        <v>0</v>
      </c>
      <c r="V380" s="1373">
        <f t="shared" si="65"/>
        <v>0</v>
      </c>
      <c r="W380" s="960"/>
    </row>
    <row r="381" spans="1:23">
      <c r="A381" s="918">
        <v>301014</v>
      </c>
      <c r="B381" s="919" t="s">
        <v>237</v>
      </c>
      <c r="C381" s="1363">
        <f>IF('TAR_Tab 2_Volumina'!M384,1,0)</f>
        <v>0</v>
      </c>
      <c r="D381" s="1527">
        <v>0</v>
      </c>
      <c r="E381" s="1528">
        <f t="shared" si="57"/>
        <v>0</v>
      </c>
      <c r="F381" s="1528">
        <f t="shared" si="58"/>
        <v>0</v>
      </c>
      <c r="G381" s="1531"/>
      <c r="H381" s="1528">
        <f t="shared" si="59"/>
        <v>0</v>
      </c>
      <c r="I381" s="1528">
        <f t="shared" si="60"/>
        <v>0</v>
      </c>
      <c r="J381" s="1532">
        <f t="shared" si="62"/>
        <v>0</v>
      </c>
      <c r="K381" s="1369" t="str">
        <f t="shared" si="63"/>
        <v/>
      </c>
      <c r="L381" s="1558"/>
      <c r="M381" s="1364"/>
      <c r="N381" s="1371">
        <f t="shared" si="64"/>
        <v>0</v>
      </c>
      <c r="O381" s="1372"/>
      <c r="P381" s="1371">
        <f t="shared" si="66"/>
        <v>0</v>
      </c>
      <c r="Q381" s="1371">
        <f t="shared" si="66"/>
        <v>0</v>
      </c>
      <c r="R381" s="1371">
        <f t="shared" si="66"/>
        <v>0</v>
      </c>
      <c r="S381" s="1371">
        <f t="shared" si="66"/>
        <v>0</v>
      </c>
      <c r="T381" s="1371">
        <f t="shared" si="66"/>
        <v>0</v>
      </c>
      <c r="U381" s="1371">
        <f t="shared" si="61"/>
        <v>0</v>
      </c>
      <c r="V381" s="1373">
        <f t="shared" si="65"/>
        <v>0</v>
      </c>
      <c r="W381" s="960"/>
    </row>
    <row r="382" spans="1:23">
      <c r="A382" s="918">
        <v>301015</v>
      </c>
      <c r="B382" s="919" t="s">
        <v>238</v>
      </c>
      <c r="C382" s="1363">
        <f>IF('TAR_Tab 2_Volumina'!M385,1,0)</f>
        <v>0</v>
      </c>
      <c r="D382" s="1527">
        <v>0</v>
      </c>
      <c r="E382" s="1528">
        <f t="shared" si="57"/>
        <v>0</v>
      </c>
      <c r="F382" s="1528">
        <f t="shared" si="58"/>
        <v>0</v>
      </c>
      <c r="G382" s="1531"/>
      <c r="H382" s="1528">
        <f t="shared" si="59"/>
        <v>0</v>
      </c>
      <c r="I382" s="1528">
        <f t="shared" si="60"/>
        <v>0</v>
      </c>
      <c r="J382" s="1532">
        <f t="shared" si="62"/>
        <v>0</v>
      </c>
      <c r="K382" s="1369" t="str">
        <f t="shared" si="63"/>
        <v/>
      </c>
      <c r="L382" s="1558"/>
      <c r="M382" s="1364"/>
      <c r="N382" s="1371">
        <f t="shared" si="64"/>
        <v>0</v>
      </c>
      <c r="O382" s="1372"/>
      <c r="P382" s="1371">
        <f t="shared" si="66"/>
        <v>0</v>
      </c>
      <c r="Q382" s="1371">
        <f t="shared" si="66"/>
        <v>0</v>
      </c>
      <c r="R382" s="1371">
        <f t="shared" si="66"/>
        <v>0</v>
      </c>
      <c r="S382" s="1371">
        <f t="shared" si="66"/>
        <v>0</v>
      </c>
      <c r="T382" s="1371">
        <f t="shared" si="66"/>
        <v>0</v>
      </c>
      <c r="U382" s="1371">
        <f t="shared" si="61"/>
        <v>0</v>
      </c>
      <c r="V382" s="1373">
        <f t="shared" si="65"/>
        <v>0</v>
      </c>
      <c r="W382" s="960"/>
    </row>
    <row r="383" spans="1:23">
      <c r="A383" s="918">
        <v>301016</v>
      </c>
      <c r="B383" s="919" t="s">
        <v>344</v>
      </c>
      <c r="C383" s="1363">
        <f>IF('TAR_Tab 2_Volumina'!M386,1,0)</f>
        <v>0</v>
      </c>
      <c r="D383" s="1527">
        <v>0</v>
      </c>
      <c r="E383" s="1528">
        <f t="shared" si="57"/>
        <v>0</v>
      </c>
      <c r="F383" s="1528">
        <f t="shared" si="58"/>
        <v>0</v>
      </c>
      <c r="G383" s="1531"/>
      <c r="H383" s="1528">
        <f t="shared" si="59"/>
        <v>0</v>
      </c>
      <c r="I383" s="1528">
        <f t="shared" si="60"/>
        <v>0</v>
      </c>
      <c r="J383" s="1532">
        <f t="shared" si="62"/>
        <v>0</v>
      </c>
      <c r="K383" s="1369" t="str">
        <f t="shared" si="63"/>
        <v/>
      </c>
      <c r="L383" s="1558"/>
      <c r="M383" s="1364"/>
      <c r="N383" s="1371">
        <f t="shared" si="64"/>
        <v>0</v>
      </c>
      <c r="O383" s="1372"/>
      <c r="P383" s="1371">
        <f t="shared" si="66"/>
        <v>0</v>
      </c>
      <c r="Q383" s="1371">
        <f t="shared" si="66"/>
        <v>0</v>
      </c>
      <c r="R383" s="1371">
        <f t="shared" si="66"/>
        <v>0</v>
      </c>
      <c r="S383" s="1371">
        <f t="shared" si="66"/>
        <v>0</v>
      </c>
      <c r="T383" s="1371">
        <f t="shared" si="66"/>
        <v>0</v>
      </c>
      <c r="U383" s="1371">
        <f t="shared" si="61"/>
        <v>0</v>
      </c>
      <c r="V383" s="1373">
        <f t="shared" si="65"/>
        <v>0</v>
      </c>
      <c r="W383" s="960"/>
    </row>
    <row r="384" spans="1:23">
      <c r="A384" s="918">
        <v>301017</v>
      </c>
      <c r="B384" s="919" t="s">
        <v>345</v>
      </c>
      <c r="C384" s="1363">
        <f>IF('TAR_Tab 2_Volumina'!M387,1,0)</f>
        <v>0</v>
      </c>
      <c r="D384" s="1527">
        <v>0</v>
      </c>
      <c r="E384" s="1528">
        <f t="shared" si="57"/>
        <v>0</v>
      </c>
      <c r="F384" s="1528">
        <f t="shared" si="58"/>
        <v>0</v>
      </c>
      <c r="G384" s="1531"/>
      <c r="H384" s="1528">
        <f t="shared" si="59"/>
        <v>0</v>
      </c>
      <c r="I384" s="1528">
        <f t="shared" si="60"/>
        <v>0</v>
      </c>
      <c r="J384" s="1532">
        <f t="shared" si="62"/>
        <v>0</v>
      </c>
      <c r="K384" s="1369" t="str">
        <f t="shared" si="63"/>
        <v/>
      </c>
      <c r="L384" s="1558"/>
      <c r="M384" s="1364"/>
      <c r="N384" s="1371">
        <f t="shared" si="64"/>
        <v>0</v>
      </c>
      <c r="O384" s="1372"/>
      <c r="P384" s="1371">
        <f t="shared" si="66"/>
        <v>0</v>
      </c>
      <c r="Q384" s="1371">
        <f t="shared" si="66"/>
        <v>0</v>
      </c>
      <c r="R384" s="1371">
        <f t="shared" si="66"/>
        <v>0</v>
      </c>
      <c r="S384" s="1371">
        <f t="shared" si="66"/>
        <v>0</v>
      </c>
      <c r="T384" s="1371">
        <f t="shared" si="66"/>
        <v>0</v>
      </c>
      <c r="U384" s="1371">
        <f t="shared" si="61"/>
        <v>0</v>
      </c>
      <c r="V384" s="1373">
        <f t="shared" si="65"/>
        <v>0</v>
      </c>
      <c r="W384" s="960"/>
    </row>
    <row r="385" spans="1:23">
      <c r="A385" s="918">
        <v>301021</v>
      </c>
      <c r="B385" s="919" t="s">
        <v>239</v>
      </c>
      <c r="C385" s="1363">
        <f>IF('TAR_Tab 2_Volumina'!M388,1,0)</f>
        <v>0</v>
      </c>
      <c r="D385" s="1527">
        <v>0</v>
      </c>
      <c r="E385" s="1528">
        <f t="shared" si="57"/>
        <v>0</v>
      </c>
      <c r="F385" s="1528">
        <f t="shared" si="58"/>
        <v>0</v>
      </c>
      <c r="G385" s="1531"/>
      <c r="H385" s="1528">
        <f t="shared" si="59"/>
        <v>0</v>
      </c>
      <c r="I385" s="1528">
        <f t="shared" si="60"/>
        <v>0</v>
      </c>
      <c r="J385" s="1532">
        <f t="shared" si="62"/>
        <v>0</v>
      </c>
      <c r="K385" s="1369" t="str">
        <f t="shared" si="63"/>
        <v/>
      </c>
      <c r="L385" s="1558"/>
      <c r="M385" s="1364"/>
      <c r="N385" s="1371">
        <f t="shared" si="64"/>
        <v>0</v>
      </c>
      <c r="O385" s="1372"/>
      <c r="P385" s="1371">
        <f t="shared" si="66"/>
        <v>0</v>
      </c>
      <c r="Q385" s="1371">
        <f t="shared" si="66"/>
        <v>0</v>
      </c>
      <c r="R385" s="1371">
        <f t="shared" si="66"/>
        <v>0</v>
      </c>
      <c r="S385" s="1371">
        <f t="shared" si="66"/>
        <v>0</v>
      </c>
      <c r="T385" s="1371">
        <f t="shared" si="66"/>
        <v>0</v>
      </c>
      <c r="U385" s="1371">
        <f t="shared" si="61"/>
        <v>0</v>
      </c>
      <c r="V385" s="1373">
        <f t="shared" si="65"/>
        <v>0</v>
      </c>
      <c r="W385" s="960"/>
    </row>
    <row r="386" spans="1:23">
      <c r="A386" s="918">
        <v>301022</v>
      </c>
      <c r="B386" s="919" t="s">
        <v>120</v>
      </c>
      <c r="C386" s="1363">
        <f>IF('TAR_Tab 2_Volumina'!M389,1,0)</f>
        <v>0</v>
      </c>
      <c r="D386" s="1527">
        <v>0</v>
      </c>
      <c r="E386" s="1528">
        <f t="shared" si="57"/>
        <v>0</v>
      </c>
      <c r="F386" s="1528">
        <f t="shared" si="58"/>
        <v>0</v>
      </c>
      <c r="G386" s="1531"/>
      <c r="H386" s="1528">
        <f t="shared" si="59"/>
        <v>0</v>
      </c>
      <c r="I386" s="1528">
        <f t="shared" si="60"/>
        <v>0</v>
      </c>
      <c r="J386" s="1532">
        <f t="shared" si="62"/>
        <v>0</v>
      </c>
      <c r="K386" s="1369" t="str">
        <f t="shared" si="63"/>
        <v/>
      </c>
      <c r="L386" s="1558"/>
      <c r="M386" s="1364"/>
      <c r="N386" s="1371">
        <f t="shared" si="64"/>
        <v>0</v>
      </c>
      <c r="O386" s="1372"/>
      <c r="P386" s="1371">
        <f t="shared" si="66"/>
        <v>0</v>
      </c>
      <c r="Q386" s="1371">
        <f t="shared" si="66"/>
        <v>0</v>
      </c>
      <c r="R386" s="1371">
        <f t="shared" si="66"/>
        <v>0</v>
      </c>
      <c r="S386" s="1371">
        <f t="shared" si="66"/>
        <v>0</v>
      </c>
      <c r="T386" s="1371">
        <f t="shared" si="66"/>
        <v>0</v>
      </c>
      <c r="U386" s="1371">
        <f t="shared" si="61"/>
        <v>0</v>
      </c>
      <c r="V386" s="1373">
        <f t="shared" si="65"/>
        <v>0</v>
      </c>
      <c r="W386" s="960"/>
    </row>
    <row r="387" spans="1:23">
      <c r="A387" s="918">
        <v>301024</v>
      </c>
      <c r="B387" s="919" t="s">
        <v>240</v>
      </c>
      <c r="C387" s="1363">
        <f>IF('TAR_Tab 2_Volumina'!M390,1,0)</f>
        <v>0</v>
      </c>
      <c r="D387" s="1527">
        <v>0</v>
      </c>
      <c r="E387" s="1528">
        <f t="shared" si="57"/>
        <v>0</v>
      </c>
      <c r="F387" s="1528">
        <f t="shared" si="58"/>
        <v>0</v>
      </c>
      <c r="G387" s="1531"/>
      <c r="H387" s="1528">
        <f t="shared" si="59"/>
        <v>0</v>
      </c>
      <c r="I387" s="1528">
        <f t="shared" si="60"/>
        <v>0</v>
      </c>
      <c r="J387" s="1532">
        <f t="shared" si="62"/>
        <v>0</v>
      </c>
      <c r="K387" s="1369" t="str">
        <f t="shared" si="63"/>
        <v/>
      </c>
      <c r="L387" s="1558"/>
      <c r="M387" s="1364"/>
      <c r="N387" s="1371">
        <f t="shared" si="64"/>
        <v>0</v>
      </c>
      <c r="O387" s="1372"/>
      <c r="P387" s="1371">
        <f t="shared" si="66"/>
        <v>0</v>
      </c>
      <c r="Q387" s="1371">
        <f t="shared" si="66"/>
        <v>0</v>
      </c>
      <c r="R387" s="1371">
        <f t="shared" si="66"/>
        <v>0</v>
      </c>
      <c r="S387" s="1371">
        <f t="shared" si="66"/>
        <v>0</v>
      </c>
      <c r="T387" s="1371">
        <f t="shared" si="66"/>
        <v>0</v>
      </c>
      <c r="U387" s="1371">
        <f t="shared" si="61"/>
        <v>0</v>
      </c>
      <c r="V387" s="1373">
        <f t="shared" si="65"/>
        <v>0</v>
      </c>
      <c r="W387" s="960"/>
    </row>
    <row r="388" spans="1:23">
      <c r="A388" s="918">
        <v>301025</v>
      </c>
      <c r="B388" s="919" t="s">
        <v>241</v>
      </c>
      <c r="C388" s="1363">
        <f>IF('TAR_Tab 2_Volumina'!M391,1,0)</f>
        <v>0</v>
      </c>
      <c r="D388" s="1527">
        <v>0</v>
      </c>
      <c r="E388" s="1528">
        <f t="shared" si="57"/>
        <v>0</v>
      </c>
      <c r="F388" s="1528">
        <f t="shared" si="58"/>
        <v>0</v>
      </c>
      <c r="G388" s="1531"/>
      <c r="H388" s="1528">
        <f t="shared" si="59"/>
        <v>0</v>
      </c>
      <c r="I388" s="1528">
        <f t="shared" si="60"/>
        <v>0</v>
      </c>
      <c r="J388" s="1532">
        <f t="shared" si="62"/>
        <v>0</v>
      </c>
      <c r="K388" s="1369" t="str">
        <f t="shared" si="63"/>
        <v/>
      </c>
      <c r="L388" s="1558"/>
      <c r="M388" s="1364"/>
      <c r="N388" s="1371">
        <f t="shared" si="64"/>
        <v>0</v>
      </c>
      <c r="O388" s="1372"/>
      <c r="P388" s="1371">
        <f t="shared" si="66"/>
        <v>0</v>
      </c>
      <c r="Q388" s="1371">
        <f t="shared" si="66"/>
        <v>0</v>
      </c>
      <c r="R388" s="1371">
        <f t="shared" si="66"/>
        <v>0</v>
      </c>
      <c r="S388" s="1371">
        <f t="shared" si="66"/>
        <v>0</v>
      </c>
      <c r="T388" s="1371">
        <f t="shared" si="66"/>
        <v>0</v>
      </c>
      <c r="U388" s="1371">
        <f t="shared" si="61"/>
        <v>0</v>
      </c>
      <c r="V388" s="1373">
        <f t="shared" si="65"/>
        <v>0</v>
      </c>
      <c r="W388" s="960"/>
    </row>
    <row r="389" spans="1:23">
      <c r="A389" s="918">
        <v>301027</v>
      </c>
      <c r="B389" s="919" t="s">
        <v>1115</v>
      </c>
      <c r="C389" s="1363">
        <f>IF('TAR_Tab 2_Volumina'!M392,1,0)</f>
        <v>0</v>
      </c>
      <c r="D389" s="1527">
        <v>0</v>
      </c>
      <c r="E389" s="1528">
        <f t="shared" si="57"/>
        <v>0</v>
      </c>
      <c r="F389" s="1528">
        <f t="shared" si="58"/>
        <v>0</v>
      </c>
      <c r="G389" s="1531"/>
      <c r="H389" s="1528">
        <f t="shared" si="59"/>
        <v>0</v>
      </c>
      <c r="I389" s="1528">
        <f t="shared" si="60"/>
        <v>0</v>
      </c>
      <c r="J389" s="1532">
        <f t="shared" si="62"/>
        <v>0</v>
      </c>
      <c r="K389" s="1369" t="str">
        <f t="shared" si="63"/>
        <v/>
      </c>
      <c r="L389" s="1558"/>
      <c r="M389" s="1364"/>
      <c r="N389" s="1371">
        <f t="shared" si="64"/>
        <v>0</v>
      </c>
      <c r="O389" s="1372"/>
      <c r="P389" s="1371">
        <f t="shared" si="66"/>
        <v>0</v>
      </c>
      <c r="Q389" s="1371">
        <f t="shared" si="66"/>
        <v>0</v>
      </c>
      <c r="R389" s="1371">
        <f t="shared" si="66"/>
        <v>0</v>
      </c>
      <c r="S389" s="1371">
        <f t="shared" si="66"/>
        <v>0</v>
      </c>
      <c r="T389" s="1371">
        <f t="shared" si="66"/>
        <v>0</v>
      </c>
      <c r="U389" s="1371">
        <f t="shared" si="61"/>
        <v>0</v>
      </c>
      <c r="V389" s="1373">
        <f t="shared" ref="V389:V439" si="67">ROUND(U389,2)</f>
        <v>0</v>
      </c>
      <c r="W389" s="960"/>
    </row>
    <row r="390" spans="1:23">
      <c r="A390" s="918">
        <v>301028</v>
      </c>
      <c r="B390" s="919" t="s">
        <v>242</v>
      </c>
      <c r="C390" s="1363">
        <f>IF('TAR_Tab 2_Volumina'!M393,1,0)</f>
        <v>0</v>
      </c>
      <c r="D390" s="1527">
        <v>0</v>
      </c>
      <c r="E390" s="1528">
        <f t="shared" si="57"/>
        <v>0</v>
      </c>
      <c r="F390" s="1528">
        <f t="shared" si="58"/>
        <v>0</v>
      </c>
      <c r="G390" s="1531"/>
      <c r="H390" s="1528">
        <f t="shared" si="59"/>
        <v>0</v>
      </c>
      <c r="I390" s="1528">
        <f t="shared" si="60"/>
        <v>0</v>
      </c>
      <c r="J390" s="1532">
        <f t="shared" si="62"/>
        <v>0</v>
      </c>
      <c r="K390" s="1369" t="str">
        <f t="shared" si="63"/>
        <v/>
      </c>
      <c r="L390" s="1558"/>
      <c r="M390" s="1364"/>
      <c r="N390" s="1371">
        <f t="shared" ref="N390:N440" si="68">IF(J390&gt;0,J390,F390)</f>
        <v>0</v>
      </c>
      <c r="O390" s="1372"/>
      <c r="P390" s="1371">
        <f t="shared" si="66"/>
        <v>0</v>
      </c>
      <c r="Q390" s="1371">
        <f t="shared" si="66"/>
        <v>0</v>
      </c>
      <c r="R390" s="1371">
        <f t="shared" si="66"/>
        <v>0</v>
      </c>
      <c r="S390" s="1371">
        <f t="shared" si="66"/>
        <v>0</v>
      </c>
      <c r="T390" s="1371">
        <f t="shared" si="66"/>
        <v>0</v>
      </c>
      <c r="U390" s="1371">
        <f t="shared" si="61"/>
        <v>0</v>
      </c>
      <c r="V390" s="1373">
        <f t="shared" si="67"/>
        <v>0</v>
      </c>
      <c r="W390" s="960"/>
    </row>
    <row r="391" spans="1:23">
      <c r="A391" s="918">
        <v>301029</v>
      </c>
      <c r="B391" s="919" t="s">
        <v>243</v>
      </c>
      <c r="C391" s="1363">
        <f>IF('TAR_Tab 2_Volumina'!M394,1,0)</f>
        <v>0</v>
      </c>
      <c r="D391" s="1527">
        <v>0</v>
      </c>
      <c r="E391" s="1528">
        <f t="shared" si="57"/>
        <v>0</v>
      </c>
      <c r="F391" s="1528">
        <f t="shared" si="58"/>
        <v>0</v>
      </c>
      <c r="G391" s="1531"/>
      <c r="H391" s="1528">
        <f t="shared" si="59"/>
        <v>0</v>
      </c>
      <c r="I391" s="1528">
        <f t="shared" si="60"/>
        <v>0</v>
      </c>
      <c r="J391" s="1532">
        <f t="shared" si="62"/>
        <v>0</v>
      </c>
      <c r="K391" s="1369" t="str">
        <f t="shared" si="63"/>
        <v/>
      </c>
      <c r="L391" s="1558"/>
      <c r="M391" s="1364"/>
      <c r="N391" s="1371">
        <f t="shared" si="68"/>
        <v>0</v>
      </c>
      <c r="O391" s="1372"/>
      <c r="P391" s="1371">
        <f t="shared" si="66"/>
        <v>0</v>
      </c>
      <c r="Q391" s="1371">
        <f t="shared" si="66"/>
        <v>0</v>
      </c>
      <c r="R391" s="1371">
        <f t="shared" si="66"/>
        <v>0</v>
      </c>
      <c r="S391" s="1371">
        <f t="shared" si="66"/>
        <v>0</v>
      </c>
      <c r="T391" s="1371">
        <f t="shared" si="66"/>
        <v>0</v>
      </c>
      <c r="U391" s="1371">
        <f t="shared" si="61"/>
        <v>0</v>
      </c>
      <c r="V391" s="1373">
        <f t="shared" si="67"/>
        <v>0</v>
      </c>
      <c r="W391" s="960"/>
    </row>
    <row r="392" spans="1:23">
      <c r="A392" s="918">
        <v>301031</v>
      </c>
      <c r="B392" s="919" t="s">
        <v>244</v>
      </c>
      <c r="C392" s="1363">
        <f>IF('TAR_Tab 2_Volumina'!M395,1,0)</f>
        <v>0</v>
      </c>
      <c r="D392" s="1527">
        <v>0</v>
      </c>
      <c r="E392" s="1528">
        <f t="shared" si="57"/>
        <v>0</v>
      </c>
      <c r="F392" s="1528">
        <f t="shared" si="58"/>
        <v>0</v>
      </c>
      <c r="G392" s="1531"/>
      <c r="H392" s="1528">
        <f t="shared" si="59"/>
        <v>0</v>
      </c>
      <c r="I392" s="1528">
        <f t="shared" si="60"/>
        <v>0</v>
      </c>
      <c r="J392" s="1532">
        <f t="shared" si="62"/>
        <v>0</v>
      </c>
      <c r="K392" s="1369" t="str">
        <f t="shared" si="63"/>
        <v/>
      </c>
      <c r="L392" s="1558"/>
      <c r="M392" s="1364"/>
      <c r="N392" s="1371">
        <f t="shared" si="68"/>
        <v>0</v>
      </c>
      <c r="O392" s="1372"/>
      <c r="P392" s="1371">
        <f t="shared" si="66"/>
        <v>0</v>
      </c>
      <c r="Q392" s="1371">
        <f t="shared" si="66"/>
        <v>0</v>
      </c>
      <c r="R392" s="1371">
        <f t="shared" si="66"/>
        <v>0</v>
      </c>
      <c r="S392" s="1371">
        <f t="shared" si="66"/>
        <v>0</v>
      </c>
      <c r="T392" s="1371">
        <f t="shared" si="66"/>
        <v>0</v>
      </c>
      <c r="U392" s="1371">
        <f t="shared" si="61"/>
        <v>0</v>
      </c>
      <c r="V392" s="1373">
        <f t="shared" si="67"/>
        <v>0</v>
      </c>
      <c r="W392" s="960"/>
    </row>
    <row r="393" spans="1:23">
      <c r="A393" s="918">
        <v>301033</v>
      </c>
      <c r="B393" s="919" t="s">
        <v>245</v>
      </c>
      <c r="C393" s="1363">
        <f>IF('TAR_Tab 2_Volumina'!M396,1,0)</f>
        <v>0</v>
      </c>
      <c r="D393" s="1527">
        <v>0</v>
      </c>
      <c r="E393" s="1528">
        <f t="shared" ref="E393:E456" si="69">D393*$E$7*C393</f>
        <v>0</v>
      </c>
      <c r="F393" s="1528">
        <f t="shared" ref="F393:F456" si="70">E393*$F$7</f>
        <v>0</v>
      </c>
      <c r="G393" s="1531"/>
      <c r="H393" s="1528">
        <f t="shared" ref="H393:H456" si="71">F393*$H$7</f>
        <v>0</v>
      </c>
      <c r="I393" s="1528">
        <f t="shared" ref="I393:I456" si="72">F393*$I$7</f>
        <v>0</v>
      </c>
      <c r="J393" s="1532">
        <f t="shared" si="62"/>
        <v>0</v>
      </c>
      <c r="K393" s="1369" t="str">
        <f t="shared" si="63"/>
        <v/>
      </c>
      <c r="L393" s="1558"/>
      <c r="M393" s="1364"/>
      <c r="N393" s="1371">
        <f t="shared" si="68"/>
        <v>0</v>
      </c>
      <c r="O393" s="1372"/>
      <c r="P393" s="1371">
        <f t="shared" si="66"/>
        <v>0</v>
      </c>
      <c r="Q393" s="1371">
        <f t="shared" si="66"/>
        <v>0</v>
      </c>
      <c r="R393" s="1371">
        <f t="shared" si="66"/>
        <v>0</v>
      </c>
      <c r="S393" s="1371">
        <f t="shared" si="66"/>
        <v>0</v>
      </c>
      <c r="T393" s="1371">
        <f t="shared" si="66"/>
        <v>0</v>
      </c>
      <c r="U393" s="1371">
        <f t="shared" ref="U393:U456" si="73">N393+P393+Q393+R393+S393+T393</f>
        <v>0</v>
      </c>
      <c r="V393" s="1373">
        <f t="shared" si="67"/>
        <v>0</v>
      </c>
      <c r="W393" s="960"/>
    </row>
    <row r="394" spans="1:23">
      <c r="A394" s="918">
        <v>301034</v>
      </c>
      <c r="B394" s="919" t="s">
        <v>246</v>
      </c>
      <c r="C394" s="1363">
        <f>IF('TAR_Tab 2_Volumina'!M397,1,0)</f>
        <v>0</v>
      </c>
      <c r="D394" s="1527">
        <v>0</v>
      </c>
      <c r="E394" s="1528">
        <f t="shared" si="69"/>
        <v>0</v>
      </c>
      <c r="F394" s="1528">
        <f t="shared" si="70"/>
        <v>0</v>
      </c>
      <c r="G394" s="1531"/>
      <c r="H394" s="1528">
        <f t="shared" si="71"/>
        <v>0</v>
      </c>
      <c r="I394" s="1528">
        <f t="shared" si="72"/>
        <v>0</v>
      </c>
      <c r="J394" s="1532">
        <f t="shared" ref="J394:J457" si="74">F394</f>
        <v>0</v>
      </c>
      <c r="K394" s="1369" t="str">
        <f t="shared" ref="K394:K457" si="75">IF(J394&gt;0,AND(J394&gt;=H394,J394&lt;=I394),"")</f>
        <v/>
      </c>
      <c r="L394" s="1558"/>
      <c r="M394" s="1364"/>
      <c r="N394" s="1371">
        <f t="shared" si="68"/>
        <v>0</v>
      </c>
      <c r="O394" s="1372"/>
      <c r="P394" s="1371">
        <f t="shared" si="66"/>
        <v>0</v>
      </c>
      <c r="Q394" s="1371">
        <f t="shared" si="66"/>
        <v>0</v>
      </c>
      <c r="R394" s="1371">
        <f t="shared" si="66"/>
        <v>0</v>
      </c>
      <c r="S394" s="1371">
        <f t="shared" si="66"/>
        <v>0</v>
      </c>
      <c r="T394" s="1371">
        <f t="shared" si="66"/>
        <v>0</v>
      </c>
      <c r="U394" s="1371">
        <f t="shared" si="73"/>
        <v>0</v>
      </c>
      <c r="V394" s="1373">
        <f t="shared" si="67"/>
        <v>0</v>
      </c>
      <c r="W394" s="960"/>
    </row>
    <row r="395" spans="1:23">
      <c r="A395" s="918">
        <v>301037</v>
      </c>
      <c r="B395" s="919" t="s">
        <v>346</v>
      </c>
      <c r="C395" s="1363">
        <f>IF('TAR_Tab 2_Volumina'!M398,1,0)</f>
        <v>1</v>
      </c>
      <c r="D395" s="1529">
        <v>124082.31426705727</v>
      </c>
      <c r="E395" s="1528">
        <f t="shared" si="69"/>
        <v>118324.89488506582</v>
      </c>
      <c r="F395" s="1528">
        <f t="shared" si="70"/>
        <v>125027.09733977816</v>
      </c>
      <c r="G395" s="1531"/>
      <c r="H395" s="1528">
        <f t="shared" si="71"/>
        <v>118775.74247278925</v>
      </c>
      <c r="I395" s="1528">
        <f t="shared" si="72"/>
        <v>131278.45220676708</v>
      </c>
      <c r="J395" s="1532">
        <f t="shared" si="74"/>
        <v>125027.09733977816</v>
      </c>
      <c r="K395" s="1369" t="b">
        <f t="shared" si="75"/>
        <v>1</v>
      </c>
      <c r="L395" s="1558"/>
      <c r="M395" s="1364"/>
      <c r="N395" s="1371">
        <f t="shared" si="68"/>
        <v>125027.09733977816</v>
      </c>
      <c r="O395" s="1372"/>
      <c r="P395" s="1371">
        <f t="shared" si="66"/>
        <v>393.17563007080088</v>
      </c>
      <c r="Q395" s="1371">
        <f t="shared" si="66"/>
        <v>311.64689401943542</v>
      </c>
      <c r="R395" s="1371">
        <f t="shared" si="66"/>
        <v>861.86894051330023</v>
      </c>
      <c r="S395" s="1371">
        <f t="shared" si="66"/>
        <v>0</v>
      </c>
      <c r="T395" s="1371">
        <f t="shared" si="66"/>
        <v>8085.9499271024988</v>
      </c>
      <c r="U395" s="1371">
        <f t="shared" si="73"/>
        <v>134679.73873148422</v>
      </c>
      <c r="V395" s="1373">
        <f t="shared" si="67"/>
        <v>134679.74</v>
      </c>
      <c r="W395" s="960"/>
    </row>
    <row r="396" spans="1:23">
      <c r="A396" s="918">
        <v>301038</v>
      </c>
      <c r="B396" s="919" t="s">
        <v>1116</v>
      </c>
      <c r="C396" s="1363">
        <f>IF('TAR_Tab 2_Volumina'!M399,1,0)</f>
        <v>0</v>
      </c>
      <c r="D396" s="1527">
        <v>0</v>
      </c>
      <c r="E396" s="1528">
        <f t="shared" si="69"/>
        <v>0</v>
      </c>
      <c r="F396" s="1528">
        <f t="shared" si="70"/>
        <v>0</v>
      </c>
      <c r="G396" s="1531"/>
      <c r="H396" s="1528">
        <f t="shared" si="71"/>
        <v>0</v>
      </c>
      <c r="I396" s="1528">
        <f t="shared" si="72"/>
        <v>0</v>
      </c>
      <c r="J396" s="1532">
        <f t="shared" si="74"/>
        <v>0</v>
      </c>
      <c r="K396" s="1369" t="str">
        <f t="shared" si="75"/>
        <v/>
      </c>
      <c r="L396" s="1558"/>
      <c r="M396" s="1364"/>
      <c r="N396" s="1371">
        <f t="shared" si="68"/>
        <v>0</v>
      </c>
      <c r="O396" s="1372"/>
      <c r="P396" s="1371">
        <f t="shared" si="66"/>
        <v>0</v>
      </c>
      <c r="Q396" s="1371">
        <f t="shared" si="66"/>
        <v>0</v>
      </c>
      <c r="R396" s="1371">
        <f t="shared" si="66"/>
        <v>0</v>
      </c>
      <c r="S396" s="1371">
        <f t="shared" si="66"/>
        <v>0</v>
      </c>
      <c r="T396" s="1371">
        <f t="shared" si="66"/>
        <v>0</v>
      </c>
      <c r="U396" s="1371">
        <f t="shared" si="73"/>
        <v>0</v>
      </c>
      <c r="V396" s="1373">
        <f t="shared" si="67"/>
        <v>0</v>
      </c>
      <c r="W396" s="960"/>
    </row>
    <row r="397" spans="1:23">
      <c r="A397" s="918">
        <v>301039</v>
      </c>
      <c r="B397" s="919" t="s">
        <v>247</v>
      </c>
      <c r="C397" s="1363">
        <f>IF('TAR_Tab 2_Volumina'!M400,1,0)</f>
        <v>0</v>
      </c>
      <c r="D397" s="1527">
        <v>0</v>
      </c>
      <c r="E397" s="1528">
        <f t="shared" si="69"/>
        <v>0</v>
      </c>
      <c r="F397" s="1528">
        <f t="shared" si="70"/>
        <v>0</v>
      </c>
      <c r="G397" s="1531"/>
      <c r="H397" s="1528">
        <f t="shared" si="71"/>
        <v>0</v>
      </c>
      <c r="I397" s="1528">
        <f t="shared" si="72"/>
        <v>0</v>
      </c>
      <c r="J397" s="1532">
        <f t="shared" si="74"/>
        <v>0</v>
      </c>
      <c r="K397" s="1369" t="str">
        <f t="shared" si="75"/>
        <v/>
      </c>
      <c r="L397" s="1558"/>
      <c r="M397" s="1364"/>
      <c r="N397" s="1371">
        <f t="shared" si="68"/>
        <v>0</v>
      </c>
      <c r="O397" s="1372"/>
      <c r="P397" s="1371">
        <f t="shared" si="66"/>
        <v>0</v>
      </c>
      <c r="Q397" s="1371">
        <f t="shared" si="66"/>
        <v>0</v>
      </c>
      <c r="R397" s="1371">
        <f t="shared" si="66"/>
        <v>0</v>
      </c>
      <c r="S397" s="1371">
        <f t="shared" si="66"/>
        <v>0</v>
      </c>
      <c r="T397" s="1371">
        <f t="shared" si="66"/>
        <v>0</v>
      </c>
      <c r="U397" s="1371">
        <f t="shared" si="73"/>
        <v>0</v>
      </c>
      <c r="V397" s="1373">
        <f t="shared" si="67"/>
        <v>0</v>
      </c>
      <c r="W397" s="960"/>
    </row>
    <row r="398" spans="1:23">
      <c r="A398" s="918">
        <v>301040</v>
      </c>
      <c r="B398" s="919" t="s">
        <v>248</v>
      </c>
      <c r="C398" s="1363">
        <f>IF('TAR_Tab 2_Volumina'!M401,1,0)</f>
        <v>0</v>
      </c>
      <c r="D398" s="1527">
        <v>0</v>
      </c>
      <c r="E398" s="1528">
        <f t="shared" si="69"/>
        <v>0</v>
      </c>
      <c r="F398" s="1528">
        <f t="shared" si="70"/>
        <v>0</v>
      </c>
      <c r="G398" s="1531"/>
      <c r="H398" s="1528">
        <f t="shared" si="71"/>
        <v>0</v>
      </c>
      <c r="I398" s="1528">
        <f t="shared" si="72"/>
        <v>0</v>
      </c>
      <c r="J398" s="1532">
        <f t="shared" si="74"/>
        <v>0</v>
      </c>
      <c r="K398" s="1369" t="str">
        <f t="shared" si="75"/>
        <v/>
      </c>
      <c r="L398" s="1558"/>
      <c r="M398" s="1364"/>
      <c r="N398" s="1371">
        <f t="shared" si="68"/>
        <v>0</v>
      </c>
      <c r="O398" s="1372"/>
      <c r="P398" s="1371">
        <f t="shared" si="66"/>
        <v>0</v>
      </c>
      <c r="Q398" s="1371">
        <f t="shared" si="66"/>
        <v>0</v>
      </c>
      <c r="R398" s="1371">
        <f t="shared" si="66"/>
        <v>0</v>
      </c>
      <c r="S398" s="1371">
        <f t="shared" si="66"/>
        <v>0</v>
      </c>
      <c r="T398" s="1371">
        <f t="shared" si="66"/>
        <v>0</v>
      </c>
      <c r="U398" s="1371">
        <f t="shared" si="73"/>
        <v>0</v>
      </c>
      <c r="V398" s="1373">
        <f t="shared" si="67"/>
        <v>0</v>
      </c>
      <c r="W398" s="960"/>
    </row>
    <row r="399" spans="1:23">
      <c r="A399" s="918">
        <v>301042</v>
      </c>
      <c r="B399" s="919" t="s">
        <v>1117</v>
      </c>
      <c r="C399" s="1363">
        <f>IF('TAR_Tab 2_Volumina'!M402,1,0)</f>
        <v>0</v>
      </c>
      <c r="D399" s="1527">
        <v>0</v>
      </c>
      <c r="E399" s="1528">
        <f t="shared" si="69"/>
        <v>0</v>
      </c>
      <c r="F399" s="1528">
        <f t="shared" si="70"/>
        <v>0</v>
      </c>
      <c r="G399" s="1531"/>
      <c r="H399" s="1528">
        <f t="shared" si="71"/>
        <v>0</v>
      </c>
      <c r="I399" s="1528">
        <f t="shared" si="72"/>
        <v>0</v>
      </c>
      <c r="J399" s="1532">
        <f t="shared" si="74"/>
        <v>0</v>
      </c>
      <c r="K399" s="1369" t="str">
        <f t="shared" si="75"/>
        <v/>
      </c>
      <c r="L399" s="1558"/>
      <c r="M399" s="1364"/>
      <c r="N399" s="1371">
        <f t="shared" si="68"/>
        <v>0</v>
      </c>
      <c r="O399" s="1372"/>
      <c r="P399" s="1371">
        <f t="shared" si="66"/>
        <v>0</v>
      </c>
      <c r="Q399" s="1371">
        <f t="shared" si="66"/>
        <v>0</v>
      </c>
      <c r="R399" s="1371">
        <f t="shared" si="66"/>
        <v>0</v>
      </c>
      <c r="S399" s="1371">
        <f t="shared" si="66"/>
        <v>0</v>
      </c>
      <c r="T399" s="1371">
        <f t="shared" si="66"/>
        <v>0</v>
      </c>
      <c r="U399" s="1371">
        <f t="shared" si="73"/>
        <v>0</v>
      </c>
      <c r="V399" s="1373">
        <f t="shared" si="67"/>
        <v>0</v>
      </c>
      <c r="W399" s="960"/>
    </row>
    <row r="400" spans="1:23">
      <c r="A400" s="918">
        <v>301043</v>
      </c>
      <c r="B400" s="919" t="s">
        <v>475</v>
      </c>
      <c r="C400" s="1363">
        <f>IF('TAR_Tab 2_Volumina'!M403,1,0)</f>
        <v>0</v>
      </c>
      <c r="D400" s="1527">
        <v>0</v>
      </c>
      <c r="E400" s="1528">
        <f t="shared" si="69"/>
        <v>0</v>
      </c>
      <c r="F400" s="1528">
        <f t="shared" si="70"/>
        <v>0</v>
      </c>
      <c r="G400" s="1531"/>
      <c r="H400" s="1528">
        <f t="shared" si="71"/>
        <v>0</v>
      </c>
      <c r="I400" s="1528">
        <f t="shared" si="72"/>
        <v>0</v>
      </c>
      <c r="J400" s="1532">
        <f t="shared" si="74"/>
        <v>0</v>
      </c>
      <c r="K400" s="1369" t="str">
        <f t="shared" si="75"/>
        <v/>
      </c>
      <c r="L400" s="1558"/>
      <c r="M400" s="1364"/>
      <c r="N400" s="1371">
        <f t="shared" si="68"/>
        <v>0</v>
      </c>
      <c r="O400" s="1372"/>
      <c r="P400" s="1371">
        <f t="shared" si="66"/>
        <v>0</v>
      </c>
      <c r="Q400" s="1371">
        <f t="shared" si="66"/>
        <v>0</v>
      </c>
      <c r="R400" s="1371">
        <f t="shared" si="66"/>
        <v>0</v>
      </c>
      <c r="S400" s="1371">
        <f t="shared" si="66"/>
        <v>0</v>
      </c>
      <c r="T400" s="1371">
        <f t="shared" si="66"/>
        <v>0</v>
      </c>
      <c r="U400" s="1371">
        <f t="shared" si="73"/>
        <v>0</v>
      </c>
      <c r="V400" s="1373">
        <f t="shared" si="67"/>
        <v>0</v>
      </c>
      <c r="W400" s="960"/>
    </row>
    <row r="401" spans="1:23">
      <c r="A401" s="918">
        <v>301045</v>
      </c>
      <c r="B401" s="919" t="s">
        <v>1118</v>
      </c>
      <c r="C401" s="1363">
        <f>IF('TAR_Tab 2_Volumina'!M404,1,0)</f>
        <v>0</v>
      </c>
      <c r="D401" s="1527">
        <v>0</v>
      </c>
      <c r="E401" s="1528">
        <f t="shared" si="69"/>
        <v>0</v>
      </c>
      <c r="F401" s="1528">
        <f t="shared" si="70"/>
        <v>0</v>
      </c>
      <c r="G401" s="1531"/>
      <c r="H401" s="1528">
        <f t="shared" si="71"/>
        <v>0</v>
      </c>
      <c r="I401" s="1528">
        <f t="shared" si="72"/>
        <v>0</v>
      </c>
      <c r="J401" s="1532">
        <f t="shared" si="74"/>
        <v>0</v>
      </c>
      <c r="K401" s="1369" t="str">
        <f t="shared" si="75"/>
        <v/>
      </c>
      <c r="L401" s="1558"/>
      <c r="M401" s="1364"/>
      <c r="N401" s="1371">
        <f t="shared" si="68"/>
        <v>0</v>
      </c>
      <c r="O401" s="1372"/>
      <c r="P401" s="1371">
        <f t="shared" si="66"/>
        <v>0</v>
      </c>
      <c r="Q401" s="1371">
        <f t="shared" si="66"/>
        <v>0</v>
      </c>
      <c r="R401" s="1371">
        <f t="shared" si="66"/>
        <v>0</v>
      </c>
      <c r="S401" s="1371">
        <f t="shared" si="66"/>
        <v>0</v>
      </c>
      <c r="T401" s="1371">
        <f t="shared" si="66"/>
        <v>0</v>
      </c>
      <c r="U401" s="1371">
        <f t="shared" si="73"/>
        <v>0</v>
      </c>
      <c r="V401" s="1373">
        <f t="shared" si="67"/>
        <v>0</v>
      </c>
      <c r="W401" s="960"/>
    </row>
    <row r="402" spans="1:23">
      <c r="A402" s="918">
        <v>301046</v>
      </c>
      <c r="B402" s="919" t="s">
        <v>347</v>
      </c>
      <c r="C402" s="1363">
        <f>IF('TAR_Tab 2_Volumina'!M405,1,0)</f>
        <v>1</v>
      </c>
      <c r="D402" s="1529">
        <v>53178.134685881683</v>
      </c>
      <c r="E402" s="1528">
        <f t="shared" si="69"/>
        <v>50710.669236456772</v>
      </c>
      <c r="F402" s="1528">
        <f t="shared" si="70"/>
        <v>53583.041717047781</v>
      </c>
      <c r="G402" s="1531"/>
      <c r="H402" s="1528">
        <f t="shared" si="71"/>
        <v>50903.889631195387</v>
      </c>
      <c r="I402" s="1528">
        <f t="shared" si="72"/>
        <v>56262.193802900176</v>
      </c>
      <c r="J402" s="1532">
        <f t="shared" si="74"/>
        <v>53583.041717047781</v>
      </c>
      <c r="K402" s="1369" t="b">
        <f t="shared" si="75"/>
        <v>1</v>
      </c>
      <c r="L402" s="1558"/>
      <c r="M402" s="1364"/>
      <c r="N402" s="1371">
        <f t="shared" si="68"/>
        <v>53583.041717047781</v>
      </c>
      <c r="O402" s="1372"/>
      <c r="P402" s="1371">
        <f t="shared" si="66"/>
        <v>168.50384145891465</v>
      </c>
      <c r="Q402" s="1371">
        <f t="shared" si="66"/>
        <v>133.56295457975804</v>
      </c>
      <c r="R402" s="1371">
        <f t="shared" si="66"/>
        <v>369.37240307712864</v>
      </c>
      <c r="S402" s="1371">
        <f t="shared" si="66"/>
        <v>0</v>
      </c>
      <c r="T402" s="1371">
        <f t="shared" si="66"/>
        <v>3465.4071116153564</v>
      </c>
      <c r="U402" s="1371">
        <f t="shared" si="73"/>
        <v>57719.888027778936</v>
      </c>
      <c r="V402" s="1373">
        <f t="shared" si="67"/>
        <v>57719.89</v>
      </c>
      <c r="W402" s="960"/>
    </row>
    <row r="403" spans="1:23">
      <c r="A403" s="918">
        <v>301049</v>
      </c>
      <c r="B403" s="919" t="s">
        <v>348</v>
      </c>
      <c r="C403" s="1363">
        <f>IF('TAR_Tab 2_Volumina'!M406,1,0)</f>
        <v>1</v>
      </c>
      <c r="D403" s="1529">
        <v>35452.089790587779</v>
      </c>
      <c r="E403" s="1528">
        <f t="shared" si="69"/>
        <v>33807.11282430451</v>
      </c>
      <c r="F403" s="1528">
        <f t="shared" si="70"/>
        <v>35722.02781136518</v>
      </c>
      <c r="G403" s="1531"/>
      <c r="H403" s="1528">
        <f t="shared" si="71"/>
        <v>33935.926420796917</v>
      </c>
      <c r="I403" s="1528">
        <f t="shared" si="72"/>
        <v>37508.129201933443</v>
      </c>
      <c r="J403" s="1532">
        <f t="shared" si="74"/>
        <v>35722.02781136518</v>
      </c>
      <c r="K403" s="1369" t="b">
        <f t="shared" si="75"/>
        <v>1</v>
      </c>
      <c r="L403" s="1558"/>
      <c r="M403" s="1364"/>
      <c r="N403" s="1371">
        <f t="shared" si="68"/>
        <v>35722.02781136518</v>
      </c>
      <c r="O403" s="1372"/>
      <c r="P403" s="1371">
        <f t="shared" si="66"/>
        <v>112.33589430594309</v>
      </c>
      <c r="Q403" s="1371">
        <f t="shared" si="66"/>
        <v>89.041969719838676</v>
      </c>
      <c r="R403" s="1371">
        <f t="shared" si="66"/>
        <v>246.24826871808571</v>
      </c>
      <c r="S403" s="1371">
        <f t="shared" si="66"/>
        <v>0</v>
      </c>
      <c r="T403" s="1371">
        <f t="shared" si="66"/>
        <v>2310.2714077435703</v>
      </c>
      <c r="U403" s="1371">
        <f t="shared" si="73"/>
        <v>38479.925351852624</v>
      </c>
      <c r="V403" s="1373">
        <f t="shared" si="67"/>
        <v>38479.93</v>
      </c>
      <c r="W403" s="960"/>
    </row>
    <row r="404" spans="1:23">
      <c r="A404" s="918">
        <v>301050</v>
      </c>
      <c r="B404" s="919" t="s">
        <v>249</v>
      </c>
      <c r="C404" s="1363">
        <f>IF('TAR_Tab 2_Volumina'!M407,1,0)</f>
        <v>0</v>
      </c>
      <c r="D404" s="1527">
        <v>0</v>
      </c>
      <c r="E404" s="1528">
        <f t="shared" si="69"/>
        <v>0</v>
      </c>
      <c r="F404" s="1528">
        <f t="shared" si="70"/>
        <v>0</v>
      </c>
      <c r="G404" s="1531"/>
      <c r="H404" s="1528">
        <f t="shared" si="71"/>
        <v>0</v>
      </c>
      <c r="I404" s="1528">
        <f t="shared" si="72"/>
        <v>0</v>
      </c>
      <c r="J404" s="1532">
        <f t="shared" si="74"/>
        <v>0</v>
      </c>
      <c r="K404" s="1369" t="str">
        <f t="shared" si="75"/>
        <v/>
      </c>
      <c r="L404" s="1558"/>
      <c r="M404" s="1364"/>
      <c r="N404" s="1371">
        <f t="shared" si="68"/>
        <v>0</v>
      </c>
      <c r="O404" s="1372"/>
      <c r="P404" s="1371">
        <f t="shared" si="66"/>
        <v>0</v>
      </c>
      <c r="Q404" s="1371">
        <f t="shared" si="66"/>
        <v>0</v>
      </c>
      <c r="R404" s="1371">
        <f t="shared" si="66"/>
        <v>0</v>
      </c>
      <c r="S404" s="1371">
        <f t="shared" si="66"/>
        <v>0</v>
      </c>
      <c r="T404" s="1371">
        <f t="shared" si="66"/>
        <v>0</v>
      </c>
      <c r="U404" s="1371">
        <f t="shared" si="73"/>
        <v>0</v>
      </c>
      <c r="V404" s="1373">
        <f t="shared" si="67"/>
        <v>0</v>
      </c>
      <c r="W404" s="960"/>
    </row>
    <row r="405" spans="1:23">
      <c r="A405" s="918">
        <v>301051</v>
      </c>
      <c r="B405" s="919" t="s">
        <v>250</v>
      </c>
      <c r="C405" s="1363">
        <f>IF('TAR_Tab 2_Volumina'!M408,1,0)</f>
        <v>0</v>
      </c>
      <c r="D405" s="1527">
        <v>0</v>
      </c>
      <c r="E405" s="1528">
        <f t="shared" si="69"/>
        <v>0</v>
      </c>
      <c r="F405" s="1528">
        <f t="shared" si="70"/>
        <v>0</v>
      </c>
      <c r="G405" s="1531"/>
      <c r="H405" s="1528">
        <f t="shared" si="71"/>
        <v>0</v>
      </c>
      <c r="I405" s="1528">
        <f t="shared" si="72"/>
        <v>0</v>
      </c>
      <c r="J405" s="1532">
        <f t="shared" si="74"/>
        <v>0</v>
      </c>
      <c r="K405" s="1369" t="str">
        <f t="shared" si="75"/>
        <v/>
      </c>
      <c r="L405" s="1558"/>
      <c r="M405" s="1364"/>
      <c r="N405" s="1371">
        <f t="shared" si="68"/>
        <v>0</v>
      </c>
      <c r="O405" s="1372"/>
      <c r="P405" s="1371">
        <f t="shared" si="66"/>
        <v>0</v>
      </c>
      <c r="Q405" s="1371">
        <f t="shared" si="66"/>
        <v>0</v>
      </c>
      <c r="R405" s="1371">
        <f t="shared" si="66"/>
        <v>0</v>
      </c>
      <c r="S405" s="1371">
        <f t="shared" si="66"/>
        <v>0</v>
      </c>
      <c r="T405" s="1371">
        <f t="shared" si="66"/>
        <v>0</v>
      </c>
      <c r="U405" s="1371">
        <f t="shared" si="73"/>
        <v>0</v>
      </c>
      <c r="V405" s="1373">
        <f t="shared" si="67"/>
        <v>0</v>
      </c>
      <c r="W405" s="960"/>
    </row>
    <row r="406" spans="1:23">
      <c r="A406" s="918">
        <v>301052</v>
      </c>
      <c r="B406" s="919" t="s">
        <v>349</v>
      </c>
      <c r="C406" s="1363">
        <f>IF('TAR_Tab 2_Volumina'!M409,1,0)</f>
        <v>1</v>
      </c>
      <c r="D406" s="1529">
        <v>35452.089790587779</v>
      </c>
      <c r="E406" s="1528">
        <f t="shared" si="69"/>
        <v>33807.11282430451</v>
      </c>
      <c r="F406" s="1528">
        <f t="shared" si="70"/>
        <v>35722.02781136518</v>
      </c>
      <c r="G406" s="1531"/>
      <c r="H406" s="1528">
        <f t="shared" si="71"/>
        <v>33935.926420796917</v>
      </c>
      <c r="I406" s="1528">
        <f t="shared" si="72"/>
        <v>37508.129201933443</v>
      </c>
      <c r="J406" s="1532">
        <f t="shared" si="74"/>
        <v>35722.02781136518</v>
      </c>
      <c r="K406" s="1369" t="b">
        <f t="shared" si="75"/>
        <v>1</v>
      </c>
      <c r="L406" s="1558"/>
      <c r="M406" s="1364"/>
      <c r="N406" s="1371">
        <f t="shared" si="68"/>
        <v>35722.02781136518</v>
      </c>
      <c r="O406" s="1372"/>
      <c r="P406" s="1371">
        <f t="shared" si="66"/>
        <v>112.33589430594309</v>
      </c>
      <c r="Q406" s="1371">
        <f t="shared" si="66"/>
        <v>89.041969719838676</v>
      </c>
      <c r="R406" s="1371">
        <f t="shared" si="66"/>
        <v>246.24826871808571</v>
      </c>
      <c r="S406" s="1371">
        <f t="shared" si="66"/>
        <v>0</v>
      </c>
      <c r="T406" s="1371">
        <f t="shared" si="66"/>
        <v>2310.2714077435703</v>
      </c>
      <c r="U406" s="1371">
        <f t="shared" si="73"/>
        <v>38479.925351852624</v>
      </c>
      <c r="V406" s="1373">
        <f t="shared" si="67"/>
        <v>38479.93</v>
      </c>
      <c r="W406" s="960"/>
    </row>
    <row r="407" spans="1:23">
      <c r="A407" s="918">
        <v>301054</v>
      </c>
      <c r="B407" s="919" t="s">
        <v>350</v>
      </c>
      <c r="C407" s="1363">
        <f>IF('TAR_Tab 2_Volumina'!M410,1,0)</f>
        <v>1</v>
      </c>
      <c r="D407" s="1529">
        <v>35452.089790587779</v>
      </c>
      <c r="E407" s="1528">
        <f t="shared" si="69"/>
        <v>33807.11282430451</v>
      </c>
      <c r="F407" s="1528">
        <f t="shared" si="70"/>
        <v>35722.02781136518</v>
      </c>
      <c r="G407" s="1531"/>
      <c r="H407" s="1528">
        <f t="shared" si="71"/>
        <v>33935.926420796917</v>
      </c>
      <c r="I407" s="1528">
        <f t="shared" si="72"/>
        <v>37508.129201933443</v>
      </c>
      <c r="J407" s="1532">
        <f t="shared" si="74"/>
        <v>35722.02781136518</v>
      </c>
      <c r="K407" s="1369" t="b">
        <f t="shared" si="75"/>
        <v>1</v>
      </c>
      <c r="L407" s="1558"/>
      <c r="M407" s="1364"/>
      <c r="N407" s="1371">
        <f t="shared" si="68"/>
        <v>35722.02781136518</v>
      </c>
      <c r="O407" s="1372"/>
      <c r="P407" s="1371">
        <f t="shared" si="66"/>
        <v>112.33589430594309</v>
      </c>
      <c r="Q407" s="1371">
        <f t="shared" si="66"/>
        <v>89.041969719838676</v>
      </c>
      <c r="R407" s="1371">
        <f t="shared" si="66"/>
        <v>246.24826871808571</v>
      </c>
      <c r="S407" s="1371">
        <f t="shared" si="66"/>
        <v>0</v>
      </c>
      <c r="T407" s="1371">
        <f t="shared" si="66"/>
        <v>2310.2714077435703</v>
      </c>
      <c r="U407" s="1371">
        <f t="shared" si="73"/>
        <v>38479.925351852624</v>
      </c>
      <c r="V407" s="1373">
        <f t="shared" si="67"/>
        <v>38479.93</v>
      </c>
      <c r="W407" s="960"/>
    </row>
    <row r="408" spans="1:23">
      <c r="A408" s="918">
        <v>301055</v>
      </c>
      <c r="B408" s="919" t="s">
        <v>251</v>
      </c>
      <c r="C408" s="1363">
        <f>IF('TAR_Tab 2_Volumina'!M411,1,0)</f>
        <v>0</v>
      </c>
      <c r="D408" s="1527">
        <v>0</v>
      </c>
      <c r="E408" s="1528">
        <f t="shared" si="69"/>
        <v>0</v>
      </c>
      <c r="F408" s="1528">
        <f t="shared" si="70"/>
        <v>0</v>
      </c>
      <c r="G408" s="1531"/>
      <c r="H408" s="1528">
        <f t="shared" si="71"/>
        <v>0</v>
      </c>
      <c r="I408" s="1528">
        <f t="shared" si="72"/>
        <v>0</v>
      </c>
      <c r="J408" s="1532">
        <f t="shared" si="74"/>
        <v>0</v>
      </c>
      <c r="K408" s="1369" t="str">
        <f t="shared" si="75"/>
        <v/>
      </c>
      <c r="L408" s="1558"/>
      <c r="M408" s="1364"/>
      <c r="N408" s="1371">
        <f t="shared" si="68"/>
        <v>0</v>
      </c>
      <c r="O408" s="1372"/>
      <c r="P408" s="1371">
        <f t="shared" si="66"/>
        <v>0</v>
      </c>
      <c r="Q408" s="1371">
        <f t="shared" si="66"/>
        <v>0</v>
      </c>
      <c r="R408" s="1371">
        <f t="shared" si="66"/>
        <v>0</v>
      </c>
      <c r="S408" s="1371">
        <f t="shared" si="66"/>
        <v>0</v>
      </c>
      <c r="T408" s="1371">
        <f t="shared" si="66"/>
        <v>0</v>
      </c>
      <c r="U408" s="1371">
        <f t="shared" si="73"/>
        <v>0</v>
      </c>
      <c r="V408" s="1373">
        <f t="shared" si="67"/>
        <v>0</v>
      </c>
      <c r="W408" s="960"/>
    </row>
    <row r="409" spans="1:23">
      <c r="A409" s="918">
        <v>301056</v>
      </c>
      <c r="B409" s="919" t="s">
        <v>252</v>
      </c>
      <c r="C409" s="1363">
        <f>IF('TAR_Tab 2_Volumina'!M412,1,0)</f>
        <v>1</v>
      </c>
      <c r="D409" s="1527">
        <v>17726.04489529389</v>
      </c>
      <c r="E409" s="1528">
        <f t="shared" si="69"/>
        <v>16903.556412152255</v>
      </c>
      <c r="F409" s="1528">
        <f t="shared" si="70"/>
        <v>17861.01390568259</v>
      </c>
      <c r="G409" s="1531"/>
      <c r="H409" s="1528">
        <f t="shared" si="71"/>
        <v>16967.963210398459</v>
      </c>
      <c r="I409" s="1528">
        <f t="shared" si="72"/>
        <v>18754.064600966722</v>
      </c>
      <c r="J409" s="1532">
        <f t="shared" si="74"/>
        <v>17861.01390568259</v>
      </c>
      <c r="K409" s="1369" t="b">
        <f t="shared" si="75"/>
        <v>1</v>
      </c>
      <c r="L409" s="1558"/>
      <c r="M409" s="1364"/>
      <c r="N409" s="1371">
        <f t="shared" si="68"/>
        <v>17861.01390568259</v>
      </c>
      <c r="O409" s="1372"/>
      <c r="P409" s="1371">
        <f t="shared" si="66"/>
        <v>56.167947152971543</v>
      </c>
      <c r="Q409" s="1371">
        <f t="shared" si="66"/>
        <v>44.520984859919338</v>
      </c>
      <c r="R409" s="1371">
        <f t="shared" si="66"/>
        <v>123.12413435904286</v>
      </c>
      <c r="S409" s="1371">
        <f t="shared" si="66"/>
        <v>0</v>
      </c>
      <c r="T409" s="1371">
        <f t="shared" si="66"/>
        <v>1155.1357038717852</v>
      </c>
      <c r="U409" s="1371">
        <f t="shared" si="73"/>
        <v>19239.962675926312</v>
      </c>
      <c r="V409" s="1373">
        <f t="shared" si="67"/>
        <v>19239.96</v>
      </c>
      <c r="W409" s="960"/>
    </row>
    <row r="410" spans="1:23">
      <c r="A410" s="918">
        <v>301059</v>
      </c>
      <c r="B410" s="919" t="s">
        <v>253</v>
      </c>
      <c r="C410" s="1363">
        <f>IF('TAR_Tab 2_Volumina'!M413,1,0)</f>
        <v>1</v>
      </c>
      <c r="D410" s="1527">
        <v>17726.04489529389</v>
      </c>
      <c r="E410" s="1528">
        <f t="shared" si="69"/>
        <v>16903.556412152255</v>
      </c>
      <c r="F410" s="1528">
        <f t="shared" si="70"/>
        <v>17861.01390568259</v>
      </c>
      <c r="G410" s="1531"/>
      <c r="H410" s="1528">
        <f t="shared" si="71"/>
        <v>16967.963210398459</v>
      </c>
      <c r="I410" s="1528">
        <f t="shared" si="72"/>
        <v>18754.064600966722</v>
      </c>
      <c r="J410" s="1532">
        <f t="shared" si="74"/>
        <v>17861.01390568259</v>
      </c>
      <c r="K410" s="1369" t="b">
        <f t="shared" si="75"/>
        <v>1</v>
      </c>
      <c r="L410" s="1558"/>
      <c r="M410" s="1364"/>
      <c r="N410" s="1371">
        <f t="shared" si="68"/>
        <v>17861.01390568259</v>
      </c>
      <c r="O410" s="1372"/>
      <c r="P410" s="1371">
        <f t="shared" si="66"/>
        <v>56.167947152971543</v>
      </c>
      <c r="Q410" s="1371">
        <f t="shared" si="66"/>
        <v>44.520984859919338</v>
      </c>
      <c r="R410" s="1371">
        <f t="shared" si="66"/>
        <v>123.12413435904286</v>
      </c>
      <c r="S410" s="1371">
        <f t="shared" si="66"/>
        <v>0</v>
      </c>
      <c r="T410" s="1371">
        <f t="shared" si="66"/>
        <v>1155.1357038717852</v>
      </c>
      <c r="U410" s="1371">
        <f t="shared" si="73"/>
        <v>19239.962675926312</v>
      </c>
      <c r="V410" s="1373">
        <f t="shared" si="67"/>
        <v>19239.96</v>
      </c>
      <c r="W410" s="960"/>
    </row>
    <row r="411" spans="1:23">
      <c r="A411" s="918">
        <v>301060</v>
      </c>
      <c r="B411" s="919" t="s">
        <v>1119</v>
      </c>
      <c r="C411" s="1363">
        <f>IF('TAR_Tab 2_Volumina'!M414,1,0)</f>
        <v>0</v>
      </c>
      <c r="D411" s="1527">
        <v>0</v>
      </c>
      <c r="E411" s="1528">
        <f t="shared" si="69"/>
        <v>0</v>
      </c>
      <c r="F411" s="1528">
        <f t="shared" si="70"/>
        <v>0</v>
      </c>
      <c r="G411" s="1531"/>
      <c r="H411" s="1528">
        <f t="shared" si="71"/>
        <v>0</v>
      </c>
      <c r="I411" s="1528">
        <f t="shared" si="72"/>
        <v>0</v>
      </c>
      <c r="J411" s="1532">
        <f t="shared" si="74"/>
        <v>0</v>
      </c>
      <c r="K411" s="1369" t="str">
        <f t="shared" si="75"/>
        <v/>
      </c>
      <c r="L411" s="1558"/>
      <c r="M411" s="1364"/>
      <c r="N411" s="1371">
        <f t="shared" si="68"/>
        <v>0</v>
      </c>
      <c r="O411" s="1372"/>
      <c r="P411" s="1371">
        <f t="shared" si="66"/>
        <v>0</v>
      </c>
      <c r="Q411" s="1371">
        <f t="shared" si="66"/>
        <v>0</v>
      </c>
      <c r="R411" s="1371">
        <f t="shared" si="66"/>
        <v>0</v>
      </c>
      <c r="S411" s="1371">
        <f t="shared" si="66"/>
        <v>0</v>
      </c>
      <c r="T411" s="1371">
        <f t="shared" si="66"/>
        <v>0</v>
      </c>
      <c r="U411" s="1371">
        <f t="shared" si="73"/>
        <v>0</v>
      </c>
      <c r="V411" s="1373">
        <f t="shared" si="67"/>
        <v>0</v>
      </c>
      <c r="W411" s="960"/>
    </row>
    <row r="412" spans="1:23">
      <c r="A412" s="918">
        <v>301063</v>
      </c>
      <c r="B412" s="919" t="s">
        <v>254</v>
      </c>
      <c r="C412" s="1363">
        <f>IF('TAR_Tab 2_Volumina'!M415,1,0)</f>
        <v>0</v>
      </c>
      <c r="D412" s="1527">
        <v>0</v>
      </c>
      <c r="E412" s="1528">
        <f t="shared" si="69"/>
        <v>0</v>
      </c>
      <c r="F412" s="1528">
        <f t="shared" si="70"/>
        <v>0</v>
      </c>
      <c r="G412" s="1531"/>
      <c r="H412" s="1528">
        <f t="shared" si="71"/>
        <v>0</v>
      </c>
      <c r="I412" s="1528">
        <f t="shared" si="72"/>
        <v>0</v>
      </c>
      <c r="J412" s="1532">
        <f t="shared" si="74"/>
        <v>0</v>
      </c>
      <c r="K412" s="1369" t="str">
        <f t="shared" si="75"/>
        <v/>
      </c>
      <c r="L412" s="1558"/>
      <c r="M412" s="1364"/>
      <c r="N412" s="1371">
        <f t="shared" si="68"/>
        <v>0</v>
      </c>
      <c r="O412" s="1372"/>
      <c r="P412" s="1371">
        <f t="shared" si="66"/>
        <v>0</v>
      </c>
      <c r="Q412" s="1371">
        <f t="shared" si="66"/>
        <v>0</v>
      </c>
      <c r="R412" s="1371">
        <f t="shared" si="66"/>
        <v>0</v>
      </c>
      <c r="S412" s="1371">
        <f t="shared" si="66"/>
        <v>0</v>
      </c>
      <c r="T412" s="1371">
        <f t="shared" si="66"/>
        <v>0</v>
      </c>
      <c r="U412" s="1371">
        <f t="shared" si="73"/>
        <v>0</v>
      </c>
      <c r="V412" s="1373">
        <f t="shared" si="67"/>
        <v>0</v>
      </c>
      <c r="W412" s="960"/>
    </row>
    <row r="413" spans="1:23">
      <c r="A413" s="918">
        <v>301064</v>
      </c>
      <c r="B413" s="919" t="s">
        <v>255</v>
      </c>
      <c r="C413" s="1363">
        <f>IF('TAR_Tab 2_Volumina'!M416,1,0)</f>
        <v>0</v>
      </c>
      <c r="D413" s="1527">
        <v>0</v>
      </c>
      <c r="E413" s="1528">
        <f t="shared" si="69"/>
        <v>0</v>
      </c>
      <c r="F413" s="1528">
        <f t="shared" si="70"/>
        <v>0</v>
      </c>
      <c r="G413" s="1531"/>
      <c r="H413" s="1528">
        <f t="shared" si="71"/>
        <v>0</v>
      </c>
      <c r="I413" s="1528">
        <f t="shared" si="72"/>
        <v>0</v>
      </c>
      <c r="J413" s="1532">
        <f t="shared" si="74"/>
        <v>0</v>
      </c>
      <c r="K413" s="1369" t="str">
        <f t="shared" si="75"/>
        <v/>
      </c>
      <c r="L413" s="1558"/>
      <c r="M413" s="1364"/>
      <c r="N413" s="1371">
        <f t="shared" si="68"/>
        <v>0</v>
      </c>
      <c r="O413" s="1372"/>
      <c r="P413" s="1371">
        <f t="shared" si="66"/>
        <v>0</v>
      </c>
      <c r="Q413" s="1371">
        <f t="shared" si="66"/>
        <v>0</v>
      </c>
      <c r="R413" s="1371">
        <f t="shared" si="66"/>
        <v>0</v>
      </c>
      <c r="S413" s="1371">
        <f t="shared" si="66"/>
        <v>0</v>
      </c>
      <c r="T413" s="1371">
        <f t="shared" si="66"/>
        <v>0</v>
      </c>
      <c r="U413" s="1371">
        <f t="shared" si="73"/>
        <v>0</v>
      </c>
      <c r="V413" s="1373">
        <f t="shared" si="67"/>
        <v>0</v>
      </c>
      <c r="W413" s="960"/>
    </row>
    <row r="414" spans="1:23">
      <c r="A414" s="918">
        <v>301065</v>
      </c>
      <c r="B414" s="919" t="s">
        <v>1120</v>
      </c>
      <c r="C414" s="1363">
        <f>IF('TAR_Tab 2_Volumina'!M417,1,0)</f>
        <v>0</v>
      </c>
      <c r="D414" s="1527">
        <v>0</v>
      </c>
      <c r="E414" s="1528">
        <f t="shared" si="69"/>
        <v>0</v>
      </c>
      <c r="F414" s="1528">
        <f t="shared" si="70"/>
        <v>0</v>
      </c>
      <c r="G414" s="1531"/>
      <c r="H414" s="1528">
        <f t="shared" si="71"/>
        <v>0</v>
      </c>
      <c r="I414" s="1528">
        <f t="shared" si="72"/>
        <v>0</v>
      </c>
      <c r="J414" s="1532">
        <f t="shared" si="74"/>
        <v>0</v>
      </c>
      <c r="K414" s="1369" t="str">
        <f t="shared" si="75"/>
        <v/>
      </c>
      <c r="L414" s="1558"/>
      <c r="M414" s="1364"/>
      <c r="N414" s="1371">
        <f t="shared" si="68"/>
        <v>0</v>
      </c>
      <c r="O414" s="1372"/>
      <c r="P414" s="1371">
        <f t="shared" si="66"/>
        <v>0</v>
      </c>
      <c r="Q414" s="1371">
        <f t="shared" si="66"/>
        <v>0</v>
      </c>
      <c r="R414" s="1371">
        <f t="shared" si="66"/>
        <v>0</v>
      </c>
      <c r="S414" s="1371">
        <f t="shared" si="66"/>
        <v>0</v>
      </c>
      <c r="T414" s="1371">
        <f t="shared" si="66"/>
        <v>0</v>
      </c>
      <c r="U414" s="1371">
        <f t="shared" si="73"/>
        <v>0</v>
      </c>
      <c r="V414" s="1373">
        <f t="shared" si="67"/>
        <v>0</v>
      </c>
      <c r="W414" s="960"/>
    </row>
    <row r="415" spans="1:23">
      <c r="A415" s="918">
        <v>301080</v>
      </c>
      <c r="B415" s="919" t="s">
        <v>480</v>
      </c>
      <c r="C415" s="1363">
        <f>IF('TAR_Tab 2_Volumina'!M418,1,0)</f>
        <v>0</v>
      </c>
      <c r="D415" s="1527">
        <v>0</v>
      </c>
      <c r="E415" s="1528">
        <f t="shared" si="69"/>
        <v>0</v>
      </c>
      <c r="F415" s="1528">
        <f t="shared" si="70"/>
        <v>0</v>
      </c>
      <c r="G415" s="1531"/>
      <c r="H415" s="1528">
        <f t="shared" si="71"/>
        <v>0</v>
      </c>
      <c r="I415" s="1528">
        <f t="shared" si="72"/>
        <v>0</v>
      </c>
      <c r="J415" s="1532">
        <f t="shared" si="74"/>
        <v>0</v>
      </c>
      <c r="K415" s="1369" t="str">
        <f t="shared" si="75"/>
        <v/>
      </c>
      <c r="L415" s="1558"/>
      <c r="M415" s="1364"/>
      <c r="N415" s="1371">
        <f t="shared" si="68"/>
        <v>0</v>
      </c>
      <c r="O415" s="1372"/>
      <c r="P415" s="1371">
        <f t="shared" si="66"/>
        <v>0</v>
      </c>
      <c r="Q415" s="1371">
        <f t="shared" si="66"/>
        <v>0</v>
      </c>
      <c r="R415" s="1371">
        <f t="shared" si="66"/>
        <v>0</v>
      </c>
      <c r="S415" s="1371">
        <f t="shared" si="66"/>
        <v>0</v>
      </c>
      <c r="T415" s="1371">
        <f t="shared" si="66"/>
        <v>0</v>
      </c>
      <c r="U415" s="1371">
        <f t="shared" si="73"/>
        <v>0</v>
      </c>
      <c r="V415" s="1373">
        <f t="shared" si="67"/>
        <v>0</v>
      </c>
      <c r="W415" s="960"/>
    </row>
    <row r="416" spans="1:23">
      <c r="A416" s="918">
        <v>301111</v>
      </c>
      <c r="B416" s="919" t="s">
        <v>54</v>
      </c>
      <c r="C416" s="1363">
        <f>IF('TAR_Tab 2_Volumina'!M419,1,0)</f>
        <v>0</v>
      </c>
      <c r="D416" s="1527">
        <v>0</v>
      </c>
      <c r="E416" s="1528">
        <f t="shared" si="69"/>
        <v>0</v>
      </c>
      <c r="F416" s="1528">
        <f t="shared" si="70"/>
        <v>0</v>
      </c>
      <c r="G416" s="1531"/>
      <c r="H416" s="1528">
        <f t="shared" si="71"/>
        <v>0</v>
      </c>
      <c r="I416" s="1528">
        <f t="shared" si="72"/>
        <v>0</v>
      </c>
      <c r="J416" s="1532">
        <f t="shared" si="74"/>
        <v>0</v>
      </c>
      <c r="K416" s="1369" t="str">
        <f t="shared" si="75"/>
        <v/>
      </c>
      <c r="L416" s="1558"/>
      <c r="M416" s="1364"/>
      <c r="N416" s="1371">
        <f t="shared" si="68"/>
        <v>0</v>
      </c>
      <c r="O416" s="1372"/>
      <c r="P416" s="1371">
        <f t="shared" si="66"/>
        <v>0</v>
      </c>
      <c r="Q416" s="1371">
        <f t="shared" si="66"/>
        <v>0</v>
      </c>
      <c r="R416" s="1371">
        <f t="shared" si="66"/>
        <v>0</v>
      </c>
      <c r="S416" s="1371">
        <f t="shared" si="66"/>
        <v>0</v>
      </c>
      <c r="T416" s="1371">
        <f t="shared" si="66"/>
        <v>0</v>
      </c>
      <c r="U416" s="1371">
        <f t="shared" si="73"/>
        <v>0</v>
      </c>
      <c r="V416" s="1373">
        <f t="shared" si="67"/>
        <v>0</v>
      </c>
      <c r="W416" s="960"/>
    </row>
    <row r="417" spans="1:23">
      <c r="A417" s="918">
        <v>301112</v>
      </c>
      <c r="B417" s="919" t="s">
        <v>492</v>
      </c>
      <c r="C417" s="1363">
        <f>IF('TAR_Tab 2_Volumina'!M420,1,0)</f>
        <v>0</v>
      </c>
      <c r="D417" s="1527">
        <v>0</v>
      </c>
      <c r="E417" s="1528">
        <f t="shared" si="69"/>
        <v>0</v>
      </c>
      <c r="F417" s="1528">
        <f t="shared" si="70"/>
        <v>0</v>
      </c>
      <c r="G417" s="1531"/>
      <c r="H417" s="1528">
        <f t="shared" si="71"/>
        <v>0</v>
      </c>
      <c r="I417" s="1528">
        <f t="shared" si="72"/>
        <v>0</v>
      </c>
      <c r="J417" s="1532">
        <f t="shared" si="74"/>
        <v>0</v>
      </c>
      <c r="K417" s="1369" t="str">
        <f t="shared" si="75"/>
        <v/>
      </c>
      <c r="L417" s="1558"/>
      <c r="M417" s="1364"/>
      <c r="N417" s="1371">
        <f t="shared" si="68"/>
        <v>0</v>
      </c>
      <c r="O417" s="1372"/>
      <c r="P417" s="1371">
        <f t="shared" si="66"/>
        <v>0</v>
      </c>
      <c r="Q417" s="1371">
        <f t="shared" si="66"/>
        <v>0</v>
      </c>
      <c r="R417" s="1371">
        <f t="shared" si="66"/>
        <v>0</v>
      </c>
      <c r="S417" s="1371">
        <f t="shared" si="66"/>
        <v>0</v>
      </c>
      <c r="T417" s="1371">
        <f t="shared" si="66"/>
        <v>0</v>
      </c>
      <c r="U417" s="1371">
        <f t="shared" si="73"/>
        <v>0</v>
      </c>
      <c r="V417" s="1373">
        <f t="shared" si="67"/>
        <v>0</v>
      </c>
      <c r="W417" s="960"/>
    </row>
    <row r="418" spans="1:23">
      <c r="A418" s="918">
        <v>301113</v>
      </c>
      <c r="B418" s="919" t="s">
        <v>493</v>
      </c>
      <c r="C418" s="1363">
        <f>IF('TAR_Tab 2_Volumina'!M421,1,0)</f>
        <v>0</v>
      </c>
      <c r="D418" s="1527">
        <v>0</v>
      </c>
      <c r="E418" s="1528">
        <f t="shared" si="69"/>
        <v>0</v>
      </c>
      <c r="F418" s="1528">
        <f t="shared" si="70"/>
        <v>0</v>
      </c>
      <c r="G418" s="1531"/>
      <c r="H418" s="1528">
        <f t="shared" si="71"/>
        <v>0</v>
      </c>
      <c r="I418" s="1528">
        <f t="shared" si="72"/>
        <v>0</v>
      </c>
      <c r="J418" s="1532">
        <f t="shared" si="74"/>
        <v>0</v>
      </c>
      <c r="K418" s="1369" t="str">
        <f t="shared" si="75"/>
        <v/>
      </c>
      <c r="L418" s="1558"/>
      <c r="M418" s="1364"/>
      <c r="N418" s="1371">
        <f t="shared" si="68"/>
        <v>0</v>
      </c>
      <c r="O418" s="1372"/>
      <c r="P418" s="1371">
        <f t="shared" si="66"/>
        <v>0</v>
      </c>
      <c r="Q418" s="1371">
        <f t="shared" si="66"/>
        <v>0</v>
      </c>
      <c r="R418" s="1371">
        <f t="shared" si="66"/>
        <v>0</v>
      </c>
      <c r="S418" s="1371">
        <f t="shared" si="66"/>
        <v>0</v>
      </c>
      <c r="T418" s="1371">
        <f t="shared" si="66"/>
        <v>0</v>
      </c>
      <c r="U418" s="1371">
        <f t="shared" si="73"/>
        <v>0</v>
      </c>
      <c r="V418" s="1373">
        <f t="shared" si="67"/>
        <v>0</v>
      </c>
      <c r="W418" s="960"/>
    </row>
    <row r="419" spans="1:23">
      <c r="A419" s="918">
        <v>301114</v>
      </c>
      <c r="B419" s="919" t="s">
        <v>351</v>
      </c>
      <c r="C419" s="1363">
        <f>IF('TAR_Tab 2_Volumina'!M422,1,0)</f>
        <v>0</v>
      </c>
      <c r="D419" s="1527">
        <v>0</v>
      </c>
      <c r="E419" s="1528">
        <f t="shared" si="69"/>
        <v>0</v>
      </c>
      <c r="F419" s="1528">
        <f t="shared" si="70"/>
        <v>0</v>
      </c>
      <c r="G419" s="1531"/>
      <c r="H419" s="1528">
        <f t="shared" si="71"/>
        <v>0</v>
      </c>
      <c r="I419" s="1528">
        <f t="shared" si="72"/>
        <v>0</v>
      </c>
      <c r="J419" s="1532">
        <f t="shared" si="74"/>
        <v>0</v>
      </c>
      <c r="K419" s="1369" t="str">
        <f t="shared" si="75"/>
        <v/>
      </c>
      <c r="L419" s="1558"/>
      <c r="M419" s="1364"/>
      <c r="N419" s="1371">
        <f t="shared" si="68"/>
        <v>0</v>
      </c>
      <c r="O419" s="1372"/>
      <c r="P419" s="1371">
        <f t="shared" si="66"/>
        <v>0</v>
      </c>
      <c r="Q419" s="1371">
        <f t="shared" si="66"/>
        <v>0</v>
      </c>
      <c r="R419" s="1371">
        <f t="shared" si="66"/>
        <v>0</v>
      </c>
      <c r="S419" s="1371">
        <f t="shared" si="66"/>
        <v>0</v>
      </c>
      <c r="T419" s="1371">
        <f t="shared" si="66"/>
        <v>0</v>
      </c>
      <c r="U419" s="1371">
        <f t="shared" si="73"/>
        <v>0</v>
      </c>
      <c r="V419" s="1373">
        <f t="shared" si="67"/>
        <v>0</v>
      </c>
      <c r="W419" s="960"/>
    </row>
    <row r="420" spans="1:23">
      <c r="A420" s="918">
        <v>301116</v>
      </c>
      <c r="B420" s="919" t="s">
        <v>352</v>
      </c>
      <c r="C420" s="1363">
        <f>IF('TAR_Tab 2_Volumina'!M423,1,0)</f>
        <v>0</v>
      </c>
      <c r="D420" s="1527">
        <v>0</v>
      </c>
      <c r="E420" s="1528">
        <f t="shared" si="69"/>
        <v>0</v>
      </c>
      <c r="F420" s="1528">
        <f t="shared" si="70"/>
        <v>0</v>
      </c>
      <c r="G420" s="1531"/>
      <c r="H420" s="1528">
        <f t="shared" si="71"/>
        <v>0</v>
      </c>
      <c r="I420" s="1528">
        <f t="shared" si="72"/>
        <v>0</v>
      </c>
      <c r="J420" s="1532">
        <f t="shared" si="74"/>
        <v>0</v>
      </c>
      <c r="K420" s="1369" t="str">
        <f t="shared" si="75"/>
        <v/>
      </c>
      <c r="L420" s="1558"/>
      <c r="M420" s="1364"/>
      <c r="N420" s="1371">
        <f t="shared" si="68"/>
        <v>0</v>
      </c>
      <c r="O420" s="1372"/>
      <c r="P420" s="1371">
        <f t="shared" si="66"/>
        <v>0</v>
      </c>
      <c r="Q420" s="1371">
        <f t="shared" si="66"/>
        <v>0</v>
      </c>
      <c r="R420" s="1371">
        <f t="shared" si="66"/>
        <v>0</v>
      </c>
      <c r="S420" s="1371">
        <f t="shared" si="66"/>
        <v>0</v>
      </c>
      <c r="T420" s="1371">
        <f t="shared" si="66"/>
        <v>0</v>
      </c>
      <c r="U420" s="1371">
        <f t="shared" si="73"/>
        <v>0</v>
      </c>
      <c r="V420" s="1373">
        <f t="shared" si="67"/>
        <v>0</v>
      </c>
      <c r="W420" s="960"/>
    </row>
    <row r="421" spans="1:23">
      <c r="A421" s="918">
        <v>301118</v>
      </c>
      <c r="B421" s="919" t="s">
        <v>256</v>
      </c>
      <c r="C421" s="1363">
        <f>IF('TAR_Tab 2_Volumina'!M424,1,0)</f>
        <v>0</v>
      </c>
      <c r="D421" s="1527">
        <v>0</v>
      </c>
      <c r="E421" s="1528">
        <f t="shared" si="69"/>
        <v>0</v>
      </c>
      <c r="F421" s="1528">
        <f t="shared" si="70"/>
        <v>0</v>
      </c>
      <c r="G421" s="1531"/>
      <c r="H421" s="1528">
        <f t="shared" si="71"/>
        <v>0</v>
      </c>
      <c r="I421" s="1528">
        <f t="shared" si="72"/>
        <v>0</v>
      </c>
      <c r="J421" s="1532">
        <f t="shared" si="74"/>
        <v>0</v>
      </c>
      <c r="K421" s="1369" t="str">
        <f t="shared" si="75"/>
        <v/>
      </c>
      <c r="L421" s="1558"/>
      <c r="M421" s="1364"/>
      <c r="N421" s="1371">
        <f t="shared" si="68"/>
        <v>0</v>
      </c>
      <c r="O421" s="1372"/>
      <c r="P421" s="1371">
        <f t="shared" si="66"/>
        <v>0</v>
      </c>
      <c r="Q421" s="1371">
        <f t="shared" si="66"/>
        <v>0</v>
      </c>
      <c r="R421" s="1371">
        <f t="shared" si="66"/>
        <v>0</v>
      </c>
      <c r="S421" s="1371">
        <f t="shared" si="66"/>
        <v>0</v>
      </c>
      <c r="T421" s="1371">
        <f t="shared" si="66"/>
        <v>0</v>
      </c>
      <c r="U421" s="1371">
        <f t="shared" si="73"/>
        <v>0</v>
      </c>
      <c r="V421" s="1373">
        <f t="shared" si="67"/>
        <v>0</v>
      </c>
      <c r="W421" s="960"/>
    </row>
    <row r="422" spans="1:23">
      <c r="A422" s="918">
        <v>301120</v>
      </c>
      <c r="B422" s="919" t="s">
        <v>55</v>
      </c>
      <c r="C422" s="1363">
        <f>IF('TAR_Tab 2_Volumina'!M425,1,0)</f>
        <v>0</v>
      </c>
      <c r="D422" s="1527">
        <v>0</v>
      </c>
      <c r="E422" s="1528">
        <f t="shared" si="69"/>
        <v>0</v>
      </c>
      <c r="F422" s="1528">
        <f t="shared" si="70"/>
        <v>0</v>
      </c>
      <c r="G422" s="1531"/>
      <c r="H422" s="1528">
        <f t="shared" si="71"/>
        <v>0</v>
      </c>
      <c r="I422" s="1528">
        <f t="shared" si="72"/>
        <v>0</v>
      </c>
      <c r="J422" s="1532">
        <f t="shared" si="74"/>
        <v>0</v>
      </c>
      <c r="K422" s="1369" t="str">
        <f t="shared" si="75"/>
        <v/>
      </c>
      <c r="L422" s="1558"/>
      <c r="M422" s="1364"/>
      <c r="N422" s="1371">
        <f t="shared" si="68"/>
        <v>0</v>
      </c>
      <c r="O422" s="1372"/>
      <c r="P422" s="1371">
        <f t="shared" si="66"/>
        <v>0</v>
      </c>
      <c r="Q422" s="1371">
        <f t="shared" si="66"/>
        <v>0</v>
      </c>
      <c r="R422" s="1371">
        <f t="shared" si="66"/>
        <v>0</v>
      </c>
      <c r="S422" s="1371">
        <f t="shared" si="66"/>
        <v>0</v>
      </c>
      <c r="T422" s="1371">
        <f t="shared" si="66"/>
        <v>0</v>
      </c>
      <c r="U422" s="1371">
        <f t="shared" si="73"/>
        <v>0</v>
      </c>
      <c r="V422" s="1373">
        <f t="shared" si="67"/>
        <v>0</v>
      </c>
      <c r="W422" s="960"/>
    </row>
    <row r="423" spans="1:23">
      <c r="A423" s="918">
        <v>301122</v>
      </c>
      <c r="B423" s="919" t="s">
        <v>353</v>
      </c>
      <c r="C423" s="1363">
        <f>IF('TAR_Tab 2_Volumina'!M426,1,0)</f>
        <v>0</v>
      </c>
      <c r="D423" s="1527">
        <v>0</v>
      </c>
      <c r="E423" s="1528">
        <f t="shared" si="69"/>
        <v>0</v>
      </c>
      <c r="F423" s="1528">
        <f t="shared" si="70"/>
        <v>0</v>
      </c>
      <c r="G423" s="1531"/>
      <c r="H423" s="1528">
        <f t="shared" si="71"/>
        <v>0</v>
      </c>
      <c r="I423" s="1528">
        <f t="shared" si="72"/>
        <v>0</v>
      </c>
      <c r="J423" s="1532">
        <f t="shared" si="74"/>
        <v>0</v>
      </c>
      <c r="K423" s="1369" t="str">
        <f t="shared" si="75"/>
        <v/>
      </c>
      <c r="L423" s="1558"/>
      <c r="M423" s="1364"/>
      <c r="N423" s="1371">
        <f t="shared" si="68"/>
        <v>0</v>
      </c>
      <c r="O423" s="1372"/>
      <c r="P423" s="1371">
        <f t="shared" si="66"/>
        <v>0</v>
      </c>
      <c r="Q423" s="1371">
        <f t="shared" si="66"/>
        <v>0</v>
      </c>
      <c r="R423" s="1371">
        <f t="shared" si="66"/>
        <v>0</v>
      </c>
      <c r="S423" s="1371">
        <f t="shared" si="66"/>
        <v>0</v>
      </c>
      <c r="T423" s="1371">
        <f t="shared" si="66"/>
        <v>0</v>
      </c>
      <c r="U423" s="1371">
        <f t="shared" si="73"/>
        <v>0</v>
      </c>
      <c r="V423" s="1373">
        <f t="shared" si="67"/>
        <v>0</v>
      </c>
      <c r="W423" s="960"/>
    </row>
    <row r="424" spans="1:23">
      <c r="A424" s="918">
        <v>301129</v>
      </c>
      <c r="B424" s="919" t="s">
        <v>354</v>
      </c>
      <c r="C424" s="1363">
        <f>IF('TAR_Tab 2_Volumina'!M427,1,0)</f>
        <v>1</v>
      </c>
      <c r="D424" s="1529">
        <v>35452.089790587779</v>
      </c>
      <c r="E424" s="1528">
        <f t="shared" si="69"/>
        <v>33807.11282430451</v>
      </c>
      <c r="F424" s="1528">
        <f t="shared" si="70"/>
        <v>35722.02781136518</v>
      </c>
      <c r="G424" s="1531"/>
      <c r="H424" s="1528">
        <f t="shared" si="71"/>
        <v>33935.926420796917</v>
      </c>
      <c r="I424" s="1528">
        <f t="shared" si="72"/>
        <v>37508.129201933443</v>
      </c>
      <c r="J424" s="1532">
        <f t="shared" si="74"/>
        <v>35722.02781136518</v>
      </c>
      <c r="K424" s="1369" t="b">
        <f t="shared" si="75"/>
        <v>1</v>
      </c>
      <c r="L424" s="1558"/>
      <c r="M424" s="1364"/>
      <c r="N424" s="1371">
        <f t="shared" si="68"/>
        <v>35722.02781136518</v>
      </c>
      <c r="O424" s="1372"/>
      <c r="P424" s="1371">
        <f t="shared" si="66"/>
        <v>112.33589430594309</v>
      </c>
      <c r="Q424" s="1371">
        <f t="shared" si="66"/>
        <v>89.041969719838676</v>
      </c>
      <c r="R424" s="1371">
        <f t="shared" si="66"/>
        <v>246.24826871808571</v>
      </c>
      <c r="S424" s="1371">
        <f t="shared" si="66"/>
        <v>0</v>
      </c>
      <c r="T424" s="1371">
        <f t="shared" si="66"/>
        <v>2310.2714077435703</v>
      </c>
      <c r="U424" s="1371">
        <f t="shared" si="73"/>
        <v>38479.925351852624</v>
      </c>
      <c r="V424" s="1373">
        <f t="shared" si="67"/>
        <v>38479.93</v>
      </c>
      <c r="W424" s="960"/>
    </row>
    <row r="425" spans="1:23">
      <c r="A425" s="918">
        <v>301144</v>
      </c>
      <c r="B425" s="919" t="s">
        <v>355</v>
      </c>
      <c r="C425" s="1363">
        <f>IF('TAR_Tab 2_Volumina'!M428,1,0)</f>
        <v>0</v>
      </c>
      <c r="D425" s="1527">
        <v>0</v>
      </c>
      <c r="E425" s="1528">
        <f t="shared" si="69"/>
        <v>0</v>
      </c>
      <c r="F425" s="1528">
        <f t="shared" si="70"/>
        <v>0</v>
      </c>
      <c r="G425" s="1531"/>
      <c r="H425" s="1528">
        <f t="shared" si="71"/>
        <v>0</v>
      </c>
      <c r="I425" s="1528">
        <f t="shared" si="72"/>
        <v>0</v>
      </c>
      <c r="J425" s="1532">
        <f t="shared" si="74"/>
        <v>0</v>
      </c>
      <c r="K425" s="1369" t="str">
        <f t="shared" si="75"/>
        <v/>
      </c>
      <c r="L425" s="1558"/>
      <c r="M425" s="1364"/>
      <c r="N425" s="1371">
        <f t="shared" si="68"/>
        <v>0</v>
      </c>
      <c r="O425" s="1372"/>
      <c r="P425" s="1371">
        <f t="shared" si="66"/>
        <v>0</v>
      </c>
      <c r="Q425" s="1371">
        <f t="shared" si="66"/>
        <v>0</v>
      </c>
      <c r="R425" s="1371">
        <f t="shared" si="66"/>
        <v>0</v>
      </c>
      <c r="S425" s="1371">
        <f t="shared" si="66"/>
        <v>0</v>
      </c>
      <c r="T425" s="1371">
        <f t="shared" si="66"/>
        <v>0</v>
      </c>
      <c r="U425" s="1371">
        <f t="shared" si="73"/>
        <v>0</v>
      </c>
      <c r="V425" s="1373">
        <f t="shared" si="67"/>
        <v>0</v>
      </c>
      <c r="W425" s="960"/>
    </row>
    <row r="426" spans="1:23">
      <c r="A426" s="918">
        <v>301148</v>
      </c>
      <c r="B426" s="919" t="s">
        <v>356</v>
      </c>
      <c r="C426" s="1363">
        <f>IF('TAR_Tab 2_Volumina'!M429,1,0)</f>
        <v>0</v>
      </c>
      <c r="D426" s="1527">
        <v>0</v>
      </c>
      <c r="E426" s="1528">
        <f t="shared" si="69"/>
        <v>0</v>
      </c>
      <c r="F426" s="1528">
        <f t="shared" si="70"/>
        <v>0</v>
      </c>
      <c r="G426" s="1531"/>
      <c r="H426" s="1528">
        <f t="shared" si="71"/>
        <v>0</v>
      </c>
      <c r="I426" s="1528">
        <f t="shared" si="72"/>
        <v>0</v>
      </c>
      <c r="J426" s="1532">
        <f t="shared" si="74"/>
        <v>0</v>
      </c>
      <c r="K426" s="1369" t="str">
        <f t="shared" si="75"/>
        <v/>
      </c>
      <c r="L426" s="1558"/>
      <c r="M426" s="1364"/>
      <c r="N426" s="1371">
        <f t="shared" si="68"/>
        <v>0</v>
      </c>
      <c r="O426" s="1372"/>
      <c r="P426" s="1371">
        <f t="shared" si="66"/>
        <v>0</v>
      </c>
      <c r="Q426" s="1371">
        <f t="shared" si="66"/>
        <v>0</v>
      </c>
      <c r="R426" s="1371">
        <f t="shared" si="66"/>
        <v>0</v>
      </c>
      <c r="S426" s="1371">
        <f t="shared" si="66"/>
        <v>0</v>
      </c>
      <c r="T426" s="1371">
        <f t="shared" si="66"/>
        <v>0</v>
      </c>
      <c r="U426" s="1371">
        <f t="shared" si="73"/>
        <v>0</v>
      </c>
      <c r="V426" s="1373">
        <f t="shared" si="67"/>
        <v>0</v>
      </c>
      <c r="W426" s="960"/>
    </row>
    <row r="427" spans="1:23">
      <c r="A427" s="918">
        <v>301152</v>
      </c>
      <c r="B427" s="919" t="s">
        <v>258</v>
      </c>
      <c r="C427" s="1363">
        <f>IF('TAR_Tab 2_Volumina'!M430,1,0)</f>
        <v>0</v>
      </c>
      <c r="D427" s="1527">
        <v>0</v>
      </c>
      <c r="E427" s="1528">
        <f t="shared" si="69"/>
        <v>0</v>
      </c>
      <c r="F427" s="1528">
        <f t="shared" si="70"/>
        <v>0</v>
      </c>
      <c r="G427" s="1531"/>
      <c r="H427" s="1528">
        <f t="shared" si="71"/>
        <v>0</v>
      </c>
      <c r="I427" s="1528">
        <f t="shared" si="72"/>
        <v>0</v>
      </c>
      <c r="J427" s="1532">
        <f t="shared" si="74"/>
        <v>0</v>
      </c>
      <c r="K427" s="1369" t="str">
        <f t="shared" si="75"/>
        <v/>
      </c>
      <c r="L427" s="1558"/>
      <c r="M427" s="1364"/>
      <c r="N427" s="1371">
        <f t="shared" si="68"/>
        <v>0</v>
      </c>
      <c r="O427" s="1372"/>
      <c r="P427" s="1371">
        <f t="shared" si="66"/>
        <v>0</v>
      </c>
      <c r="Q427" s="1371">
        <f t="shared" si="66"/>
        <v>0</v>
      </c>
      <c r="R427" s="1371">
        <f t="shared" si="66"/>
        <v>0</v>
      </c>
      <c r="S427" s="1371">
        <f t="shared" si="66"/>
        <v>0</v>
      </c>
      <c r="T427" s="1371">
        <f t="shared" si="66"/>
        <v>0</v>
      </c>
      <c r="U427" s="1371">
        <f t="shared" si="73"/>
        <v>0</v>
      </c>
      <c r="V427" s="1373">
        <f t="shared" si="67"/>
        <v>0</v>
      </c>
      <c r="W427" s="960"/>
    </row>
    <row r="428" spans="1:23">
      <c r="A428" s="918">
        <v>301153</v>
      </c>
      <c r="B428" s="919" t="s">
        <v>259</v>
      </c>
      <c r="C428" s="1363">
        <f>IF('TAR_Tab 2_Volumina'!M431,1,0)</f>
        <v>0</v>
      </c>
      <c r="D428" s="1527">
        <v>0</v>
      </c>
      <c r="E428" s="1528">
        <f t="shared" si="69"/>
        <v>0</v>
      </c>
      <c r="F428" s="1528">
        <f t="shared" si="70"/>
        <v>0</v>
      </c>
      <c r="G428" s="1531"/>
      <c r="H428" s="1528">
        <f t="shared" si="71"/>
        <v>0</v>
      </c>
      <c r="I428" s="1528">
        <f t="shared" si="72"/>
        <v>0</v>
      </c>
      <c r="J428" s="1532">
        <f t="shared" si="74"/>
        <v>0</v>
      </c>
      <c r="K428" s="1369" t="str">
        <f t="shared" si="75"/>
        <v/>
      </c>
      <c r="L428" s="1558"/>
      <c r="M428" s="1364"/>
      <c r="N428" s="1371">
        <f t="shared" si="68"/>
        <v>0</v>
      </c>
      <c r="O428" s="1372"/>
      <c r="P428" s="1371">
        <f t="shared" si="66"/>
        <v>0</v>
      </c>
      <c r="Q428" s="1371">
        <f t="shared" si="66"/>
        <v>0</v>
      </c>
      <c r="R428" s="1371">
        <f t="shared" si="66"/>
        <v>0</v>
      </c>
      <c r="S428" s="1371">
        <f t="shared" si="66"/>
        <v>0</v>
      </c>
      <c r="T428" s="1371">
        <f t="shared" si="66"/>
        <v>0</v>
      </c>
      <c r="U428" s="1371">
        <f t="shared" si="73"/>
        <v>0</v>
      </c>
      <c r="V428" s="1373">
        <f t="shared" si="67"/>
        <v>0</v>
      </c>
      <c r="W428" s="960"/>
    </row>
    <row r="429" spans="1:23">
      <c r="A429" s="918">
        <v>301159</v>
      </c>
      <c r="B429" s="919" t="s">
        <v>260</v>
      </c>
      <c r="C429" s="1363">
        <f>IF('TAR_Tab 2_Volumina'!M432,1,0)</f>
        <v>0</v>
      </c>
      <c r="D429" s="1527">
        <v>0</v>
      </c>
      <c r="E429" s="1528">
        <f t="shared" si="69"/>
        <v>0</v>
      </c>
      <c r="F429" s="1528">
        <f t="shared" si="70"/>
        <v>0</v>
      </c>
      <c r="G429" s="1531"/>
      <c r="H429" s="1528">
        <f t="shared" si="71"/>
        <v>0</v>
      </c>
      <c r="I429" s="1528">
        <f t="shared" si="72"/>
        <v>0</v>
      </c>
      <c r="J429" s="1532">
        <f t="shared" si="74"/>
        <v>0</v>
      </c>
      <c r="K429" s="1369" t="str">
        <f t="shared" si="75"/>
        <v/>
      </c>
      <c r="L429" s="1558"/>
      <c r="M429" s="1364"/>
      <c r="N429" s="1371">
        <f t="shared" si="68"/>
        <v>0</v>
      </c>
      <c r="O429" s="1372"/>
      <c r="P429" s="1371">
        <f t="shared" si="66"/>
        <v>0</v>
      </c>
      <c r="Q429" s="1371">
        <f t="shared" si="66"/>
        <v>0</v>
      </c>
      <c r="R429" s="1371">
        <f t="shared" si="66"/>
        <v>0</v>
      </c>
      <c r="S429" s="1371">
        <f t="shared" si="66"/>
        <v>0</v>
      </c>
      <c r="T429" s="1371">
        <f t="shared" si="66"/>
        <v>0</v>
      </c>
      <c r="U429" s="1371">
        <f t="shared" si="73"/>
        <v>0</v>
      </c>
      <c r="V429" s="1373">
        <f t="shared" si="67"/>
        <v>0</v>
      </c>
      <c r="W429" s="960"/>
    </row>
    <row r="430" spans="1:23">
      <c r="A430" s="918">
        <v>301164</v>
      </c>
      <c r="B430" s="919" t="s">
        <v>261</v>
      </c>
      <c r="C430" s="1363">
        <f>IF('TAR_Tab 2_Volumina'!M433,1,0)</f>
        <v>0</v>
      </c>
      <c r="D430" s="1527">
        <v>0</v>
      </c>
      <c r="E430" s="1528">
        <f t="shared" si="69"/>
        <v>0</v>
      </c>
      <c r="F430" s="1528">
        <f t="shared" si="70"/>
        <v>0</v>
      </c>
      <c r="G430" s="1531"/>
      <c r="H430" s="1528">
        <f t="shared" si="71"/>
        <v>0</v>
      </c>
      <c r="I430" s="1528">
        <f t="shared" si="72"/>
        <v>0</v>
      </c>
      <c r="J430" s="1532">
        <f t="shared" si="74"/>
        <v>0</v>
      </c>
      <c r="K430" s="1369" t="str">
        <f t="shared" si="75"/>
        <v/>
      </c>
      <c r="L430" s="1558"/>
      <c r="M430" s="1364"/>
      <c r="N430" s="1371">
        <f t="shared" si="68"/>
        <v>0</v>
      </c>
      <c r="O430" s="1372"/>
      <c r="P430" s="1371">
        <f t="shared" ref="P430:T461" si="76">P$7*$N430</f>
        <v>0</v>
      </c>
      <c r="Q430" s="1371">
        <f t="shared" si="76"/>
        <v>0</v>
      </c>
      <c r="R430" s="1371">
        <f t="shared" si="76"/>
        <v>0</v>
      </c>
      <c r="S430" s="1371">
        <f t="shared" si="76"/>
        <v>0</v>
      </c>
      <c r="T430" s="1371">
        <f t="shared" si="76"/>
        <v>0</v>
      </c>
      <c r="U430" s="1371">
        <f t="shared" si="73"/>
        <v>0</v>
      </c>
      <c r="V430" s="1373">
        <f t="shared" si="67"/>
        <v>0</v>
      </c>
      <c r="W430" s="960"/>
    </row>
    <row r="431" spans="1:23">
      <c r="A431" s="918">
        <v>301177</v>
      </c>
      <c r="B431" s="919" t="s">
        <v>262</v>
      </c>
      <c r="C431" s="1363">
        <f>IF('TAR_Tab 2_Volumina'!M434,1,0)</f>
        <v>0</v>
      </c>
      <c r="D431" s="1527">
        <v>0</v>
      </c>
      <c r="E431" s="1528">
        <f t="shared" si="69"/>
        <v>0</v>
      </c>
      <c r="F431" s="1528">
        <f t="shared" si="70"/>
        <v>0</v>
      </c>
      <c r="G431" s="1531"/>
      <c r="H431" s="1528">
        <f t="shared" si="71"/>
        <v>0</v>
      </c>
      <c r="I431" s="1528">
        <f t="shared" si="72"/>
        <v>0</v>
      </c>
      <c r="J431" s="1532">
        <f t="shared" si="74"/>
        <v>0</v>
      </c>
      <c r="K431" s="1369" t="str">
        <f t="shared" si="75"/>
        <v/>
      </c>
      <c r="L431" s="1558"/>
      <c r="M431" s="1364"/>
      <c r="N431" s="1371">
        <f t="shared" si="68"/>
        <v>0</v>
      </c>
      <c r="O431" s="1372"/>
      <c r="P431" s="1371">
        <f t="shared" si="76"/>
        <v>0</v>
      </c>
      <c r="Q431" s="1371">
        <f t="shared" si="76"/>
        <v>0</v>
      </c>
      <c r="R431" s="1371">
        <f t="shared" si="76"/>
        <v>0</v>
      </c>
      <c r="S431" s="1371">
        <f t="shared" si="76"/>
        <v>0</v>
      </c>
      <c r="T431" s="1371">
        <f t="shared" si="76"/>
        <v>0</v>
      </c>
      <c r="U431" s="1371">
        <f t="shared" si="73"/>
        <v>0</v>
      </c>
      <c r="V431" s="1373">
        <f t="shared" si="67"/>
        <v>0</v>
      </c>
      <c r="W431" s="960"/>
    </row>
    <row r="432" spans="1:23">
      <c r="A432" s="918">
        <v>301178</v>
      </c>
      <c r="B432" s="919" t="s">
        <v>263</v>
      </c>
      <c r="C432" s="1363">
        <f>IF('TAR_Tab 2_Volumina'!M435,1,0)</f>
        <v>0</v>
      </c>
      <c r="D432" s="1527">
        <v>0</v>
      </c>
      <c r="E432" s="1528">
        <f t="shared" si="69"/>
        <v>0</v>
      </c>
      <c r="F432" s="1528">
        <f t="shared" si="70"/>
        <v>0</v>
      </c>
      <c r="G432" s="1531"/>
      <c r="H432" s="1528">
        <f t="shared" si="71"/>
        <v>0</v>
      </c>
      <c r="I432" s="1528">
        <f t="shared" si="72"/>
        <v>0</v>
      </c>
      <c r="J432" s="1532">
        <f t="shared" si="74"/>
        <v>0</v>
      </c>
      <c r="K432" s="1369" t="str">
        <f t="shared" si="75"/>
        <v/>
      </c>
      <c r="L432" s="1558"/>
      <c r="M432" s="1364"/>
      <c r="N432" s="1371">
        <f t="shared" si="68"/>
        <v>0</v>
      </c>
      <c r="O432" s="1372"/>
      <c r="P432" s="1371">
        <f t="shared" si="76"/>
        <v>0</v>
      </c>
      <c r="Q432" s="1371">
        <f t="shared" si="76"/>
        <v>0</v>
      </c>
      <c r="R432" s="1371">
        <f t="shared" si="76"/>
        <v>0</v>
      </c>
      <c r="S432" s="1371">
        <f t="shared" si="76"/>
        <v>0</v>
      </c>
      <c r="T432" s="1371">
        <f t="shared" si="76"/>
        <v>0</v>
      </c>
      <c r="U432" s="1371">
        <f t="shared" si="73"/>
        <v>0</v>
      </c>
      <c r="V432" s="1373">
        <f t="shared" si="67"/>
        <v>0</v>
      </c>
      <c r="W432" s="960"/>
    </row>
    <row r="433" spans="1:23">
      <c r="A433" s="918">
        <v>301180</v>
      </c>
      <c r="B433" s="919" t="s">
        <v>357</v>
      </c>
      <c r="C433" s="1363">
        <f>IF('TAR_Tab 2_Volumina'!M436,1,0)</f>
        <v>0</v>
      </c>
      <c r="D433" s="1527">
        <v>0</v>
      </c>
      <c r="E433" s="1528">
        <f t="shared" si="69"/>
        <v>0</v>
      </c>
      <c r="F433" s="1528">
        <f t="shared" si="70"/>
        <v>0</v>
      </c>
      <c r="G433" s="1531"/>
      <c r="H433" s="1528">
        <f t="shared" si="71"/>
        <v>0</v>
      </c>
      <c r="I433" s="1528">
        <f t="shared" si="72"/>
        <v>0</v>
      </c>
      <c r="J433" s="1532">
        <f t="shared" si="74"/>
        <v>0</v>
      </c>
      <c r="K433" s="1369" t="str">
        <f t="shared" si="75"/>
        <v/>
      </c>
      <c r="L433" s="1558"/>
      <c r="M433" s="1364"/>
      <c r="N433" s="1371">
        <f t="shared" si="68"/>
        <v>0</v>
      </c>
      <c r="O433" s="1372"/>
      <c r="P433" s="1371">
        <f t="shared" si="76"/>
        <v>0</v>
      </c>
      <c r="Q433" s="1371">
        <f t="shared" si="76"/>
        <v>0</v>
      </c>
      <c r="R433" s="1371">
        <f t="shared" si="76"/>
        <v>0</v>
      </c>
      <c r="S433" s="1371">
        <f t="shared" si="76"/>
        <v>0</v>
      </c>
      <c r="T433" s="1371">
        <f t="shared" si="76"/>
        <v>0</v>
      </c>
      <c r="U433" s="1371">
        <f t="shared" si="73"/>
        <v>0</v>
      </c>
      <c r="V433" s="1373">
        <f t="shared" si="67"/>
        <v>0</v>
      </c>
      <c r="W433" s="960"/>
    </row>
    <row r="434" spans="1:23">
      <c r="A434" s="918">
        <v>301182</v>
      </c>
      <c r="B434" s="919" t="s">
        <v>264</v>
      </c>
      <c r="C434" s="1363">
        <f>IF('TAR_Tab 2_Volumina'!M437,1,0)</f>
        <v>0</v>
      </c>
      <c r="D434" s="1527">
        <v>0</v>
      </c>
      <c r="E434" s="1528">
        <f t="shared" si="69"/>
        <v>0</v>
      </c>
      <c r="F434" s="1528">
        <f t="shared" si="70"/>
        <v>0</v>
      </c>
      <c r="G434" s="1531"/>
      <c r="H434" s="1528">
        <f t="shared" si="71"/>
        <v>0</v>
      </c>
      <c r="I434" s="1528">
        <f t="shared" si="72"/>
        <v>0</v>
      </c>
      <c r="J434" s="1532">
        <f t="shared" si="74"/>
        <v>0</v>
      </c>
      <c r="K434" s="1369" t="str">
        <f t="shared" si="75"/>
        <v/>
      </c>
      <c r="L434" s="1558"/>
      <c r="M434" s="1364"/>
      <c r="N434" s="1371">
        <f t="shared" si="68"/>
        <v>0</v>
      </c>
      <c r="O434" s="1372"/>
      <c r="P434" s="1371">
        <f t="shared" si="76"/>
        <v>0</v>
      </c>
      <c r="Q434" s="1371">
        <f t="shared" si="76"/>
        <v>0</v>
      </c>
      <c r="R434" s="1371">
        <f t="shared" si="76"/>
        <v>0</v>
      </c>
      <c r="S434" s="1371">
        <f t="shared" si="76"/>
        <v>0</v>
      </c>
      <c r="T434" s="1371">
        <f t="shared" si="76"/>
        <v>0</v>
      </c>
      <c r="U434" s="1371">
        <f t="shared" si="73"/>
        <v>0</v>
      </c>
      <c r="V434" s="1373">
        <f t="shared" si="67"/>
        <v>0</v>
      </c>
      <c r="W434" s="960"/>
    </row>
    <row r="435" spans="1:23">
      <c r="A435" s="918">
        <v>301183</v>
      </c>
      <c r="B435" s="919" t="s">
        <v>225</v>
      </c>
      <c r="C435" s="1363">
        <f>IF('TAR_Tab 2_Volumina'!M438,1,0)</f>
        <v>0</v>
      </c>
      <c r="D435" s="1527">
        <v>0</v>
      </c>
      <c r="E435" s="1528">
        <f t="shared" si="69"/>
        <v>0</v>
      </c>
      <c r="F435" s="1528">
        <f t="shared" si="70"/>
        <v>0</v>
      </c>
      <c r="G435" s="1531"/>
      <c r="H435" s="1528">
        <f t="shared" si="71"/>
        <v>0</v>
      </c>
      <c r="I435" s="1528">
        <f t="shared" si="72"/>
        <v>0</v>
      </c>
      <c r="J435" s="1532">
        <f t="shared" si="74"/>
        <v>0</v>
      </c>
      <c r="K435" s="1369" t="str">
        <f t="shared" si="75"/>
        <v/>
      </c>
      <c r="L435" s="1558"/>
      <c r="M435" s="1364"/>
      <c r="N435" s="1371">
        <f t="shared" si="68"/>
        <v>0</v>
      </c>
      <c r="O435" s="1372"/>
      <c r="P435" s="1371">
        <f t="shared" si="76"/>
        <v>0</v>
      </c>
      <c r="Q435" s="1371">
        <f t="shared" si="76"/>
        <v>0</v>
      </c>
      <c r="R435" s="1371">
        <f t="shared" si="76"/>
        <v>0</v>
      </c>
      <c r="S435" s="1371">
        <f t="shared" si="76"/>
        <v>0</v>
      </c>
      <c r="T435" s="1371">
        <f t="shared" si="76"/>
        <v>0</v>
      </c>
      <c r="U435" s="1371">
        <f t="shared" si="73"/>
        <v>0</v>
      </c>
      <c r="V435" s="1373">
        <f t="shared" si="67"/>
        <v>0</v>
      </c>
      <c r="W435" s="960"/>
    </row>
    <row r="436" spans="1:23">
      <c r="A436" s="918">
        <v>301184</v>
      </c>
      <c r="B436" s="919" t="s">
        <v>494</v>
      </c>
      <c r="C436" s="1363">
        <f>IF('TAR_Tab 2_Volumina'!M439,1,0)</f>
        <v>0</v>
      </c>
      <c r="D436" s="1527">
        <v>0</v>
      </c>
      <c r="E436" s="1528">
        <f t="shared" si="69"/>
        <v>0</v>
      </c>
      <c r="F436" s="1528">
        <f t="shared" si="70"/>
        <v>0</v>
      </c>
      <c r="G436" s="1531"/>
      <c r="H436" s="1528">
        <f t="shared" si="71"/>
        <v>0</v>
      </c>
      <c r="I436" s="1528">
        <f t="shared" si="72"/>
        <v>0</v>
      </c>
      <c r="J436" s="1532">
        <f t="shared" si="74"/>
        <v>0</v>
      </c>
      <c r="K436" s="1369" t="str">
        <f t="shared" si="75"/>
        <v/>
      </c>
      <c r="L436" s="1558"/>
      <c r="M436" s="1364"/>
      <c r="N436" s="1371">
        <f t="shared" si="68"/>
        <v>0</v>
      </c>
      <c r="O436" s="1372"/>
      <c r="P436" s="1371">
        <f t="shared" si="76"/>
        <v>0</v>
      </c>
      <c r="Q436" s="1371">
        <f t="shared" si="76"/>
        <v>0</v>
      </c>
      <c r="R436" s="1371">
        <f t="shared" si="76"/>
        <v>0</v>
      </c>
      <c r="S436" s="1371">
        <f t="shared" si="76"/>
        <v>0</v>
      </c>
      <c r="T436" s="1371">
        <f t="shared" si="76"/>
        <v>0</v>
      </c>
      <c r="U436" s="1371">
        <f t="shared" si="73"/>
        <v>0</v>
      </c>
      <c r="V436" s="1373">
        <f t="shared" si="67"/>
        <v>0</v>
      </c>
      <c r="W436" s="960"/>
    </row>
    <row r="437" spans="1:23">
      <c r="A437" s="918">
        <v>301185</v>
      </c>
      <c r="B437" s="919" t="s">
        <v>1123</v>
      </c>
      <c r="C437" s="1363">
        <f>IF('TAR_Tab 2_Volumina'!M440,1,0)</f>
        <v>0</v>
      </c>
      <c r="D437" s="1527">
        <v>0</v>
      </c>
      <c r="E437" s="1528">
        <f t="shared" si="69"/>
        <v>0</v>
      </c>
      <c r="F437" s="1528">
        <f t="shared" si="70"/>
        <v>0</v>
      </c>
      <c r="G437" s="1531"/>
      <c r="H437" s="1528">
        <f t="shared" si="71"/>
        <v>0</v>
      </c>
      <c r="I437" s="1528">
        <f t="shared" si="72"/>
        <v>0</v>
      </c>
      <c r="J437" s="1532">
        <f t="shared" si="74"/>
        <v>0</v>
      </c>
      <c r="K437" s="1369" t="str">
        <f t="shared" si="75"/>
        <v/>
      </c>
      <c r="L437" s="1558"/>
      <c r="M437" s="1364"/>
      <c r="N437" s="1371">
        <f t="shared" si="68"/>
        <v>0</v>
      </c>
      <c r="O437" s="1372"/>
      <c r="P437" s="1371">
        <f t="shared" si="76"/>
        <v>0</v>
      </c>
      <c r="Q437" s="1371">
        <f t="shared" si="76"/>
        <v>0</v>
      </c>
      <c r="R437" s="1371">
        <f t="shared" si="76"/>
        <v>0</v>
      </c>
      <c r="S437" s="1371">
        <f t="shared" si="76"/>
        <v>0</v>
      </c>
      <c r="T437" s="1371">
        <f t="shared" si="76"/>
        <v>0</v>
      </c>
      <c r="U437" s="1371">
        <f t="shared" si="73"/>
        <v>0</v>
      </c>
      <c r="V437" s="1373">
        <f t="shared" si="67"/>
        <v>0</v>
      </c>
      <c r="W437" s="960"/>
    </row>
    <row r="438" spans="1:23">
      <c r="A438" s="918">
        <v>301186</v>
      </c>
      <c r="B438" s="919" t="s">
        <v>358</v>
      </c>
      <c r="C438" s="1363">
        <f>IF('TAR_Tab 2_Volumina'!M441,1,0)</f>
        <v>1</v>
      </c>
      <c r="D438" s="1529">
        <v>88630.224476469462</v>
      </c>
      <c r="E438" s="1528">
        <f t="shared" si="69"/>
        <v>84517.782060761281</v>
      </c>
      <c r="F438" s="1528">
        <f t="shared" si="70"/>
        <v>89305.069528412962</v>
      </c>
      <c r="G438" s="1531"/>
      <c r="H438" s="1528">
        <f t="shared" si="71"/>
        <v>84839.816051992311</v>
      </c>
      <c r="I438" s="1528">
        <f t="shared" si="72"/>
        <v>93770.323004833612</v>
      </c>
      <c r="J438" s="1532">
        <f t="shared" si="74"/>
        <v>89305.069528412962</v>
      </c>
      <c r="K438" s="1369" t="b">
        <f t="shared" si="75"/>
        <v>1</v>
      </c>
      <c r="L438" s="1558"/>
      <c r="M438" s="1364"/>
      <c r="N438" s="1371">
        <f t="shared" si="68"/>
        <v>89305.069528412962</v>
      </c>
      <c r="O438" s="1372"/>
      <c r="P438" s="1371">
        <f t="shared" si="76"/>
        <v>280.83973576485772</v>
      </c>
      <c r="Q438" s="1371">
        <f t="shared" si="76"/>
        <v>222.60492429959672</v>
      </c>
      <c r="R438" s="1371">
        <f t="shared" si="76"/>
        <v>615.62067179521432</v>
      </c>
      <c r="S438" s="1371">
        <f t="shared" si="76"/>
        <v>0</v>
      </c>
      <c r="T438" s="1371">
        <f t="shared" si="76"/>
        <v>5775.6785193589267</v>
      </c>
      <c r="U438" s="1371">
        <f t="shared" si="73"/>
        <v>96199.813379631567</v>
      </c>
      <c r="V438" s="1373">
        <f t="shared" si="67"/>
        <v>96199.81</v>
      </c>
      <c r="W438" s="960"/>
    </row>
    <row r="439" spans="1:23">
      <c r="A439" s="918">
        <v>301187</v>
      </c>
      <c r="B439" s="919" t="s">
        <v>359</v>
      </c>
      <c r="C439" s="1363">
        <f>IF('TAR_Tab 2_Volumina'!M442,1,0)</f>
        <v>1</v>
      </c>
      <c r="D439" s="1530">
        <v>124082.31426705699</v>
      </c>
      <c r="E439" s="1528">
        <f t="shared" si="69"/>
        <v>118324.89488506554</v>
      </c>
      <c r="F439" s="1528">
        <f t="shared" si="70"/>
        <v>125027.09733977787</v>
      </c>
      <c r="G439" s="1531"/>
      <c r="H439" s="1528">
        <f t="shared" si="71"/>
        <v>118775.74247278897</v>
      </c>
      <c r="I439" s="1528">
        <f t="shared" si="72"/>
        <v>131278.45220676679</v>
      </c>
      <c r="J439" s="1532">
        <f t="shared" si="74"/>
        <v>125027.09733977787</v>
      </c>
      <c r="K439" s="1369" t="b">
        <f t="shared" si="75"/>
        <v>1</v>
      </c>
      <c r="L439" s="1558"/>
      <c r="M439" s="1364"/>
      <c r="N439" s="1371">
        <f t="shared" si="68"/>
        <v>125027.09733977787</v>
      </c>
      <c r="O439" s="1372"/>
      <c r="P439" s="1371">
        <f t="shared" si="76"/>
        <v>393.17563007079997</v>
      </c>
      <c r="Q439" s="1371">
        <f t="shared" si="76"/>
        <v>311.64689401943468</v>
      </c>
      <c r="R439" s="1371">
        <f t="shared" si="76"/>
        <v>861.86894051329818</v>
      </c>
      <c r="S439" s="1371">
        <f t="shared" si="76"/>
        <v>0</v>
      </c>
      <c r="T439" s="1371">
        <f t="shared" si="76"/>
        <v>8085.9499271024797</v>
      </c>
      <c r="U439" s="1371">
        <f t="shared" si="73"/>
        <v>134679.73873148387</v>
      </c>
      <c r="V439" s="1373">
        <f t="shared" si="67"/>
        <v>134679.74</v>
      </c>
      <c r="W439" s="960" t="s">
        <v>1260</v>
      </c>
    </row>
    <row r="440" spans="1:23">
      <c r="A440" s="918">
        <v>301188</v>
      </c>
      <c r="B440" s="919" t="s">
        <v>360</v>
      </c>
      <c r="C440" s="1363">
        <f>IF('TAR_Tab 2_Volumina'!M443,1,0)</f>
        <v>1</v>
      </c>
      <c r="D440" s="1529">
        <v>283616.7091651627</v>
      </c>
      <c r="E440" s="1528">
        <f t="shared" si="69"/>
        <v>270456.89385989914</v>
      </c>
      <c r="F440" s="1528">
        <f t="shared" si="70"/>
        <v>285776.21326163964</v>
      </c>
      <c r="G440" s="1531"/>
      <c r="H440" s="1528">
        <f t="shared" si="71"/>
        <v>271487.40259855764</v>
      </c>
      <c r="I440" s="1528">
        <f t="shared" si="72"/>
        <v>300065.02392472164</v>
      </c>
      <c r="J440" s="1532">
        <f t="shared" si="74"/>
        <v>285776.21326163964</v>
      </c>
      <c r="K440" s="1369" t="b">
        <f t="shared" si="75"/>
        <v>1</v>
      </c>
      <c r="L440" s="1558"/>
      <c r="M440" s="1364"/>
      <c r="N440" s="1371">
        <f t="shared" si="68"/>
        <v>285776.21326163964</v>
      </c>
      <c r="O440" s="1372"/>
      <c r="P440" s="1371">
        <f t="shared" si="76"/>
        <v>898.68712542400681</v>
      </c>
      <c r="Q440" s="1371">
        <f t="shared" si="76"/>
        <v>712.33573475348032</v>
      </c>
      <c r="R440" s="1371">
        <f t="shared" si="76"/>
        <v>1969.9860861230268</v>
      </c>
      <c r="S440" s="1371">
        <f t="shared" si="76"/>
        <v>0</v>
      </c>
      <c r="T440" s="1371">
        <f t="shared" si="76"/>
        <v>18482.170665057874</v>
      </c>
      <c r="U440" s="1371">
        <f t="shared" si="73"/>
        <v>307839.39287299803</v>
      </c>
      <c r="V440" s="1373">
        <f t="shared" ref="V440:V487" si="77">ROUND(U440,2)</f>
        <v>307839.39</v>
      </c>
      <c r="W440" s="960"/>
    </row>
    <row r="441" spans="1:23">
      <c r="A441" s="918">
        <v>301189</v>
      </c>
      <c r="B441" s="919" t="s">
        <v>361</v>
      </c>
      <c r="C441" s="1363">
        <f>IF('TAR_Tab 2_Volumina'!M444,1,0)</f>
        <v>1</v>
      </c>
      <c r="D441" s="1529">
        <v>53178.134685881683</v>
      </c>
      <c r="E441" s="1528">
        <f t="shared" si="69"/>
        <v>50710.669236456772</v>
      </c>
      <c r="F441" s="1528">
        <f t="shared" si="70"/>
        <v>53583.041717047781</v>
      </c>
      <c r="G441" s="1531"/>
      <c r="H441" s="1528">
        <f t="shared" si="71"/>
        <v>50903.889631195387</v>
      </c>
      <c r="I441" s="1528">
        <f t="shared" si="72"/>
        <v>56262.193802900176</v>
      </c>
      <c r="J441" s="1532">
        <f t="shared" si="74"/>
        <v>53583.041717047781</v>
      </c>
      <c r="K441" s="1369" t="b">
        <f t="shared" si="75"/>
        <v>1</v>
      </c>
      <c r="L441" s="1558"/>
      <c r="M441" s="1364"/>
      <c r="N441" s="1371">
        <f t="shared" ref="N441:N488" si="78">IF(J441&gt;0,J441,F441)</f>
        <v>53583.041717047781</v>
      </c>
      <c r="O441" s="1372"/>
      <c r="P441" s="1371">
        <f t="shared" si="76"/>
        <v>168.50384145891465</v>
      </c>
      <c r="Q441" s="1371">
        <f t="shared" si="76"/>
        <v>133.56295457975804</v>
      </c>
      <c r="R441" s="1371">
        <f t="shared" si="76"/>
        <v>369.37240307712864</v>
      </c>
      <c r="S441" s="1371">
        <f t="shared" si="76"/>
        <v>0</v>
      </c>
      <c r="T441" s="1371">
        <f t="shared" si="76"/>
        <v>3465.4071116153564</v>
      </c>
      <c r="U441" s="1371">
        <f t="shared" si="73"/>
        <v>57719.888027778936</v>
      </c>
      <c r="V441" s="1373">
        <f t="shared" si="77"/>
        <v>57719.89</v>
      </c>
      <c r="W441" s="960"/>
    </row>
    <row r="442" spans="1:23">
      <c r="A442" s="918">
        <v>301190</v>
      </c>
      <c r="B442" s="919" t="s">
        <v>362</v>
      </c>
      <c r="C442" s="1363">
        <f>IF('TAR_Tab 2_Volumina'!M445,1,0)</f>
        <v>1</v>
      </c>
      <c r="D442" s="1529">
        <v>35452.089790587779</v>
      </c>
      <c r="E442" s="1528">
        <f t="shared" si="69"/>
        <v>33807.11282430451</v>
      </c>
      <c r="F442" s="1528">
        <f t="shared" si="70"/>
        <v>35722.02781136518</v>
      </c>
      <c r="G442" s="1531"/>
      <c r="H442" s="1528">
        <f t="shared" si="71"/>
        <v>33935.926420796917</v>
      </c>
      <c r="I442" s="1528">
        <f t="shared" si="72"/>
        <v>37508.129201933443</v>
      </c>
      <c r="J442" s="1532">
        <f t="shared" si="74"/>
        <v>35722.02781136518</v>
      </c>
      <c r="K442" s="1369" t="b">
        <f t="shared" si="75"/>
        <v>1</v>
      </c>
      <c r="L442" s="1558"/>
      <c r="M442" s="1364"/>
      <c r="N442" s="1371">
        <f t="shared" si="78"/>
        <v>35722.02781136518</v>
      </c>
      <c r="O442" s="1372"/>
      <c r="P442" s="1371">
        <f t="shared" si="76"/>
        <v>112.33589430594309</v>
      </c>
      <c r="Q442" s="1371">
        <f t="shared" si="76"/>
        <v>89.041969719838676</v>
      </c>
      <c r="R442" s="1371">
        <f t="shared" si="76"/>
        <v>246.24826871808571</v>
      </c>
      <c r="S442" s="1371">
        <f t="shared" si="76"/>
        <v>0</v>
      </c>
      <c r="T442" s="1371">
        <f t="shared" si="76"/>
        <v>2310.2714077435703</v>
      </c>
      <c r="U442" s="1371">
        <f t="shared" si="73"/>
        <v>38479.925351852624</v>
      </c>
      <c r="V442" s="1373">
        <f t="shared" si="77"/>
        <v>38479.93</v>
      </c>
      <c r="W442" s="960"/>
    </row>
    <row r="443" spans="1:23">
      <c r="A443" s="918">
        <v>301191</v>
      </c>
      <c r="B443" s="919" t="s">
        <v>1124</v>
      </c>
      <c r="C443" s="1363">
        <f>IF('TAR_Tab 2_Volumina'!M446,1,0)</f>
        <v>1</v>
      </c>
      <c r="D443" s="1529">
        <v>35452.089790587779</v>
      </c>
      <c r="E443" s="1528">
        <f t="shared" si="69"/>
        <v>33807.11282430451</v>
      </c>
      <c r="F443" s="1528">
        <f t="shared" si="70"/>
        <v>35722.02781136518</v>
      </c>
      <c r="G443" s="1531"/>
      <c r="H443" s="1528">
        <f t="shared" si="71"/>
        <v>33935.926420796917</v>
      </c>
      <c r="I443" s="1528">
        <f t="shared" si="72"/>
        <v>37508.129201933443</v>
      </c>
      <c r="J443" s="1532">
        <f t="shared" si="74"/>
        <v>35722.02781136518</v>
      </c>
      <c r="K443" s="1369" t="b">
        <f t="shared" si="75"/>
        <v>1</v>
      </c>
      <c r="L443" s="1558"/>
      <c r="M443" s="1364"/>
      <c r="N443" s="1371">
        <f t="shared" si="78"/>
        <v>35722.02781136518</v>
      </c>
      <c r="O443" s="1372"/>
      <c r="P443" s="1371">
        <f t="shared" si="76"/>
        <v>112.33589430594309</v>
      </c>
      <c r="Q443" s="1371">
        <f t="shared" si="76"/>
        <v>89.041969719838676</v>
      </c>
      <c r="R443" s="1371">
        <f t="shared" si="76"/>
        <v>246.24826871808571</v>
      </c>
      <c r="S443" s="1371">
        <f t="shared" si="76"/>
        <v>0</v>
      </c>
      <c r="T443" s="1371">
        <f t="shared" si="76"/>
        <v>2310.2714077435703</v>
      </c>
      <c r="U443" s="1371">
        <f t="shared" si="73"/>
        <v>38479.925351852624</v>
      </c>
      <c r="V443" s="1373">
        <f t="shared" si="77"/>
        <v>38479.93</v>
      </c>
      <c r="W443" s="960"/>
    </row>
    <row r="444" spans="1:23">
      <c r="A444" s="918">
        <v>301193</v>
      </c>
      <c r="B444" s="919" t="s">
        <v>363</v>
      </c>
      <c r="C444" s="1363">
        <f>IF('TAR_Tab 2_Volumina'!M447,1,0)</f>
        <v>1</v>
      </c>
      <c r="D444" s="1527">
        <v>17726.04489529389</v>
      </c>
      <c r="E444" s="1528">
        <f t="shared" si="69"/>
        <v>16903.556412152255</v>
      </c>
      <c r="F444" s="1528">
        <f t="shared" si="70"/>
        <v>17861.01390568259</v>
      </c>
      <c r="G444" s="1531"/>
      <c r="H444" s="1528">
        <f t="shared" si="71"/>
        <v>16967.963210398459</v>
      </c>
      <c r="I444" s="1528">
        <f t="shared" si="72"/>
        <v>18754.064600966722</v>
      </c>
      <c r="J444" s="1532">
        <f t="shared" si="74"/>
        <v>17861.01390568259</v>
      </c>
      <c r="K444" s="1369" t="b">
        <f t="shared" si="75"/>
        <v>1</v>
      </c>
      <c r="L444" s="1558"/>
      <c r="M444" s="1364"/>
      <c r="N444" s="1371">
        <f t="shared" si="78"/>
        <v>17861.01390568259</v>
      </c>
      <c r="O444" s="1372"/>
      <c r="P444" s="1371">
        <f t="shared" si="76"/>
        <v>56.167947152971543</v>
      </c>
      <c r="Q444" s="1371">
        <f t="shared" si="76"/>
        <v>44.520984859919338</v>
      </c>
      <c r="R444" s="1371">
        <f t="shared" si="76"/>
        <v>123.12413435904286</v>
      </c>
      <c r="S444" s="1371">
        <f t="shared" si="76"/>
        <v>0</v>
      </c>
      <c r="T444" s="1371">
        <f t="shared" si="76"/>
        <v>1155.1357038717852</v>
      </c>
      <c r="U444" s="1371">
        <f t="shared" si="73"/>
        <v>19239.962675926312</v>
      </c>
      <c r="V444" s="1373">
        <f t="shared" si="77"/>
        <v>19239.96</v>
      </c>
      <c r="W444" s="960"/>
    </row>
    <row r="445" spans="1:23">
      <c r="A445" s="918">
        <v>301194</v>
      </c>
      <c r="B445" s="919" t="s">
        <v>364</v>
      </c>
      <c r="C445" s="1363">
        <f>IF('TAR_Tab 2_Volumina'!M448,1,0)</f>
        <v>1</v>
      </c>
      <c r="D445" s="1529">
        <v>212712.52958398708</v>
      </c>
      <c r="E445" s="1528">
        <f t="shared" si="69"/>
        <v>202842.66821129009</v>
      </c>
      <c r="F445" s="1528">
        <f t="shared" si="70"/>
        <v>214332.15763890924</v>
      </c>
      <c r="G445" s="1531"/>
      <c r="H445" s="1528">
        <f t="shared" si="71"/>
        <v>203615.54975696377</v>
      </c>
      <c r="I445" s="1528">
        <f t="shared" si="72"/>
        <v>225048.76552085471</v>
      </c>
      <c r="J445" s="1532">
        <f t="shared" si="74"/>
        <v>214332.15763890924</v>
      </c>
      <c r="K445" s="1369" t="b">
        <f t="shared" si="75"/>
        <v>1</v>
      </c>
      <c r="L445" s="1558"/>
      <c r="M445" s="1364"/>
      <c r="N445" s="1371">
        <f t="shared" si="78"/>
        <v>214332.15763890924</v>
      </c>
      <c r="O445" s="1372"/>
      <c r="P445" s="1371">
        <f t="shared" si="76"/>
        <v>674.01533681212049</v>
      </c>
      <c r="Q445" s="1371">
        <f t="shared" si="76"/>
        <v>534.25179531380286</v>
      </c>
      <c r="R445" s="1371">
        <f t="shared" si="76"/>
        <v>1477.4895486868552</v>
      </c>
      <c r="S445" s="1371">
        <f t="shared" si="76"/>
        <v>0</v>
      </c>
      <c r="T445" s="1371">
        <f t="shared" si="76"/>
        <v>13861.62784957073</v>
      </c>
      <c r="U445" s="1371">
        <f t="shared" si="73"/>
        <v>230879.54216929278</v>
      </c>
      <c r="V445" s="1373">
        <f t="shared" si="77"/>
        <v>230879.54</v>
      </c>
      <c r="W445" s="960"/>
    </row>
    <row r="446" spans="1:23">
      <c r="A446" s="918">
        <v>301195</v>
      </c>
      <c r="B446" s="919" t="s">
        <v>365</v>
      </c>
      <c r="C446" s="1363">
        <f>IF('TAR_Tab 2_Volumina'!M449,1,0)</f>
        <v>1</v>
      </c>
      <c r="D446" s="1529">
        <v>70904.179581175558</v>
      </c>
      <c r="E446" s="1528">
        <f t="shared" si="69"/>
        <v>67614.225648609019</v>
      </c>
      <c r="F446" s="1528">
        <f t="shared" si="70"/>
        <v>71444.05562273036</v>
      </c>
      <c r="G446" s="1531"/>
      <c r="H446" s="1528">
        <f t="shared" si="71"/>
        <v>67871.852841593834</v>
      </c>
      <c r="I446" s="1528">
        <f t="shared" si="72"/>
        <v>75016.258403866887</v>
      </c>
      <c r="J446" s="1532">
        <f t="shared" si="74"/>
        <v>71444.05562273036</v>
      </c>
      <c r="K446" s="1369" t="b">
        <f t="shared" si="75"/>
        <v>1</v>
      </c>
      <c r="L446" s="1558"/>
      <c r="M446" s="1364"/>
      <c r="N446" s="1371">
        <f t="shared" si="78"/>
        <v>71444.05562273036</v>
      </c>
      <c r="O446" s="1372"/>
      <c r="P446" s="1371">
        <f t="shared" si="76"/>
        <v>224.67178861188617</v>
      </c>
      <c r="Q446" s="1371">
        <f t="shared" si="76"/>
        <v>178.08393943967735</v>
      </c>
      <c r="R446" s="1371">
        <f t="shared" si="76"/>
        <v>492.49653743617142</v>
      </c>
      <c r="S446" s="1371">
        <f t="shared" si="76"/>
        <v>0</v>
      </c>
      <c r="T446" s="1371">
        <f t="shared" si="76"/>
        <v>4620.5428154871406</v>
      </c>
      <c r="U446" s="1371">
        <f t="shared" si="73"/>
        <v>76959.850703705248</v>
      </c>
      <c r="V446" s="1373">
        <f t="shared" si="77"/>
        <v>76959.850000000006</v>
      </c>
      <c r="W446" s="960"/>
    </row>
    <row r="447" spans="1:23">
      <c r="A447" s="168">
        <v>301196</v>
      </c>
      <c r="B447" s="920" t="s">
        <v>366</v>
      </c>
      <c r="C447" s="1363">
        <f>IF('TAR_Tab 2_Volumina'!M450,1,0)</f>
        <v>1</v>
      </c>
      <c r="D447" s="1529">
        <v>124082.31426705727</v>
      </c>
      <c r="E447" s="1528">
        <f t="shared" si="69"/>
        <v>118324.89488506582</v>
      </c>
      <c r="F447" s="1528">
        <f t="shared" si="70"/>
        <v>125027.09733977816</v>
      </c>
      <c r="G447" s="1531"/>
      <c r="H447" s="1528">
        <f t="shared" si="71"/>
        <v>118775.74247278925</v>
      </c>
      <c r="I447" s="1528">
        <f t="shared" si="72"/>
        <v>131278.45220676708</v>
      </c>
      <c r="J447" s="1532">
        <f t="shared" si="74"/>
        <v>125027.09733977816</v>
      </c>
      <c r="K447" s="1369" t="b">
        <f t="shared" si="75"/>
        <v>1</v>
      </c>
      <c r="L447" s="1558"/>
      <c r="M447" s="1364"/>
      <c r="N447" s="1371">
        <f t="shared" si="78"/>
        <v>125027.09733977816</v>
      </c>
      <c r="O447" s="1372"/>
      <c r="P447" s="1371">
        <f t="shared" si="76"/>
        <v>393.17563007080088</v>
      </c>
      <c r="Q447" s="1371">
        <f t="shared" si="76"/>
        <v>311.64689401943542</v>
      </c>
      <c r="R447" s="1371">
        <f t="shared" si="76"/>
        <v>861.86894051330023</v>
      </c>
      <c r="S447" s="1371">
        <f t="shared" si="76"/>
        <v>0</v>
      </c>
      <c r="T447" s="1371">
        <f t="shared" si="76"/>
        <v>8085.9499271024988</v>
      </c>
      <c r="U447" s="1371">
        <f t="shared" si="73"/>
        <v>134679.73873148422</v>
      </c>
      <c r="V447" s="1373">
        <f t="shared" si="77"/>
        <v>134679.74</v>
      </c>
      <c r="W447" s="960"/>
    </row>
    <row r="448" spans="1:23">
      <c r="A448" s="918">
        <v>301197</v>
      </c>
      <c r="B448" s="919" t="s">
        <v>1125</v>
      </c>
      <c r="C448" s="1363">
        <f>IF('TAR_Tab 2_Volumina'!M451,1,0)</f>
        <v>1</v>
      </c>
      <c r="D448" s="1529">
        <v>177260.44895293892</v>
      </c>
      <c r="E448" s="1528">
        <f t="shared" si="69"/>
        <v>169035.56412152256</v>
      </c>
      <c r="F448" s="1528">
        <f t="shared" si="70"/>
        <v>178610.13905682592</v>
      </c>
      <c r="G448" s="1531"/>
      <c r="H448" s="1528">
        <f t="shared" si="71"/>
        <v>169679.63210398462</v>
      </c>
      <c r="I448" s="1528">
        <f t="shared" si="72"/>
        <v>187540.64600966722</v>
      </c>
      <c r="J448" s="1532">
        <f t="shared" si="74"/>
        <v>178610.13905682592</v>
      </c>
      <c r="K448" s="1369" t="b">
        <f t="shared" si="75"/>
        <v>1</v>
      </c>
      <c r="L448" s="1558"/>
      <c r="M448" s="1364"/>
      <c r="N448" s="1371">
        <f t="shared" si="78"/>
        <v>178610.13905682592</v>
      </c>
      <c r="O448" s="1372"/>
      <c r="P448" s="1371">
        <f t="shared" si="76"/>
        <v>561.67947152971544</v>
      </c>
      <c r="Q448" s="1371">
        <f t="shared" si="76"/>
        <v>445.20984859919344</v>
      </c>
      <c r="R448" s="1371">
        <f t="shared" si="76"/>
        <v>1231.2413435904286</v>
      </c>
      <c r="S448" s="1371">
        <f t="shared" si="76"/>
        <v>0</v>
      </c>
      <c r="T448" s="1371">
        <f t="shared" si="76"/>
        <v>11551.357038717853</v>
      </c>
      <c r="U448" s="1371">
        <f t="shared" si="73"/>
        <v>192399.62675926313</v>
      </c>
      <c r="V448" s="1373">
        <f t="shared" si="77"/>
        <v>192399.63</v>
      </c>
      <c r="W448" s="960"/>
    </row>
    <row r="449" spans="1:23">
      <c r="A449" s="918">
        <v>301198</v>
      </c>
      <c r="B449" s="919" t="s">
        <v>1126</v>
      </c>
      <c r="C449" s="1363">
        <f>IF('TAR_Tab 2_Volumina'!M452,1,0)</f>
        <v>0</v>
      </c>
      <c r="D449" s="1527">
        <v>0</v>
      </c>
      <c r="E449" s="1528">
        <f t="shared" si="69"/>
        <v>0</v>
      </c>
      <c r="F449" s="1528">
        <f t="shared" si="70"/>
        <v>0</v>
      </c>
      <c r="G449" s="1531"/>
      <c r="H449" s="1528">
        <f t="shared" si="71"/>
        <v>0</v>
      </c>
      <c r="I449" s="1528">
        <f t="shared" si="72"/>
        <v>0</v>
      </c>
      <c r="J449" s="1532">
        <f t="shared" si="74"/>
        <v>0</v>
      </c>
      <c r="K449" s="1369" t="str">
        <f t="shared" si="75"/>
        <v/>
      </c>
      <c r="L449" s="1558"/>
      <c r="M449" s="1364"/>
      <c r="N449" s="1371">
        <f t="shared" si="78"/>
        <v>0</v>
      </c>
      <c r="O449" s="1372"/>
      <c r="P449" s="1371">
        <f t="shared" si="76"/>
        <v>0</v>
      </c>
      <c r="Q449" s="1371">
        <f t="shared" si="76"/>
        <v>0</v>
      </c>
      <c r="R449" s="1371">
        <f t="shared" si="76"/>
        <v>0</v>
      </c>
      <c r="S449" s="1371">
        <f t="shared" si="76"/>
        <v>0</v>
      </c>
      <c r="T449" s="1371">
        <f t="shared" si="76"/>
        <v>0</v>
      </c>
      <c r="U449" s="1371">
        <f t="shared" si="73"/>
        <v>0</v>
      </c>
      <c r="V449" s="1373">
        <f t="shared" si="77"/>
        <v>0</v>
      </c>
      <c r="W449" s="960"/>
    </row>
    <row r="450" spans="1:23">
      <c r="A450" s="918">
        <v>301199</v>
      </c>
      <c r="B450" s="919" t="s">
        <v>1127</v>
      </c>
      <c r="C450" s="1363">
        <f>IF('TAR_Tab 2_Volumina'!M453,1,0)</f>
        <v>0</v>
      </c>
      <c r="D450" s="1527">
        <v>0</v>
      </c>
      <c r="E450" s="1528">
        <f t="shared" si="69"/>
        <v>0</v>
      </c>
      <c r="F450" s="1528">
        <f t="shared" si="70"/>
        <v>0</v>
      </c>
      <c r="G450" s="1531"/>
      <c r="H450" s="1528">
        <f t="shared" si="71"/>
        <v>0</v>
      </c>
      <c r="I450" s="1528">
        <f t="shared" si="72"/>
        <v>0</v>
      </c>
      <c r="J450" s="1532">
        <f t="shared" si="74"/>
        <v>0</v>
      </c>
      <c r="K450" s="1369" t="str">
        <f t="shared" si="75"/>
        <v/>
      </c>
      <c r="L450" s="1558"/>
      <c r="M450" s="1364"/>
      <c r="N450" s="1371">
        <f t="shared" si="78"/>
        <v>0</v>
      </c>
      <c r="O450" s="1372"/>
      <c r="P450" s="1371">
        <f t="shared" si="76"/>
        <v>0</v>
      </c>
      <c r="Q450" s="1371">
        <f t="shared" si="76"/>
        <v>0</v>
      </c>
      <c r="R450" s="1371">
        <f t="shared" si="76"/>
        <v>0</v>
      </c>
      <c r="S450" s="1371">
        <f t="shared" si="76"/>
        <v>0</v>
      </c>
      <c r="T450" s="1371">
        <f t="shared" si="76"/>
        <v>0</v>
      </c>
      <c r="U450" s="1371">
        <f t="shared" si="73"/>
        <v>0</v>
      </c>
      <c r="V450" s="1373">
        <f t="shared" si="77"/>
        <v>0</v>
      </c>
      <c r="W450" s="960"/>
    </row>
    <row r="451" spans="1:23">
      <c r="A451" s="918">
        <v>301203</v>
      </c>
      <c r="B451" s="919" t="s">
        <v>367</v>
      </c>
      <c r="C451" s="1363">
        <f>IF('TAR_Tab 2_Volumina'!M454,1,0)</f>
        <v>1</v>
      </c>
      <c r="D451" s="1529">
        <v>70904.179581175558</v>
      </c>
      <c r="E451" s="1528">
        <f t="shared" si="69"/>
        <v>67614.225648609019</v>
      </c>
      <c r="F451" s="1528">
        <f t="shared" si="70"/>
        <v>71444.05562273036</v>
      </c>
      <c r="G451" s="1531"/>
      <c r="H451" s="1528">
        <f t="shared" si="71"/>
        <v>67871.852841593834</v>
      </c>
      <c r="I451" s="1528">
        <f t="shared" si="72"/>
        <v>75016.258403866887</v>
      </c>
      <c r="J451" s="1532">
        <f t="shared" si="74"/>
        <v>71444.05562273036</v>
      </c>
      <c r="K451" s="1369" t="b">
        <f t="shared" si="75"/>
        <v>1</v>
      </c>
      <c r="L451" s="1558"/>
      <c r="M451" s="1364"/>
      <c r="N451" s="1371">
        <f t="shared" si="78"/>
        <v>71444.05562273036</v>
      </c>
      <c r="O451" s="1372"/>
      <c r="P451" s="1371">
        <f t="shared" si="76"/>
        <v>224.67178861188617</v>
      </c>
      <c r="Q451" s="1371">
        <f t="shared" si="76"/>
        <v>178.08393943967735</v>
      </c>
      <c r="R451" s="1371">
        <f t="shared" si="76"/>
        <v>492.49653743617142</v>
      </c>
      <c r="S451" s="1371">
        <f t="shared" si="76"/>
        <v>0</v>
      </c>
      <c r="T451" s="1371">
        <f t="shared" si="76"/>
        <v>4620.5428154871406</v>
      </c>
      <c r="U451" s="1371">
        <f t="shared" si="73"/>
        <v>76959.850703705248</v>
      </c>
      <c r="V451" s="1373">
        <f t="shared" si="77"/>
        <v>76959.850000000006</v>
      </c>
      <c r="W451" s="960"/>
    </row>
    <row r="452" spans="1:23">
      <c r="A452" s="918">
        <v>301206</v>
      </c>
      <c r="B452" s="919" t="s">
        <v>368</v>
      </c>
      <c r="C452" s="1363">
        <f>IF('TAR_Tab 2_Volumina'!M455,1,0)</f>
        <v>1</v>
      </c>
      <c r="D452" s="1529">
        <v>70904.179581175558</v>
      </c>
      <c r="E452" s="1528">
        <f t="shared" si="69"/>
        <v>67614.225648609019</v>
      </c>
      <c r="F452" s="1528">
        <f t="shared" si="70"/>
        <v>71444.05562273036</v>
      </c>
      <c r="G452" s="1531"/>
      <c r="H452" s="1528">
        <f t="shared" si="71"/>
        <v>67871.852841593834</v>
      </c>
      <c r="I452" s="1528">
        <f t="shared" si="72"/>
        <v>75016.258403866887</v>
      </c>
      <c r="J452" s="1532">
        <f t="shared" si="74"/>
        <v>71444.05562273036</v>
      </c>
      <c r="K452" s="1369" t="b">
        <f t="shared" si="75"/>
        <v>1</v>
      </c>
      <c r="L452" s="1558"/>
      <c r="M452" s="1364"/>
      <c r="N452" s="1371">
        <f t="shared" si="78"/>
        <v>71444.05562273036</v>
      </c>
      <c r="O452" s="1372"/>
      <c r="P452" s="1371">
        <f t="shared" si="76"/>
        <v>224.67178861188617</v>
      </c>
      <c r="Q452" s="1371">
        <f t="shared" si="76"/>
        <v>178.08393943967735</v>
      </c>
      <c r="R452" s="1371">
        <f t="shared" si="76"/>
        <v>492.49653743617142</v>
      </c>
      <c r="S452" s="1371">
        <f t="shared" si="76"/>
        <v>0</v>
      </c>
      <c r="T452" s="1371">
        <f t="shared" si="76"/>
        <v>4620.5428154871406</v>
      </c>
      <c r="U452" s="1371">
        <f t="shared" si="73"/>
        <v>76959.850703705248</v>
      </c>
      <c r="V452" s="1373">
        <f t="shared" si="77"/>
        <v>76959.850000000006</v>
      </c>
      <c r="W452" s="960"/>
    </row>
    <row r="453" spans="1:23">
      <c r="A453" s="918">
        <v>301207</v>
      </c>
      <c r="B453" s="919" t="s">
        <v>369</v>
      </c>
      <c r="C453" s="1363">
        <f>IF('TAR_Tab 2_Volumina'!M456,1,0)</f>
        <v>1</v>
      </c>
      <c r="D453" s="1529">
        <v>177260.44895293892</v>
      </c>
      <c r="E453" s="1528">
        <f t="shared" si="69"/>
        <v>169035.56412152256</v>
      </c>
      <c r="F453" s="1528">
        <f t="shared" si="70"/>
        <v>178610.13905682592</v>
      </c>
      <c r="G453" s="1531"/>
      <c r="H453" s="1528">
        <f t="shared" si="71"/>
        <v>169679.63210398462</v>
      </c>
      <c r="I453" s="1528">
        <f t="shared" si="72"/>
        <v>187540.64600966722</v>
      </c>
      <c r="J453" s="1532">
        <f t="shared" si="74"/>
        <v>178610.13905682592</v>
      </c>
      <c r="K453" s="1369" t="b">
        <f t="shared" si="75"/>
        <v>1</v>
      </c>
      <c r="L453" s="1558"/>
      <c r="M453" s="1364"/>
      <c r="N453" s="1371">
        <f t="shared" si="78"/>
        <v>178610.13905682592</v>
      </c>
      <c r="O453" s="1372"/>
      <c r="P453" s="1371">
        <f t="shared" si="76"/>
        <v>561.67947152971544</v>
      </c>
      <c r="Q453" s="1371">
        <f t="shared" si="76"/>
        <v>445.20984859919344</v>
      </c>
      <c r="R453" s="1371">
        <f t="shared" si="76"/>
        <v>1231.2413435904286</v>
      </c>
      <c r="S453" s="1371">
        <f t="shared" si="76"/>
        <v>0</v>
      </c>
      <c r="T453" s="1371">
        <f t="shared" si="76"/>
        <v>11551.357038717853</v>
      </c>
      <c r="U453" s="1371">
        <f t="shared" si="73"/>
        <v>192399.62675926313</v>
      </c>
      <c r="V453" s="1373">
        <f t="shared" si="77"/>
        <v>192399.63</v>
      </c>
      <c r="W453" s="960"/>
    </row>
    <row r="454" spans="1:23">
      <c r="A454" s="918">
        <v>301210</v>
      </c>
      <c r="B454" s="919" t="s">
        <v>1128</v>
      </c>
      <c r="C454" s="1363">
        <f>IF('TAR_Tab 2_Volumina'!M457,1,0)</f>
        <v>1</v>
      </c>
      <c r="D454" s="1529">
        <v>35452.089790587779</v>
      </c>
      <c r="E454" s="1528">
        <f t="shared" si="69"/>
        <v>33807.11282430451</v>
      </c>
      <c r="F454" s="1528">
        <f t="shared" si="70"/>
        <v>35722.02781136518</v>
      </c>
      <c r="G454" s="1531"/>
      <c r="H454" s="1528">
        <f t="shared" si="71"/>
        <v>33935.926420796917</v>
      </c>
      <c r="I454" s="1528">
        <f t="shared" si="72"/>
        <v>37508.129201933443</v>
      </c>
      <c r="J454" s="1532">
        <f t="shared" si="74"/>
        <v>35722.02781136518</v>
      </c>
      <c r="K454" s="1369" t="b">
        <f t="shared" si="75"/>
        <v>1</v>
      </c>
      <c r="L454" s="1558"/>
      <c r="M454" s="1364"/>
      <c r="N454" s="1371">
        <f t="shared" si="78"/>
        <v>35722.02781136518</v>
      </c>
      <c r="O454" s="1372"/>
      <c r="P454" s="1371">
        <f t="shared" si="76"/>
        <v>112.33589430594309</v>
      </c>
      <c r="Q454" s="1371">
        <f t="shared" si="76"/>
        <v>89.041969719838676</v>
      </c>
      <c r="R454" s="1371">
        <f t="shared" si="76"/>
        <v>246.24826871808571</v>
      </c>
      <c r="S454" s="1371">
        <f t="shared" si="76"/>
        <v>0</v>
      </c>
      <c r="T454" s="1371">
        <f t="shared" si="76"/>
        <v>2310.2714077435703</v>
      </c>
      <c r="U454" s="1371">
        <f t="shared" si="73"/>
        <v>38479.925351852624</v>
      </c>
      <c r="V454" s="1373">
        <f t="shared" si="77"/>
        <v>38479.93</v>
      </c>
      <c r="W454" s="960"/>
    </row>
    <row r="455" spans="1:23">
      <c r="A455" s="918">
        <v>301214</v>
      </c>
      <c r="B455" s="919" t="s">
        <v>495</v>
      </c>
      <c r="C455" s="1363">
        <f>IF('TAR_Tab 2_Volumina'!M458,1,0)</f>
        <v>0</v>
      </c>
      <c r="D455" s="1527">
        <v>0</v>
      </c>
      <c r="E455" s="1528">
        <f t="shared" si="69"/>
        <v>0</v>
      </c>
      <c r="F455" s="1528">
        <f t="shared" si="70"/>
        <v>0</v>
      </c>
      <c r="G455" s="1531"/>
      <c r="H455" s="1528">
        <f t="shared" si="71"/>
        <v>0</v>
      </c>
      <c r="I455" s="1528">
        <f t="shared" si="72"/>
        <v>0</v>
      </c>
      <c r="J455" s="1532">
        <f t="shared" si="74"/>
        <v>0</v>
      </c>
      <c r="K455" s="1369" t="str">
        <f t="shared" si="75"/>
        <v/>
      </c>
      <c r="L455" s="1558"/>
      <c r="M455" s="1364"/>
      <c r="N455" s="1371">
        <f t="shared" si="78"/>
        <v>0</v>
      </c>
      <c r="O455" s="1372"/>
      <c r="P455" s="1371">
        <f t="shared" si="76"/>
        <v>0</v>
      </c>
      <c r="Q455" s="1371">
        <f t="shared" si="76"/>
        <v>0</v>
      </c>
      <c r="R455" s="1371">
        <f t="shared" si="76"/>
        <v>0</v>
      </c>
      <c r="S455" s="1371">
        <f t="shared" si="76"/>
        <v>0</v>
      </c>
      <c r="T455" s="1371">
        <f t="shared" si="76"/>
        <v>0</v>
      </c>
      <c r="U455" s="1371">
        <f t="shared" si="73"/>
        <v>0</v>
      </c>
      <c r="V455" s="1373">
        <f t="shared" si="77"/>
        <v>0</v>
      </c>
      <c r="W455" s="960"/>
    </row>
    <row r="456" spans="1:23">
      <c r="A456" s="918">
        <v>301220</v>
      </c>
      <c r="B456" s="919" t="s">
        <v>370</v>
      </c>
      <c r="C456" s="1363">
        <f>IF('TAR_Tab 2_Volumina'!M459,1,0)</f>
        <v>1</v>
      </c>
      <c r="D456" s="1529">
        <v>177260.44895293892</v>
      </c>
      <c r="E456" s="1528">
        <f t="shared" si="69"/>
        <v>169035.56412152256</v>
      </c>
      <c r="F456" s="1528">
        <f t="shared" si="70"/>
        <v>178610.13905682592</v>
      </c>
      <c r="G456" s="1531"/>
      <c r="H456" s="1528">
        <f t="shared" si="71"/>
        <v>169679.63210398462</v>
      </c>
      <c r="I456" s="1528">
        <f t="shared" si="72"/>
        <v>187540.64600966722</v>
      </c>
      <c r="J456" s="1532">
        <f t="shared" si="74"/>
        <v>178610.13905682592</v>
      </c>
      <c r="K456" s="1369" t="b">
        <f t="shared" si="75"/>
        <v>1</v>
      </c>
      <c r="L456" s="1558"/>
      <c r="M456" s="1364"/>
      <c r="N456" s="1371">
        <f t="shared" si="78"/>
        <v>178610.13905682592</v>
      </c>
      <c r="O456" s="1372"/>
      <c r="P456" s="1371">
        <f t="shared" si="76"/>
        <v>561.67947152971544</v>
      </c>
      <c r="Q456" s="1371">
        <f t="shared" si="76"/>
        <v>445.20984859919344</v>
      </c>
      <c r="R456" s="1371">
        <f t="shared" si="76"/>
        <v>1231.2413435904286</v>
      </c>
      <c r="S456" s="1371">
        <f t="shared" si="76"/>
        <v>0</v>
      </c>
      <c r="T456" s="1371">
        <f t="shared" si="76"/>
        <v>11551.357038717853</v>
      </c>
      <c r="U456" s="1371">
        <f t="shared" si="73"/>
        <v>192399.62675926313</v>
      </c>
      <c r="V456" s="1373">
        <f t="shared" si="77"/>
        <v>192399.63</v>
      </c>
      <c r="W456" s="960"/>
    </row>
    <row r="457" spans="1:23">
      <c r="A457" s="918">
        <v>301222</v>
      </c>
      <c r="B457" s="919" t="s">
        <v>371</v>
      </c>
      <c r="C457" s="1363">
        <f>IF('TAR_Tab 2_Volumina'!M460,1,0)</f>
        <v>1</v>
      </c>
      <c r="D457" s="1529">
        <v>177260.44895293892</v>
      </c>
      <c r="E457" s="1528">
        <f t="shared" ref="E457:E520" si="79">D457*$E$7*C457</f>
        <v>169035.56412152256</v>
      </c>
      <c r="F457" s="1528">
        <f t="shared" ref="F457:F520" si="80">E457*$F$7</f>
        <v>178610.13905682592</v>
      </c>
      <c r="G457" s="1531"/>
      <c r="H457" s="1528">
        <f t="shared" ref="H457:H520" si="81">F457*$H$7</f>
        <v>169679.63210398462</v>
      </c>
      <c r="I457" s="1528">
        <f t="shared" ref="I457:I520" si="82">F457*$I$7</f>
        <v>187540.64600966722</v>
      </c>
      <c r="J457" s="1532">
        <f t="shared" si="74"/>
        <v>178610.13905682592</v>
      </c>
      <c r="K457" s="1369" t="b">
        <f t="shared" si="75"/>
        <v>1</v>
      </c>
      <c r="L457" s="1558"/>
      <c r="M457" s="1364"/>
      <c r="N457" s="1371">
        <f t="shared" si="78"/>
        <v>178610.13905682592</v>
      </c>
      <c r="O457" s="1372"/>
      <c r="P457" s="1371">
        <f t="shared" si="76"/>
        <v>561.67947152971544</v>
      </c>
      <c r="Q457" s="1371">
        <f t="shared" si="76"/>
        <v>445.20984859919344</v>
      </c>
      <c r="R457" s="1371">
        <f t="shared" si="76"/>
        <v>1231.2413435904286</v>
      </c>
      <c r="S457" s="1371">
        <f t="shared" si="76"/>
        <v>0</v>
      </c>
      <c r="T457" s="1371">
        <f t="shared" si="76"/>
        <v>11551.357038717853</v>
      </c>
      <c r="U457" s="1371">
        <f t="shared" ref="U457:U520" si="83">N457+P457+Q457+R457+S457+T457</f>
        <v>192399.62675926313</v>
      </c>
      <c r="V457" s="1373">
        <f t="shared" si="77"/>
        <v>192399.63</v>
      </c>
      <c r="W457" s="960"/>
    </row>
    <row r="458" spans="1:23">
      <c r="A458" s="918">
        <v>301229</v>
      </c>
      <c r="B458" s="919" t="s">
        <v>373</v>
      </c>
      <c r="C458" s="1363">
        <f>IF('TAR_Tab 2_Volumina'!M461,1,0)</f>
        <v>1</v>
      </c>
      <c r="D458" s="1529">
        <v>35452.089790587779</v>
      </c>
      <c r="E458" s="1528">
        <f t="shared" si="79"/>
        <v>33807.11282430451</v>
      </c>
      <c r="F458" s="1528">
        <f t="shared" si="80"/>
        <v>35722.02781136518</v>
      </c>
      <c r="G458" s="1531"/>
      <c r="H458" s="1528">
        <f t="shared" si="81"/>
        <v>33935.926420796917</v>
      </c>
      <c r="I458" s="1528">
        <f t="shared" si="82"/>
        <v>37508.129201933443</v>
      </c>
      <c r="J458" s="1532">
        <f t="shared" ref="J458:J521" si="84">F458</f>
        <v>35722.02781136518</v>
      </c>
      <c r="K458" s="1369" t="b">
        <f t="shared" ref="K458:K521" si="85">IF(J458&gt;0,AND(J458&gt;=H458,J458&lt;=I458),"")</f>
        <v>1</v>
      </c>
      <c r="L458" s="1558"/>
      <c r="M458" s="1364"/>
      <c r="N458" s="1371">
        <f t="shared" si="78"/>
        <v>35722.02781136518</v>
      </c>
      <c r="O458" s="1372"/>
      <c r="P458" s="1371">
        <f t="shared" si="76"/>
        <v>112.33589430594309</v>
      </c>
      <c r="Q458" s="1371">
        <f t="shared" si="76"/>
        <v>89.041969719838676</v>
      </c>
      <c r="R458" s="1371">
        <f t="shared" si="76"/>
        <v>246.24826871808571</v>
      </c>
      <c r="S458" s="1371">
        <f t="shared" si="76"/>
        <v>0</v>
      </c>
      <c r="T458" s="1371">
        <f t="shared" si="76"/>
        <v>2310.2714077435703</v>
      </c>
      <c r="U458" s="1371">
        <f t="shared" si="83"/>
        <v>38479.925351852624</v>
      </c>
      <c r="V458" s="1373">
        <f t="shared" si="77"/>
        <v>38479.93</v>
      </c>
      <c r="W458" s="960"/>
    </row>
    <row r="459" spans="1:23">
      <c r="A459" s="918">
        <v>301230</v>
      </c>
      <c r="B459" s="919" t="s">
        <v>374</v>
      </c>
      <c r="C459" s="1363">
        <f>IF('TAR_Tab 2_Volumina'!M462,1,0)</f>
        <v>1</v>
      </c>
      <c r="D459" s="1529">
        <v>53178.134685881683</v>
      </c>
      <c r="E459" s="1528">
        <f t="shared" si="79"/>
        <v>50710.669236456772</v>
      </c>
      <c r="F459" s="1528">
        <f t="shared" si="80"/>
        <v>53583.041717047781</v>
      </c>
      <c r="G459" s="1531"/>
      <c r="H459" s="1528">
        <f t="shared" si="81"/>
        <v>50903.889631195387</v>
      </c>
      <c r="I459" s="1528">
        <f t="shared" si="82"/>
        <v>56262.193802900176</v>
      </c>
      <c r="J459" s="1532">
        <f t="shared" si="84"/>
        <v>53583.041717047781</v>
      </c>
      <c r="K459" s="1369" t="b">
        <f t="shared" si="85"/>
        <v>1</v>
      </c>
      <c r="L459" s="1558"/>
      <c r="M459" s="1364"/>
      <c r="N459" s="1371">
        <f t="shared" si="78"/>
        <v>53583.041717047781</v>
      </c>
      <c r="O459" s="1372"/>
      <c r="P459" s="1371">
        <f t="shared" si="76"/>
        <v>168.50384145891465</v>
      </c>
      <c r="Q459" s="1371">
        <f t="shared" si="76"/>
        <v>133.56295457975804</v>
      </c>
      <c r="R459" s="1371">
        <f t="shared" si="76"/>
        <v>369.37240307712864</v>
      </c>
      <c r="S459" s="1371">
        <f t="shared" si="76"/>
        <v>0</v>
      </c>
      <c r="T459" s="1371">
        <f t="shared" si="76"/>
        <v>3465.4071116153564</v>
      </c>
      <c r="U459" s="1371">
        <f t="shared" si="83"/>
        <v>57719.888027778936</v>
      </c>
      <c r="V459" s="1373">
        <f t="shared" si="77"/>
        <v>57719.89</v>
      </c>
      <c r="W459" s="960"/>
    </row>
    <row r="460" spans="1:23">
      <c r="A460" s="918">
        <v>301232</v>
      </c>
      <c r="B460" s="919" t="s">
        <v>375</v>
      </c>
      <c r="C460" s="1363">
        <f>IF('TAR_Tab 2_Volumina'!M463,1,0)</f>
        <v>1</v>
      </c>
      <c r="D460" s="1529">
        <v>70904.179581175558</v>
      </c>
      <c r="E460" s="1528">
        <f t="shared" si="79"/>
        <v>67614.225648609019</v>
      </c>
      <c r="F460" s="1528">
        <f t="shared" si="80"/>
        <v>71444.05562273036</v>
      </c>
      <c r="G460" s="1531"/>
      <c r="H460" s="1528">
        <f t="shared" si="81"/>
        <v>67871.852841593834</v>
      </c>
      <c r="I460" s="1528">
        <f t="shared" si="82"/>
        <v>75016.258403866887</v>
      </c>
      <c r="J460" s="1532">
        <f t="shared" si="84"/>
        <v>71444.05562273036</v>
      </c>
      <c r="K460" s="1369" t="b">
        <f t="shared" si="85"/>
        <v>1</v>
      </c>
      <c r="L460" s="1558"/>
      <c r="M460" s="1364"/>
      <c r="N460" s="1371">
        <f t="shared" si="78"/>
        <v>71444.05562273036</v>
      </c>
      <c r="O460" s="1372"/>
      <c r="P460" s="1371">
        <f t="shared" si="76"/>
        <v>224.67178861188617</v>
      </c>
      <c r="Q460" s="1371">
        <f t="shared" si="76"/>
        <v>178.08393943967735</v>
      </c>
      <c r="R460" s="1371">
        <f t="shared" si="76"/>
        <v>492.49653743617142</v>
      </c>
      <c r="S460" s="1371">
        <f t="shared" si="76"/>
        <v>0</v>
      </c>
      <c r="T460" s="1371">
        <f t="shared" si="76"/>
        <v>4620.5428154871406</v>
      </c>
      <c r="U460" s="1371">
        <f t="shared" si="83"/>
        <v>76959.850703705248</v>
      </c>
      <c r="V460" s="1373">
        <f t="shared" si="77"/>
        <v>76959.850000000006</v>
      </c>
      <c r="W460" s="960"/>
    </row>
    <row r="461" spans="1:23">
      <c r="A461" s="918">
        <v>301233</v>
      </c>
      <c r="B461" s="919" t="s">
        <v>376</v>
      </c>
      <c r="C461" s="1363">
        <f>IF('TAR_Tab 2_Volumina'!M464,1,0)</f>
        <v>1</v>
      </c>
      <c r="D461" s="1529">
        <v>53178.134685881683</v>
      </c>
      <c r="E461" s="1528">
        <f t="shared" si="79"/>
        <v>50710.669236456772</v>
      </c>
      <c r="F461" s="1528">
        <f t="shared" si="80"/>
        <v>53583.041717047781</v>
      </c>
      <c r="G461" s="1531"/>
      <c r="H461" s="1528">
        <f t="shared" si="81"/>
        <v>50903.889631195387</v>
      </c>
      <c r="I461" s="1528">
        <f t="shared" si="82"/>
        <v>56262.193802900176</v>
      </c>
      <c r="J461" s="1532">
        <f t="shared" si="84"/>
        <v>53583.041717047781</v>
      </c>
      <c r="K461" s="1369" t="b">
        <f t="shared" si="85"/>
        <v>1</v>
      </c>
      <c r="L461" s="1558"/>
      <c r="M461" s="1364"/>
      <c r="N461" s="1371">
        <f t="shared" si="78"/>
        <v>53583.041717047781</v>
      </c>
      <c r="O461" s="1372"/>
      <c r="P461" s="1371">
        <f t="shared" si="76"/>
        <v>168.50384145891465</v>
      </c>
      <c r="Q461" s="1371">
        <f t="shared" si="76"/>
        <v>133.56295457975804</v>
      </c>
      <c r="R461" s="1371">
        <f t="shared" si="76"/>
        <v>369.37240307712864</v>
      </c>
      <c r="S461" s="1371">
        <f t="shared" si="76"/>
        <v>0</v>
      </c>
      <c r="T461" s="1371">
        <f t="shared" si="76"/>
        <v>3465.4071116153564</v>
      </c>
      <c r="U461" s="1371">
        <f t="shared" si="83"/>
        <v>57719.888027778936</v>
      </c>
      <c r="V461" s="1373">
        <f t="shared" si="77"/>
        <v>57719.89</v>
      </c>
      <c r="W461" s="960"/>
    </row>
    <row r="462" spans="1:23">
      <c r="A462" s="918">
        <v>301234</v>
      </c>
      <c r="B462" s="919" t="s">
        <v>377</v>
      </c>
      <c r="C462" s="1363">
        <f>IF('TAR_Tab 2_Volumina'!M465,1,0)</f>
        <v>1</v>
      </c>
      <c r="D462" s="1529">
        <v>35452.089790587779</v>
      </c>
      <c r="E462" s="1528">
        <f t="shared" si="79"/>
        <v>33807.11282430451</v>
      </c>
      <c r="F462" s="1528">
        <f t="shared" si="80"/>
        <v>35722.02781136518</v>
      </c>
      <c r="G462" s="1531"/>
      <c r="H462" s="1528">
        <f t="shared" si="81"/>
        <v>33935.926420796917</v>
      </c>
      <c r="I462" s="1528">
        <f t="shared" si="82"/>
        <v>37508.129201933443</v>
      </c>
      <c r="J462" s="1532">
        <f t="shared" si="84"/>
        <v>35722.02781136518</v>
      </c>
      <c r="K462" s="1369" t="b">
        <f t="shared" si="85"/>
        <v>1</v>
      </c>
      <c r="L462" s="1558"/>
      <c r="M462" s="1364"/>
      <c r="N462" s="1371">
        <f t="shared" si="78"/>
        <v>35722.02781136518</v>
      </c>
      <c r="O462" s="1372"/>
      <c r="P462" s="1371">
        <f t="shared" ref="P462:T493" si="86">P$7*$N462</f>
        <v>112.33589430594309</v>
      </c>
      <c r="Q462" s="1371">
        <f t="shared" si="86"/>
        <v>89.041969719838676</v>
      </c>
      <c r="R462" s="1371">
        <f t="shared" si="86"/>
        <v>246.24826871808571</v>
      </c>
      <c r="S462" s="1371">
        <f t="shared" si="86"/>
        <v>0</v>
      </c>
      <c r="T462" s="1371">
        <f t="shared" si="86"/>
        <v>2310.2714077435703</v>
      </c>
      <c r="U462" s="1371">
        <f t="shared" si="83"/>
        <v>38479.925351852624</v>
      </c>
      <c r="V462" s="1373">
        <f t="shared" si="77"/>
        <v>38479.93</v>
      </c>
      <c r="W462" s="960"/>
    </row>
    <row r="463" spans="1:23">
      <c r="A463" s="918">
        <v>301235</v>
      </c>
      <c r="B463" s="919" t="s">
        <v>378</v>
      </c>
      <c r="C463" s="1363">
        <f>IF('TAR_Tab 2_Volumina'!M466,1,0)</f>
        <v>1</v>
      </c>
      <c r="D463" s="1529">
        <v>35452.089790587779</v>
      </c>
      <c r="E463" s="1528">
        <f t="shared" si="79"/>
        <v>33807.11282430451</v>
      </c>
      <c r="F463" s="1528">
        <f t="shared" si="80"/>
        <v>35722.02781136518</v>
      </c>
      <c r="G463" s="1531"/>
      <c r="H463" s="1528">
        <f t="shared" si="81"/>
        <v>33935.926420796917</v>
      </c>
      <c r="I463" s="1528">
        <f t="shared" si="82"/>
        <v>37508.129201933443</v>
      </c>
      <c r="J463" s="1532">
        <f t="shared" si="84"/>
        <v>35722.02781136518</v>
      </c>
      <c r="K463" s="1369" t="b">
        <f t="shared" si="85"/>
        <v>1</v>
      </c>
      <c r="L463" s="1558"/>
      <c r="M463" s="1364"/>
      <c r="N463" s="1371">
        <f t="shared" si="78"/>
        <v>35722.02781136518</v>
      </c>
      <c r="O463" s="1372"/>
      <c r="P463" s="1371">
        <f t="shared" si="86"/>
        <v>112.33589430594309</v>
      </c>
      <c r="Q463" s="1371">
        <f t="shared" si="86"/>
        <v>89.041969719838676</v>
      </c>
      <c r="R463" s="1371">
        <f t="shared" si="86"/>
        <v>246.24826871808571</v>
      </c>
      <c r="S463" s="1371">
        <f t="shared" si="86"/>
        <v>0</v>
      </c>
      <c r="T463" s="1371">
        <f t="shared" si="86"/>
        <v>2310.2714077435703</v>
      </c>
      <c r="U463" s="1371">
        <f t="shared" si="83"/>
        <v>38479.925351852624</v>
      </c>
      <c r="V463" s="1373">
        <f t="shared" si="77"/>
        <v>38479.93</v>
      </c>
      <c r="W463" s="960"/>
    </row>
    <row r="464" spans="1:23">
      <c r="A464" s="918">
        <v>301238</v>
      </c>
      <c r="B464" s="919" t="s">
        <v>379</v>
      </c>
      <c r="C464" s="1363">
        <f>IF('TAR_Tab 2_Volumina'!M467,1,0)</f>
        <v>1</v>
      </c>
      <c r="D464" s="1529">
        <v>53178.134685881683</v>
      </c>
      <c r="E464" s="1528">
        <f t="shared" si="79"/>
        <v>50710.669236456772</v>
      </c>
      <c r="F464" s="1528">
        <f t="shared" si="80"/>
        <v>53583.041717047781</v>
      </c>
      <c r="G464" s="1531"/>
      <c r="H464" s="1528">
        <f t="shared" si="81"/>
        <v>50903.889631195387</v>
      </c>
      <c r="I464" s="1528">
        <f t="shared" si="82"/>
        <v>56262.193802900176</v>
      </c>
      <c r="J464" s="1532">
        <f t="shared" si="84"/>
        <v>53583.041717047781</v>
      </c>
      <c r="K464" s="1369" t="b">
        <f t="shared" si="85"/>
        <v>1</v>
      </c>
      <c r="L464" s="1558"/>
      <c r="M464" s="1364"/>
      <c r="N464" s="1371">
        <f t="shared" si="78"/>
        <v>53583.041717047781</v>
      </c>
      <c r="O464" s="1372"/>
      <c r="P464" s="1371">
        <f t="shared" si="86"/>
        <v>168.50384145891465</v>
      </c>
      <c r="Q464" s="1371">
        <f t="shared" si="86"/>
        <v>133.56295457975804</v>
      </c>
      <c r="R464" s="1371">
        <f t="shared" si="86"/>
        <v>369.37240307712864</v>
      </c>
      <c r="S464" s="1371">
        <f t="shared" si="86"/>
        <v>0</v>
      </c>
      <c r="T464" s="1371">
        <f t="shared" si="86"/>
        <v>3465.4071116153564</v>
      </c>
      <c r="U464" s="1371">
        <f t="shared" si="83"/>
        <v>57719.888027778936</v>
      </c>
      <c r="V464" s="1373">
        <f t="shared" si="77"/>
        <v>57719.89</v>
      </c>
      <c r="W464" s="960"/>
    </row>
    <row r="465" spans="1:23">
      <c r="A465" s="918">
        <v>301239</v>
      </c>
      <c r="B465" s="919" t="s">
        <v>380</v>
      </c>
      <c r="C465" s="1363">
        <f>IF('TAR_Tab 2_Volumina'!M468,1,0)</f>
        <v>1</v>
      </c>
      <c r="D465" s="1529">
        <v>53178.134685881683</v>
      </c>
      <c r="E465" s="1528">
        <f t="shared" si="79"/>
        <v>50710.669236456772</v>
      </c>
      <c r="F465" s="1528">
        <f t="shared" si="80"/>
        <v>53583.041717047781</v>
      </c>
      <c r="G465" s="1531"/>
      <c r="H465" s="1528">
        <f t="shared" si="81"/>
        <v>50903.889631195387</v>
      </c>
      <c r="I465" s="1528">
        <f t="shared" si="82"/>
        <v>56262.193802900176</v>
      </c>
      <c r="J465" s="1532">
        <f t="shared" si="84"/>
        <v>53583.041717047781</v>
      </c>
      <c r="K465" s="1369" t="b">
        <f t="shared" si="85"/>
        <v>1</v>
      </c>
      <c r="L465" s="1558"/>
      <c r="M465" s="1364"/>
      <c r="N465" s="1371">
        <f t="shared" si="78"/>
        <v>53583.041717047781</v>
      </c>
      <c r="O465" s="1372"/>
      <c r="P465" s="1371">
        <f t="shared" si="86"/>
        <v>168.50384145891465</v>
      </c>
      <c r="Q465" s="1371">
        <f t="shared" si="86"/>
        <v>133.56295457975804</v>
      </c>
      <c r="R465" s="1371">
        <f t="shared" si="86"/>
        <v>369.37240307712864</v>
      </c>
      <c r="S465" s="1371">
        <f t="shared" si="86"/>
        <v>0</v>
      </c>
      <c r="T465" s="1371">
        <f t="shared" si="86"/>
        <v>3465.4071116153564</v>
      </c>
      <c r="U465" s="1371">
        <f t="shared" si="83"/>
        <v>57719.888027778936</v>
      </c>
      <c r="V465" s="1373">
        <f t="shared" si="77"/>
        <v>57719.89</v>
      </c>
      <c r="W465" s="960"/>
    </row>
    <row r="466" spans="1:23">
      <c r="A466" s="918">
        <v>301240</v>
      </c>
      <c r="B466" s="919" t="s">
        <v>381</v>
      </c>
      <c r="C466" s="1363">
        <f>IF('TAR_Tab 2_Volumina'!M469,1,0)</f>
        <v>1</v>
      </c>
      <c r="D466" s="1529">
        <v>177260.44895293892</v>
      </c>
      <c r="E466" s="1528">
        <f t="shared" si="79"/>
        <v>169035.56412152256</v>
      </c>
      <c r="F466" s="1528">
        <f t="shared" si="80"/>
        <v>178610.13905682592</v>
      </c>
      <c r="G466" s="1531"/>
      <c r="H466" s="1528">
        <f t="shared" si="81"/>
        <v>169679.63210398462</v>
      </c>
      <c r="I466" s="1528">
        <f t="shared" si="82"/>
        <v>187540.64600966722</v>
      </c>
      <c r="J466" s="1532">
        <f t="shared" si="84"/>
        <v>178610.13905682592</v>
      </c>
      <c r="K466" s="1369" t="b">
        <f t="shared" si="85"/>
        <v>1</v>
      </c>
      <c r="L466" s="1558"/>
      <c r="M466" s="1364"/>
      <c r="N466" s="1371">
        <f t="shared" si="78"/>
        <v>178610.13905682592</v>
      </c>
      <c r="O466" s="1372"/>
      <c r="P466" s="1371">
        <f t="shared" si="86"/>
        <v>561.67947152971544</v>
      </c>
      <c r="Q466" s="1371">
        <f t="shared" si="86"/>
        <v>445.20984859919344</v>
      </c>
      <c r="R466" s="1371">
        <f t="shared" si="86"/>
        <v>1231.2413435904286</v>
      </c>
      <c r="S466" s="1371">
        <f t="shared" si="86"/>
        <v>0</v>
      </c>
      <c r="T466" s="1371">
        <f t="shared" si="86"/>
        <v>11551.357038717853</v>
      </c>
      <c r="U466" s="1371">
        <f t="shared" si="83"/>
        <v>192399.62675926313</v>
      </c>
      <c r="V466" s="1373">
        <f t="shared" si="77"/>
        <v>192399.63</v>
      </c>
      <c r="W466" s="960"/>
    </row>
    <row r="467" spans="1:23" s="171" customFormat="1">
      <c r="A467" s="918">
        <v>301241</v>
      </c>
      <c r="B467" s="919" t="s">
        <v>382</v>
      </c>
      <c r="C467" s="1363">
        <f>IF('TAR_Tab 2_Volumina'!M469,1,0)</f>
        <v>1</v>
      </c>
      <c r="D467" s="1529">
        <v>70904.179581175558</v>
      </c>
      <c r="E467" s="1528">
        <f t="shared" si="79"/>
        <v>67614.225648609019</v>
      </c>
      <c r="F467" s="1528">
        <f t="shared" si="80"/>
        <v>71444.05562273036</v>
      </c>
      <c r="G467" s="1531"/>
      <c r="H467" s="1528">
        <f t="shared" si="81"/>
        <v>67871.852841593834</v>
      </c>
      <c r="I467" s="1528">
        <f t="shared" si="82"/>
        <v>75016.258403866887</v>
      </c>
      <c r="J467" s="1532">
        <f t="shared" si="84"/>
        <v>71444.05562273036</v>
      </c>
      <c r="K467" s="1369" t="b">
        <f t="shared" si="85"/>
        <v>1</v>
      </c>
      <c r="L467" s="1558"/>
      <c r="M467" s="1364"/>
      <c r="N467" s="1371">
        <f t="shared" si="78"/>
        <v>71444.05562273036</v>
      </c>
      <c r="O467" s="1372"/>
      <c r="P467" s="1371">
        <f t="shared" si="86"/>
        <v>224.67178861188617</v>
      </c>
      <c r="Q467" s="1371">
        <f t="shared" si="86"/>
        <v>178.08393943967735</v>
      </c>
      <c r="R467" s="1371">
        <f t="shared" si="86"/>
        <v>492.49653743617142</v>
      </c>
      <c r="S467" s="1371">
        <f t="shared" si="86"/>
        <v>0</v>
      </c>
      <c r="T467" s="1371">
        <f t="shared" si="86"/>
        <v>4620.5428154871406</v>
      </c>
      <c r="U467" s="1371">
        <f t="shared" si="83"/>
        <v>76959.850703705248</v>
      </c>
      <c r="V467" s="1373">
        <f t="shared" si="77"/>
        <v>76959.850000000006</v>
      </c>
      <c r="W467" s="960"/>
    </row>
    <row r="468" spans="1:23">
      <c r="A468" s="918">
        <v>301242</v>
      </c>
      <c r="B468" s="919" t="s">
        <v>383</v>
      </c>
      <c r="C468" s="1363">
        <f>IF('TAR_Tab 2_Volumina'!M471,1,0)</f>
        <v>1</v>
      </c>
      <c r="D468" s="1529">
        <v>106356.26937176337</v>
      </c>
      <c r="E468" s="1528">
        <f t="shared" si="79"/>
        <v>101421.33847291354</v>
      </c>
      <c r="F468" s="1528">
        <f t="shared" si="80"/>
        <v>107166.08343409556</v>
      </c>
      <c r="G468" s="1531"/>
      <c r="H468" s="1528">
        <f t="shared" si="81"/>
        <v>101807.77926239077</v>
      </c>
      <c r="I468" s="1528">
        <f t="shared" si="82"/>
        <v>112524.38760580035</v>
      </c>
      <c r="J468" s="1532">
        <f t="shared" si="84"/>
        <v>107166.08343409556</v>
      </c>
      <c r="K468" s="1369" t="b">
        <f t="shared" si="85"/>
        <v>1</v>
      </c>
      <c r="L468" s="1558"/>
      <c r="M468" s="1364"/>
      <c r="N468" s="1371">
        <f t="shared" si="78"/>
        <v>107166.08343409556</v>
      </c>
      <c r="O468" s="1372"/>
      <c r="P468" s="1371">
        <f t="shared" si="86"/>
        <v>337.0076829178293</v>
      </c>
      <c r="Q468" s="1371">
        <f t="shared" si="86"/>
        <v>267.12590915951608</v>
      </c>
      <c r="R468" s="1371">
        <f t="shared" si="86"/>
        <v>738.74480615425728</v>
      </c>
      <c r="S468" s="1371">
        <f t="shared" si="86"/>
        <v>0</v>
      </c>
      <c r="T468" s="1371">
        <f t="shared" si="86"/>
        <v>6930.8142232307127</v>
      </c>
      <c r="U468" s="1371">
        <f t="shared" si="83"/>
        <v>115439.77605555787</v>
      </c>
      <c r="V468" s="1373">
        <f t="shared" si="77"/>
        <v>115439.78</v>
      </c>
      <c r="W468" s="960"/>
    </row>
    <row r="469" spans="1:23">
      <c r="A469" s="918">
        <v>301243</v>
      </c>
      <c r="B469" s="919" t="s">
        <v>384</v>
      </c>
      <c r="C469" s="1363">
        <f>IF('TAR_Tab 2_Volumina'!M472,1,0)</f>
        <v>1</v>
      </c>
      <c r="D469" s="1529">
        <v>88630.224476469462</v>
      </c>
      <c r="E469" s="1528">
        <f t="shared" si="79"/>
        <v>84517.782060761281</v>
      </c>
      <c r="F469" s="1528">
        <f t="shared" si="80"/>
        <v>89305.069528412962</v>
      </c>
      <c r="G469" s="1531"/>
      <c r="H469" s="1528">
        <f t="shared" si="81"/>
        <v>84839.816051992311</v>
      </c>
      <c r="I469" s="1528">
        <f t="shared" si="82"/>
        <v>93770.323004833612</v>
      </c>
      <c r="J469" s="1532">
        <f t="shared" si="84"/>
        <v>89305.069528412962</v>
      </c>
      <c r="K469" s="1369" t="b">
        <f t="shared" si="85"/>
        <v>1</v>
      </c>
      <c r="L469" s="1558"/>
      <c r="M469" s="1364"/>
      <c r="N469" s="1371">
        <f t="shared" si="78"/>
        <v>89305.069528412962</v>
      </c>
      <c r="O469" s="1372"/>
      <c r="P469" s="1371">
        <f t="shared" si="86"/>
        <v>280.83973576485772</v>
      </c>
      <c r="Q469" s="1371">
        <f t="shared" si="86"/>
        <v>222.60492429959672</v>
      </c>
      <c r="R469" s="1371">
        <f t="shared" si="86"/>
        <v>615.62067179521432</v>
      </c>
      <c r="S469" s="1371">
        <f t="shared" si="86"/>
        <v>0</v>
      </c>
      <c r="T469" s="1371">
        <f t="shared" si="86"/>
        <v>5775.6785193589267</v>
      </c>
      <c r="U469" s="1371">
        <f t="shared" si="83"/>
        <v>96199.813379631567</v>
      </c>
      <c r="V469" s="1373">
        <f t="shared" si="77"/>
        <v>96199.81</v>
      </c>
      <c r="W469" s="960"/>
    </row>
    <row r="470" spans="1:23">
      <c r="A470" s="918">
        <v>301244</v>
      </c>
      <c r="B470" s="919" t="s">
        <v>385</v>
      </c>
      <c r="C470" s="1363">
        <f>IF('TAR_Tab 2_Volumina'!M473,1,0)</f>
        <v>1</v>
      </c>
      <c r="D470" s="1529">
        <v>35452.08979058775</v>
      </c>
      <c r="E470" s="1528">
        <f t="shared" si="79"/>
        <v>33807.11282430448</v>
      </c>
      <c r="F470" s="1528">
        <f t="shared" si="80"/>
        <v>35722.027811365151</v>
      </c>
      <c r="G470" s="1531"/>
      <c r="H470" s="1528">
        <f t="shared" si="81"/>
        <v>33935.926420796895</v>
      </c>
      <c r="I470" s="1528">
        <f t="shared" si="82"/>
        <v>37508.129201933407</v>
      </c>
      <c r="J470" s="1532">
        <f t="shared" si="84"/>
        <v>35722.027811365151</v>
      </c>
      <c r="K470" s="1369" t="b">
        <f t="shared" si="85"/>
        <v>1</v>
      </c>
      <c r="L470" s="1558"/>
      <c r="M470" s="1364"/>
      <c r="N470" s="1371">
        <f t="shared" si="78"/>
        <v>35722.027811365151</v>
      </c>
      <c r="O470" s="1372"/>
      <c r="P470" s="1371">
        <f t="shared" si="86"/>
        <v>112.33589430594299</v>
      </c>
      <c r="Q470" s="1371">
        <f t="shared" si="86"/>
        <v>89.041969719838605</v>
      </c>
      <c r="R470" s="1371">
        <f t="shared" si="86"/>
        <v>246.24826871808551</v>
      </c>
      <c r="S470" s="1371">
        <f t="shared" si="86"/>
        <v>0</v>
      </c>
      <c r="T470" s="1371">
        <f t="shared" si="86"/>
        <v>2310.2714077435685</v>
      </c>
      <c r="U470" s="1371">
        <f t="shared" si="83"/>
        <v>38479.925351852587</v>
      </c>
      <c r="V470" s="1373">
        <f t="shared" si="77"/>
        <v>38479.93</v>
      </c>
      <c r="W470" s="960"/>
    </row>
    <row r="471" spans="1:23">
      <c r="A471" s="918">
        <v>301245</v>
      </c>
      <c r="B471" s="919" t="s">
        <v>386</v>
      </c>
      <c r="C471" s="1363">
        <f>IF('TAR_Tab 2_Volumina'!M474,1,0)</f>
        <v>1</v>
      </c>
      <c r="D471" s="1529">
        <v>141808.35916235112</v>
      </c>
      <c r="E471" s="1528">
        <f t="shared" si="79"/>
        <v>135228.45129721804</v>
      </c>
      <c r="F471" s="1528">
        <f t="shared" si="80"/>
        <v>142888.11124546072</v>
      </c>
      <c r="G471" s="1531"/>
      <c r="H471" s="1528">
        <f t="shared" si="81"/>
        <v>135743.70568318767</v>
      </c>
      <c r="I471" s="1528">
        <f t="shared" si="82"/>
        <v>150032.51680773377</v>
      </c>
      <c r="J471" s="1532">
        <f t="shared" si="84"/>
        <v>142888.11124546072</v>
      </c>
      <c r="K471" s="1369" t="b">
        <f t="shared" si="85"/>
        <v>1</v>
      </c>
      <c r="L471" s="1558"/>
      <c r="M471" s="1364"/>
      <c r="N471" s="1371">
        <f t="shared" si="78"/>
        <v>142888.11124546072</v>
      </c>
      <c r="O471" s="1372"/>
      <c r="P471" s="1371">
        <f t="shared" si="86"/>
        <v>449.34357722377234</v>
      </c>
      <c r="Q471" s="1371">
        <f t="shared" si="86"/>
        <v>356.1678788793547</v>
      </c>
      <c r="R471" s="1371">
        <f t="shared" si="86"/>
        <v>984.99307487234285</v>
      </c>
      <c r="S471" s="1371">
        <f t="shared" si="86"/>
        <v>0</v>
      </c>
      <c r="T471" s="1371">
        <f t="shared" si="86"/>
        <v>9241.0856309742812</v>
      </c>
      <c r="U471" s="1371">
        <f t="shared" si="83"/>
        <v>153919.7014074105</v>
      </c>
      <c r="V471" s="1373">
        <f t="shared" si="77"/>
        <v>153919.70000000001</v>
      </c>
      <c r="W471" s="960"/>
    </row>
    <row r="472" spans="1:23">
      <c r="A472" s="918">
        <v>301246</v>
      </c>
      <c r="B472" s="919" t="s">
        <v>387</v>
      </c>
      <c r="C472" s="1363">
        <f>IF('TAR_Tab 2_Volumina'!M475,1,0)</f>
        <v>1</v>
      </c>
      <c r="D472" s="1529">
        <v>141808.35916235112</v>
      </c>
      <c r="E472" s="1528">
        <f t="shared" si="79"/>
        <v>135228.45129721804</v>
      </c>
      <c r="F472" s="1528">
        <f t="shared" si="80"/>
        <v>142888.11124546072</v>
      </c>
      <c r="G472" s="1531"/>
      <c r="H472" s="1528">
        <f t="shared" si="81"/>
        <v>135743.70568318767</v>
      </c>
      <c r="I472" s="1528">
        <f t="shared" si="82"/>
        <v>150032.51680773377</v>
      </c>
      <c r="J472" s="1532">
        <f t="shared" si="84"/>
        <v>142888.11124546072</v>
      </c>
      <c r="K472" s="1369" t="b">
        <f t="shared" si="85"/>
        <v>1</v>
      </c>
      <c r="L472" s="1558"/>
      <c r="M472" s="1364"/>
      <c r="N472" s="1371">
        <f t="shared" si="78"/>
        <v>142888.11124546072</v>
      </c>
      <c r="O472" s="1372"/>
      <c r="P472" s="1371">
        <f t="shared" si="86"/>
        <v>449.34357722377234</v>
      </c>
      <c r="Q472" s="1371">
        <f t="shared" si="86"/>
        <v>356.1678788793547</v>
      </c>
      <c r="R472" s="1371">
        <f t="shared" si="86"/>
        <v>984.99307487234285</v>
      </c>
      <c r="S472" s="1371">
        <f t="shared" si="86"/>
        <v>0</v>
      </c>
      <c r="T472" s="1371">
        <f t="shared" si="86"/>
        <v>9241.0856309742812</v>
      </c>
      <c r="U472" s="1371">
        <f t="shared" si="83"/>
        <v>153919.7014074105</v>
      </c>
      <c r="V472" s="1373">
        <f t="shared" si="77"/>
        <v>153919.70000000001</v>
      </c>
      <c r="W472" s="960"/>
    </row>
    <row r="473" spans="1:23">
      <c r="A473" s="918">
        <v>301247</v>
      </c>
      <c r="B473" s="919" t="s">
        <v>388</v>
      </c>
      <c r="C473" s="1363">
        <f>IF('TAR_Tab 2_Volumina'!M476,1,0)</f>
        <v>1</v>
      </c>
      <c r="D473" s="1529">
        <v>35452.089790587779</v>
      </c>
      <c r="E473" s="1528">
        <f t="shared" si="79"/>
        <v>33807.11282430451</v>
      </c>
      <c r="F473" s="1528">
        <f t="shared" si="80"/>
        <v>35722.02781136518</v>
      </c>
      <c r="G473" s="1531"/>
      <c r="H473" s="1528">
        <f t="shared" si="81"/>
        <v>33935.926420796917</v>
      </c>
      <c r="I473" s="1528">
        <f t="shared" si="82"/>
        <v>37508.129201933443</v>
      </c>
      <c r="J473" s="1532">
        <f t="shared" si="84"/>
        <v>35722.02781136518</v>
      </c>
      <c r="K473" s="1369" t="b">
        <f t="shared" si="85"/>
        <v>1</v>
      </c>
      <c r="L473" s="1558"/>
      <c r="M473" s="1364"/>
      <c r="N473" s="1371">
        <f t="shared" si="78"/>
        <v>35722.02781136518</v>
      </c>
      <c r="O473" s="1372"/>
      <c r="P473" s="1371">
        <f t="shared" si="86"/>
        <v>112.33589430594309</v>
      </c>
      <c r="Q473" s="1371">
        <f t="shared" si="86"/>
        <v>89.041969719838676</v>
      </c>
      <c r="R473" s="1371">
        <f t="shared" si="86"/>
        <v>246.24826871808571</v>
      </c>
      <c r="S473" s="1371">
        <f t="shared" si="86"/>
        <v>0</v>
      </c>
      <c r="T473" s="1371">
        <f t="shared" si="86"/>
        <v>2310.2714077435703</v>
      </c>
      <c r="U473" s="1371">
        <f t="shared" si="83"/>
        <v>38479.925351852624</v>
      </c>
      <c r="V473" s="1373">
        <f t="shared" si="77"/>
        <v>38479.93</v>
      </c>
      <c r="W473" s="960"/>
    </row>
    <row r="474" spans="1:23">
      <c r="A474" s="918">
        <v>301248</v>
      </c>
      <c r="B474" s="919" t="s">
        <v>389</v>
      </c>
      <c r="C474" s="1363">
        <f>IF('TAR_Tab 2_Volumina'!M477,1,0)</f>
        <v>1</v>
      </c>
      <c r="D474" s="1529">
        <v>194986.48468869322</v>
      </c>
      <c r="E474" s="1528">
        <f t="shared" si="79"/>
        <v>185939.11179913787</v>
      </c>
      <c r="F474" s="1528">
        <f t="shared" si="80"/>
        <v>196471.14373322669</v>
      </c>
      <c r="G474" s="1531"/>
      <c r="H474" s="1528">
        <f t="shared" si="81"/>
        <v>186647.58654656535</v>
      </c>
      <c r="I474" s="1528">
        <f t="shared" si="82"/>
        <v>206294.70091988804</v>
      </c>
      <c r="J474" s="1532">
        <f t="shared" si="84"/>
        <v>196471.14373322669</v>
      </c>
      <c r="K474" s="1369" t="b">
        <f t="shared" si="85"/>
        <v>1</v>
      </c>
      <c r="L474" s="1558"/>
      <c r="M474" s="1364"/>
      <c r="N474" s="1371">
        <f t="shared" si="78"/>
        <v>196471.14373322669</v>
      </c>
      <c r="O474" s="1372"/>
      <c r="P474" s="1371">
        <f t="shared" si="86"/>
        <v>617.84738965914914</v>
      </c>
      <c r="Q474" s="1371">
        <f t="shared" si="86"/>
        <v>489.73081045388369</v>
      </c>
      <c r="R474" s="1371">
        <f t="shared" si="86"/>
        <v>1354.3654143278127</v>
      </c>
      <c r="S474" s="1371">
        <f t="shared" si="86"/>
        <v>0</v>
      </c>
      <c r="T474" s="1371">
        <f t="shared" si="86"/>
        <v>12706.492145698947</v>
      </c>
      <c r="U474" s="1371">
        <f t="shared" si="83"/>
        <v>211639.5794933665</v>
      </c>
      <c r="V474" s="1373">
        <f t="shared" si="77"/>
        <v>211639.58</v>
      </c>
      <c r="W474" s="960"/>
    </row>
    <row r="475" spans="1:23">
      <c r="A475" s="918">
        <v>301249</v>
      </c>
      <c r="B475" s="919" t="s">
        <v>390</v>
      </c>
      <c r="C475" s="1363">
        <f>IF('TAR_Tab 2_Volumina'!M478,1,0)</f>
        <v>1</v>
      </c>
      <c r="D475" s="1529">
        <v>70904.179581175558</v>
      </c>
      <c r="E475" s="1528">
        <f t="shared" si="79"/>
        <v>67614.225648609019</v>
      </c>
      <c r="F475" s="1528">
        <f t="shared" si="80"/>
        <v>71444.05562273036</v>
      </c>
      <c r="G475" s="1531"/>
      <c r="H475" s="1528">
        <f t="shared" si="81"/>
        <v>67871.852841593834</v>
      </c>
      <c r="I475" s="1528">
        <f t="shared" si="82"/>
        <v>75016.258403866887</v>
      </c>
      <c r="J475" s="1532">
        <f t="shared" si="84"/>
        <v>71444.05562273036</v>
      </c>
      <c r="K475" s="1369" t="b">
        <f t="shared" si="85"/>
        <v>1</v>
      </c>
      <c r="L475" s="1558"/>
      <c r="M475" s="1364"/>
      <c r="N475" s="1371">
        <f t="shared" si="78"/>
        <v>71444.05562273036</v>
      </c>
      <c r="O475" s="1372"/>
      <c r="P475" s="1371">
        <f t="shared" si="86"/>
        <v>224.67178861188617</v>
      </c>
      <c r="Q475" s="1371">
        <f t="shared" si="86"/>
        <v>178.08393943967735</v>
      </c>
      <c r="R475" s="1371">
        <f t="shared" si="86"/>
        <v>492.49653743617142</v>
      </c>
      <c r="S475" s="1371">
        <f t="shared" si="86"/>
        <v>0</v>
      </c>
      <c r="T475" s="1371">
        <f t="shared" si="86"/>
        <v>4620.5428154871406</v>
      </c>
      <c r="U475" s="1371">
        <f t="shared" si="83"/>
        <v>76959.850703705248</v>
      </c>
      <c r="V475" s="1373">
        <f t="shared" si="77"/>
        <v>76959.850000000006</v>
      </c>
      <c r="W475" s="960"/>
    </row>
    <row r="476" spans="1:23">
      <c r="A476" s="918">
        <v>301250</v>
      </c>
      <c r="B476" s="919" t="s">
        <v>391</v>
      </c>
      <c r="C476" s="1363">
        <f>IF('TAR_Tab 2_Volumina'!M479,1,0)</f>
        <v>1</v>
      </c>
      <c r="D476" s="1529">
        <v>88630.224476469462</v>
      </c>
      <c r="E476" s="1528">
        <f t="shared" si="79"/>
        <v>84517.782060761281</v>
      </c>
      <c r="F476" s="1528">
        <f t="shared" si="80"/>
        <v>89305.069528412962</v>
      </c>
      <c r="G476" s="1531"/>
      <c r="H476" s="1528">
        <f t="shared" si="81"/>
        <v>84839.816051992311</v>
      </c>
      <c r="I476" s="1528">
        <f t="shared" si="82"/>
        <v>93770.323004833612</v>
      </c>
      <c r="J476" s="1532">
        <f t="shared" si="84"/>
        <v>89305.069528412962</v>
      </c>
      <c r="K476" s="1369" t="b">
        <f t="shared" si="85"/>
        <v>1</v>
      </c>
      <c r="L476" s="1558"/>
      <c r="M476" s="1364"/>
      <c r="N476" s="1371">
        <f t="shared" si="78"/>
        <v>89305.069528412962</v>
      </c>
      <c r="O476" s="1372"/>
      <c r="P476" s="1371">
        <f t="shared" si="86"/>
        <v>280.83973576485772</v>
      </c>
      <c r="Q476" s="1371">
        <f t="shared" si="86"/>
        <v>222.60492429959672</v>
      </c>
      <c r="R476" s="1371">
        <f t="shared" si="86"/>
        <v>615.62067179521432</v>
      </c>
      <c r="S476" s="1371">
        <f t="shared" si="86"/>
        <v>0</v>
      </c>
      <c r="T476" s="1371">
        <f t="shared" si="86"/>
        <v>5775.6785193589267</v>
      </c>
      <c r="U476" s="1371">
        <f t="shared" si="83"/>
        <v>96199.813379631567</v>
      </c>
      <c r="V476" s="1373">
        <f t="shared" si="77"/>
        <v>96199.81</v>
      </c>
      <c r="W476" s="960"/>
    </row>
    <row r="477" spans="1:23">
      <c r="A477" s="918">
        <v>301251</v>
      </c>
      <c r="B477" s="919" t="s">
        <v>392</v>
      </c>
      <c r="C477" s="1363">
        <f>IF('TAR_Tab 2_Volumina'!M480,1,0)</f>
        <v>1</v>
      </c>
      <c r="D477" s="1529">
        <v>88630.224476469462</v>
      </c>
      <c r="E477" s="1528">
        <f t="shared" si="79"/>
        <v>84517.782060761281</v>
      </c>
      <c r="F477" s="1528">
        <f t="shared" si="80"/>
        <v>89305.069528412962</v>
      </c>
      <c r="G477" s="1531"/>
      <c r="H477" s="1528">
        <f t="shared" si="81"/>
        <v>84839.816051992311</v>
      </c>
      <c r="I477" s="1528">
        <f t="shared" si="82"/>
        <v>93770.323004833612</v>
      </c>
      <c r="J477" s="1532">
        <f t="shared" si="84"/>
        <v>89305.069528412962</v>
      </c>
      <c r="K477" s="1369" t="b">
        <f t="shared" si="85"/>
        <v>1</v>
      </c>
      <c r="L477" s="1558"/>
      <c r="M477" s="1364"/>
      <c r="N477" s="1371">
        <f t="shared" si="78"/>
        <v>89305.069528412962</v>
      </c>
      <c r="O477" s="1372"/>
      <c r="P477" s="1371">
        <f t="shared" si="86"/>
        <v>280.83973576485772</v>
      </c>
      <c r="Q477" s="1371">
        <f t="shared" si="86"/>
        <v>222.60492429959672</v>
      </c>
      <c r="R477" s="1371">
        <f t="shared" si="86"/>
        <v>615.62067179521432</v>
      </c>
      <c r="S477" s="1371">
        <f t="shared" si="86"/>
        <v>0</v>
      </c>
      <c r="T477" s="1371">
        <f t="shared" si="86"/>
        <v>5775.6785193589267</v>
      </c>
      <c r="U477" s="1371">
        <f t="shared" si="83"/>
        <v>96199.813379631567</v>
      </c>
      <c r="V477" s="1373">
        <f t="shared" si="77"/>
        <v>96199.81</v>
      </c>
      <c r="W477" s="960"/>
    </row>
    <row r="478" spans="1:23">
      <c r="A478" s="918">
        <v>301252</v>
      </c>
      <c r="B478" s="919" t="s">
        <v>393</v>
      </c>
      <c r="C478" s="1363">
        <f>IF('TAR_Tab 2_Volumina'!M481,1,0)</f>
        <v>1</v>
      </c>
      <c r="D478" s="1529">
        <v>141808.35916235112</v>
      </c>
      <c r="E478" s="1528">
        <f t="shared" si="79"/>
        <v>135228.45129721804</v>
      </c>
      <c r="F478" s="1528">
        <f t="shared" si="80"/>
        <v>142888.11124546072</v>
      </c>
      <c r="G478" s="1531"/>
      <c r="H478" s="1528">
        <f t="shared" si="81"/>
        <v>135743.70568318767</v>
      </c>
      <c r="I478" s="1528">
        <f t="shared" si="82"/>
        <v>150032.51680773377</v>
      </c>
      <c r="J478" s="1532">
        <f t="shared" si="84"/>
        <v>142888.11124546072</v>
      </c>
      <c r="K478" s="1369" t="b">
        <f t="shared" si="85"/>
        <v>1</v>
      </c>
      <c r="L478" s="1558"/>
      <c r="M478" s="1364"/>
      <c r="N478" s="1371">
        <f t="shared" si="78"/>
        <v>142888.11124546072</v>
      </c>
      <c r="O478" s="1372"/>
      <c r="P478" s="1371">
        <f t="shared" si="86"/>
        <v>449.34357722377234</v>
      </c>
      <c r="Q478" s="1371">
        <f t="shared" si="86"/>
        <v>356.1678788793547</v>
      </c>
      <c r="R478" s="1371">
        <f t="shared" si="86"/>
        <v>984.99307487234285</v>
      </c>
      <c r="S478" s="1371">
        <f t="shared" si="86"/>
        <v>0</v>
      </c>
      <c r="T478" s="1371">
        <f t="shared" si="86"/>
        <v>9241.0856309742812</v>
      </c>
      <c r="U478" s="1371">
        <f t="shared" si="83"/>
        <v>153919.7014074105</v>
      </c>
      <c r="V478" s="1373">
        <f t="shared" si="77"/>
        <v>153919.70000000001</v>
      </c>
      <c r="W478" s="960"/>
    </row>
    <row r="479" spans="1:23">
      <c r="A479" s="918">
        <v>301253</v>
      </c>
      <c r="B479" s="919" t="s">
        <v>394</v>
      </c>
      <c r="C479" s="1363">
        <f>IF('TAR_Tab 2_Volumina'!M482,1,0)</f>
        <v>1</v>
      </c>
      <c r="D479" s="1529">
        <v>106356.26937176337</v>
      </c>
      <c r="E479" s="1528">
        <f t="shared" si="79"/>
        <v>101421.33847291354</v>
      </c>
      <c r="F479" s="1528">
        <f t="shared" si="80"/>
        <v>107166.08343409556</v>
      </c>
      <c r="G479" s="1531"/>
      <c r="H479" s="1528">
        <f t="shared" si="81"/>
        <v>101807.77926239077</v>
      </c>
      <c r="I479" s="1528">
        <f t="shared" si="82"/>
        <v>112524.38760580035</v>
      </c>
      <c r="J479" s="1532">
        <f t="shared" si="84"/>
        <v>107166.08343409556</v>
      </c>
      <c r="K479" s="1369" t="b">
        <f t="shared" si="85"/>
        <v>1</v>
      </c>
      <c r="L479" s="1558"/>
      <c r="M479" s="1364"/>
      <c r="N479" s="1371">
        <f t="shared" si="78"/>
        <v>107166.08343409556</v>
      </c>
      <c r="O479" s="1372"/>
      <c r="P479" s="1371">
        <f t="shared" si="86"/>
        <v>337.0076829178293</v>
      </c>
      <c r="Q479" s="1371">
        <f t="shared" si="86"/>
        <v>267.12590915951608</v>
      </c>
      <c r="R479" s="1371">
        <f t="shared" si="86"/>
        <v>738.74480615425728</v>
      </c>
      <c r="S479" s="1371">
        <f t="shared" si="86"/>
        <v>0</v>
      </c>
      <c r="T479" s="1371">
        <f t="shared" si="86"/>
        <v>6930.8142232307127</v>
      </c>
      <c r="U479" s="1371">
        <f t="shared" si="83"/>
        <v>115439.77605555787</v>
      </c>
      <c r="V479" s="1373">
        <f t="shared" si="77"/>
        <v>115439.78</v>
      </c>
      <c r="W479" s="960"/>
    </row>
    <row r="480" spans="1:23">
      <c r="A480" s="918">
        <v>301254</v>
      </c>
      <c r="B480" s="919" t="s">
        <v>395</v>
      </c>
      <c r="C480" s="1363">
        <f>IF('TAR_Tab 2_Volumina'!M483,1,0)</f>
        <v>1</v>
      </c>
      <c r="D480" s="1529">
        <v>88630.224476469462</v>
      </c>
      <c r="E480" s="1528">
        <f t="shared" si="79"/>
        <v>84517.782060761281</v>
      </c>
      <c r="F480" s="1528">
        <f t="shared" si="80"/>
        <v>89305.069528412962</v>
      </c>
      <c r="G480" s="1531"/>
      <c r="H480" s="1528">
        <f t="shared" si="81"/>
        <v>84839.816051992311</v>
      </c>
      <c r="I480" s="1528">
        <f t="shared" si="82"/>
        <v>93770.323004833612</v>
      </c>
      <c r="J480" s="1532">
        <f t="shared" si="84"/>
        <v>89305.069528412962</v>
      </c>
      <c r="K480" s="1369" t="b">
        <f t="shared" si="85"/>
        <v>1</v>
      </c>
      <c r="L480" s="1558"/>
      <c r="M480" s="1364"/>
      <c r="N480" s="1371">
        <f t="shared" si="78"/>
        <v>89305.069528412962</v>
      </c>
      <c r="O480" s="1372"/>
      <c r="P480" s="1371">
        <f t="shared" si="86"/>
        <v>280.83973576485772</v>
      </c>
      <c r="Q480" s="1371">
        <f t="shared" si="86"/>
        <v>222.60492429959672</v>
      </c>
      <c r="R480" s="1371">
        <f t="shared" si="86"/>
        <v>615.62067179521432</v>
      </c>
      <c r="S480" s="1371">
        <f t="shared" si="86"/>
        <v>0</v>
      </c>
      <c r="T480" s="1371">
        <f t="shared" si="86"/>
        <v>5775.6785193589267</v>
      </c>
      <c r="U480" s="1371">
        <f t="shared" si="83"/>
        <v>96199.813379631567</v>
      </c>
      <c r="V480" s="1373">
        <f t="shared" si="77"/>
        <v>96199.81</v>
      </c>
      <c r="W480" s="960"/>
    </row>
    <row r="481" spans="1:23">
      <c r="A481" s="918">
        <v>301255</v>
      </c>
      <c r="B481" s="919" t="s">
        <v>396</v>
      </c>
      <c r="C481" s="1363">
        <f>IF('TAR_Tab 2_Volumina'!M484,1,0)</f>
        <v>1</v>
      </c>
      <c r="D481" s="1529">
        <v>106356.26937176337</v>
      </c>
      <c r="E481" s="1528">
        <f t="shared" si="79"/>
        <v>101421.33847291354</v>
      </c>
      <c r="F481" s="1528">
        <f t="shared" si="80"/>
        <v>107166.08343409556</v>
      </c>
      <c r="G481" s="1531"/>
      <c r="H481" s="1528">
        <f t="shared" si="81"/>
        <v>101807.77926239077</v>
      </c>
      <c r="I481" s="1528">
        <f t="shared" si="82"/>
        <v>112524.38760580035</v>
      </c>
      <c r="J481" s="1532">
        <f t="shared" si="84"/>
        <v>107166.08343409556</v>
      </c>
      <c r="K481" s="1369" t="b">
        <f t="shared" si="85"/>
        <v>1</v>
      </c>
      <c r="L481" s="1558"/>
      <c r="M481" s="1364"/>
      <c r="N481" s="1371">
        <f t="shared" si="78"/>
        <v>107166.08343409556</v>
      </c>
      <c r="O481" s="1372"/>
      <c r="P481" s="1371">
        <f t="shared" si="86"/>
        <v>337.0076829178293</v>
      </c>
      <c r="Q481" s="1371">
        <f t="shared" si="86"/>
        <v>267.12590915951608</v>
      </c>
      <c r="R481" s="1371">
        <f t="shared" si="86"/>
        <v>738.74480615425728</v>
      </c>
      <c r="S481" s="1371">
        <f t="shared" si="86"/>
        <v>0</v>
      </c>
      <c r="T481" s="1371">
        <f t="shared" si="86"/>
        <v>6930.8142232307127</v>
      </c>
      <c r="U481" s="1371">
        <f t="shared" si="83"/>
        <v>115439.77605555787</v>
      </c>
      <c r="V481" s="1373">
        <f t="shared" si="77"/>
        <v>115439.78</v>
      </c>
      <c r="W481" s="960"/>
    </row>
    <row r="482" spans="1:23">
      <c r="A482" s="918">
        <v>301256</v>
      </c>
      <c r="B482" s="919" t="s">
        <v>397</v>
      </c>
      <c r="C482" s="1363">
        <f>IF('TAR_Tab 2_Volumina'!M485,1,0)</f>
        <v>1</v>
      </c>
      <c r="D482" s="1529">
        <v>53178.134685881683</v>
      </c>
      <c r="E482" s="1528">
        <f t="shared" si="79"/>
        <v>50710.669236456772</v>
      </c>
      <c r="F482" s="1528">
        <f t="shared" si="80"/>
        <v>53583.041717047781</v>
      </c>
      <c r="G482" s="1531"/>
      <c r="H482" s="1528">
        <f t="shared" si="81"/>
        <v>50903.889631195387</v>
      </c>
      <c r="I482" s="1528">
        <f t="shared" si="82"/>
        <v>56262.193802900176</v>
      </c>
      <c r="J482" s="1532">
        <f t="shared" si="84"/>
        <v>53583.041717047781</v>
      </c>
      <c r="K482" s="1369" t="b">
        <f t="shared" si="85"/>
        <v>1</v>
      </c>
      <c r="L482" s="1558"/>
      <c r="M482" s="1364"/>
      <c r="N482" s="1371">
        <f t="shared" si="78"/>
        <v>53583.041717047781</v>
      </c>
      <c r="O482" s="1372"/>
      <c r="P482" s="1371">
        <f t="shared" si="86"/>
        <v>168.50384145891465</v>
      </c>
      <c r="Q482" s="1371">
        <f t="shared" si="86"/>
        <v>133.56295457975804</v>
      </c>
      <c r="R482" s="1371">
        <f t="shared" si="86"/>
        <v>369.37240307712864</v>
      </c>
      <c r="S482" s="1371">
        <f t="shared" si="86"/>
        <v>0</v>
      </c>
      <c r="T482" s="1371">
        <f t="shared" si="86"/>
        <v>3465.4071116153564</v>
      </c>
      <c r="U482" s="1371">
        <f t="shared" si="83"/>
        <v>57719.888027778936</v>
      </c>
      <c r="V482" s="1373">
        <f t="shared" si="77"/>
        <v>57719.89</v>
      </c>
      <c r="W482" s="960"/>
    </row>
    <row r="483" spans="1:23">
      <c r="A483" s="918">
        <v>301257</v>
      </c>
      <c r="B483" s="919" t="s">
        <v>398</v>
      </c>
      <c r="C483" s="1363">
        <f>IF('TAR_Tab 2_Volumina'!M486,1,0)</f>
        <v>1</v>
      </c>
      <c r="D483" s="1529">
        <v>141808.35916235112</v>
      </c>
      <c r="E483" s="1528">
        <f t="shared" si="79"/>
        <v>135228.45129721804</v>
      </c>
      <c r="F483" s="1528">
        <f t="shared" si="80"/>
        <v>142888.11124546072</v>
      </c>
      <c r="G483" s="1531"/>
      <c r="H483" s="1528">
        <f t="shared" si="81"/>
        <v>135743.70568318767</v>
      </c>
      <c r="I483" s="1528">
        <f t="shared" si="82"/>
        <v>150032.51680773377</v>
      </c>
      <c r="J483" s="1532">
        <f t="shared" si="84"/>
        <v>142888.11124546072</v>
      </c>
      <c r="K483" s="1369" t="b">
        <f t="shared" si="85"/>
        <v>1</v>
      </c>
      <c r="L483" s="1558"/>
      <c r="M483" s="1364"/>
      <c r="N483" s="1371">
        <f t="shared" si="78"/>
        <v>142888.11124546072</v>
      </c>
      <c r="O483" s="1372"/>
      <c r="P483" s="1371">
        <f t="shared" si="86"/>
        <v>449.34357722377234</v>
      </c>
      <c r="Q483" s="1371">
        <f t="shared" si="86"/>
        <v>356.1678788793547</v>
      </c>
      <c r="R483" s="1371">
        <f t="shared" si="86"/>
        <v>984.99307487234285</v>
      </c>
      <c r="S483" s="1371">
        <f t="shared" si="86"/>
        <v>0</v>
      </c>
      <c r="T483" s="1371">
        <f t="shared" si="86"/>
        <v>9241.0856309742812</v>
      </c>
      <c r="U483" s="1371">
        <f t="shared" si="83"/>
        <v>153919.7014074105</v>
      </c>
      <c r="V483" s="1373">
        <f t="shared" si="77"/>
        <v>153919.70000000001</v>
      </c>
      <c r="W483" s="960"/>
    </row>
    <row r="484" spans="1:23">
      <c r="A484" s="918">
        <v>301259</v>
      </c>
      <c r="B484" s="919" t="s">
        <v>399</v>
      </c>
      <c r="C484" s="1363">
        <f>IF('TAR_Tab 2_Volumina'!M487,1,0)</f>
        <v>1</v>
      </c>
      <c r="D484" s="1529">
        <v>70904.179581175558</v>
      </c>
      <c r="E484" s="1528">
        <f t="shared" si="79"/>
        <v>67614.225648609019</v>
      </c>
      <c r="F484" s="1528">
        <f t="shared" si="80"/>
        <v>71444.05562273036</v>
      </c>
      <c r="G484" s="1531"/>
      <c r="H484" s="1528">
        <f t="shared" si="81"/>
        <v>67871.852841593834</v>
      </c>
      <c r="I484" s="1528">
        <f t="shared" si="82"/>
        <v>75016.258403866887</v>
      </c>
      <c r="J484" s="1532">
        <f t="shared" si="84"/>
        <v>71444.05562273036</v>
      </c>
      <c r="K484" s="1369" t="b">
        <f t="shared" si="85"/>
        <v>1</v>
      </c>
      <c r="L484" s="1558"/>
      <c r="M484" s="1364"/>
      <c r="N484" s="1371">
        <f t="shared" si="78"/>
        <v>71444.05562273036</v>
      </c>
      <c r="O484" s="1372"/>
      <c r="P484" s="1371">
        <f t="shared" si="86"/>
        <v>224.67178861188617</v>
      </c>
      <c r="Q484" s="1371">
        <f t="shared" si="86"/>
        <v>178.08393943967735</v>
      </c>
      <c r="R484" s="1371">
        <f t="shared" si="86"/>
        <v>492.49653743617142</v>
      </c>
      <c r="S484" s="1371">
        <f t="shared" si="86"/>
        <v>0</v>
      </c>
      <c r="T484" s="1371">
        <f t="shared" si="86"/>
        <v>4620.5428154871406</v>
      </c>
      <c r="U484" s="1371">
        <f t="shared" si="83"/>
        <v>76959.850703705248</v>
      </c>
      <c r="V484" s="1373">
        <f t="shared" si="77"/>
        <v>76959.850000000006</v>
      </c>
      <c r="W484" s="960"/>
    </row>
    <row r="485" spans="1:23">
      <c r="A485" s="918">
        <v>301260</v>
      </c>
      <c r="B485" s="919" t="s">
        <v>400</v>
      </c>
      <c r="C485" s="1363">
        <f>IF('TAR_Tab 2_Volumina'!M488,1,0)</f>
        <v>1</v>
      </c>
      <c r="D485" s="1529">
        <v>53178.134685881683</v>
      </c>
      <c r="E485" s="1528">
        <f t="shared" si="79"/>
        <v>50710.669236456772</v>
      </c>
      <c r="F485" s="1528">
        <f t="shared" si="80"/>
        <v>53583.041717047781</v>
      </c>
      <c r="G485" s="1531"/>
      <c r="H485" s="1528">
        <f t="shared" si="81"/>
        <v>50903.889631195387</v>
      </c>
      <c r="I485" s="1528">
        <f t="shared" si="82"/>
        <v>56262.193802900176</v>
      </c>
      <c r="J485" s="1532">
        <f t="shared" si="84"/>
        <v>53583.041717047781</v>
      </c>
      <c r="K485" s="1369" t="b">
        <f t="shared" si="85"/>
        <v>1</v>
      </c>
      <c r="L485" s="1558"/>
      <c r="M485" s="1364"/>
      <c r="N485" s="1371">
        <f t="shared" si="78"/>
        <v>53583.041717047781</v>
      </c>
      <c r="O485" s="1372"/>
      <c r="P485" s="1371">
        <f t="shared" si="86"/>
        <v>168.50384145891465</v>
      </c>
      <c r="Q485" s="1371">
        <f t="shared" si="86"/>
        <v>133.56295457975804</v>
      </c>
      <c r="R485" s="1371">
        <f t="shared" si="86"/>
        <v>369.37240307712864</v>
      </c>
      <c r="S485" s="1371">
        <f t="shared" si="86"/>
        <v>0</v>
      </c>
      <c r="T485" s="1371">
        <f t="shared" si="86"/>
        <v>3465.4071116153564</v>
      </c>
      <c r="U485" s="1371">
        <f t="shared" si="83"/>
        <v>57719.888027778936</v>
      </c>
      <c r="V485" s="1373">
        <f t="shared" si="77"/>
        <v>57719.89</v>
      </c>
      <c r="W485" s="960"/>
    </row>
    <row r="486" spans="1:23">
      <c r="A486" s="918">
        <v>301263</v>
      </c>
      <c r="B486" s="919" t="s">
        <v>401</v>
      </c>
      <c r="C486" s="1363">
        <f>IF('TAR_Tab 2_Volumina'!M489,1,0)</f>
        <v>1</v>
      </c>
      <c r="D486" s="1529">
        <v>88630.224476469462</v>
      </c>
      <c r="E486" s="1528">
        <f t="shared" si="79"/>
        <v>84517.782060761281</v>
      </c>
      <c r="F486" s="1528">
        <f t="shared" si="80"/>
        <v>89305.069528412962</v>
      </c>
      <c r="G486" s="1531"/>
      <c r="H486" s="1528">
        <f t="shared" si="81"/>
        <v>84839.816051992311</v>
      </c>
      <c r="I486" s="1528">
        <f t="shared" si="82"/>
        <v>93770.323004833612</v>
      </c>
      <c r="J486" s="1532">
        <f t="shared" si="84"/>
        <v>89305.069528412962</v>
      </c>
      <c r="K486" s="1369" t="b">
        <f t="shared" si="85"/>
        <v>1</v>
      </c>
      <c r="L486" s="1558"/>
      <c r="M486" s="1364"/>
      <c r="N486" s="1371">
        <f t="shared" si="78"/>
        <v>89305.069528412962</v>
      </c>
      <c r="O486" s="1372"/>
      <c r="P486" s="1371">
        <f t="shared" si="86"/>
        <v>280.83973576485772</v>
      </c>
      <c r="Q486" s="1371">
        <f t="shared" si="86"/>
        <v>222.60492429959672</v>
      </c>
      <c r="R486" s="1371">
        <f t="shared" si="86"/>
        <v>615.62067179521432</v>
      </c>
      <c r="S486" s="1371">
        <f t="shared" si="86"/>
        <v>0</v>
      </c>
      <c r="T486" s="1371">
        <f t="shared" si="86"/>
        <v>5775.6785193589267</v>
      </c>
      <c r="U486" s="1371">
        <f t="shared" si="83"/>
        <v>96199.813379631567</v>
      </c>
      <c r="V486" s="1373">
        <f t="shared" si="77"/>
        <v>96199.81</v>
      </c>
      <c r="W486" s="960"/>
    </row>
    <row r="487" spans="1:23">
      <c r="A487" s="918">
        <v>301264</v>
      </c>
      <c r="B487" s="919" t="s">
        <v>402</v>
      </c>
      <c r="C487" s="1363">
        <f>IF('TAR_Tab 2_Volumina'!M490,1,0)</f>
        <v>1</v>
      </c>
      <c r="D487" s="1529">
        <v>70904.179581175558</v>
      </c>
      <c r="E487" s="1528">
        <f t="shared" si="79"/>
        <v>67614.225648609019</v>
      </c>
      <c r="F487" s="1528">
        <f t="shared" si="80"/>
        <v>71444.05562273036</v>
      </c>
      <c r="G487" s="1531"/>
      <c r="H487" s="1528">
        <f t="shared" si="81"/>
        <v>67871.852841593834</v>
      </c>
      <c r="I487" s="1528">
        <f t="shared" si="82"/>
        <v>75016.258403866887</v>
      </c>
      <c r="J487" s="1532">
        <f t="shared" si="84"/>
        <v>71444.05562273036</v>
      </c>
      <c r="K487" s="1369" t="b">
        <f t="shared" si="85"/>
        <v>1</v>
      </c>
      <c r="L487" s="1558"/>
      <c r="M487" s="1364"/>
      <c r="N487" s="1371">
        <f t="shared" si="78"/>
        <v>71444.05562273036</v>
      </c>
      <c r="O487" s="1372"/>
      <c r="P487" s="1371">
        <f t="shared" si="86"/>
        <v>224.67178861188617</v>
      </c>
      <c r="Q487" s="1371">
        <f t="shared" si="86"/>
        <v>178.08393943967735</v>
      </c>
      <c r="R487" s="1371">
        <f t="shared" si="86"/>
        <v>492.49653743617142</v>
      </c>
      <c r="S487" s="1371">
        <f t="shared" si="86"/>
        <v>0</v>
      </c>
      <c r="T487" s="1371">
        <f t="shared" si="86"/>
        <v>4620.5428154871406</v>
      </c>
      <c r="U487" s="1371">
        <f t="shared" si="83"/>
        <v>76959.850703705248</v>
      </c>
      <c r="V487" s="1373">
        <f t="shared" si="77"/>
        <v>76959.850000000006</v>
      </c>
      <c r="W487" s="960"/>
    </row>
    <row r="488" spans="1:23">
      <c r="A488" s="918">
        <v>301265</v>
      </c>
      <c r="B488" s="919" t="s">
        <v>403</v>
      </c>
      <c r="C488" s="1363">
        <f>IF('TAR_Tab 2_Volumina'!M491,1,0)</f>
        <v>1</v>
      </c>
      <c r="D488" s="1529">
        <v>88630.224476469462</v>
      </c>
      <c r="E488" s="1528">
        <f t="shared" si="79"/>
        <v>84517.782060761281</v>
      </c>
      <c r="F488" s="1528">
        <f t="shared" si="80"/>
        <v>89305.069528412962</v>
      </c>
      <c r="G488" s="1531"/>
      <c r="H488" s="1528">
        <f t="shared" si="81"/>
        <v>84839.816051992311</v>
      </c>
      <c r="I488" s="1528">
        <f t="shared" si="82"/>
        <v>93770.323004833612</v>
      </c>
      <c r="J488" s="1532">
        <f t="shared" si="84"/>
        <v>89305.069528412962</v>
      </c>
      <c r="K488" s="1369" t="b">
        <f t="shared" si="85"/>
        <v>1</v>
      </c>
      <c r="L488" s="1558"/>
      <c r="M488" s="1364"/>
      <c r="N488" s="1371">
        <f t="shared" si="78"/>
        <v>89305.069528412962</v>
      </c>
      <c r="O488" s="1372"/>
      <c r="P488" s="1371">
        <f t="shared" si="86"/>
        <v>280.83973576485772</v>
      </c>
      <c r="Q488" s="1371">
        <f t="shared" si="86"/>
        <v>222.60492429959672</v>
      </c>
      <c r="R488" s="1371">
        <f t="shared" si="86"/>
        <v>615.62067179521432</v>
      </c>
      <c r="S488" s="1371">
        <f t="shared" si="86"/>
        <v>0</v>
      </c>
      <c r="T488" s="1371">
        <f t="shared" si="86"/>
        <v>5775.6785193589267</v>
      </c>
      <c r="U488" s="1371">
        <f t="shared" si="83"/>
        <v>96199.813379631567</v>
      </c>
      <c r="V488" s="1373">
        <f t="shared" ref="V488:V543" si="87">ROUND(U488,2)</f>
        <v>96199.81</v>
      </c>
      <c r="W488" s="960"/>
    </row>
    <row r="489" spans="1:23">
      <c r="A489" s="918">
        <v>301266</v>
      </c>
      <c r="B489" s="919" t="s">
        <v>404</v>
      </c>
      <c r="C489" s="1363">
        <f>IF('TAR_Tab 2_Volumina'!M492,1,0)</f>
        <v>1</v>
      </c>
      <c r="D489" s="1529">
        <v>70904.179581175558</v>
      </c>
      <c r="E489" s="1528">
        <f t="shared" si="79"/>
        <v>67614.225648609019</v>
      </c>
      <c r="F489" s="1528">
        <f t="shared" si="80"/>
        <v>71444.05562273036</v>
      </c>
      <c r="G489" s="1531"/>
      <c r="H489" s="1528">
        <f t="shared" si="81"/>
        <v>67871.852841593834</v>
      </c>
      <c r="I489" s="1528">
        <f t="shared" si="82"/>
        <v>75016.258403866887</v>
      </c>
      <c r="J489" s="1532">
        <f t="shared" si="84"/>
        <v>71444.05562273036</v>
      </c>
      <c r="K489" s="1369" t="b">
        <f t="shared" si="85"/>
        <v>1</v>
      </c>
      <c r="L489" s="1558"/>
      <c r="M489" s="1364"/>
      <c r="N489" s="1371">
        <f t="shared" ref="N489:N543" si="88">IF(J489&gt;0,J489,F489)</f>
        <v>71444.05562273036</v>
      </c>
      <c r="O489" s="1372"/>
      <c r="P489" s="1371">
        <f t="shared" si="86"/>
        <v>224.67178861188617</v>
      </c>
      <c r="Q489" s="1371">
        <f t="shared" si="86"/>
        <v>178.08393943967735</v>
      </c>
      <c r="R489" s="1371">
        <f t="shared" si="86"/>
        <v>492.49653743617142</v>
      </c>
      <c r="S489" s="1371">
        <f t="shared" si="86"/>
        <v>0</v>
      </c>
      <c r="T489" s="1371">
        <f t="shared" si="86"/>
        <v>4620.5428154871406</v>
      </c>
      <c r="U489" s="1371">
        <f t="shared" si="83"/>
        <v>76959.850703705248</v>
      </c>
      <c r="V489" s="1373">
        <f t="shared" si="87"/>
        <v>76959.850000000006</v>
      </c>
      <c r="W489" s="960"/>
    </row>
    <row r="490" spans="1:23">
      <c r="A490" s="918">
        <v>301267</v>
      </c>
      <c r="B490" s="919" t="s">
        <v>405</v>
      </c>
      <c r="C490" s="1363">
        <f>IF('TAR_Tab 2_Volumina'!M493,1,0)</f>
        <v>1</v>
      </c>
      <c r="D490" s="1529">
        <v>53178.134685881683</v>
      </c>
      <c r="E490" s="1528">
        <f t="shared" si="79"/>
        <v>50710.669236456772</v>
      </c>
      <c r="F490" s="1528">
        <f t="shared" si="80"/>
        <v>53583.041717047781</v>
      </c>
      <c r="G490" s="1531"/>
      <c r="H490" s="1528">
        <f t="shared" si="81"/>
        <v>50903.889631195387</v>
      </c>
      <c r="I490" s="1528">
        <f t="shared" si="82"/>
        <v>56262.193802900176</v>
      </c>
      <c r="J490" s="1532">
        <f t="shared" si="84"/>
        <v>53583.041717047781</v>
      </c>
      <c r="K490" s="1369" t="b">
        <f t="shared" si="85"/>
        <v>1</v>
      </c>
      <c r="L490" s="1558"/>
      <c r="M490" s="1364"/>
      <c r="N490" s="1371">
        <f t="shared" si="88"/>
        <v>53583.041717047781</v>
      </c>
      <c r="O490" s="1372"/>
      <c r="P490" s="1371">
        <f t="shared" si="86"/>
        <v>168.50384145891465</v>
      </c>
      <c r="Q490" s="1371">
        <f t="shared" si="86"/>
        <v>133.56295457975804</v>
      </c>
      <c r="R490" s="1371">
        <f t="shared" si="86"/>
        <v>369.37240307712864</v>
      </c>
      <c r="S490" s="1371">
        <f t="shared" si="86"/>
        <v>0</v>
      </c>
      <c r="T490" s="1371">
        <f t="shared" si="86"/>
        <v>3465.4071116153564</v>
      </c>
      <c r="U490" s="1371">
        <f t="shared" si="83"/>
        <v>57719.888027778936</v>
      </c>
      <c r="V490" s="1373">
        <f t="shared" si="87"/>
        <v>57719.89</v>
      </c>
      <c r="W490" s="960"/>
    </row>
    <row r="491" spans="1:23">
      <c r="A491" s="918">
        <v>301269</v>
      </c>
      <c r="B491" s="919" t="s">
        <v>406</v>
      </c>
      <c r="C491" s="1363">
        <f>IF('TAR_Tab 2_Volumina'!M494,1,0)</f>
        <v>1</v>
      </c>
      <c r="D491" s="1529">
        <v>70904.179581175558</v>
      </c>
      <c r="E491" s="1528">
        <f t="shared" si="79"/>
        <v>67614.225648609019</v>
      </c>
      <c r="F491" s="1528">
        <f t="shared" si="80"/>
        <v>71444.05562273036</v>
      </c>
      <c r="G491" s="1531"/>
      <c r="H491" s="1528">
        <f t="shared" si="81"/>
        <v>67871.852841593834</v>
      </c>
      <c r="I491" s="1528">
        <f t="shared" si="82"/>
        <v>75016.258403866887</v>
      </c>
      <c r="J491" s="1532">
        <f t="shared" si="84"/>
        <v>71444.05562273036</v>
      </c>
      <c r="K491" s="1369" t="b">
        <f t="shared" si="85"/>
        <v>1</v>
      </c>
      <c r="L491" s="1558"/>
      <c r="M491" s="1364"/>
      <c r="N491" s="1371">
        <f t="shared" si="88"/>
        <v>71444.05562273036</v>
      </c>
      <c r="O491" s="1372"/>
      <c r="P491" s="1371">
        <f t="shared" si="86"/>
        <v>224.67178861188617</v>
      </c>
      <c r="Q491" s="1371">
        <f t="shared" si="86"/>
        <v>178.08393943967735</v>
      </c>
      <c r="R491" s="1371">
        <f t="shared" si="86"/>
        <v>492.49653743617142</v>
      </c>
      <c r="S491" s="1371">
        <f t="shared" si="86"/>
        <v>0</v>
      </c>
      <c r="T491" s="1371">
        <f t="shared" si="86"/>
        <v>4620.5428154871406</v>
      </c>
      <c r="U491" s="1371">
        <f t="shared" si="83"/>
        <v>76959.850703705248</v>
      </c>
      <c r="V491" s="1373">
        <f t="shared" si="87"/>
        <v>76959.850000000006</v>
      </c>
      <c r="W491" s="960"/>
    </row>
    <row r="492" spans="1:23">
      <c r="A492" s="918">
        <v>301271</v>
      </c>
      <c r="B492" s="919" t="s">
        <v>407</v>
      </c>
      <c r="C492" s="1363">
        <f>IF('TAR_Tab 2_Volumina'!M495,1,0)</f>
        <v>1</v>
      </c>
      <c r="D492" s="1530">
        <v>53178.134685881669</v>
      </c>
      <c r="E492" s="1528">
        <f t="shared" si="79"/>
        <v>50710.669236456757</v>
      </c>
      <c r="F492" s="1528">
        <f t="shared" si="80"/>
        <v>53583.041717047759</v>
      </c>
      <c r="G492" s="1531"/>
      <c r="H492" s="1528">
        <f t="shared" si="81"/>
        <v>50903.889631195372</v>
      </c>
      <c r="I492" s="1528">
        <f t="shared" si="82"/>
        <v>56262.193802900147</v>
      </c>
      <c r="J492" s="1532">
        <f t="shared" si="84"/>
        <v>53583.041717047759</v>
      </c>
      <c r="K492" s="1369" t="b">
        <f t="shared" si="85"/>
        <v>1</v>
      </c>
      <c r="L492" s="1558"/>
      <c r="M492" s="1364"/>
      <c r="N492" s="1371">
        <f t="shared" si="88"/>
        <v>53583.041717047759</v>
      </c>
      <c r="O492" s="1374"/>
      <c r="P492" s="1371">
        <f t="shared" si="86"/>
        <v>168.50384145891459</v>
      </c>
      <c r="Q492" s="1371">
        <f t="shared" si="86"/>
        <v>133.56295457975799</v>
      </c>
      <c r="R492" s="1371">
        <f t="shared" si="86"/>
        <v>369.37240307712847</v>
      </c>
      <c r="S492" s="1371">
        <f t="shared" si="86"/>
        <v>0</v>
      </c>
      <c r="T492" s="1371">
        <f t="shared" si="86"/>
        <v>3465.407111615355</v>
      </c>
      <c r="U492" s="1371">
        <f t="shared" si="83"/>
        <v>57719.888027778914</v>
      </c>
      <c r="V492" s="1373">
        <f t="shared" si="87"/>
        <v>57719.89</v>
      </c>
      <c r="W492" s="960" t="s">
        <v>1260</v>
      </c>
    </row>
    <row r="493" spans="1:23">
      <c r="A493" s="918">
        <v>301272</v>
      </c>
      <c r="B493" s="919" t="s">
        <v>408</v>
      </c>
      <c r="C493" s="1363">
        <f>IF('TAR_Tab 2_Volumina'!M496,1,0)</f>
        <v>1</v>
      </c>
      <c r="D493" s="1529">
        <v>53178.134685881683</v>
      </c>
      <c r="E493" s="1528">
        <f t="shared" si="79"/>
        <v>50710.669236456772</v>
      </c>
      <c r="F493" s="1528">
        <f t="shared" si="80"/>
        <v>53583.041717047781</v>
      </c>
      <c r="G493" s="1531"/>
      <c r="H493" s="1528">
        <f t="shared" si="81"/>
        <v>50903.889631195387</v>
      </c>
      <c r="I493" s="1528">
        <f t="shared" si="82"/>
        <v>56262.193802900176</v>
      </c>
      <c r="J493" s="1532">
        <f t="shared" si="84"/>
        <v>53583.041717047781</v>
      </c>
      <c r="K493" s="1369" t="b">
        <f t="shared" si="85"/>
        <v>1</v>
      </c>
      <c r="L493" s="1558"/>
      <c r="M493" s="1364"/>
      <c r="N493" s="1371">
        <f t="shared" si="88"/>
        <v>53583.041717047781</v>
      </c>
      <c r="O493" s="1374"/>
      <c r="P493" s="1371">
        <f t="shared" si="86"/>
        <v>168.50384145891465</v>
      </c>
      <c r="Q493" s="1371">
        <f t="shared" si="86"/>
        <v>133.56295457975804</v>
      </c>
      <c r="R493" s="1371">
        <f t="shared" si="86"/>
        <v>369.37240307712864</v>
      </c>
      <c r="S493" s="1371">
        <f t="shared" si="86"/>
        <v>0</v>
      </c>
      <c r="T493" s="1371">
        <f t="shared" si="86"/>
        <v>3465.4071116153564</v>
      </c>
      <c r="U493" s="1371">
        <f t="shared" si="83"/>
        <v>57719.888027778936</v>
      </c>
      <c r="V493" s="1373">
        <f t="shared" si="87"/>
        <v>57719.89</v>
      </c>
      <c r="W493" s="960"/>
    </row>
    <row r="494" spans="1:23">
      <c r="A494" s="918">
        <v>301273</v>
      </c>
      <c r="B494" s="919" t="s">
        <v>409</v>
      </c>
      <c r="C494" s="1363">
        <f>IF('TAR_Tab 2_Volumina'!M497,1,0)</f>
        <v>1</v>
      </c>
      <c r="D494" s="1529">
        <v>70904.179581175558</v>
      </c>
      <c r="E494" s="1528">
        <f t="shared" si="79"/>
        <v>67614.225648609019</v>
      </c>
      <c r="F494" s="1528">
        <f t="shared" si="80"/>
        <v>71444.05562273036</v>
      </c>
      <c r="G494" s="1531"/>
      <c r="H494" s="1528">
        <f t="shared" si="81"/>
        <v>67871.852841593834</v>
      </c>
      <c r="I494" s="1528">
        <f t="shared" si="82"/>
        <v>75016.258403866887</v>
      </c>
      <c r="J494" s="1532">
        <f t="shared" si="84"/>
        <v>71444.05562273036</v>
      </c>
      <c r="K494" s="1369" t="b">
        <f t="shared" si="85"/>
        <v>1</v>
      </c>
      <c r="L494" s="1558"/>
      <c r="M494" s="1364"/>
      <c r="N494" s="1371">
        <f t="shared" si="88"/>
        <v>71444.05562273036</v>
      </c>
      <c r="O494" s="1374"/>
      <c r="P494" s="1371">
        <f t="shared" ref="P494:T525" si="89">P$7*$N494</f>
        <v>224.67178861188617</v>
      </c>
      <c r="Q494" s="1371">
        <f t="shared" si="89"/>
        <v>178.08393943967735</v>
      </c>
      <c r="R494" s="1371">
        <f t="shared" si="89"/>
        <v>492.49653743617142</v>
      </c>
      <c r="S494" s="1371">
        <f t="shared" si="89"/>
        <v>0</v>
      </c>
      <c r="T494" s="1371">
        <f t="shared" si="89"/>
        <v>4620.5428154871406</v>
      </c>
      <c r="U494" s="1371">
        <f t="shared" si="83"/>
        <v>76959.850703705248</v>
      </c>
      <c r="V494" s="1373">
        <f t="shared" si="87"/>
        <v>76959.850000000006</v>
      </c>
      <c r="W494" s="960"/>
    </row>
    <row r="495" spans="1:23">
      <c r="A495" s="918">
        <v>301275</v>
      </c>
      <c r="B495" s="919" t="s">
        <v>410</v>
      </c>
      <c r="C495" s="1363">
        <f>IF('TAR_Tab 2_Volumina'!M498,1,0)</f>
        <v>1</v>
      </c>
      <c r="D495" s="1529">
        <v>106356.26937176337</v>
      </c>
      <c r="E495" s="1528">
        <f t="shared" si="79"/>
        <v>101421.33847291354</v>
      </c>
      <c r="F495" s="1528">
        <f t="shared" si="80"/>
        <v>107166.08343409556</v>
      </c>
      <c r="G495" s="1531"/>
      <c r="H495" s="1528">
        <f t="shared" si="81"/>
        <v>101807.77926239077</v>
      </c>
      <c r="I495" s="1528">
        <f t="shared" si="82"/>
        <v>112524.38760580035</v>
      </c>
      <c r="J495" s="1532">
        <f t="shared" si="84"/>
        <v>107166.08343409556</v>
      </c>
      <c r="K495" s="1369" t="b">
        <f t="shared" si="85"/>
        <v>1</v>
      </c>
      <c r="L495" s="1558"/>
      <c r="M495" s="1365"/>
      <c r="N495" s="1371">
        <f t="shared" si="88"/>
        <v>107166.08343409556</v>
      </c>
      <c r="O495" s="1375"/>
      <c r="P495" s="1371">
        <f t="shared" si="89"/>
        <v>337.0076829178293</v>
      </c>
      <c r="Q495" s="1371">
        <f t="shared" si="89"/>
        <v>267.12590915951608</v>
      </c>
      <c r="R495" s="1371">
        <f t="shared" si="89"/>
        <v>738.74480615425728</v>
      </c>
      <c r="S495" s="1371">
        <f t="shared" si="89"/>
        <v>0</v>
      </c>
      <c r="T495" s="1371">
        <f t="shared" si="89"/>
        <v>6930.8142232307127</v>
      </c>
      <c r="U495" s="1371">
        <f t="shared" si="83"/>
        <v>115439.77605555787</v>
      </c>
      <c r="V495" s="1373">
        <f t="shared" si="87"/>
        <v>115439.78</v>
      </c>
      <c r="W495" s="960"/>
    </row>
    <row r="496" spans="1:23">
      <c r="A496" s="918">
        <v>301276</v>
      </c>
      <c r="B496" s="919" t="s">
        <v>56</v>
      </c>
      <c r="C496" s="1363">
        <f>IF('TAR_Tab 2_Volumina'!M499,1,0)</f>
        <v>0</v>
      </c>
      <c r="D496" s="1527">
        <v>0</v>
      </c>
      <c r="E496" s="1528">
        <f t="shared" si="79"/>
        <v>0</v>
      </c>
      <c r="F496" s="1528">
        <f t="shared" si="80"/>
        <v>0</v>
      </c>
      <c r="G496" s="1531"/>
      <c r="H496" s="1528">
        <f t="shared" si="81"/>
        <v>0</v>
      </c>
      <c r="I496" s="1528">
        <f t="shared" si="82"/>
        <v>0</v>
      </c>
      <c r="J496" s="1532">
        <f t="shared" si="84"/>
        <v>0</v>
      </c>
      <c r="K496" s="1369" t="str">
        <f t="shared" si="85"/>
        <v/>
      </c>
      <c r="L496" s="1558"/>
      <c r="M496" s="1365"/>
      <c r="N496" s="1371">
        <f t="shared" si="88"/>
        <v>0</v>
      </c>
      <c r="O496" s="1375"/>
      <c r="P496" s="1371">
        <f t="shared" si="89"/>
        <v>0</v>
      </c>
      <c r="Q496" s="1371">
        <f t="shared" si="89"/>
        <v>0</v>
      </c>
      <c r="R496" s="1371">
        <f t="shared" si="89"/>
        <v>0</v>
      </c>
      <c r="S496" s="1371">
        <f t="shared" si="89"/>
        <v>0</v>
      </c>
      <c r="T496" s="1371">
        <f t="shared" si="89"/>
        <v>0</v>
      </c>
      <c r="U496" s="1371">
        <f t="shared" si="83"/>
        <v>0</v>
      </c>
      <c r="V496" s="1373">
        <f t="shared" si="87"/>
        <v>0</v>
      </c>
      <c r="W496" s="960"/>
    </row>
    <row r="497" spans="1:23">
      <c r="A497" s="918">
        <v>301304</v>
      </c>
      <c r="B497" s="919" t="s">
        <v>284</v>
      </c>
      <c r="C497" s="1363">
        <f>IF('TAR_Tab 2_Volumina'!M500,1,0)</f>
        <v>0</v>
      </c>
      <c r="D497" s="1527">
        <v>0</v>
      </c>
      <c r="E497" s="1528">
        <f t="shared" si="79"/>
        <v>0</v>
      </c>
      <c r="F497" s="1528">
        <f t="shared" si="80"/>
        <v>0</v>
      </c>
      <c r="G497" s="1531"/>
      <c r="H497" s="1528">
        <f t="shared" si="81"/>
        <v>0</v>
      </c>
      <c r="I497" s="1528">
        <f t="shared" si="82"/>
        <v>0</v>
      </c>
      <c r="J497" s="1532">
        <f t="shared" si="84"/>
        <v>0</v>
      </c>
      <c r="K497" s="1369" t="str">
        <f t="shared" si="85"/>
        <v/>
      </c>
      <c r="L497" s="1558"/>
      <c r="M497" s="1365"/>
      <c r="N497" s="1371">
        <f t="shared" si="88"/>
        <v>0</v>
      </c>
      <c r="O497" s="1375"/>
      <c r="P497" s="1371">
        <f t="shared" si="89"/>
        <v>0</v>
      </c>
      <c r="Q497" s="1371">
        <f t="shared" si="89"/>
        <v>0</v>
      </c>
      <c r="R497" s="1371">
        <f t="shared" si="89"/>
        <v>0</v>
      </c>
      <c r="S497" s="1371">
        <f t="shared" si="89"/>
        <v>0</v>
      </c>
      <c r="T497" s="1371">
        <f t="shared" si="89"/>
        <v>0</v>
      </c>
      <c r="U497" s="1371">
        <f t="shared" si="83"/>
        <v>0</v>
      </c>
      <c r="V497" s="1373">
        <f t="shared" si="87"/>
        <v>0</v>
      </c>
      <c r="W497" s="960"/>
    </row>
    <row r="498" spans="1:23">
      <c r="A498" s="918">
        <v>301305</v>
      </c>
      <c r="B498" s="919" t="s">
        <v>265</v>
      </c>
      <c r="C498" s="1363">
        <f>IF('TAR_Tab 2_Volumina'!M501,1,0)</f>
        <v>0</v>
      </c>
      <c r="D498" s="1527">
        <v>0</v>
      </c>
      <c r="E498" s="1528">
        <f t="shared" si="79"/>
        <v>0</v>
      </c>
      <c r="F498" s="1528">
        <f t="shared" si="80"/>
        <v>0</v>
      </c>
      <c r="G498" s="1531"/>
      <c r="H498" s="1528">
        <f t="shared" si="81"/>
        <v>0</v>
      </c>
      <c r="I498" s="1528">
        <f t="shared" si="82"/>
        <v>0</v>
      </c>
      <c r="J498" s="1532">
        <f t="shared" si="84"/>
        <v>0</v>
      </c>
      <c r="K498" s="1369" t="str">
        <f t="shared" si="85"/>
        <v/>
      </c>
      <c r="L498" s="1558"/>
      <c r="M498" s="1365"/>
      <c r="N498" s="1371">
        <f t="shared" si="88"/>
        <v>0</v>
      </c>
      <c r="O498" s="1375"/>
      <c r="P498" s="1371">
        <f t="shared" si="89"/>
        <v>0</v>
      </c>
      <c r="Q498" s="1371">
        <f t="shared" si="89"/>
        <v>0</v>
      </c>
      <c r="R498" s="1371">
        <f t="shared" si="89"/>
        <v>0</v>
      </c>
      <c r="S498" s="1371">
        <f t="shared" si="89"/>
        <v>0</v>
      </c>
      <c r="T498" s="1371">
        <f t="shared" si="89"/>
        <v>0</v>
      </c>
      <c r="U498" s="1371">
        <f t="shared" si="83"/>
        <v>0</v>
      </c>
      <c r="V498" s="1373">
        <f t="shared" si="87"/>
        <v>0</v>
      </c>
      <c r="W498" s="960"/>
    </row>
    <row r="499" spans="1:23">
      <c r="A499" s="918">
        <v>301306</v>
      </c>
      <c r="B499" s="919" t="s">
        <v>266</v>
      </c>
      <c r="C499" s="1363">
        <f>IF('TAR_Tab 2_Volumina'!M502,1,0)</f>
        <v>0</v>
      </c>
      <c r="D499" s="1527">
        <v>0</v>
      </c>
      <c r="E499" s="1528">
        <f t="shared" si="79"/>
        <v>0</v>
      </c>
      <c r="F499" s="1528">
        <f t="shared" si="80"/>
        <v>0</v>
      </c>
      <c r="G499" s="1531"/>
      <c r="H499" s="1528">
        <f t="shared" si="81"/>
        <v>0</v>
      </c>
      <c r="I499" s="1528">
        <f t="shared" si="82"/>
        <v>0</v>
      </c>
      <c r="J499" s="1532">
        <f t="shared" si="84"/>
        <v>0</v>
      </c>
      <c r="K499" s="1369" t="str">
        <f t="shared" si="85"/>
        <v/>
      </c>
      <c r="L499" s="1558"/>
      <c r="M499" s="1365"/>
      <c r="N499" s="1371">
        <f t="shared" si="88"/>
        <v>0</v>
      </c>
      <c r="O499" s="1375"/>
      <c r="P499" s="1371">
        <f t="shared" si="89"/>
        <v>0</v>
      </c>
      <c r="Q499" s="1371">
        <f t="shared" si="89"/>
        <v>0</v>
      </c>
      <c r="R499" s="1371">
        <f t="shared" si="89"/>
        <v>0</v>
      </c>
      <c r="S499" s="1371">
        <f t="shared" si="89"/>
        <v>0</v>
      </c>
      <c r="T499" s="1371">
        <f t="shared" si="89"/>
        <v>0</v>
      </c>
      <c r="U499" s="1371">
        <f t="shared" si="83"/>
        <v>0</v>
      </c>
      <c r="V499" s="1373">
        <f t="shared" si="87"/>
        <v>0</v>
      </c>
      <c r="W499" s="960"/>
    </row>
    <row r="500" spans="1:23">
      <c r="A500" s="918">
        <v>301309</v>
      </c>
      <c r="B500" s="919" t="s">
        <v>57</v>
      </c>
      <c r="C500" s="1363">
        <f>IF('TAR_Tab 2_Volumina'!M503,1,0)</f>
        <v>0</v>
      </c>
      <c r="D500" s="1527">
        <v>0</v>
      </c>
      <c r="E500" s="1528">
        <f t="shared" si="79"/>
        <v>0</v>
      </c>
      <c r="F500" s="1528">
        <f t="shared" si="80"/>
        <v>0</v>
      </c>
      <c r="G500" s="1531"/>
      <c r="H500" s="1528">
        <f t="shared" si="81"/>
        <v>0</v>
      </c>
      <c r="I500" s="1528">
        <f t="shared" si="82"/>
        <v>0</v>
      </c>
      <c r="J500" s="1532">
        <f t="shared" si="84"/>
        <v>0</v>
      </c>
      <c r="K500" s="1369" t="str">
        <f t="shared" si="85"/>
        <v/>
      </c>
      <c r="L500" s="1558"/>
      <c r="M500" s="1365"/>
      <c r="N500" s="1371">
        <f t="shared" si="88"/>
        <v>0</v>
      </c>
      <c r="O500" s="1375"/>
      <c r="P500" s="1371">
        <f t="shared" si="89"/>
        <v>0</v>
      </c>
      <c r="Q500" s="1371">
        <f t="shared" si="89"/>
        <v>0</v>
      </c>
      <c r="R500" s="1371">
        <f t="shared" si="89"/>
        <v>0</v>
      </c>
      <c r="S500" s="1371">
        <f t="shared" si="89"/>
        <v>0</v>
      </c>
      <c r="T500" s="1371">
        <f t="shared" si="89"/>
        <v>0</v>
      </c>
      <c r="U500" s="1371">
        <f t="shared" si="83"/>
        <v>0</v>
      </c>
      <c r="V500" s="1373">
        <f t="shared" si="87"/>
        <v>0</v>
      </c>
      <c r="W500" s="960"/>
    </row>
    <row r="501" spans="1:23">
      <c r="A501" s="918">
        <v>301312</v>
      </c>
      <c r="B501" s="919" t="s">
        <v>411</v>
      </c>
      <c r="C501" s="1363">
        <f>IF('TAR_Tab 2_Volumina'!M504,1,0)</f>
        <v>0</v>
      </c>
      <c r="D501" s="1527">
        <v>0</v>
      </c>
      <c r="E501" s="1528">
        <f t="shared" si="79"/>
        <v>0</v>
      </c>
      <c r="F501" s="1528">
        <f t="shared" si="80"/>
        <v>0</v>
      </c>
      <c r="G501" s="1531"/>
      <c r="H501" s="1528">
        <f t="shared" si="81"/>
        <v>0</v>
      </c>
      <c r="I501" s="1528">
        <f t="shared" si="82"/>
        <v>0</v>
      </c>
      <c r="J501" s="1532">
        <f t="shared" si="84"/>
        <v>0</v>
      </c>
      <c r="K501" s="1369" t="str">
        <f t="shared" si="85"/>
        <v/>
      </c>
      <c r="L501" s="1558"/>
      <c r="M501" s="1365"/>
      <c r="N501" s="1371">
        <f t="shared" si="88"/>
        <v>0</v>
      </c>
      <c r="O501" s="1375"/>
      <c r="P501" s="1371">
        <f t="shared" si="89"/>
        <v>0</v>
      </c>
      <c r="Q501" s="1371">
        <f t="shared" si="89"/>
        <v>0</v>
      </c>
      <c r="R501" s="1371">
        <f t="shared" si="89"/>
        <v>0</v>
      </c>
      <c r="S501" s="1371">
        <f t="shared" si="89"/>
        <v>0</v>
      </c>
      <c r="T501" s="1371">
        <f t="shared" si="89"/>
        <v>0</v>
      </c>
      <c r="U501" s="1371">
        <f t="shared" si="83"/>
        <v>0</v>
      </c>
      <c r="V501" s="1373">
        <f t="shared" si="87"/>
        <v>0</v>
      </c>
      <c r="W501" s="960"/>
    </row>
    <row r="502" spans="1:23">
      <c r="A502" s="918">
        <v>301313</v>
      </c>
      <c r="B502" s="919" t="s">
        <v>267</v>
      </c>
      <c r="C502" s="1363">
        <f>IF('TAR_Tab 2_Volumina'!M505,1,0)</f>
        <v>0</v>
      </c>
      <c r="D502" s="1527">
        <v>0</v>
      </c>
      <c r="E502" s="1528">
        <f t="shared" si="79"/>
        <v>0</v>
      </c>
      <c r="F502" s="1528">
        <f t="shared" si="80"/>
        <v>0</v>
      </c>
      <c r="G502" s="1533"/>
      <c r="H502" s="1528">
        <f t="shared" si="81"/>
        <v>0</v>
      </c>
      <c r="I502" s="1528">
        <f t="shared" si="82"/>
        <v>0</v>
      </c>
      <c r="J502" s="1532">
        <f t="shared" si="84"/>
        <v>0</v>
      </c>
      <c r="K502" s="1369" t="str">
        <f t="shared" si="85"/>
        <v/>
      </c>
      <c r="L502" s="1558"/>
      <c r="M502" s="1366"/>
      <c r="N502" s="1371">
        <f t="shared" si="88"/>
        <v>0</v>
      </c>
      <c r="O502" s="1374"/>
      <c r="P502" s="1371">
        <f t="shared" si="89"/>
        <v>0</v>
      </c>
      <c r="Q502" s="1371">
        <f t="shared" si="89"/>
        <v>0</v>
      </c>
      <c r="R502" s="1371">
        <f t="shared" si="89"/>
        <v>0</v>
      </c>
      <c r="S502" s="1371">
        <f t="shared" si="89"/>
        <v>0</v>
      </c>
      <c r="T502" s="1371">
        <f t="shared" si="89"/>
        <v>0</v>
      </c>
      <c r="U502" s="1371">
        <f t="shared" si="83"/>
        <v>0</v>
      </c>
      <c r="V502" s="1373">
        <f t="shared" si="87"/>
        <v>0</v>
      </c>
      <c r="W502" s="960"/>
    </row>
    <row r="503" spans="1:23">
      <c r="A503" s="918">
        <v>301319</v>
      </c>
      <c r="B503" s="919" t="s">
        <v>268</v>
      </c>
      <c r="C503" s="1363">
        <f>IF('TAR_Tab 2_Volumina'!M506,1,0)</f>
        <v>0</v>
      </c>
      <c r="D503" s="1527">
        <v>0</v>
      </c>
      <c r="E503" s="1528">
        <f t="shared" si="79"/>
        <v>0</v>
      </c>
      <c r="F503" s="1528">
        <f t="shared" si="80"/>
        <v>0</v>
      </c>
      <c r="G503" s="1533"/>
      <c r="H503" s="1528">
        <f t="shared" si="81"/>
        <v>0</v>
      </c>
      <c r="I503" s="1528">
        <f t="shared" si="82"/>
        <v>0</v>
      </c>
      <c r="J503" s="1532">
        <f t="shared" si="84"/>
        <v>0</v>
      </c>
      <c r="K503" s="1369" t="str">
        <f t="shared" si="85"/>
        <v/>
      </c>
      <c r="L503" s="1558"/>
      <c r="M503" s="1366"/>
      <c r="N503" s="1371">
        <f t="shared" si="88"/>
        <v>0</v>
      </c>
      <c r="O503" s="1374"/>
      <c r="P503" s="1371">
        <f t="shared" si="89"/>
        <v>0</v>
      </c>
      <c r="Q503" s="1371">
        <f t="shared" si="89"/>
        <v>0</v>
      </c>
      <c r="R503" s="1371">
        <f t="shared" si="89"/>
        <v>0</v>
      </c>
      <c r="S503" s="1371">
        <f t="shared" si="89"/>
        <v>0</v>
      </c>
      <c r="T503" s="1371">
        <f t="shared" si="89"/>
        <v>0</v>
      </c>
      <c r="U503" s="1371">
        <f t="shared" si="83"/>
        <v>0</v>
      </c>
      <c r="V503" s="1373">
        <f t="shared" si="87"/>
        <v>0</v>
      </c>
      <c r="W503" s="960"/>
    </row>
    <row r="504" spans="1:23">
      <c r="A504" s="918">
        <v>301320</v>
      </c>
      <c r="B504" s="919" t="s">
        <v>1130</v>
      </c>
      <c r="C504" s="1363">
        <f>IF('TAR_Tab 2_Volumina'!M507,1,0)</f>
        <v>0</v>
      </c>
      <c r="D504" s="1527">
        <v>0</v>
      </c>
      <c r="E504" s="1528">
        <f t="shared" si="79"/>
        <v>0</v>
      </c>
      <c r="F504" s="1528">
        <f t="shared" si="80"/>
        <v>0</v>
      </c>
      <c r="G504" s="1533"/>
      <c r="H504" s="1528">
        <f t="shared" si="81"/>
        <v>0</v>
      </c>
      <c r="I504" s="1528">
        <f t="shared" si="82"/>
        <v>0</v>
      </c>
      <c r="J504" s="1532">
        <f t="shared" si="84"/>
        <v>0</v>
      </c>
      <c r="K504" s="1369" t="str">
        <f t="shared" si="85"/>
        <v/>
      </c>
      <c r="L504" s="1558"/>
      <c r="M504" s="1366"/>
      <c r="N504" s="1371">
        <f t="shared" si="88"/>
        <v>0</v>
      </c>
      <c r="O504" s="1372"/>
      <c r="P504" s="1371">
        <f t="shared" si="89"/>
        <v>0</v>
      </c>
      <c r="Q504" s="1371">
        <f t="shared" si="89"/>
        <v>0</v>
      </c>
      <c r="R504" s="1371">
        <f t="shared" si="89"/>
        <v>0</v>
      </c>
      <c r="S504" s="1371">
        <f t="shared" si="89"/>
        <v>0</v>
      </c>
      <c r="T504" s="1371">
        <f t="shared" si="89"/>
        <v>0</v>
      </c>
      <c r="U504" s="1371">
        <f t="shared" si="83"/>
        <v>0</v>
      </c>
      <c r="V504" s="1373">
        <f t="shared" si="87"/>
        <v>0</v>
      </c>
      <c r="W504" s="960"/>
    </row>
    <row r="505" spans="1:23">
      <c r="A505" s="918">
        <v>301321</v>
      </c>
      <c r="B505" s="919" t="s">
        <v>269</v>
      </c>
      <c r="C505" s="1363">
        <f>IF('TAR_Tab 2_Volumina'!M508,1,0)</f>
        <v>0</v>
      </c>
      <c r="D505" s="1527">
        <v>0</v>
      </c>
      <c r="E505" s="1528">
        <f t="shared" si="79"/>
        <v>0</v>
      </c>
      <c r="F505" s="1528">
        <f t="shared" si="80"/>
        <v>0</v>
      </c>
      <c r="G505" s="1533"/>
      <c r="H505" s="1528">
        <f t="shared" si="81"/>
        <v>0</v>
      </c>
      <c r="I505" s="1528">
        <f t="shared" si="82"/>
        <v>0</v>
      </c>
      <c r="J505" s="1532">
        <f t="shared" si="84"/>
        <v>0</v>
      </c>
      <c r="K505" s="1369" t="str">
        <f t="shared" si="85"/>
        <v/>
      </c>
      <c r="L505" s="1558"/>
      <c r="M505" s="1366"/>
      <c r="N505" s="1371">
        <f t="shared" si="88"/>
        <v>0</v>
      </c>
      <c r="O505" s="1372"/>
      <c r="P505" s="1371">
        <f t="shared" si="89"/>
        <v>0</v>
      </c>
      <c r="Q505" s="1371">
        <f t="shared" si="89"/>
        <v>0</v>
      </c>
      <c r="R505" s="1371">
        <f t="shared" si="89"/>
        <v>0</v>
      </c>
      <c r="S505" s="1371">
        <f t="shared" si="89"/>
        <v>0</v>
      </c>
      <c r="T505" s="1371">
        <f t="shared" si="89"/>
        <v>0</v>
      </c>
      <c r="U505" s="1371">
        <f t="shared" si="83"/>
        <v>0</v>
      </c>
      <c r="V505" s="1373">
        <f t="shared" si="87"/>
        <v>0</v>
      </c>
      <c r="W505" s="960"/>
    </row>
    <row r="506" spans="1:23">
      <c r="A506" s="918">
        <v>301323</v>
      </c>
      <c r="B506" s="919" t="s">
        <v>412</v>
      </c>
      <c r="C506" s="1363">
        <f>IF('TAR_Tab 2_Volumina'!M509,1,0)</f>
        <v>1</v>
      </c>
      <c r="D506" s="1529">
        <v>177234.01452152408</v>
      </c>
      <c r="E506" s="1528">
        <f t="shared" si="79"/>
        <v>169010.35624772537</v>
      </c>
      <c r="F506" s="1528">
        <f t="shared" si="80"/>
        <v>178583.50334931878</v>
      </c>
      <c r="G506" s="1533"/>
      <c r="H506" s="1528">
        <f t="shared" si="81"/>
        <v>169654.32818185282</v>
      </c>
      <c r="I506" s="1528">
        <f t="shared" si="82"/>
        <v>187512.67851678474</v>
      </c>
      <c r="J506" s="1532">
        <f t="shared" si="84"/>
        <v>178583.50334931878</v>
      </c>
      <c r="K506" s="1369" t="b">
        <f t="shared" si="85"/>
        <v>1</v>
      </c>
      <c r="L506" s="1558"/>
      <c r="M506" s="1366"/>
      <c r="N506" s="1371">
        <f t="shared" si="88"/>
        <v>178583.50334931878</v>
      </c>
      <c r="O506" s="1372"/>
      <c r="P506" s="1371">
        <f t="shared" si="89"/>
        <v>561.59570959886742</v>
      </c>
      <c r="Q506" s="1371">
        <f t="shared" si="89"/>
        <v>445.14345550768581</v>
      </c>
      <c r="R506" s="1371">
        <f t="shared" si="89"/>
        <v>1231.0577314815544</v>
      </c>
      <c r="S506" s="1371">
        <f t="shared" si="89"/>
        <v>0</v>
      </c>
      <c r="T506" s="1371">
        <f t="shared" si="89"/>
        <v>11549.634412169224</v>
      </c>
      <c r="U506" s="1371">
        <f t="shared" si="83"/>
        <v>192370.93465807612</v>
      </c>
      <c r="V506" s="1373">
        <f t="shared" si="87"/>
        <v>192370.93</v>
      </c>
      <c r="W506" s="960"/>
    </row>
    <row r="507" spans="1:23">
      <c r="A507" s="918">
        <v>301324</v>
      </c>
      <c r="B507" s="919" t="s">
        <v>413</v>
      </c>
      <c r="C507" s="1363">
        <f>IF('TAR_Tab 2_Volumina'!M510,1,0)</f>
        <v>1</v>
      </c>
      <c r="D507" s="1529">
        <v>124063.81199697478</v>
      </c>
      <c r="E507" s="1528">
        <f t="shared" si="79"/>
        <v>118307.25112031515</v>
      </c>
      <c r="F507" s="1528">
        <f t="shared" si="80"/>
        <v>125008.45419037952</v>
      </c>
      <c r="G507" s="1533"/>
      <c r="H507" s="1528">
        <f t="shared" si="81"/>
        <v>118758.03148086053</v>
      </c>
      <c r="I507" s="1528">
        <f t="shared" si="82"/>
        <v>131258.87689989849</v>
      </c>
      <c r="J507" s="1532">
        <f t="shared" si="84"/>
        <v>125008.45419037952</v>
      </c>
      <c r="K507" s="1369" t="b">
        <f t="shared" si="85"/>
        <v>1</v>
      </c>
      <c r="L507" s="1558"/>
      <c r="M507" s="1366"/>
      <c r="N507" s="1371">
        <f t="shared" si="88"/>
        <v>125008.45419037952</v>
      </c>
      <c r="O507" s="1372"/>
      <c r="P507" s="1371">
        <f t="shared" si="89"/>
        <v>393.11700252391483</v>
      </c>
      <c r="Q507" s="1371">
        <f t="shared" si="89"/>
        <v>311.60042345642591</v>
      </c>
      <c r="R507" s="1371">
        <f t="shared" si="89"/>
        <v>861.74042476141983</v>
      </c>
      <c r="S507" s="1371">
        <f t="shared" si="89"/>
        <v>0</v>
      </c>
      <c r="T507" s="1371">
        <f t="shared" si="89"/>
        <v>8084.7442078965951</v>
      </c>
      <c r="U507" s="1371">
        <f t="shared" si="83"/>
        <v>134659.65624901786</v>
      </c>
      <c r="V507" s="1373">
        <f t="shared" si="87"/>
        <v>134659.66</v>
      </c>
      <c r="W507" s="960"/>
    </row>
    <row r="508" spans="1:23">
      <c r="A508" s="918">
        <v>301325</v>
      </c>
      <c r="B508" s="919" t="s">
        <v>414</v>
      </c>
      <c r="C508" s="1363">
        <f>IF('TAR_Tab 2_Volumina'!M511,1,0)</f>
        <v>1</v>
      </c>
      <c r="D508" s="1529">
        <v>106340.40504909857</v>
      </c>
      <c r="E508" s="1528">
        <f t="shared" si="79"/>
        <v>101406.2102548204</v>
      </c>
      <c r="F508" s="1528">
        <f t="shared" si="80"/>
        <v>107150.0983178785</v>
      </c>
      <c r="G508" s="1533"/>
      <c r="H508" s="1528">
        <f t="shared" si="81"/>
        <v>101792.59340198456</v>
      </c>
      <c r="I508" s="1528">
        <f t="shared" si="82"/>
        <v>112507.60323377243</v>
      </c>
      <c r="J508" s="1532">
        <f t="shared" si="84"/>
        <v>107150.0983178785</v>
      </c>
      <c r="K508" s="1369" t="b">
        <f t="shared" si="85"/>
        <v>1</v>
      </c>
      <c r="L508" s="1558"/>
      <c r="M508" s="1366"/>
      <c r="N508" s="1371">
        <f t="shared" si="88"/>
        <v>107150.0983178785</v>
      </c>
      <c r="O508" s="1372"/>
      <c r="P508" s="1371">
        <f t="shared" si="89"/>
        <v>336.95741414990522</v>
      </c>
      <c r="Q508" s="1371">
        <f t="shared" si="89"/>
        <v>267.08606410251974</v>
      </c>
      <c r="R508" s="1371">
        <f t="shared" si="89"/>
        <v>738.63461344026871</v>
      </c>
      <c r="S508" s="1371">
        <f t="shared" si="89"/>
        <v>0</v>
      </c>
      <c r="T508" s="1371">
        <f t="shared" si="89"/>
        <v>6929.7804085452544</v>
      </c>
      <c r="U508" s="1371">
        <f t="shared" si="83"/>
        <v>115422.55681811644</v>
      </c>
      <c r="V508" s="1373">
        <f t="shared" si="87"/>
        <v>115422.56</v>
      </c>
      <c r="W508" s="960"/>
    </row>
    <row r="509" spans="1:23">
      <c r="A509" s="918">
        <v>301326</v>
      </c>
      <c r="B509" s="919" t="s">
        <v>25</v>
      </c>
      <c r="C509" s="1363">
        <f>IF('TAR_Tab 2_Volumina'!M512,1,0)</f>
        <v>1</v>
      </c>
      <c r="D509" s="1529">
        <v>212680.81009819714</v>
      </c>
      <c r="E509" s="1528">
        <f t="shared" si="79"/>
        <v>202812.4205096408</v>
      </c>
      <c r="F509" s="1528">
        <f t="shared" si="80"/>
        <v>214300.19663575699</v>
      </c>
      <c r="G509" s="1533"/>
      <c r="H509" s="1528">
        <f t="shared" si="81"/>
        <v>203585.18680396912</v>
      </c>
      <c r="I509" s="1528">
        <f t="shared" si="82"/>
        <v>225015.20646754486</v>
      </c>
      <c r="J509" s="1532">
        <f t="shared" si="84"/>
        <v>214300.19663575699</v>
      </c>
      <c r="K509" s="1369" t="b">
        <f t="shared" si="85"/>
        <v>1</v>
      </c>
      <c r="L509" s="1558"/>
      <c r="M509" s="1366"/>
      <c r="N509" s="1371">
        <f t="shared" si="88"/>
        <v>214300.19663575699</v>
      </c>
      <c r="O509" s="1372"/>
      <c r="P509" s="1371">
        <f t="shared" si="89"/>
        <v>673.91482829981044</v>
      </c>
      <c r="Q509" s="1371">
        <f t="shared" si="89"/>
        <v>534.17212820503948</v>
      </c>
      <c r="R509" s="1371">
        <f t="shared" si="89"/>
        <v>1477.2692268805374</v>
      </c>
      <c r="S509" s="1371">
        <f t="shared" si="89"/>
        <v>0</v>
      </c>
      <c r="T509" s="1371">
        <f t="shared" si="89"/>
        <v>13859.560817090509</v>
      </c>
      <c r="U509" s="1371">
        <f t="shared" si="83"/>
        <v>230845.11363623288</v>
      </c>
      <c r="V509" s="1373">
        <f t="shared" si="87"/>
        <v>230845.11</v>
      </c>
      <c r="W509" s="960"/>
    </row>
    <row r="510" spans="1:23">
      <c r="A510" s="918">
        <v>301327</v>
      </c>
      <c r="B510" s="919" t="s">
        <v>26</v>
      </c>
      <c r="C510" s="1363">
        <f>IF('TAR_Tab 2_Volumina'!M513,1,0)</f>
        <v>1</v>
      </c>
      <c r="D510" s="1529">
        <v>53170.202524549284</v>
      </c>
      <c r="E510" s="1528">
        <f t="shared" si="79"/>
        <v>50703.105127410199</v>
      </c>
      <c r="F510" s="1528">
        <f t="shared" si="80"/>
        <v>53575.049158939248</v>
      </c>
      <c r="G510" s="1533"/>
      <c r="H510" s="1528">
        <f t="shared" si="81"/>
        <v>50896.29670099228</v>
      </c>
      <c r="I510" s="1528">
        <f t="shared" si="82"/>
        <v>56253.801616886216</v>
      </c>
      <c r="J510" s="1532">
        <f t="shared" si="84"/>
        <v>53575.049158939248</v>
      </c>
      <c r="K510" s="1369" t="b">
        <f t="shared" si="85"/>
        <v>1</v>
      </c>
      <c r="L510" s="1558"/>
      <c r="M510" s="1366"/>
      <c r="N510" s="1371">
        <f t="shared" si="88"/>
        <v>53575.049158939248</v>
      </c>
      <c r="O510" s="1372"/>
      <c r="P510" s="1371">
        <f t="shared" si="89"/>
        <v>168.47870707495261</v>
      </c>
      <c r="Q510" s="1371">
        <f t="shared" si="89"/>
        <v>133.54303205125987</v>
      </c>
      <c r="R510" s="1371">
        <f t="shared" si="89"/>
        <v>369.31730672013435</v>
      </c>
      <c r="S510" s="1371">
        <f t="shared" si="89"/>
        <v>0</v>
      </c>
      <c r="T510" s="1371">
        <f t="shared" si="89"/>
        <v>3464.8902042726272</v>
      </c>
      <c r="U510" s="1371">
        <f t="shared" si="83"/>
        <v>57711.278409058221</v>
      </c>
      <c r="V510" s="1373">
        <f t="shared" si="87"/>
        <v>57711.28</v>
      </c>
      <c r="W510" s="960"/>
    </row>
    <row r="511" spans="1:23">
      <c r="A511" s="918">
        <v>301328</v>
      </c>
      <c r="B511" s="919" t="s">
        <v>27</v>
      </c>
      <c r="C511" s="1363">
        <f>IF('TAR_Tab 2_Volumina'!M514,1,0)</f>
        <v>1</v>
      </c>
      <c r="D511" s="1529">
        <v>141787.20978531134</v>
      </c>
      <c r="E511" s="1528">
        <f t="shared" si="79"/>
        <v>135208.28325127289</v>
      </c>
      <c r="F511" s="1528">
        <f t="shared" si="80"/>
        <v>142866.80083359865</v>
      </c>
      <c r="G511" s="1533"/>
      <c r="H511" s="1528">
        <f t="shared" si="81"/>
        <v>135723.46079191871</v>
      </c>
      <c r="I511" s="1528">
        <f t="shared" si="82"/>
        <v>150010.14087527859</v>
      </c>
      <c r="J511" s="1532">
        <f t="shared" si="84"/>
        <v>142866.80083359865</v>
      </c>
      <c r="K511" s="1369" t="b">
        <f t="shared" si="85"/>
        <v>1</v>
      </c>
      <c r="L511" s="1558"/>
      <c r="M511" s="1366"/>
      <c r="N511" s="1371">
        <f t="shared" si="88"/>
        <v>142866.80083359865</v>
      </c>
      <c r="O511" s="1372"/>
      <c r="P511" s="1371">
        <f t="shared" si="89"/>
        <v>449.2765618743864</v>
      </c>
      <c r="Q511" s="1371">
        <f t="shared" si="89"/>
        <v>356.11475980510278</v>
      </c>
      <c r="R511" s="1371">
        <f t="shared" si="89"/>
        <v>984.84617246091159</v>
      </c>
      <c r="S511" s="1371">
        <f t="shared" si="89"/>
        <v>0</v>
      </c>
      <c r="T511" s="1371">
        <f t="shared" si="89"/>
        <v>9239.7074103572395</v>
      </c>
      <c r="U511" s="1371">
        <f t="shared" si="83"/>
        <v>153896.74573809627</v>
      </c>
      <c r="V511" s="1373">
        <f t="shared" si="87"/>
        <v>153896.75</v>
      </c>
      <c r="W511" s="960"/>
    </row>
    <row r="512" spans="1:23">
      <c r="A512" s="918">
        <v>301331</v>
      </c>
      <c r="B512" s="919" t="s">
        <v>270</v>
      </c>
      <c r="C512" s="1363">
        <f>IF('TAR_Tab 2_Volumina'!M515,1,0)</f>
        <v>0</v>
      </c>
      <c r="D512" s="1527">
        <v>0</v>
      </c>
      <c r="E512" s="1528">
        <f t="shared" si="79"/>
        <v>0</v>
      </c>
      <c r="F512" s="1528">
        <f t="shared" si="80"/>
        <v>0</v>
      </c>
      <c r="G512" s="1533"/>
      <c r="H512" s="1528">
        <f t="shared" si="81"/>
        <v>0</v>
      </c>
      <c r="I512" s="1528">
        <f t="shared" si="82"/>
        <v>0</v>
      </c>
      <c r="J512" s="1532">
        <f t="shared" si="84"/>
        <v>0</v>
      </c>
      <c r="K512" s="1369" t="str">
        <f t="shared" si="85"/>
        <v/>
      </c>
      <c r="L512" s="1558"/>
      <c r="M512" s="1366"/>
      <c r="N512" s="1371">
        <f t="shared" si="88"/>
        <v>0</v>
      </c>
      <c r="O512" s="1372"/>
      <c r="P512" s="1371">
        <f t="shared" si="89"/>
        <v>0</v>
      </c>
      <c r="Q512" s="1371">
        <f t="shared" si="89"/>
        <v>0</v>
      </c>
      <c r="R512" s="1371">
        <f t="shared" si="89"/>
        <v>0</v>
      </c>
      <c r="S512" s="1371">
        <f t="shared" si="89"/>
        <v>0</v>
      </c>
      <c r="T512" s="1371">
        <f t="shared" si="89"/>
        <v>0</v>
      </c>
      <c r="U512" s="1371">
        <f t="shared" si="83"/>
        <v>0</v>
      </c>
      <c r="V512" s="1373">
        <f t="shared" si="87"/>
        <v>0</v>
      </c>
      <c r="W512" s="960"/>
    </row>
    <row r="513" spans="1:23">
      <c r="A513" s="918">
        <v>301337</v>
      </c>
      <c r="B513" s="919" t="s">
        <v>795</v>
      </c>
      <c r="C513" s="1363">
        <f>IF('TAR_Tab 2_Volumina'!M516,1,0)</f>
        <v>0</v>
      </c>
      <c r="D513" s="1527">
        <v>0</v>
      </c>
      <c r="E513" s="1528">
        <f t="shared" si="79"/>
        <v>0</v>
      </c>
      <c r="F513" s="1528">
        <f t="shared" si="80"/>
        <v>0</v>
      </c>
      <c r="G513" s="1533"/>
      <c r="H513" s="1528">
        <f t="shared" si="81"/>
        <v>0</v>
      </c>
      <c r="I513" s="1528">
        <f t="shared" si="82"/>
        <v>0</v>
      </c>
      <c r="J513" s="1532">
        <f t="shared" si="84"/>
        <v>0</v>
      </c>
      <c r="K513" s="1369" t="str">
        <f t="shared" si="85"/>
        <v/>
      </c>
      <c r="L513" s="1558"/>
      <c r="M513" s="1366"/>
      <c r="N513" s="1371">
        <f t="shared" si="88"/>
        <v>0</v>
      </c>
      <c r="O513" s="1372"/>
      <c r="P513" s="1371">
        <f t="shared" si="89"/>
        <v>0</v>
      </c>
      <c r="Q513" s="1371">
        <f t="shared" si="89"/>
        <v>0</v>
      </c>
      <c r="R513" s="1371">
        <f t="shared" si="89"/>
        <v>0</v>
      </c>
      <c r="S513" s="1371">
        <f t="shared" si="89"/>
        <v>0</v>
      </c>
      <c r="T513" s="1371">
        <f t="shared" si="89"/>
        <v>0</v>
      </c>
      <c r="U513" s="1371">
        <f t="shared" si="83"/>
        <v>0</v>
      </c>
      <c r="V513" s="1373">
        <f t="shared" si="87"/>
        <v>0</v>
      </c>
      <c r="W513" s="960"/>
    </row>
    <row r="514" spans="1:23">
      <c r="A514" s="918">
        <v>301338</v>
      </c>
      <c r="B514" s="919" t="s">
        <v>271</v>
      </c>
      <c r="C514" s="1363">
        <f>IF('TAR_Tab 2_Volumina'!M517,1,0)</f>
        <v>1</v>
      </c>
      <c r="D514" s="1527">
        <v>17726.04489529389</v>
      </c>
      <c r="E514" s="1528">
        <f t="shared" si="79"/>
        <v>16903.556412152255</v>
      </c>
      <c r="F514" s="1528">
        <f t="shared" si="80"/>
        <v>17861.01390568259</v>
      </c>
      <c r="G514" s="1533"/>
      <c r="H514" s="1528">
        <f t="shared" si="81"/>
        <v>16967.963210398459</v>
      </c>
      <c r="I514" s="1528">
        <f t="shared" si="82"/>
        <v>18754.064600966722</v>
      </c>
      <c r="J514" s="1532">
        <f t="shared" si="84"/>
        <v>17861.01390568259</v>
      </c>
      <c r="K514" s="1369" t="b">
        <f t="shared" si="85"/>
        <v>1</v>
      </c>
      <c r="L514" s="1558"/>
      <c r="M514" s="1366"/>
      <c r="N514" s="1371">
        <f t="shared" si="88"/>
        <v>17861.01390568259</v>
      </c>
      <c r="O514" s="1372"/>
      <c r="P514" s="1371">
        <f t="shared" si="89"/>
        <v>56.167947152971543</v>
      </c>
      <c r="Q514" s="1371">
        <f t="shared" si="89"/>
        <v>44.520984859919338</v>
      </c>
      <c r="R514" s="1371">
        <f t="shared" si="89"/>
        <v>123.12413435904286</v>
      </c>
      <c r="S514" s="1371">
        <f t="shared" si="89"/>
        <v>0</v>
      </c>
      <c r="T514" s="1371">
        <f t="shared" si="89"/>
        <v>1155.1357038717852</v>
      </c>
      <c r="U514" s="1371">
        <f t="shared" si="83"/>
        <v>19239.962675926312</v>
      </c>
      <c r="V514" s="1373">
        <f t="shared" si="87"/>
        <v>19239.96</v>
      </c>
      <c r="W514" s="960"/>
    </row>
    <row r="515" spans="1:23">
      <c r="A515" s="918">
        <v>301343</v>
      </c>
      <c r="B515" s="919" t="s">
        <v>272</v>
      </c>
      <c r="C515" s="1363">
        <f>IF('TAR_Tab 2_Volumina'!M518,1,0)</f>
        <v>0</v>
      </c>
      <c r="D515" s="1527">
        <v>0</v>
      </c>
      <c r="E515" s="1528">
        <f t="shared" si="79"/>
        <v>0</v>
      </c>
      <c r="F515" s="1528">
        <f t="shared" si="80"/>
        <v>0</v>
      </c>
      <c r="G515" s="1533"/>
      <c r="H515" s="1528">
        <f t="shared" si="81"/>
        <v>0</v>
      </c>
      <c r="I515" s="1528">
        <f t="shared" si="82"/>
        <v>0</v>
      </c>
      <c r="J515" s="1532">
        <f t="shared" si="84"/>
        <v>0</v>
      </c>
      <c r="K515" s="1369" t="str">
        <f t="shared" si="85"/>
        <v/>
      </c>
      <c r="L515" s="1558"/>
      <c r="M515" s="1366"/>
      <c r="N515" s="1371">
        <f t="shared" si="88"/>
        <v>0</v>
      </c>
      <c r="O515" s="1372"/>
      <c r="P515" s="1371">
        <f t="shared" si="89"/>
        <v>0</v>
      </c>
      <c r="Q515" s="1371">
        <f t="shared" si="89"/>
        <v>0</v>
      </c>
      <c r="R515" s="1371">
        <f t="shared" si="89"/>
        <v>0</v>
      </c>
      <c r="S515" s="1371">
        <f t="shared" si="89"/>
        <v>0</v>
      </c>
      <c r="T515" s="1371">
        <f t="shared" si="89"/>
        <v>0</v>
      </c>
      <c r="U515" s="1371">
        <f t="shared" si="83"/>
        <v>0</v>
      </c>
      <c r="V515" s="1373">
        <f t="shared" si="87"/>
        <v>0</v>
      </c>
      <c r="W515" s="960"/>
    </row>
    <row r="516" spans="1:23">
      <c r="A516" s="918">
        <v>301344</v>
      </c>
      <c r="B516" s="919" t="s">
        <v>215</v>
      </c>
      <c r="C516" s="1363">
        <f>IF('TAR_Tab 2_Volumina'!M519,1,0)</f>
        <v>0</v>
      </c>
      <c r="D516" s="1527">
        <v>0</v>
      </c>
      <c r="E516" s="1528">
        <f t="shared" si="79"/>
        <v>0</v>
      </c>
      <c r="F516" s="1528">
        <f t="shared" si="80"/>
        <v>0</v>
      </c>
      <c r="G516" s="1533"/>
      <c r="H516" s="1528">
        <f t="shared" si="81"/>
        <v>0</v>
      </c>
      <c r="I516" s="1528">
        <f t="shared" si="82"/>
        <v>0</v>
      </c>
      <c r="J516" s="1532">
        <f t="shared" si="84"/>
        <v>0</v>
      </c>
      <c r="K516" s="1369" t="str">
        <f t="shared" si="85"/>
        <v/>
      </c>
      <c r="L516" s="1558"/>
      <c r="M516" s="1366"/>
      <c r="N516" s="1371">
        <f t="shared" si="88"/>
        <v>0</v>
      </c>
      <c r="O516" s="1372"/>
      <c r="P516" s="1371">
        <f t="shared" si="89"/>
        <v>0</v>
      </c>
      <c r="Q516" s="1371">
        <f t="shared" si="89"/>
        <v>0</v>
      </c>
      <c r="R516" s="1371">
        <f t="shared" si="89"/>
        <v>0</v>
      </c>
      <c r="S516" s="1371">
        <f t="shared" si="89"/>
        <v>0</v>
      </c>
      <c r="T516" s="1371">
        <f t="shared" si="89"/>
        <v>0</v>
      </c>
      <c r="U516" s="1371">
        <f t="shared" si="83"/>
        <v>0</v>
      </c>
      <c r="V516" s="1373">
        <f t="shared" si="87"/>
        <v>0</v>
      </c>
      <c r="W516" s="960"/>
    </row>
    <row r="517" spans="1:23">
      <c r="A517" s="918">
        <v>301348</v>
      </c>
      <c r="B517" s="919" t="s">
        <v>28</v>
      </c>
      <c r="C517" s="1363">
        <f>IF('TAR_Tab 2_Volumina'!M520,1,0)</f>
        <v>0</v>
      </c>
      <c r="D517" s="1527">
        <v>0</v>
      </c>
      <c r="E517" s="1528">
        <f t="shared" si="79"/>
        <v>0</v>
      </c>
      <c r="F517" s="1528">
        <f t="shared" si="80"/>
        <v>0</v>
      </c>
      <c r="G517" s="1533"/>
      <c r="H517" s="1528">
        <f t="shared" si="81"/>
        <v>0</v>
      </c>
      <c r="I517" s="1528">
        <f t="shared" si="82"/>
        <v>0</v>
      </c>
      <c r="J517" s="1532">
        <f t="shared" si="84"/>
        <v>0</v>
      </c>
      <c r="K517" s="1369" t="str">
        <f t="shared" si="85"/>
        <v/>
      </c>
      <c r="L517" s="1558"/>
      <c r="M517" s="1366"/>
      <c r="N517" s="1371">
        <f t="shared" si="88"/>
        <v>0</v>
      </c>
      <c r="O517" s="1372"/>
      <c r="P517" s="1371">
        <f t="shared" si="89"/>
        <v>0</v>
      </c>
      <c r="Q517" s="1371">
        <f t="shared" si="89"/>
        <v>0</v>
      </c>
      <c r="R517" s="1371">
        <f t="shared" si="89"/>
        <v>0</v>
      </c>
      <c r="S517" s="1371">
        <f t="shared" si="89"/>
        <v>0</v>
      </c>
      <c r="T517" s="1371">
        <f t="shared" si="89"/>
        <v>0</v>
      </c>
      <c r="U517" s="1371">
        <f t="shared" si="83"/>
        <v>0</v>
      </c>
      <c r="V517" s="1373">
        <f t="shared" si="87"/>
        <v>0</v>
      </c>
      <c r="W517" s="960"/>
    </row>
    <row r="518" spans="1:23">
      <c r="A518" s="918">
        <v>301354</v>
      </c>
      <c r="B518" s="919" t="s">
        <v>31</v>
      </c>
      <c r="C518" s="1363">
        <f>IF('TAR_Tab 2_Volumina'!M521,1,0)</f>
        <v>0</v>
      </c>
      <c r="D518" s="1527">
        <v>0</v>
      </c>
      <c r="E518" s="1528">
        <f t="shared" si="79"/>
        <v>0</v>
      </c>
      <c r="F518" s="1528">
        <f t="shared" si="80"/>
        <v>0</v>
      </c>
      <c r="G518" s="1533"/>
      <c r="H518" s="1528">
        <f t="shared" si="81"/>
        <v>0</v>
      </c>
      <c r="I518" s="1528">
        <f t="shared" si="82"/>
        <v>0</v>
      </c>
      <c r="J518" s="1532">
        <f t="shared" si="84"/>
        <v>0</v>
      </c>
      <c r="K518" s="1369" t="str">
        <f t="shared" si="85"/>
        <v/>
      </c>
      <c r="L518" s="1558"/>
      <c r="M518" s="1366"/>
      <c r="N518" s="1371">
        <f t="shared" si="88"/>
        <v>0</v>
      </c>
      <c r="O518" s="1372"/>
      <c r="P518" s="1371">
        <f t="shared" si="89"/>
        <v>0</v>
      </c>
      <c r="Q518" s="1371">
        <f t="shared" si="89"/>
        <v>0</v>
      </c>
      <c r="R518" s="1371">
        <f t="shared" si="89"/>
        <v>0</v>
      </c>
      <c r="S518" s="1371">
        <f t="shared" si="89"/>
        <v>0</v>
      </c>
      <c r="T518" s="1371">
        <f t="shared" si="89"/>
        <v>0</v>
      </c>
      <c r="U518" s="1371">
        <f t="shared" si="83"/>
        <v>0</v>
      </c>
      <c r="V518" s="1373">
        <f t="shared" si="87"/>
        <v>0</v>
      </c>
      <c r="W518" s="960"/>
    </row>
    <row r="519" spans="1:23">
      <c r="A519" s="918">
        <v>301355</v>
      </c>
      <c r="B519" s="919" t="s">
        <v>29</v>
      </c>
      <c r="C519" s="1363">
        <f>IF('TAR_Tab 2_Volumina'!M522,1,0)</f>
        <v>0</v>
      </c>
      <c r="D519" s="1527">
        <v>0</v>
      </c>
      <c r="E519" s="1528">
        <f t="shared" si="79"/>
        <v>0</v>
      </c>
      <c r="F519" s="1528">
        <f t="shared" si="80"/>
        <v>0</v>
      </c>
      <c r="G519" s="1533"/>
      <c r="H519" s="1528">
        <f t="shared" si="81"/>
        <v>0</v>
      </c>
      <c r="I519" s="1528">
        <f t="shared" si="82"/>
        <v>0</v>
      </c>
      <c r="J519" s="1532">
        <f t="shared" si="84"/>
        <v>0</v>
      </c>
      <c r="K519" s="1369" t="str">
        <f t="shared" si="85"/>
        <v/>
      </c>
      <c r="L519" s="1558"/>
      <c r="M519" s="1366"/>
      <c r="N519" s="1371">
        <f t="shared" si="88"/>
        <v>0</v>
      </c>
      <c r="O519" s="1372"/>
      <c r="P519" s="1371">
        <f t="shared" si="89"/>
        <v>0</v>
      </c>
      <c r="Q519" s="1371">
        <f t="shared" si="89"/>
        <v>0</v>
      </c>
      <c r="R519" s="1371">
        <f t="shared" si="89"/>
        <v>0</v>
      </c>
      <c r="S519" s="1371">
        <f t="shared" si="89"/>
        <v>0</v>
      </c>
      <c r="T519" s="1371">
        <f t="shared" si="89"/>
        <v>0</v>
      </c>
      <c r="U519" s="1371">
        <f t="shared" si="83"/>
        <v>0</v>
      </c>
      <c r="V519" s="1373">
        <f t="shared" si="87"/>
        <v>0</v>
      </c>
      <c r="W519" s="960"/>
    </row>
    <row r="520" spans="1:23">
      <c r="A520" s="918">
        <v>301356</v>
      </c>
      <c r="B520" s="919" t="s">
        <v>1131</v>
      </c>
      <c r="C520" s="1363">
        <f>IF('TAR_Tab 2_Volumina'!M523,1,0)</f>
        <v>0</v>
      </c>
      <c r="D520" s="1527">
        <v>0</v>
      </c>
      <c r="E520" s="1528">
        <f t="shared" si="79"/>
        <v>0</v>
      </c>
      <c r="F520" s="1528">
        <f t="shared" si="80"/>
        <v>0</v>
      </c>
      <c r="G520" s="1533"/>
      <c r="H520" s="1528">
        <f t="shared" si="81"/>
        <v>0</v>
      </c>
      <c r="I520" s="1528">
        <f t="shared" si="82"/>
        <v>0</v>
      </c>
      <c r="J520" s="1532">
        <f t="shared" si="84"/>
        <v>0</v>
      </c>
      <c r="K520" s="1369" t="str">
        <f t="shared" si="85"/>
        <v/>
      </c>
      <c r="L520" s="1558"/>
      <c r="M520" s="1366"/>
      <c r="N520" s="1371">
        <f t="shared" si="88"/>
        <v>0</v>
      </c>
      <c r="O520" s="1372"/>
      <c r="P520" s="1371">
        <f t="shared" si="89"/>
        <v>0</v>
      </c>
      <c r="Q520" s="1371">
        <f t="shared" si="89"/>
        <v>0</v>
      </c>
      <c r="R520" s="1371">
        <f t="shared" si="89"/>
        <v>0</v>
      </c>
      <c r="S520" s="1371">
        <f t="shared" si="89"/>
        <v>0</v>
      </c>
      <c r="T520" s="1371">
        <f t="shared" si="89"/>
        <v>0</v>
      </c>
      <c r="U520" s="1371">
        <f t="shared" si="83"/>
        <v>0</v>
      </c>
      <c r="V520" s="1373">
        <f t="shared" si="87"/>
        <v>0</v>
      </c>
      <c r="W520" s="960"/>
    </row>
    <row r="521" spans="1:23">
      <c r="A521" s="918">
        <v>301360</v>
      </c>
      <c r="B521" s="919" t="s">
        <v>212</v>
      </c>
      <c r="C521" s="1363">
        <f>IF('TAR_Tab 2_Volumina'!M524,1,0)</f>
        <v>0</v>
      </c>
      <c r="D521" s="1527">
        <v>0</v>
      </c>
      <c r="E521" s="1528">
        <f t="shared" ref="E521:E570" si="90">D521*$E$7*C521</f>
        <v>0</v>
      </c>
      <c r="F521" s="1528">
        <f t="shared" ref="F521:F570" si="91">E521*$F$7</f>
        <v>0</v>
      </c>
      <c r="G521" s="1533"/>
      <c r="H521" s="1528">
        <f t="shared" ref="H521:H570" si="92">F521*$H$7</f>
        <v>0</v>
      </c>
      <c r="I521" s="1528">
        <f t="shared" ref="I521:I570" si="93">F521*$I$7</f>
        <v>0</v>
      </c>
      <c r="J521" s="1532">
        <f t="shared" si="84"/>
        <v>0</v>
      </c>
      <c r="K521" s="1369" t="str">
        <f t="shared" si="85"/>
        <v/>
      </c>
      <c r="L521" s="1558"/>
      <c r="M521" s="1366"/>
      <c r="N521" s="1371">
        <f t="shared" si="88"/>
        <v>0</v>
      </c>
      <c r="O521" s="1372"/>
      <c r="P521" s="1371">
        <f t="shared" si="89"/>
        <v>0</v>
      </c>
      <c r="Q521" s="1371">
        <f t="shared" si="89"/>
        <v>0</v>
      </c>
      <c r="R521" s="1371">
        <f t="shared" si="89"/>
        <v>0</v>
      </c>
      <c r="S521" s="1371">
        <f t="shared" si="89"/>
        <v>0</v>
      </c>
      <c r="T521" s="1371">
        <f t="shared" si="89"/>
        <v>0</v>
      </c>
      <c r="U521" s="1371">
        <f t="shared" ref="U521:U570" si="94">N521+P521+Q521+R521+S521+T521</f>
        <v>0</v>
      </c>
      <c r="V521" s="1373">
        <f t="shared" si="87"/>
        <v>0</v>
      </c>
      <c r="W521" s="960"/>
    </row>
    <row r="522" spans="1:23">
      <c r="A522" s="918">
        <v>301361</v>
      </c>
      <c r="B522" s="919" t="s">
        <v>58</v>
      </c>
      <c r="C522" s="1363">
        <f>IF('TAR_Tab 2_Volumina'!M525,1,0)</f>
        <v>0</v>
      </c>
      <c r="D522" s="1527">
        <v>0</v>
      </c>
      <c r="E522" s="1528">
        <f t="shared" si="90"/>
        <v>0</v>
      </c>
      <c r="F522" s="1528">
        <f t="shared" si="91"/>
        <v>0</v>
      </c>
      <c r="G522" s="1533"/>
      <c r="H522" s="1528">
        <f t="shared" si="92"/>
        <v>0</v>
      </c>
      <c r="I522" s="1528">
        <f t="shared" si="93"/>
        <v>0</v>
      </c>
      <c r="J522" s="1532">
        <f t="shared" ref="J522:J570" si="95">F522</f>
        <v>0</v>
      </c>
      <c r="K522" s="1369" t="str">
        <f t="shared" ref="K522:K570" si="96">IF(J522&gt;0,AND(J522&gt;=H522,J522&lt;=I522),"")</f>
        <v/>
      </c>
      <c r="L522" s="1558"/>
      <c r="M522" s="1366"/>
      <c r="N522" s="1371">
        <f t="shared" si="88"/>
        <v>0</v>
      </c>
      <c r="O522" s="1372"/>
      <c r="P522" s="1371">
        <f t="shared" si="89"/>
        <v>0</v>
      </c>
      <c r="Q522" s="1371">
        <f t="shared" si="89"/>
        <v>0</v>
      </c>
      <c r="R522" s="1371">
        <f t="shared" si="89"/>
        <v>0</v>
      </c>
      <c r="S522" s="1371">
        <f t="shared" si="89"/>
        <v>0</v>
      </c>
      <c r="T522" s="1371">
        <f t="shared" si="89"/>
        <v>0</v>
      </c>
      <c r="U522" s="1371">
        <f t="shared" si="94"/>
        <v>0</v>
      </c>
      <c r="V522" s="1373">
        <f t="shared" si="87"/>
        <v>0</v>
      </c>
      <c r="W522" s="960"/>
    </row>
    <row r="523" spans="1:23">
      <c r="A523" s="918">
        <v>301364</v>
      </c>
      <c r="B523" s="919" t="s">
        <v>30</v>
      </c>
      <c r="C523" s="1363">
        <f>IF('TAR_Tab 2_Volumina'!M526,1,0)</f>
        <v>0</v>
      </c>
      <c r="D523" s="1527">
        <v>0</v>
      </c>
      <c r="E523" s="1528">
        <f t="shared" si="90"/>
        <v>0</v>
      </c>
      <c r="F523" s="1528">
        <f t="shared" si="91"/>
        <v>0</v>
      </c>
      <c r="G523" s="1533"/>
      <c r="H523" s="1528">
        <f t="shared" si="92"/>
        <v>0</v>
      </c>
      <c r="I523" s="1528">
        <f t="shared" si="93"/>
        <v>0</v>
      </c>
      <c r="J523" s="1532">
        <f t="shared" si="95"/>
        <v>0</v>
      </c>
      <c r="K523" s="1369" t="str">
        <f t="shared" si="96"/>
        <v/>
      </c>
      <c r="L523" s="1558"/>
      <c r="M523" s="1366"/>
      <c r="N523" s="1371">
        <f t="shared" si="88"/>
        <v>0</v>
      </c>
      <c r="O523" s="1372"/>
      <c r="P523" s="1371">
        <f t="shared" si="89"/>
        <v>0</v>
      </c>
      <c r="Q523" s="1371">
        <f t="shared" si="89"/>
        <v>0</v>
      </c>
      <c r="R523" s="1371">
        <f t="shared" si="89"/>
        <v>0</v>
      </c>
      <c r="S523" s="1371">
        <f t="shared" si="89"/>
        <v>0</v>
      </c>
      <c r="T523" s="1371">
        <f t="shared" si="89"/>
        <v>0</v>
      </c>
      <c r="U523" s="1371">
        <f t="shared" si="94"/>
        <v>0</v>
      </c>
      <c r="V523" s="1373">
        <f t="shared" si="87"/>
        <v>0</v>
      </c>
      <c r="W523" s="960"/>
    </row>
    <row r="524" spans="1:23">
      <c r="A524" s="918">
        <v>301365</v>
      </c>
      <c r="B524" s="919" t="s">
        <v>285</v>
      </c>
      <c r="C524" s="1363">
        <f>IF('TAR_Tab 2_Volumina'!M527,1,0)</f>
        <v>0</v>
      </c>
      <c r="D524" s="1527">
        <v>0</v>
      </c>
      <c r="E524" s="1528">
        <f t="shared" si="90"/>
        <v>0</v>
      </c>
      <c r="F524" s="1528">
        <f t="shared" si="91"/>
        <v>0</v>
      </c>
      <c r="G524" s="1533"/>
      <c r="H524" s="1528">
        <f t="shared" si="92"/>
        <v>0</v>
      </c>
      <c r="I524" s="1528">
        <f t="shared" si="93"/>
        <v>0</v>
      </c>
      <c r="J524" s="1532">
        <f t="shared" si="95"/>
        <v>0</v>
      </c>
      <c r="K524" s="1369" t="str">
        <f t="shared" si="96"/>
        <v/>
      </c>
      <c r="L524" s="1558"/>
      <c r="M524" s="1366"/>
      <c r="N524" s="1371">
        <f t="shared" si="88"/>
        <v>0</v>
      </c>
      <c r="O524" s="1372"/>
      <c r="P524" s="1371">
        <f t="shared" si="89"/>
        <v>0</v>
      </c>
      <c r="Q524" s="1371">
        <f t="shared" si="89"/>
        <v>0</v>
      </c>
      <c r="R524" s="1371">
        <f t="shared" si="89"/>
        <v>0</v>
      </c>
      <c r="S524" s="1371">
        <f t="shared" si="89"/>
        <v>0</v>
      </c>
      <c r="T524" s="1371">
        <f t="shared" si="89"/>
        <v>0</v>
      </c>
      <c r="U524" s="1371">
        <f t="shared" si="94"/>
        <v>0</v>
      </c>
      <c r="V524" s="1373">
        <f t="shared" si="87"/>
        <v>0</v>
      </c>
      <c r="W524" s="960"/>
    </row>
    <row r="525" spans="1:23">
      <c r="A525" s="918">
        <v>301366</v>
      </c>
      <c r="B525" s="919" t="s">
        <v>286</v>
      </c>
      <c r="C525" s="1363">
        <f>IF('TAR_Tab 2_Volumina'!M528,1,0)</f>
        <v>0</v>
      </c>
      <c r="D525" s="1527">
        <v>0</v>
      </c>
      <c r="E525" s="1528">
        <f t="shared" si="90"/>
        <v>0</v>
      </c>
      <c r="F525" s="1528">
        <f t="shared" si="91"/>
        <v>0</v>
      </c>
      <c r="G525" s="1533"/>
      <c r="H525" s="1528">
        <f t="shared" si="92"/>
        <v>0</v>
      </c>
      <c r="I525" s="1528">
        <f t="shared" si="93"/>
        <v>0</v>
      </c>
      <c r="J525" s="1532">
        <f t="shared" si="95"/>
        <v>0</v>
      </c>
      <c r="K525" s="1369" t="str">
        <f t="shared" si="96"/>
        <v/>
      </c>
      <c r="L525" s="1558"/>
      <c r="M525" s="1366"/>
      <c r="N525" s="1371">
        <f t="shared" si="88"/>
        <v>0</v>
      </c>
      <c r="O525" s="1372"/>
      <c r="P525" s="1371">
        <f t="shared" si="89"/>
        <v>0</v>
      </c>
      <c r="Q525" s="1371">
        <f t="shared" si="89"/>
        <v>0</v>
      </c>
      <c r="R525" s="1371">
        <f t="shared" si="89"/>
        <v>0</v>
      </c>
      <c r="S525" s="1371">
        <f t="shared" si="89"/>
        <v>0</v>
      </c>
      <c r="T525" s="1371">
        <f t="shared" si="89"/>
        <v>0</v>
      </c>
      <c r="U525" s="1371">
        <f t="shared" si="94"/>
        <v>0</v>
      </c>
      <c r="V525" s="1373">
        <f t="shared" si="87"/>
        <v>0</v>
      </c>
      <c r="W525" s="960"/>
    </row>
    <row r="526" spans="1:23">
      <c r="A526" s="918">
        <v>301368</v>
      </c>
      <c r="B526" s="919" t="s">
        <v>1132</v>
      </c>
      <c r="C526" s="1363">
        <f>IF('TAR_Tab 2_Volumina'!M529,1,0)</f>
        <v>0</v>
      </c>
      <c r="D526" s="1527">
        <v>0</v>
      </c>
      <c r="E526" s="1528">
        <f t="shared" si="90"/>
        <v>0</v>
      </c>
      <c r="F526" s="1528">
        <f t="shared" si="91"/>
        <v>0</v>
      </c>
      <c r="G526" s="1533"/>
      <c r="H526" s="1528">
        <f t="shared" si="92"/>
        <v>0</v>
      </c>
      <c r="I526" s="1528">
        <f t="shared" si="93"/>
        <v>0</v>
      </c>
      <c r="J526" s="1532">
        <f t="shared" si="95"/>
        <v>0</v>
      </c>
      <c r="K526" s="1369" t="str">
        <f t="shared" si="96"/>
        <v/>
      </c>
      <c r="L526" s="1558"/>
      <c r="M526" s="1366"/>
      <c r="N526" s="1371">
        <f t="shared" si="88"/>
        <v>0</v>
      </c>
      <c r="O526" s="1372"/>
      <c r="P526" s="1371">
        <f t="shared" ref="P526:T557" si="97">P$7*$N526</f>
        <v>0</v>
      </c>
      <c r="Q526" s="1371">
        <f t="shared" si="97"/>
        <v>0</v>
      </c>
      <c r="R526" s="1371">
        <f t="shared" si="97"/>
        <v>0</v>
      </c>
      <c r="S526" s="1371">
        <f t="shared" si="97"/>
        <v>0</v>
      </c>
      <c r="T526" s="1371">
        <f t="shared" si="97"/>
        <v>0</v>
      </c>
      <c r="U526" s="1371">
        <f t="shared" si="94"/>
        <v>0</v>
      </c>
      <c r="V526" s="1373">
        <f t="shared" si="87"/>
        <v>0</v>
      </c>
      <c r="W526" s="960"/>
    </row>
    <row r="527" spans="1:23">
      <c r="A527" s="918">
        <v>301369</v>
      </c>
      <c r="B527" s="919" t="s">
        <v>32</v>
      </c>
      <c r="C527" s="1363">
        <f>IF('TAR_Tab 2_Volumina'!M530,1,0)</f>
        <v>0</v>
      </c>
      <c r="D527" s="1527">
        <v>0</v>
      </c>
      <c r="E527" s="1528">
        <f t="shared" si="90"/>
        <v>0</v>
      </c>
      <c r="F527" s="1528">
        <f t="shared" si="91"/>
        <v>0</v>
      </c>
      <c r="G527" s="1533"/>
      <c r="H527" s="1528">
        <f t="shared" si="92"/>
        <v>0</v>
      </c>
      <c r="I527" s="1528">
        <f t="shared" si="93"/>
        <v>0</v>
      </c>
      <c r="J527" s="1532">
        <f t="shared" si="95"/>
        <v>0</v>
      </c>
      <c r="K527" s="1369" t="str">
        <f t="shared" si="96"/>
        <v/>
      </c>
      <c r="L527" s="1558"/>
      <c r="M527" s="1366"/>
      <c r="N527" s="1371">
        <f t="shared" si="88"/>
        <v>0</v>
      </c>
      <c r="O527" s="1372"/>
      <c r="P527" s="1371">
        <f t="shared" si="97"/>
        <v>0</v>
      </c>
      <c r="Q527" s="1371">
        <f t="shared" si="97"/>
        <v>0</v>
      </c>
      <c r="R527" s="1371">
        <f t="shared" si="97"/>
        <v>0</v>
      </c>
      <c r="S527" s="1371">
        <f t="shared" si="97"/>
        <v>0</v>
      </c>
      <c r="T527" s="1371">
        <f t="shared" si="97"/>
        <v>0</v>
      </c>
      <c r="U527" s="1371">
        <f t="shared" si="94"/>
        <v>0</v>
      </c>
      <c r="V527" s="1373">
        <f t="shared" si="87"/>
        <v>0</v>
      </c>
      <c r="W527" s="960"/>
    </row>
    <row r="528" spans="1:23">
      <c r="A528" s="918">
        <v>301374</v>
      </c>
      <c r="B528" s="919" t="s">
        <v>1133</v>
      </c>
      <c r="C528" s="1363">
        <f>IF('TAR_Tab 2_Volumina'!M531,1,0)</f>
        <v>0</v>
      </c>
      <c r="D528" s="1527">
        <v>0</v>
      </c>
      <c r="E528" s="1528">
        <f t="shared" si="90"/>
        <v>0</v>
      </c>
      <c r="F528" s="1528">
        <f t="shared" si="91"/>
        <v>0</v>
      </c>
      <c r="G528" s="1533"/>
      <c r="H528" s="1528">
        <f t="shared" si="92"/>
        <v>0</v>
      </c>
      <c r="I528" s="1528">
        <f t="shared" si="93"/>
        <v>0</v>
      </c>
      <c r="J528" s="1532">
        <f t="shared" si="95"/>
        <v>0</v>
      </c>
      <c r="K528" s="1369" t="str">
        <f t="shared" si="96"/>
        <v/>
      </c>
      <c r="L528" s="1558"/>
      <c r="M528" s="1366"/>
      <c r="N528" s="1371">
        <f t="shared" si="88"/>
        <v>0</v>
      </c>
      <c r="O528" s="1372"/>
      <c r="P528" s="1371">
        <f t="shared" si="97"/>
        <v>0</v>
      </c>
      <c r="Q528" s="1371">
        <f t="shared" si="97"/>
        <v>0</v>
      </c>
      <c r="R528" s="1371">
        <f t="shared" si="97"/>
        <v>0</v>
      </c>
      <c r="S528" s="1371">
        <f t="shared" si="97"/>
        <v>0</v>
      </c>
      <c r="T528" s="1371">
        <f t="shared" si="97"/>
        <v>0</v>
      </c>
      <c r="U528" s="1371">
        <f t="shared" si="94"/>
        <v>0</v>
      </c>
      <c r="V528" s="1373">
        <f t="shared" si="87"/>
        <v>0</v>
      </c>
      <c r="W528" s="960"/>
    </row>
    <row r="529" spans="1:23">
      <c r="A529" s="918">
        <v>301377</v>
      </c>
      <c r="B529" s="919" t="s">
        <v>216</v>
      </c>
      <c r="C529" s="1363">
        <f>IF('TAR_Tab 2_Volumina'!M532,1,0)</f>
        <v>0</v>
      </c>
      <c r="D529" s="1527">
        <v>0</v>
      </c>
      <c r="E529" s="1528">
        <f t="shared" si="90"/>
        <v>0</v>
      </c>
      <c r="F529" s="1528">
        <f t="shared" si="91"/>
        <v>0</v>
      </c>
      <c r="G529" s="1533"/>
      <c r="H529" s="1528">
        <f t="shared" si="92"/>
        <v>0</v>
      </c>
      <c r="I529" s="1528">
        <f t="shared" si="93"/>
        <v>0</v>
      </c>
      <c r="J529" s="1532">
        <f t="shared" si="95"/>
        <v>0</v>
      </c>
      <c r="K529" s="1369" t="str">
        <f t="shared" si="96"/>
        <v/>
      </c>
      <c r="L529" s="1558"/>
      <c r="M529" s="1366"/>
      <c r="N529" s="1371">
        <f t="shared" si="88"/>
        <v>0</v>
      </c>
      <c r="O529" s="1372"/>
      <c r="P529" s="1371">
        <f t="shared" si="97"/>
        <v>0</v>
      </c>
      <c r="Q529" s="1371">
        <f t="shared" si="97"/>
        <v>0</v>
      </c>
      <c r="R529" s="1371">
        <f t="shared" si="97"/>
        <v>0</v>
      </c>
      <c r="S529" s="1371">
        <f t="shared" si="97"/>
        <v>0</v>
      </c>
      <c r="T529" s="1371">
        <f t="shared" si="97"/>
        <v>0</v>
      </c>
      <c r="U529" s="1371">
        <f t="shared" si="94"/>
        <v>0</v>
      </c>
      <c r="V529" s="1373">
        <f t="shared" si="87"/>
        <v>0</v>
      </c>
      <c r="W529" s="960"/>
    </row>
    <row r="530" spans="1:23">
      <c r="A530" s="918">
        <v>301385</v>
      </c>
      <c r="B530" s="919" t="s">
        <v>1134</v>
      </c>
      <c r="C530" s="1363">
        <f>IF('TAR_Tab 2_Volumina'!M533,1,0)</f>
        <v>1</v>
      </c>
      <c r="D530" s="1529">
        <v>35452.089790587779</v>
      </c>
      <c r="E530" s="1528">
        <f t="shared" si="90"/>
        <v>33807.11282430451</v>
      </c>
      <c r="F530" s="1528">
        <f t="shared" si="91"/>
        <v>35722.02781136518</v>
      </c>
      <c r="G530" s="1533"/>
      <c r="H530" s="1528">
        <f t="shared" si="92"/>
        <v>33935.926420796917</v>
      </c>
      <c r="I530" s="1528">
        <f t="shared" si="93"/>
        <v>37508.129201933443</v>
      </c>
      <c r="J530" s="1532">
        <f t="shared" si="95"/>
        <v>35722.02781136518</v>
      </c>
      <c r="K530" s="1369" t="b">
        <f t="shared" si="96"/>
        <v>1</v>
      </c>
      <c r="L530" s="1558"/>
      <c r="M530" s="1366"/>
      <c r="N530" s="1371">
        <f t="shared" si="88"/>
        <v>35722.02781136518</v>
      </c>
      <c r="O530" s="1372"/>
      <c r="P530" s="1371">
        <f t="shared" si="97"/>
        <v>112.33589430594309</v>
      </c>
      <c r="Q530" s="1371">
        <f t="shared" si="97"/>
        <v>89.041969719838676</v>
      </c>
      <c r="R530" s="1371">
        <f t="shared" si="97"/>
        <v>246.24826871808571</v>
      </c>
      <c r="S530" s="1371">
        <f t="shared" si="97"/>
        <v>0</v>
      </c>
      <c r="T530" s="1371">
        <f t="shared" si="97"/>
        <v>2310.2714077435703</v>
      </c>
      <c r="U530" s="1371">
        <f t="shared" si="94"/>
        <v>38479.925351852624</v>
      </c>
      <c r="V530" s="1373">
        <f t="shared" si="87"/>
        <v>38479.93</v>
      </c>
      <c r="W530" s="960"/>
    </row>
    <row r="531" spans="1:23">
      <c r="A531" s="918">
        <v>301389</v>
      </c>
      <c r="B531" s="919" t="s">
        <v>1135</v>
      </c>
      <c r="C531" s="1363">
        <f>IF('TAR_Tab 2_Volumina'!M534,1,0)</f>
        <v>0</v>
      </c>
      <c r="D531" s="1527">
        <v>0</v>
      </c>
      <c r="E531" s="1528">
        <f t="shared" si="90"/>
        <v>0</v>
      </c>
      <c r="F531" s="1528">
        <f t="shared" si="91"/>
        <v>0</v>
      </c>
      <c r="G531" s="1533"/>
      <c r="H531" s="1528">
        <f t="shared" si="92"/>
        <v>0</v>
      </c>
      <c r="I531" s="1528">
        <f t="shared" si="93"/>
        <v>0</v>
      </c>
      <c r="J531" s="1532">
        <f t="shared" si="95"/>
        <v>0</v>
      </c>
      <c r="K531" s="1369" t="str">
        <f t="shared" si="96"/>
        <v/>
      </c>
      <c r="L531" s="1558"/>
      <c r="M531" s="1366"/>
      <c r="N531" s="1371">
        <f t="shared" si="88"/>
        <v>0</v>
      </c>
      <c r="O531" s="1372"/>
      <c r="P531" s="1371">
        <f t="shared" si="97"/>
        <v>0</v>
      </c>
      <c r="Q531" s="1371">
        <f t="shared" si="97"/>
        <v>0</v>
      </c>
      <c r="R531" s="1371">
        <f t="shared" si="97"/>
        <v>0</v>
      </c>
      <c r="S531" s="1371">
        <f t="shared" si="97"/>
        <v>0</v>
      </c>
      <c r="T531" s="1371">
        <f t="shared" si="97"/>
        <v>0</v>
      </c>
      <c r="U531" s="1371">
        <f t="shared" si="94"/>
        <v>0</v>
      </c>
      <c r="V531" s="1373">
        <f t="shared" si="87"/>
        <v>0</v>
      </c>
      <c r="W531" s="960"/>
    </row>
    <row r="532" spans="1:23">
      <c r="A532" s="918">
        <v>301390</v>
      </c>
      <c r="B532" s="919" t="s">
        <v>1136</v>
      </c>
      <c r="C532" s="1363">
        <f>IF('TAR_Tab 2_Volumina'!M535,1,0)</f>
        <v>0</v>
      </c>
      <c r="D532" s="1527">
        <v>0</v>
      </c>
      <c r="E532" s="1528">
        <f t="shared" si="90"/>
        <v>0</v>
      </c>
      <c r="F532" s="1528">
        <f t="shared" si="91"/>
        <v>0</v>
      </c>
      <c r="G532" s="1533"/>
      <c r="H532" s="1528">
        <f t="shared" si="92"/>
        <v>0</v>
      </c>
      <c r="I532" s="1528">
        <f t="shared" si="93"/>
        <v>0</v>
      </c>
      <c r="J532" s="1532">
        <f t="shared" si="95"/>
        <v>0</v>
      </c>
      <c r="K532" s="1369" t="str">
        <f t="shared" si="96"/>
        <v/>
      </c>
      <c r="L532" s="1558"/>
      <c r="M532" s="1366"/>
      <c r="N532" s="1371">
        <f t="shared" si="88"/>
        <v>0</v>
      </c>
      <c r="O532" s="1372"/>
      <c r="P532" s="1371">
        <f t="shared" si="97"/>
        <v>0</v>
      </c>
      <c r="Q532" s="1371">
        <f t="shared" si="97"/>
        <v>0</v>
      </c>
      <c r="R532" s="1371">
        <f t="shared" si="97"/>
        <v>0</v>
      </c>
      <c r="S532" s="1371">
        <f t="shared" si="97"/>
        <v>0</v>
      </c>
      <c r="T532" s="1371">
        <f t="shared" si="97"/>
        <v>0</v>
      </c>
      <c r="U532" s="1371">
        <f t="shared" si="94"/>
        <v>0</v>
      </c>
      <c r="V532" s="1373">
        <f t="shared" si="87"/>
        <v>0</v>
      </c>
      <c r="W532" s="960"/>
    </row>
    <row r="533" spans="1:23">
      <c r="A533" s="918">
        <v>301391</v>
      </c>
      <c r="B533" s="919" t="s">
        <v>798</v>
      </c>
      <c r="C533" s="1363">
        <f>IF('TAR_Tab 2_Volumina'!M536,1,0)</f>
        <v>0</v>
      </c>
      <c r="D533" s="1527">
        <v>0</v>
      </c>
      <c r="E533" s="1528">
        <f t="shared" si="90"/>
        <v>0</v>
      </c>
      <c r="F533" s="1528">
        <f t="shared" si="91"/>
        <v>0</v>
      </c>
      <c r="G533" s="1533"/>
      <c r="H533" s="1528">
        <f t="shared" si="92"/>
        <v>0</v>
      </c>
      <c r="I533" s="1528">
        <f t="shared" si="93"/>
        <v>0</v>
      </c>
      <c r="J533" s="1532">
        <f t="shared" si="95"/>
        <v>0</v>
      </c>
      <c r="K533" s="1369" t="str">
        <f t="shared" si="96"/>
        <v/>
      </c>
      <c r="L533" s="1558"/>
      <c r="M533" s="1366"/>
      <c r="N533" s="1371">
        <f t="shared" si="88"/>
        <v>0</v>
      </c>
      <c r="O533" s="1372"/>
      <c r="P533" s="1371">
        <f t="shared" si="97"/>
        <v>0</v>
      </c>
      <c r="Q533" s="1371">
        <f t="shared" si="97"/>
        <v>0</v>
      </c>
      <c r="R533" s="1371">
        <f t="shared" si="97"/>
        <v>0</v>
      </c>
      <c r="S533" s="1371">
        <f t="shared" si="97"/>
        <v>0</v>
      </c>
      <c r="T533" s="1371">
        <f t="shared" si="97"/>
        <v>0</v>
      </c>
      <c r="U533" s="1371">
        <f t="shared" si="94"/>
        <v>0</v>
      </c>
      <c r="V533" s="1373">
        <f t="shared" si="87"/>
        <v>0</v>
      </c>
      <c r="W533" s="960"/>
    </row>
    <row r="534" spans="1:23">
      <c r="A534" s="918">
        <v>301395</v>
      </c>
      <c r="B534" s="919" t="s">
        <v>5</v>
      </c>
      <c r="C534" s="1363">
        <f>IF('TAR_Tab 2_Volumina'!M537,1,0)</f>
        <v>0</v>
      </c>
      <c r="D534" s="1527">
        <v>0</v>
      </c>
      <c r="E534" s="1528">
        <f t="shared" si="90"/>
        <v>0</v>
      </c>
      <c r="F534" s="1528">
        <f t="shared" si="91"/>
        <v>0</v>
      </c>
      <c r="G534" s="1533"/>
      <c r="H534" s="1528">
        <f t="shared" si="92"/>
        <v>0</v>
      </c>
      <c r="I534" s="1528">
        <f t="shared" si="93"/>
        <v>0</v>
      </c>
      <c r="J534" s="1532">
        <f t="shared" si="95"/>
        <v>0</v>
      </c>
      <c r="K534" s="1369" t="str">
        <f t="shared" si="96"/>
        <v/>
      </c>
      <c r="L534" s="1558"/>
      <c r="M534" s="1366"/>
      <c r="N534" s="1371">
        <f t="shared" si="88"/>
        <v>0</v>
      </c>
      <c r="O534" s="1372"/>
      <c r="P534" s="1371">
        <f t="shared" si="97"/>
        <v>0</v>
      </c>
      <c r="Q534" s="1371">
        <f t="shared" si="97"/>
        <v>0</v>
      </c>
      <c r="R534" s="1371">
        <f t="shared" si="97"/>
        <v>0</v>
      </c>
      <c r="S534" s="1371">
        <f t="shared" si="97"/>
        <v>0</v>
      </c>
      <c r="T534" s="1371">
        <f t="shared" si="97"/>
        <v>0</v>
      </c>
      <c r="U534" s="1371">
        <f t="shared" si="94"/>
        <v>0</v>
      </c>
      <c r="V534" s="1373">
        <f t="shared" si="87"/>
        <v>0</v>
      </c>
      <c r="W534" s="960"/>
    </row>
    <row r="535" spans="1:23">
      <c r="A535" s="918">
        <v>301396</v>
      </c>
      <c r="B535" s="919" t="s">
        <v>217</v>
      </c>
      <c r="C535" s="1363">
        <f>IF('TAR_Tab 2_Volumina'!M538,1,0)</f>
        <v>0</v>
      </c>
      <c r="D535" s="1527">
        <v>0</v>
      </c>
      <c r="E535" s="1528">
        <f t="shared" si="90"/>
        <v>0</v>
      </c>
      <c r="F535" s="1528">
        <f t="shared" si="91"/>
        <v>0</v>
      </c>
      <c r="G535" s="1533"/>
      <c r="H535" s="1528">
        <f t="shared" si="92"/>
        <v>0</v>
      </c>
      <c r="I535" s="1528">
        <f t="shared" si="93"/>
        <v>0</v>
      </c>
      <c r="J535" s="1532">
        <f t="shared" si="95"/>
        <v>0</v>
      </c>
      <c r="K535" s="1369" t="str">
        <f t="shared" si="96"/>
        <v/>
      </c>
      <c r="L535" s="1558"/>
      <c r="M535" s="1366"/>
      <c r="N535" s="1371">
        <f t="shared" si="88"/>
        <v>0</v>
      </c>
      <c r="O535" s="1372"/>
      <c r="P535" s="1371">
        <f t="shared" si="97"/>
        <v>0</v>
      </c>
      <c r="Q535" s="1371">
        <f t="shared" si="97"/>
        <v>0</v>
      </c>
      <c r="R535" s="1371">
        <f t="shared" si="97"/>
        <v>0</v>
      </c>
      <c r="S535" s="1371">
        <f t="shared" si="97"/>
        <v>0</v>
      </c>
      <c r="T535" s="1371">
        <f t="shared" si="97"/>
        <v>0</v>
      </c>
      <c r="U535" s="1371">
        <f t="shared" si="94"/>
        <v>0</v>
      </c>
      <c r="V535" s="1373">
        <f t="shared" si="87"/>
        <v>0</v>
      </c>
      <c r="W535" s="960"/>
    </row>
    <row r="536" spans="1:23">
      <c r="A536" s="918">
        <v>301397</v>
      </c>
      <c r="B536" s="919" t="s">
        <v>213</v>
      </c>
      <c r="C536" s="1363">
        <f>IF('TAR_Tab 2_Volumina'!M539,1,0)</f>
        <v>0</v>
      </c>
      <c r="D536" s="1527">
        <v>0</v>
      </c>
      <c r="E536" s="1528">
        <f t="shared" si="90"/>
        <v>0</v>
      </c>
      <c r="F536" s="1528">
        <f t="shared" si="91"/>
        <v>0</v>
      </c>
      <c r="G536" s="1533"/>
      <c r="H536" s="1528">
        <f t="shared" si="92"/>
        <v>0</v>
      </c>
      <c r="I536" s="1528">
        <f t="shared" si="93"/>
        <v>0</v>
      </c>
      <c r="J536" s="1532">
        <f t="shared" si="95"/>
        <v>0</v>
      </c>
      <c r="K536" s="1369" t="str">
        <f t="shared" si="96"/>
        <v/>
      </c>
      <c r="L536" s="1558"/>
      <c r="M536" s="1366"/>
      <c r="N536" s="1371">
        <f t="shared" si="88"/>
        <v>0</v>
      </c>
      <c r="O536" s="1372"/>
      <c r="P536" s="1371">
        <f t="shared" si="97"/>
        <v>0</v>
      </c>
      <c r="Q536" s="1371">
        <f t="shared" si="97"/>
        <v>0</v>
      </c>
      <c r="R536" s="1371">
        <f t="shared" si="97"/>
        <v>0</v>
      </c>
      <c r="S536" s="1371">
        <f t="shared" si="97"/>
        <v>0</v>
      </c>
      <c r="T536" s="1371">
        <f t="shared" si="97"/>
        <v>0</v>
      </c>
      <c r="U536" s="1371">
        <f t="shared" si="94"/>
        <v>0</v>
      </c>
      <c r="V536" s="1373">
        <f t="shared" si="87"/>
        <v>0</v>
      </c>
      <c r="W536" s="960"/>
    </row>
    <row r="537" spans="1:23">
      <c r="A537" s="918">
        <v>301400</v>
      </c>
      <c r="B537" s="919" t="s">
        <v>214</v>
      </c>
      <c r="C537" s="1363">
        <f>IF('TAR_Tab 2_Volumina'!M540,1,0)</f>
        <v>0</v>
      </c>
      <c r="D537" s="1527">
        <v>0</v>
      </c>
      <c r="E537" s="1528">
        <f t="shared" si="90"/>
        <v>0</v>
      </c>
      <c r="F537" s="1528">
        <f t="shared" si="91"/>
        <v>0</v>
      </c>
      <c r="G537" s="1533"/>
      <c r="H537" s="1528">
        <f t="shared" si="92"/>
        <v>0</v>
      </c>
      <c r="I537" s="1528">
        <f t="shared" si="93"/>
        <v>0</v>
      </c>
      <c r="J537" s="1532">
        <f t="shared" si="95"/>
        <v>0</v>
      </c>
      <c r="K537" s="1369" t="str">
        <f t="shared" si="96"/>
        <v/>
      </c>
      <c r="L537" s="1558"/>
      <c r="M537" s="1366"/>
      <c r="N537" s="1371">
        <f t="shared" si="88"/>
        <v>0</v>
      </c>
      <c r="O537" s="1372"/>
      <c r="P537" s="1371">
        <f t="shared" si="97"/>
        <v>0</v>
      </c>
      <c r="Q537" s="1371">
        <f t="shared" si="97"/>
        <v>0</v>
      </c>
      <c r="R537" s="1371">
        <f t="shared" si="97"/>
        <v>0</v>
      </c>
      <c r="S537" s="1371">
        <f t="shared" si="97"/>
        <v>0</v>
      </c>
      <c r="T537" s="1371">
        <f t="shared" si="97"/>
        <v>0</v>
      </c>
      <c r="U537" s="1371">
        <f t="shared" si="94"/>
        <v>0</v>
      </c>
      <c r="V537" s="1373">
        <f t="shared" si="87"/>
        <v>0</v>
      </c>
      <c r="W537" s="960"/>
    </row>
    <row r="538" spans="1:23">
      <c r="A538" s="918">
        <v>301401</v>
      </c>
      <c r="B538" s="919" t="s">
        <v>627</v>
      </c>
      <c r="C538" s="1363">
        <f>IF('TAR_Tab 2_Volumina'!M541,1,0)</f>
        <v>0</v>
      </c>
      <c r="D538" s="1527">
        <v>0</v>
      </c>
      <c r="E538" s="1528">
        <f t="shared" si="90"/>
        <v>0</v>
      </c>
      <c r="F538" s="1528">
        <f t="shared" si="91"/>
        <v>0</v>
      </c>
      <c r="G538" s="1533"/>
      <c r="H538" s="1528">
        <f t="shared" si="92"/>
        <v>0</v>
      </c>
      <c r="I538" s="1528">
        <f t="shared" si="93"/>
        <v>0</v>
      </c>
      <c r="J538" s="1532">
        <f t="shared" si="95"/>
        <v>0</v>
      </c>
      <c r="K538" s="1369" t="str">
        <f t="shared" si="96"/>
        <v/>
      </c>
      <c r="L538" s="1558"/>
      <c r="M538" s="1366"/>
      <c r="N538" s="1371">
        <f t="shared" si="88"/>
        <v>0</v>
      </c>
      <c r="O538" s="1372"/>
      <c r="P538" s="1371">
        <f t="shared" si="97"/>
        <v>0</v>
      </c>
      <c r="Q538" s="1371">
        <f t="shared" si="97"/>
        <v>0</v>
      </c>
      <c r="R538" s="1371">
        <f t="shared" si="97"/>
        <v>0</v>
      </c>
      <c r="S538" s="1371">
        <f t="shared" si="97"/>
        <v>0</v>
      </c>
      <c r="T538" s="1371">
        <f t="shared" si="97"/>
        <v>0</v>
      </c>
      <c r="U538" s="1371">
        <f t="shared" si="94"/>
        <v>0</v>
      </c>
      <c r="V538" s="1373">
        <f t="shared" si="87"/>
        <v>0</v>
      </c>
      <c r="W538" s="960"/>
    </row>
    <row r="539" spans="1:23">
      <c r="A539" s="918">
        <v>301418</v>
      </c>
      <c r="B539" s="919" t="s">
        <v>218</v>
      </c>
      <c r="C539" s="1363">
        <f>IF('TAR_Tab 2_Volumina'!M542,1,0)</f>
        <v>1</v>
      </c>
      <c r="D539" s="1527">
        <v>17726.04489529389</v>
      </c>
      <c r="E539" s="1528">
        <f t="shared" si="90"/>
        <v>16903.556412152255</v>
      </c>
      <c r="F539" s="1528">
        <f t="shared" si="91"/>
        <v>17861.01390568259</v>
      </c>
      <c r="G539" s="1533"/>
      <c r="H539" s="1528">
        <f t="shared" si="92"/>
        <v>16967.963210398459</v>
      </c>
      <c r="I539" s="1528">
        <f t="shared" si="93"/>
        <v>18754.064600966722</v>
      </c>
      <c r="J539" s="1532">
        <f t="shared" si="95"/>
        <v>17861.01390568259</v>
      </c>
      <c r="K539" s="1369" t="b">
        <f t="shared" si="96"/>
        <v>1</v>
      </c>
      <c r="L539" s="1558"/>
      <c r="M539" s="1366"/>
      <c r="N539" s="1371">
        <f t="shared" si="88"/>
        <v>17861.01390568259</v>
      </c>
      <c r="O539" s="1372"/>
      <c r="P539" s="1371">
        <f t="shared" si="97"/>
        <v>56.167947152971543</v>
      </c>
      <c r="Q539" s="1371">
        <f t="shared" si="97"/>
        <v>44.520984859919338</v>
      </c>
      <c r="R539" s="1371">
        <f t="shared" si="97"/>
        <v>123.12413435904286</v>
      </c>
      <c r="S539" s="1371">
        <f t="shared" si="97"/>
        <v>0</v>
      </c>
      <c r="T539" s="1371">
        <f t="shared" si="97"/>
        <v>1155.1357038717852</v>
      </c>
      <c r="U539" s="1371">
        <f t="shared" si="94"/>
        <v>19239.962675926312</v>
      </c>
      <c r="V539" s="1373">
        <f t="shared" si="87"/>
        <v>19239.96</v>
      </c>
      <c r="W539" s="960"/>
    </row>
    <row r="540" spans="1:23">
      <c r="A540" s="918">
        <v>301419</v>
      </c>
      <c r="B540" s="919" t="s">
        <v>257</v>
      </c>
      <c r="C540" s="1363">
        <f>IF('TAR_Tab 2_Volumina'!M543,1,0)</f>
        <v>1</v>
      </c>
      <c r="D540" s="1527">
        <v>17726.04489529389</v>
      </c>
      <c r="E540" s="1528">
        <f t="shared" si="90"/>
        <v>16903.556412152255</v>
      </c>
      <c r="F540" s="1528">
        <f t="shared" si="91"/>
        <v>17861.01390568259</v>
      </c>
      <c r="G540" s="1533"/>
      <c r="H540" s="1528">
        <f t="shared" si="92"/>
        <v>16967.963210398459</v>
      </c>
      <c r="I540" s="1528">
        <f t="shared" si="93"/>
        <v>18754.064600966722</v>
      </c>
      <c r="J540" s="1532">
        <f t="shared" si="95"/>
        <v>17861.01390568259</v>
      </c>
      <c r="K540" s="1369" t="b">
        <f t="shared" si="96"/>
        <v>1</v>
      </c>
      <c r="L540" s="1558"/>
      <c r="M540" s="1366"/>
      <c r="N540" s="1371">
        <f t="shared" si="88"/>
        <v>17861.01390568259</v>
      </c>
      <c r="O540" s="1372"/>
      <c r="P540" s="1371">
        <f t="shared" si="97"/>
        <v>56.167947152971543</v>
      </c>
      <c r="Q540" s="1371">
        <f t="shared" si="97"/>
        <v>44.520984859919338</v>
      </c>
      <c r="R540" s="1371">
        <f t="shared" si="97"/>
        <v>123.12413435904286</v>
      </c>
      <c r="S540" s="1371">
        <f t="shared" si="97"/>
        <v>0</v>
      </c>
      <c r="T540" s="1371">
        <f t="shared" si="97"/>
        <v>1155.1357038717852</v>
      </c>
      <c r="U540" s="1371">
        <f t="shared" si="94"/>
        <v>19239.962675926312</v>
      </c>
      <c r="V540" s="1373">
        <f t="shared" si="87"/>
        <v>19239.96</v>
      </c>
      <c r="W540" s="960"/>
    </row>
    <row r="541" spans="1:23">
      <c r="A541" s="918">
        <v>301420</v>
      </c>
      <c r="B541" s="919" t="s">
        <v>219</v>
      </c>
      <c r="C541" s="1363">
        <f>IF('TAR_Tab 2_Volumina'!M544,1,0)</f>
        <v>1</v>
      </c>
      <c r="D541" s="1527">
        <v>17726.04489529389</v>
      </c>
      <c r="E541" s="1528">
        <f t="shared" si="90"/>
        <v>16903.556412152255</v>
      </c>
      <c r="F541" s="1528">
        <f t="shared" si="91"/>
        <v>17861.01390568259</v>
      </c>
      <c r="G541" s="1533"/>
      <c r="H541" s="1528">
        <f t="shared" si="92"/>
        <v>16967.963210398459</v>
      </c>
      <c r="I541" s="1528">
        <f t="shared" si="93"/>
        <v>18754.064600966722</v>
      </c>
      <c r="J541" s="1532">
        <f t="shared" si="95"/>
        <v>17861.01390568259</v>
      </c>
      <c r="K541" s="1369" t="b">
        <f t="shared" si="96"/>
        <v>1</v>
      </c>
      <c r="L541" s="1558"/>
      <c r="M541" s="1366"/>
      <c r="N541" s="1371">
        <f t="shared" si="88"/>
        <v>17861.01390568259</v>
      </c>
      <c r="O541" s="1372"/>
      <c r="P541" s="1371">
        <f t="shared" si="97"/>
        <v>56.167947152971543</v>
      </c>
      <c r="Q541" s="1371">
        <f t="shared" si="97"/>
        <v>44.520984859919338</v>
      </c>
      <c r="R541" s="1371">
        <f t="shared" si="97"/>
        <v>123.12413435904286</v>
      </c>
      <c r="S541" s="1371">
        <f t="shared" si="97"/>
        <v>0</v>
      </c>
      <c r="T541" s="1371">
        <f t="shared" si="97"/>
        <v>1155.1357038717852</v>
      </c>
      <c r="U541" s="1371">
        <f t="shared" si="94"/>
        <v>19239.962675926312</v>
      </c>
      <c r="V541" s="1373">
        <f t="shared" si="87"/>
        <v>19239.96</v>
      </c>
      <c r="W541" s="960"/>
    </row>
    <row r="542" spans="1:23">
      <c r="A542" s="918">
        <v>301421</v>
      </c>
      <c r="B542" s="919" t="s">
        <v>220</v>
      </c>
      <c r="C542" s="1363">
        <f>IF('TAR_Tab 2_Volumina'!M545,1,0)</f>
        <v>1</v>
      </c>
      <c r="D542" s="1529">
        <v>53178.134685881683</v>
      </c>
      <c r="E542" s="1528">
        <f t="shared" si="90"/>
        <v>50710.669236456772</v>
      </c>
      <c r="F542" s="1528">
        <f t="shared" si="91"/>
        <v>53583.041717047781</v>
      </c>
      <c r="G542" s="1533"/>
      <c r="H542" s="1528">
        <f t="shared" si="92"/>
        <v>50903.889631195387</v>
      </c>
      <c r="I542" s="1528">
        <f t="shared" si="93"/>
        <v>56262.193802900176</v>
      </c>
      <c r="J542" s="1532">
        <f t="shared" si="95"/>
        <v>53583.041717047781</v>
      </c>
      <c r="K542" s="1369" t="b">
        <f t="shared" si="96"/>
        <v>1</v>
      </c>
      <c r="L542" s="1558"/>
      <c r="M542" s="1366"/>
      <c r="N542" s="1371">
        <f t="shared" si="88"/>
        <v>53583.041717047781</v>
      </c>
      <c r="O542" s="1372"/>
      <c r="P542" s="1371">
        <f t="shared" si="97"/>
        <v>168.50384145891465</v>
      </c>
      <c r="Q542" s="1371">
        <f t="shared" si="97"/>
        <v>133.56295457975804</v>
      </c>
      <c r="R542" s="1371">
        <f t="shared" si="97"/>
        <v>369.37240307712864</v>
      </c>
      <c r="S542" s="1371">
        <f t="shared" si="97"/>
        <v>0</v>
      </c>
      <c r="T542" s="1371">
        <f t="shared" si="97"/>
        <v>3465.4071116153564</v>
      </c>
      <c r="U542" s="1371">
        <f t="shared" si="94"/>
        <v>57719.888027778936</v>
      </c>
      <c r="V542" s="1373">
        <f t="shared" si="87"/>
        <v>57719.89</v>
      </c>
      <c r="W542" s="960"/>
    </row>
    <row r="543" spans="1:23">
      <c r="A543" s="918">
        <v>301427</v>
      </c>
      <c r="B543" s="919" t="s">
        <v>221</v>
      </c>
      <c r="C543" s="1363">
        <f>IF('TAR_Tab 2_Volumina'!M546,1,0)</f>
        <v>0</v>
      </c>
      <c r="D543" s="1527">
        <v>0</v>
      </c>
      <c r="E543" s="1528">
        <f t="shared" si="90"/>
        <v>0</v>
      </c>
      <c r="F543" s="1528">
        <f t="shared" si="91"/>
        <v>0</v>
      </c>
      <c r="G543" s="1533"/>
      <c r="H543" s="1528">
        <f t="shared" si="92"/>
        <v>0</v>
      </c>
      <c r="I543" s="1528">
        <f t="shared" si="93"/>
        <v>0</v>
      </c>
      <c r="J543" s="1532">
        <f t="shared" si="95"/>
        <v>0</v>
      </c>
      <c r="K543" s="1369" t="str">
        <f t="shared" si="96"/>
        <v/>
      </c>
      <c r="L543" s="1558"/>
      <c r="M543" s="1366"/>
      <c r="N543" s="1371">
        <f t="shared" si="88"/>
        <v>0</v>
      </c>
      <c r="O543" s="1372"/>
      <c r="P543" s="1371">
        <f t="shared" si="97"/>
        <v>0</v>
      </c>
      <c r="Q543" s="1371">
        <f t="shared" si="97"/>
        <v>0</v>
      </c>
      <c r="R543" s="1371">
        <f t="shared" si="97"/>
        <v>0</v>
      </c>
      <c r="S543" s="1371">
        <f t="shared" si="97"/>
        <v>0</v>
      </c>
      <c r="T543" s="1371">
        <f t="shared" si="97"/>
        <v>0</v>
      </c>
      <c r="U543" s="1371">
        <f t="shared" si="94"/>
        <v>0</v>
      </c>
      <c r="V543" s="1373">
        <f t="shared" si="87"/>
        <v>0</v>
      </c>
      <c r="W543" s="960"/>
    </row>
    <row r="544" spans="1:23">
      <c r="A544" s="918">
        <v>301429</v>
      </c>
      <c r="B544" s="919" t="s">
        <v>197</v>
      </c>
      <c r="C544" s="1363">
        <f>IF('TAR_Tab 2_Volumina'!M547,1,0)</f>
        <v>0</v>
      </c>
      <c r="D544" s="1527">
        <v>0</v>
      </c>
      <c r="E544" s="1528">
        <f t="shared" si="90"/>
        <v>0</v>
      </c>
      <c r="F544" s="1528">
        <f t="shared" si="91"/>
        <v>0</v>
      </c>
      <c r="G544" s="1533"/>
      <c r="H544" s="1528">
        <f t="shared" si="92"/>
        <v>0</v>
      </c>
      <c r="I544" s="1528">
        <f t="shared" si="93"/>
        <v>0</v>
      </c>
      <c r="J544" s="1532">
        <f t="shared" si="95"/>
        <v>0</v>
      </c>
      <c r="K544" s="1369" t="str">
        <f t="shared" si="96"/>
        <v/>
      </c>
      <c r="L544" s="1558"/>
      <c r="M544" s="1366"/>
      <c r="N544" s="1371">
        <f t="shared" ref="N544:N570" si="98">IF(J544&gt;0,J544,F544)</f>
        <v>0</v>
      </c>
      <c r="O544" s="1372"/>
      <c r="P544" s="1371">
        <f t="shared" si="97"/>
        <v>0</v>
      </c>
      <c r="Q544" s="1371">
        <f t="shared" si="97"/>
        <v>0</v>
      </c>
      <c r="R544" s="1371">
        <f t="shared" si="97"/>
        <v>0</v>
      </c>
      <c r="S544" s="1371">
        <f t="shared" si="97"/>
        <v>0</v>
      </c>
      <c r="T544" s="1371">
        <f t="shared" si="97"/>
        <v>0</v>
      </c>
      <c r="U544" s="1371">
        <f t="shared" si="94"/>
        <v>0</v>
      </c>
      <c r="V544" s="1373">
        <f t="shared" ref="V544:V570" si="99">ROUND(U544,2)</f>
        <v>0</v>
      </c>
      <c r="W544" s="960"/>
    </row>
    <row r="545" spans="1:23">
      <c r="A545" s="918">
        <v>301431</v>
      </c>
      <c r="B545" s="919" t="s">
        <v>222</v>
      </c>
      <c r="C545" s="1363">
        <f>IF('TAR_Tab 2_Volumina'!M548,1,0)</f>
        <v>0</v>
      </c>
      <c r="D545" s="1527">
        <v>0</v>
      </c>
      <c r="E545" s="1528">
        <f t="shared" si="90"/>
        <v>0</v>
      </c>
      <c r="F545" s="1528">
        <f t="shared" si="91"/>
        <v>0</v>
      </c>
      <c r="G545" s="1533"/>
      <c r="H545" s="1528">
        <f t="shared" si="92"/>
        <v>0</v>
      </c>
      <c r="I545" s="1528">
        <f t="shared" si="93"/>
        <v>0</v>
      </c>
      <c r="J545" s="1532">
        <f t="shared" si="95"/>
        <v>0</v>
      </c>
      <c r="K545" s="1369" t="str">
        <f t="shared" si="96"/>
        <v/>
      </c>
      <c r="L545" s="1558"/>
      <c r="M545" s="1366"/>
      <c r="N545" s="1371">
        <f t="shared" si="98"/>
        <v>0</v>
      </c>
      <c r="O545" s="1372"/>
      <c r="P545" s="1371">
        <f t="shared" si="97"/>
        <v>0</v>
      </c>
      <c r="Q545" s="1371">
        <f t="shared" si="97"/>
        <v>0</v>
      </c>
      <c r="R545" s="1371">
        <f t="shared" si="97"/>
        <v>0</v>
      </c>
      <c r="S545" s="1371">
        <f t="shared" si="97"/>
        <v>0</v>
      </c>
      <c r="T545" s="1371">
        <f t="shared" si="97"/>
        <v>0</v>
      </c>
      <c r="U545" s="1371">
        <f t="shared" si="94"/>
        <v>0</v>
      </c>
      <c r="V545" s="1373">
        <f t="shared" si="99"/>
        <v>0</v>
      </c>
      <c r="W545" s="960"/>
    </row>
    <row r="546" spans="1:23">
      <c r="A546" s="918">
        <v>301432</v>
      </c>
      <c r="B546" s="919" t="s">
        <v>630</v>
      </c>
      <c r="C546" s="1363">
        <f>IF('TAR_Tab 2_Volumina'!M549,1,0)</f>
        <v>1</v>
      </c>
      <c r="D546" s="1529">
        <v>70904.179581175558</v>
      </c>
      <c r="E546" s="1528">
        <f t="shared" si="90"/>
        <v>67614.225648609019</v>
      </c>
      <c r="F546" s="1528">
        <f t="shared" si="91"/>
        <v>71444.05562273036</v>
      </c>
      <c r="G546" s="1533"/>
      <c r="H546" s="1528">
        <f t="shared" si="92"/>
        <v>67871.852841593834</v>
      </c>
      <c r="I546" s="1528">
        <f t="shared" si="93"/>
        <v>75016.258403866887</v>
      </c>
      <c r="J546" s="1532">
        <f t="shared" si="95"/>
        <v>71444.05562273036</v>
      </c>
      <c r="K546" s="1369" t="b">
        <f t="shared" si="96"/>
        <v>1</v>
      </c>
      <c r="L546" s="1558"/>
      <c r="M546" s="1366"/>
      <c r="N546" s="1371">
        <f t="shared" si="98"/>
        <v>71444.05562273036</v>
      </c>
      <c r="O546" s="1372"/>
      <c r="P546" s="1371">
        <f t="shared" si="97"/>
        <v>224.67178861188617</v>
      </c>
      <c r="Q546" s="1371">
        <f t="shared" si="97"/>
        <v>178.08393943967735</v>
      </c>
      <c r="R546" s="1371">
        <f t="shared" si="97"/>
        <v>492.49653743617142</v>
      </c>
      <c r="S546" s="1371">
        <f t="shared" si="97"/>
        <v>0</v>
      </c>
      <c r="T546" s="1371">
        <f t="shared" si="97"/>
        <v>4620.5428154871406</v>
      </c>
      <c r="U546" s="1371">
        <f t="shared" si="94"/>
        <v>76959.850703705248</v>
      </c>
      <c r="V546" s="1373">
        <f t="shared" si="99"/>
        <v>76959.850000000006</v>
      </c>
      <c r="W546" s="960"/>
    </row>
    <row r="547" spans="1:23">
      <c r="A547" s="918">
        <v>301433</v>
      </c>
      <c r="B547" s="919" t="s">
        <v>631</v>
      </c>
      <c r="C547" s="1363">
        <f>IF('TAR_Tab 2_Volumina'!M550,1,0)</f>
        <v>1</v>
      </c>
      <c r="D547" s="1529">
        <v>35452.08979058775</v>
      </c>
      <c r="E547" s="1528">
        <f t="shared" si="90"/>
        <v>33807.11282430448</v>
      </c>
      <c r="F547" s="1528">
        <f t="shared" si="91"/>
        <v>35722.027811365151</v>
      </c>
      <c r="G547" s="1533"/>
      <c r="H547" s="1528">
        <f t="shared" si="92"/>
        <v>33935.926420796895</v>
      </c>
      <c r="I547" s="1528">
        <f t="shared" si="93"/>
        <v>37508.129201933407</v>
      </c>
      <c r="J547" s="1532">
        <f t="shared" si="95"/>
        <v>35722.027811365151</v>
      </c>
      <c r="K547" s="1369" t="b">
        <f t="shared" si="96"/>
        <v>1</v>
      </c>
      <c r="L547" s="1558"/>
      <c r="M547" s="1366"/>
      <c r="N547" s="1371">
        <f t="shared" si="98"/>
        <v>35722.027811365151</v>
      </c>
      <c r="O547" s="1372"/>
      <c r="P547" s="1371">
        <f t="shared" si="97"/>
        <v>112.33589430594299</v>
      </c>
      <c r="Q547" s="1371">
        <f t="shared" si="97"/>
        <v>89.041969719838605</v>
      </c>
      <c r="R547" s="1371">
        <f t="shared" si="97"/>
        <v>246.24826871808551</v>
      </c>
      <c r="S547" s="1371">
        <f t="shared" si="97"/>
        <v>0</v>
      </c>
      <c r="T547" s="1371">
        <f t="shared" si="97"/>
        <v>2310.2714077435685</v>
      </c>
      <c r="U547" s="1371">
        <f t="shared" si="94"/>
        <v>38479.925351852587</v>
      </c>
      <c r="V547" s="1373">
        <f t="shared" si="99"/>
        <v>38479.93</v>
      </c>
      <c r="W547" s="960"/>
    </row>
    <row r="548" spans="1:23">
      <c r="A548" s="918">
        <v>301434</v>
      </c>
      <c r="B548" s="919" t="s">
        <v>372</v>
      </c>
      <c r="C548" s="1363">
        <f>IF('TAR_Tab 2_Volumina'!M551,1,0)</f>
        <v>1</v>
      </c>
      <c r="D548" s="1529">
        <v>159534.40405764489</v>
      </c>
      <c r="E548" s="1528">
        <f t="shared" si="90"/>
        <v>152132.00770937017</v>
      </c>
      <c r="F548" s="1528">
        <f t="shared" si="91"/>
        <v>160749.12515114318</v>
      </c>
      <c r="G548" s="1533"/>
      <c r="H548" s="1528">
        <f t="shared" si="92"/>
        <v>152711.668893586</v>
      </c>
      <c r="I548" s="1528">
        <f t="shared" si="93"/>
        <v>168786.58140870035</v>
      </c>
      <c r="J548" s="1532">
        <f t="shared" si="95"/>
        <v>160749.12515114318</v>
      </c>
      <c r="K548" s="1369" t="b">
        <f t="shared" si="96"/>
        <v>1</v>
      </c>
      <c r="L548" s="1558"/>
      <c r="M548" s="1366"/>
      <c r="N548" s="1371">
        <f t="shared" si="98"/>
        <v>160749.12515114318</v>
      </c>
      <c r="O548" s="1372"/>
      <c r="P548" s="1371">
        <f t="shared" si="97"/>
        <v>505.51152437674347</v>
      </c>
      <c r="Q548" s="1371">
        <f t="shared" si="97"/>
        <v>400.6888637392737</v>
      </c>
      <c r="R548" s="1371">
        <f t="shared" si="97"/>
        <v>1108.1172092313848</v>
      </c>
      <c r="S548" s="1371">
        <f t="shared" si="97"/>
        <v>0</v>
      </c>
      <c r="T548" s="1371">
        <f t="shared" si="97"/>
        <v>10396.221334846059</v>
      </c>
      <c r="U548" s="1371">
        <f t="shared" si="94"/>
        <v>173159.66408333665</v>
      </c>
      <c r="V548" s="1373">
        <f t="shared" si="99"/>
        <v>173159.66</v>
      </c>
      <c r="W548" s="960"/>
    </row>
    <row r="549" spans="1:23">
      <c r="A549" s="918">
        <v>301435</v>
      </c>
      <c r="B549" s="919" t="s">
        <v>632</v>
      </c>
      <c r="C549" s="1363">
        <f>IF('TAR_Tab 2_Volumina'!M552,1,0)</f>
        <v>1</v>
      </c>
      <c r="D549" s="1529">
        <v>124082.31426705726</v>
      </c>
      <c r="E549" s="1528">
        <f t="shared" si="90"/>
        <v>118324.89488506581</v>
      </c>
      <c r="F549" s="1528">
        <f t="shared" si="91"/>
        <v>125027.09733977815</v>
      </c>
      <c r="G549" s="1533"/>
      <c r="H549" s="1528">
        <f t="shared" si="92"/>
        <v>118775.74247278924</v>
      </c>
      <c r="I549" s="1528">
        <f t="shared" si="93"/>
        <v>131278.45220676705</v>
      </c>
      <c r="J549" s="1532">
        <f t="shared" si="95"/>
        <v>125027.09733977815</v>
      </c>
      <c r="K549" s="1369" t="b">
        <f t="shared" si="96"/>
        <v>1</v>
      </c>
      <c r="L549" s="1558"/>
      <c r="M549" s="1366"/>
      <c r="N549" s="1371">
        <f t="shared" si="98"/>
        <v>125027.09733977815</v>
      </c>
      <c r="O549" s="1372"/>
      <c r="P549" s="1371">
        <f t="shared" si="97"/>
        <v>393.17563007080082</v>
      </c>
      <c r="Q549" s="1371">
        <f t="shared" si="97"/>
        <v>311.64689401943542</v>
      </c>
      <c r="R549" s="1371">
        <f t="shared" si="97"/>
        <v>861.86894051330012</v>
      </c>
      <c r="S549" s="1371">
        <f t="shared" si="97"/>
        <v>0</v>
      </c>
      <c r="T549" s="1371">
        <f t="shared" si="97"/>
        <v>8085.9499271024979</v>
      </c>
      <c r="U549" s="1371">
        <f t="shared" si="94"/>
        <v>134679.73873148419</v>
      </c>
      <c r="V549" s="1373">
        <f t="shared" si="99"/>
        <v>134679.74</v>
      </c>
      <c r="W549" s="960"/>
    </row>
    <row r="550" spans="1:23">
      <c r="A550" s="918">
        <v>301436</v>
      </c>
      <c r="B550" s="919" t="s">
        <v>633</v>
      </c>
      <c r="C550" s="1363">
        <f>IF('TAR_Tab 2_Volumina'!M553,1,0)</f>
        <v>1</v>
      </c>
      <c r="D550" s="1529">
        <v>70904.179581175558</v>
      </c>
      <c r="E550" s="1528">
        <f t="shared" si="90"/>
        <v>67614.225648609019</v>
      </c>
      <c r="F550" s="1528">
        <f t="shared" si="91"/>
        <v>71444.05562273036</v>
      </c>
      <c r="G550" s="1533"/>
      <c r="H550" s="1528">
        <f t="shared" si="92"/>
        <v>67871.852841593834</v>
      </c>
      <c r="I550" s="1528">
        <f t="shared" si="93"/>
        <v>75016.258403866887</v>
      </c>
      <c r="J550" s="1532">
        <f t="shared" si="95"/>
        <v>71444.05562273036</v>
      </c>
      <c r="K550" s="1369" t="b">
        <f t="shared" si="96"/>
        <v>1</v>
      </c>
      <c r="L550" s="1558"/>
      <c r="M550" s="1366"/>
      <c r="N550" s="1371">
        <f t="shared" si="98"/>
        <v>71444.05562273036</v>
      </c>
      <c r="O550" s="1372"/>
      <c r="P550" s="1371">
        <f t="shared" si="97"/>
        <v>224.67178861188617</v>
      </c>
      <c r="Q550" s="1371">
        <f t="shared" si="97"/>
        <v>178.08393943967735</v>
      </c>
      <c r="R550" s="1371">
        <f t="shared" si="97"/>
        <v>492.49653743617142</v>
      </c>
      <c r="S550" s="1371">
        <f t="shared" si="97"/>
        <v>0</v>
      </c>
      <c r="T550" s="1371">
        <f t="shared" si="97"/>
        <v>4620.5428154871406</v>
      </c>
      <c r="U550" s="1371">
        <f t="shared" si="94"/>
        <v>76959.850703705248</v>
      </c>
      <c r="V550" s="1373">
        <f t="shared" si="99"/>
        <v>76959.850000000006</v>
      </c>
      <c r="W550" s="960"/>
    </row>
    <row r="551" spans="1:23">
      <c r="A551" s="918">
        <v>301437</v>
      </c>
      <c r="B551" s="919" t="s">
        <v>634</v>
      </c>
      <c r="C551" s="1363">
        <f>IF('TAR_Tab 2_Volumina'!M554,1,0)</f>
        <v>1</v>
      </c>
      <c r="D551" s="1529">
        <v>194986.48468869322</v>
      </c>
      <c r="E551" s="1528">
        <f t="shared" si="90"/>
        <v>185939.11179913787</v>
      </c>
      <c r="F551" s="1528">
        <f t="shared" si="91"/>
        <v>196471.14373322669</v>
      </c>
      <c r="G551" s="1533"/>
      <c r="H551" s="1528">
        <f t="shared" si="92"/>
        <v>186647.58654656535</v>
      </c>
      <c r="I551" s="1528">
        <f t="shared" si="93"/>
        <v>206294.70091988804</v>
      </c>
      <c r="J551" s="1532">
        <f t="shared" si="95"/>
        <v>196471.14373322669</v>
      </c>
      <c r="K551" s="1369" t="b">
        <f t="shared" si="96"/>
        <v>1</v>
      </c>
      <c r="L551" s="1558"/>
      <c r="M551" s="1366"/>
      <c r="N551" s="1371">
        <f t="shared" si="98"/>
        <v>196471.14373322669</v>
      </c>
      <c r="O551" s="1372"/>
      <c r="P551" s="1371">
        <f t="shared" si="97"/>
        <v>617.84738965914914</v>
      </c>
      <c r="Q551" s="1371">
        <f t="shared" si="97"/>
        <v>489.73081045388369</v>
      </c>
      <c r="R551" s="1371">
        <f t="shared" si="97"/>
        <v>1354.3654143278127</v>
      </c>
      <c r="S551" s="1371">
        <f t="shared" si="97"/>
        <v>0</v>
      </c>
      <c r="T551" s="1371">
        <f t="shared" si="97"/>
        <v>12706.492145698947</v>
      </c>
      <c r="U551" s="1371">
        <f t="shared" si="94"/>
        <v>211639.5794933665</v>
      </c>
      <c r="V551" s="1373">
        <f t="shared" si="99"/>
        <v>211639.58</v>
      </c>
      <c r="W551" s="960"/>
    </row>
    <row r="552" spans="1:23">
      <c r="A552" s="918">
        <v>301438</v>
      </c>
      <c r="B552" s="919" t="s">
        <v>635</v>
      </c>
      <c r="C552" s="1363">
        <f>IF('TAR_Tab 2_Volumina'!M555,1,0)</f>
        <v>1</v>
      </c>
      <c r="D552" s="1529">
        <v>194986.48468869322</v>
      </c>
      <c r="E552" s="1528">
        <f t="shared" si="90"/>
        <v>185939.11179913787</v>
      </c>
      <c r="F552" s="1528">
        <f t="shared" si="91"/>
        <v>196471.14373322669</v>
      </c>
      <c r="G552" s="1533"/>
      <c r="H552" s="1528">
        <f t="shared" si="92"/>
        <v>186647.58654656535</v>
      </c>
      <c r="I552" s="1528">
        <f t="shared" si="93"/>
        <v>206294.70091988804</v>
      </c>
      <c r="J552" s="1532">
        <f t="shared" si="95"/>
        <v>196471.14373322669</v>
      </c>
      <c r="K552" s="1369" t="b">
        <f t="shared" si="96"/>
        <v>1</v>
      </c>
      <c r="L552" s="1558"/>
      <c r="M552" s="1366"/>
      <c r="N552" s="1371">
        <f t="shared" si="98"/>
        <v>196471.14373322669</v>
      </c>
      <c r="O552" s="1372"/>
      <c r="P552" s="1371">
        <f t="shared" si="97"/>
        <v>617.84738965914914</v>
      </c>
      <c r="Q552" s="1371">
        <f t="shared" si="97"/>
        <v>489.73081045388369</v>
      </c>
      <c r="R552" s="1371">
        <f t="shared" si="97"/>
        <v>1354.3654143278127</v>
      </c>
      <c r="S552" s="1371">
        <f t="shared" si="97"/>
        <v>0</v>
      </c>
      <c r="T552" s="1371">
        <f t="shared" si="97"/>
        <v>12706.492145698947</v>
      </c>
      <c r="U552" s="1371">
        <f t="shared" si="94"/>
        <v>211639.5794933665</v>
      </c>
      <c r="V552" s="1373">
        <f t="shared" si="99"/>
        <v>211639.58</v>
      </c>
      <c r="W552" s="960"/>
    </row>
    <row r="553" spans="1:23">
      <c r="A553" s="918">
        <v>301439</v>
      </c>
      <c r="B553" s="919" t="s">
        <v>636</v>
      </c>
      <c r="C553" s="1363">
        <f>IF('TAR_Tab 2_Volumina'!M556,1,0)</f>
        <v>1</v>
      </c>
      <c r="D553" s="1529">
        <v>141808.35916235112</v>
      </c>
      <c r="E553" s="1528">
        <f t="shared" si="90"/>
        <v>135228.45129721804</v>
      </c>
      <c r="F553" s="1528">
        <f t="shared" si="91"/>
        <v>142888.11124546072</v>
      </c>
      <c r="G553" s="1533"/>
      <c r="H553" s="1528">
        <f t="shared" si="92"/>
        <v>135743.70568318767</v>
      </c>
      <c r="I553" s="1528">
        <f t="shared" si="93"/>
        <v>150032.51680773377</v>
      </c>
      <c r="J553" s="1532">
        <f t="shared" si="95"/>
        <v>142888.11124546072</v>
      </c>
      <c r="K553" s="1369" t="b">
        <f t="shared" si="96"/>
        <v>1</v>
      </c>
      <c r="L553" s="1558"/>
      <c r="M553" s="1366"/>
      <c r="N553" s="1371">
        <f t="shared" si="98"/>
        <v>142888.11124546072</v>
      </c>
      <c r="O553" s="1372"/>
      <c r="P553" s="1371">
        <f t="shared" si="97"/>
        <v>449.34357722377234</v>
      </c>
      <c r="Q553" s="1371">
        <f t="shared" si="97"/>
        <v>356.1678788793547</v>
      </c>
      <c r="R553" s="1371">
        <f t="shared" si="97"/>
        <v>984.99307487234285</v>
      </c>
      <c r="S553" s="1371">
        <f t="shared" si="97"/>
        <v>0</v>
      </c>
      <c r="T553" s="1371">
        <f t="shared" si="97"/>
        <v>9241.0856309742812</v>
      </c>
      <c r="U553" s="1371">
        <f t="shared" si="94"/>
        <v>153919.7014074105</v>
      </c>
      <c r="V553" s="1373">
        <f t="shared" si="99"/>
        <v>153919.70000000001</v>
      </c>
      <c r="W553" s="960"/>
    </row>
    <row r="554" spans="1:23">
      <c r="A554" s="918">
        <v>301441</v>
      </c>
      <c r="B554" s="919" t="s">
        <v>6</v>
      </c>
      <c r="C554" s="1363">
        <f>IF('TAR_Tab 2_Volumina'!M557,1,0)</f>
        <v>0</v>
      </c>
      <c r="D554" s="1527">
        <v>0</v>
      </c>
      <c r="E554" s="1528">
        <f t="shared" si="90"/>
        <v>0</v>
      </c>
      <c r="F554" s="1528">
        <f t="shared" si="91"/>
        <v>0</v>
      </c>
      <c r="G554" s="1533"/>
      <c r="H554" s="1528">
        <f t="shared" si="92"/>
        <v>0</v>
      </c>
      <c r="I554" s="1528">
        <f t="shared" si="93"/>
        <v>0</v>
      </c>
      <c r="J554" s="1532">
        <f t="shared" si="95"/>
        <v>0</v>
      </c>
      <c r="K554" s="1369" t="str">
        <f t="shared" si="96"/>
        <v/>
      </c>
      <c r="L554" s="1558"/>
      <c r="M554" s="1366"/>
      <c r="N554" s="1371">
        <f t="shared" si="98"/>
        <v>0</v>
      </c>
      <c r="O554" s="1372"/>
      <c r="P554" s="1371">
        <f t="shared" si="97"/>
        <v>0</v>
      </c>
      <c r="Q554" s="1371">
        <f t="shared" si="97"/>
        <v>0</v>
      </c>
      <c r="R554" s="1371">
        <f t="shared" si="97"/>
        <v>0</v>
      </c>
      <c r="S554" s="1371">
        <f t="shared" si="97"/>
        <v>0</v>
      </c>
      <c r="T554" s="1371">
        <f t="shared" si="97"/>
        <v>0</v>
      </c>
      <c r="U554" s="1371">
        <f t="shared" si="94"/>
        <v>0</v>
      </c>
      <c r="V554" s="1373">
        <f t="shared" si="99"/>
        <v>0</v>
      </c>
      <c r="W554" s="960"/>
    </row>
    <row r="555" spans="1:23">
      <c r="A555" s="918">
        <v>301442</v>
      </c>
      <c r="B555" s="919" t="s">
        <v>1137</v>
      </c>
      <c r="C555" s="1363">
        <f>IF('TAR_Tab 2_Volumina'!M558,1,0)</f>
        <v>0</v>
      </c>
      <c r="D555" s="1527">
        <v>0</v>
      </c>
      <c r="E555" s="1528">
        <f t="shared" si="90"/>
        <v>0</v>
      </c>
      <c r="F555" s="1528">
        <f t="shared" si="91"/>
        <v>0</v>
      </c>
      <c r="G555" s="1533"/>
      <c r="H555" s="1528">
        <f t="shared" si="92"/>
        <v>0</v>
      </c>
      <c r="I555" s="1528">
        <f t="shared" si="93"/>
        <v>0</v>
      </c>
      <c r="J555" s="1532">
        <f t="shared" si="95"/>
        <v>0</v>
      </c>
      <c r="K555" s="1369" t="str">
        <f t="shared" si="96"/>
        <v/>
      </c>
      <c r="L555" s="1558"/>
      <c r="M555" s="1366"/>
      <c r="N555" s="1371">
        <f t="shared" si="98"/>
        <v>0</v>
      </c>
      <c r="O555" s="1372"/>
      <c r="P555" s="1371">
        <f t="shared" si="97"/>
        <v>0</v>
      </c>
      <c r="Q555" s="1371">
        <f t="shared" si="97"/>
        <v>0</v>
      </c>
      <c r="R555" s="1371">
        <f t="shared" si="97"/>
        <v>0</v>
      </c>
      <c r="S555" s="1371">
        <f t="shared" si="97"/>
        <v>0</v>
      </c>
      <c r="T555" s="1371">
        <f t="shared" si="97"/>
        <v>0</v>
      </c>
      <c r="U555" s="1371">
        <f t="shared" si="94"/>
        <v>0</v>
      </c>
      <c r="V555" s="1373">
        <f t="shared" si="99"/>
        <v>0</v>
      </c>
      <c r="W555" s="960"/>
    </row>
    <row r="556" spans="1:23">
      <c r="A556" s="921">
        <v>301443</v>
      </c>
      <c r="B556" s="920" t="s">
        <v>7</v>
      </c>
      <c r="C556" s="1363">
        <f>IF('TAR_Tab 2_Volumina'!M559,1,0)</f>
        <v>0</v>
      </c>
      <c r="D556" s="1527">
        <v>0</v>
      </c>
      <c r="E556" s="1528">
        <f t="shared" si="90"/>
        <v>0</v>
      </c>
      <c r="F556" s="1528">
        <f t="shared" si="91"/>
        <v>0</v>
      </c>
      <c r="G556" s="1533"/>
      <c r="H556" s="1528">
        <f t="shared" si="92"/>
        <v>0</v>
      </c>
      <c r="I556" s="1528">
        <f t="shared" si="93"/>
        <v>0</v>
      </c>
      <c r="J556" s="1532">
        <f t="shared" si="95"/>
        <v>0</v>
      </c>
      <c r="K556" s="1369" t="str">
        <f t="shared" si="96"/>
        <v/>
      </c>
      <c r="L556" s="1558"/>
      <c r="M556" s="1366"/>
      <c r="N556" s="1371">
        <f t="shared" si="98"/>
        <v>0</v>
      </c>
      <c r="O556" s="1372"/>
      <c r="P556" s="1371">
        <f t="shared" si="97"/>
        <v>0</v>
      </c>
      <c r="Q556" s="1371">
        <f t="shared" si="97"/>
        <v>0</v>
      </c>
      <c r="R556" s="1371">
        <f t="shared" si="97"/>
        <v>0</v>
      </c>
      <c r="S556" s="1371">
        <f t="shared" si="97"/>
        <v>0</v>
      </c>
      <c r="T556" s="1371">
        <f t="shared" si="97"/>
        <v>0</v>
      </c>
      <c r="U556" s="1371">
        <f t="shared" si="94"/>
        <v>0</v>
      </c>
      <c r="V556" s="1373">
        <f t="shared" si="99"/>
        <v>0</v>
      </c>
      <c r="W556" s="960"/>
    </row>
    <row r="557" spans="1:23">
      <c r="A557" s="921">
        <v>301445</v>
      </c>
      <c r="B557" s="920" t="s">
        <v>223</v>
      </c>
      <c r="C557" s="1363">
        <f>IF('TAR_Tab 2_Volumina'!M560,1,0)</f>
        <v>0</v>
      </c>
      <c r="D557" s="1527">
        <v>0</v>
      </c>
      <c r="E557" s="1528">
        <f t="shared" si="90"/>
        <v>0</v>
      </c>
      <c r="F557" s="1528">
        <f t="shared" si="91"/>
        <v>0</v>
      </c>
      <c r="G557" s="1533"/>
      <c r="H557" s="1528">
        <f t="shared" si="92"/>
        <v>0</v>
      </c>
      <c r="I557" s="1528">
        <f t="shared" si="93"/>
        <v>0</v>
      </c>
      <c r="J557" s="1532">
        <f t="shared" si="95"/>
        <v>0</v>
      </c>
      <c r="K557" s="1369" t="str">
        <f t="shared" si="96"/>
        <v/>
      </c>
      <c r="L557" s="1558"/>
      <c r="M557" s="1366"/>
      <c r="N557" s="1371">
        <f t="shared" si="98"/>
        <v>0</v>
      </c>
      <c r="O557" s="1372"/>
      <c r="P557" s="1371">
        <f t="shared" si="97"/>
        <v>0</v>
      </c>
      <c r="Q557" s="1371">
        <f t="shared" si="97"/>
        <v>0</v>
      </c>
      <c r="R557" s="1371">
        <f t="shared" si="97"/>
        <v>0</v>
      </c>
      <c r="S557" s="1371">
        <f t="shared" si="97"/>
        <v>0</v>
      </c>
      <c r="T557" s="1371">
        <f t="shared" si="97"/>
        <v>0</v>
      </c>
      <c r="U557" s="1371">
        <f t="shared" si="94"/>
        <v>0</v>
      </c>
      <c r="V557" s="1373">
        <f t="shared" si="99"/>
        <v>0</v>
      </c>
      <c r="W557" s="960"/>
    </row>
    <row r="558" spans="1:23">
      <c r="A558" s="919">
        <v>301446</v>
      </c>
      <c r="B558" s="919" t="s">
        <v>287</v>
      </c>
      <c r="C558" s="1363">
        <f>IF('TAR_Tab 2_Volumina'!M561,1,0)</f>
        <v>0</v>
      </c>
      <c r="D558" s="1527">
        <v>0</v>
      </c>
      <c r="E558" s="1528">
        <f t="shared" si="90"/>
        <v>0</v>
      </c>
      <c r="F558" s="1528">
        <f t="shared" si="91"/>
        <v>0</v>
      </c>
      <c r="G558" s="1533"/>
      <c r="H558" s="1528">
        <f t="shared" si="92"/>
        <v>0</v>
      </c>
      <c r="I558" s="1528">
        <f t="shared" si="93"/>
        <v>0</v>
      </c>
      <c r="J558" s="1532">
        <f t="shared" si="95"/>
        <v>0</v>
      </c>
      <c r="K558" s="1369" t="str">
        <f t="shared" si="96"/>
        <v/>
      </c>
      <c r="L558" s="1558"/>
      <c r="M558" s="1366"/>
      <c r="N558" s="1371">
        <f t="shared" si="98"/>
        <v>0</v>
      </c>
      <c r="O558" s="1372"/>
      <c r="P558" s="1371">
        <f t="shared" ref="P558:T570" si="100">P$7*$N558</f>
        <v>0</v>
      </c>
      <c r="Q558" s="1371">
        <f t="shared" si="100"/>
        <v>0</v>
      </c>
      <c r="R558" s="1371">
        <f t="shared" si="100"/>
        <v>0</v>
      </c>
      <c r="S558" s="1371">
        <f t="shared" si="100"/>
        <v>0</v>
      </c>
      <c r="T558" s="1371">
        <f t="shared" si="100"/>
        <v>0</v>
      </c>
      <c r="U558" s="1371">
        <f t="shared" si="94"/>
        <v>0</v>
      </c>
      <c r="V558" s="1373">
        <f t="shared" si="99"/>
        <v>0</v>
      </c>
      <c r="W558" s="960"/>
    </row>
    <row r="559" spans="1:23">
      <c r="A559" s="921">
        <v>301450</v>
      </c>
      <c r="B559" s="920" t="s">
        <v>637</v>
      </c>
      <c r="C559" s="1363">
        <f>IF('TAR_Tab 2_Volumina'!M562,1,0)</f>
        <v>0</v>
      </c>
      <c r="D559" s="1527">
        <v>0</v>
      </c>
      <c r="E559" s="1528">
        <f t="shared" si="90"/>
        <v>0</v>
      </c>
      <c r="F559" s="1528">
        <f t="shared" si="91"/>
        <v>0</v>
      </c>
      <c r="G559" s="1533"/>
      <c r="H559" s="1528">
        <f t="shared" si="92"/>
        <v>0</v>
      </c>
      <c r="I559" s="1528">
        <f t="shared" si="93"/>
        <v>0</v>
      </c>
      <c r="J559" s="1532">
        <f t="shared" si="95"/>
        <v>0</v>
      </c>
      <c r="K559" s="1369" t="str">
        <f t="shared" si="96"/>
        <v/>
      </c>
      <c r="L559" s="1558"/>
      <c r="M559" s="1366"/>
      <c r="N559" s="1371">
        <f t="shared" si="98"/>
        <v>0</v>
      </c>
      <c r="O559" s="1372"/>
      <c r="P559" s="1371">
        <f t="shared" si="100"/>
        <v>0</v>
      </c>
      <c r="Q559" s="1371">
        <f t="shared" si="100"/>
        <v>0</v>
      </c>
      <c r="R559" s="1371">
        <f t="shared" si="100"/>
        <v>0</v>
      </c>
      <c r="S559" s="1371">
        <f t="shared" si="100"/>
        <v>0</v>
      </c>
      <c r="T559" s="1371">
        <f t="shared" si="100"/>
        <v>0</v>
      </c>
      <c r="U559" s="1371">
        <f t="shared" si="94"/>
        <v>0</v>
      </c>
      <c r="V559" s="1373">
        <f t="shared" si="99"/>
        <v>0</v>
      </c>
      <c r="W559" s="960"/>
    </row>
    <row r="560" spans="1:23">
      <c r="A560" s="921">
        <v>301451</v>
      </c>
      <c r="B560" s="920" t="s">
        <v>638</v>
      </c>
      <c r="C560" s="1363">
        <f>IF('TAR_Tab 2_Volumina'!M563,1,0)</f>
        <v>0</v>
      </c>
      <c r="D560" s="1527">
        <v>0</v>
      </c>
      <c r="E560" s="1528">
        <f t="shared" si="90"/>
        <v>0</v>
      </c>
      <c r="F560" s="1528">
        <f t="shared" si="91"/>
        <v>0</v>
      </c>
      <c r="G560" s="1533"/>
      <c r="H560" s="1528">
        <f t="shared" si="92"/>
        <v>0</v>
      </c>
      <c r="I560" s="1528">
        <f t="shared" si="93"/>
        <v>0</v>
      </c>
      <c r="J560" s="1532">
        <f t="shared" si="95"/>
        <v>0</v>
      </c>
      <c r="K560" s="1369" t="str">
        <f t="shared" si="96"/>
        <v/>
      </c>
      <c r="L560" s="1558"/>
      <c r="M560" s="1366"/>
      <c r="N560" s="1371">
        <f t="shared" si="98"/>
        <v>0</v>
      </c>
      <c r="O560" s="1372"/>
      <c r="P560" s="1371">
        <f t="shared" si="100"/>
        <v>0</v>
      </c>
      <c r="Q560" s="1371">
        <f t="shared" si="100"/>
        <v>0</v>
      </c>
      <c r="R560" s="1371">
        <f t="shared" si="100"/>
        <v>0</v>
      </c>
      <c r="S560" s="1371">
        <f t="shared" si="100"/>
        <v>0</v>
      </c>
      <c r="T560" s="1371">
        <f t="shared" si="100"/>
        <v>0</v>
      </c>
      <c r="U560" s="1371">
        <f t="shared" si="94"/>
        <v>0</v>
      </c>
      <c r="V560" s="1373">
        <f t="shared" si="99"/>
        <v>0</v>
      </c>
      <c r="W560" s="960"/>
    </row>
    <row r="561" spans="1:23">
      <c r="A561" s="921">
        <v>301453</v>
      </c>
      <c r="B561" s="920" t="s">
        <v>639</v>
      </c>
      <c r="C561" s="1363">
        <f>IF('TAR_Tab 2_Volumina'!M564,1,0)</f>
        <v>0</v>
      </c>
      <c r="D561" s="1527">
        <v>0</v>
      </c>
      <c r="E561" s="1528">
        <f t="shared" si="90"/>
        <v>0</v>
      </c>
      <c r="F561" s="1528">
        <f t="shared" si="91"/>
        <v>0</v>
      </c>
      <c r="G561" s="1533"/>
      <c r="H561" s="1528">
        <f t="shared" si="92"/>
        <v>0</v>
      </c>
      <c r="I561" s="1528">
        <f t="shared" si="93"/>
        <v>0</v>
      </c>
      <c r="J561" s="1532">
        <f t="shared" si="95"/>
        <v>0</v>
      </c>
      <c r="K561" s="1369" t="str">
        <f t="shared" si="96"/>
        <v/>
      </c>
      <c r="L561" s="1558"/>
      <c r="M561" s="1366"/>
      <c r="N561" s="1371">
        <f t="shared" si="98"/>
        <v>0</v>
      </c>
      <c r="O561" s="1372"/>
      <c r="P561" s="1371">
        <f t="shared" si="100"/>
        <v>0</v>
      </c>
      <c r="Q561" s="1371">
        <f t="shared" si="100"/>
        <v>0</v>
      </c>
      <c r="R561" s="1371">
        <f t="shared" si="100"/>
        <v>0</v>
      </c>
      <c r="S561" s="1371">
        <f t="shared" si="100"/>
        <v>0</v>
      </c>
      <c r="T561" s="1371">
        <f t="shared" si="100"/>
        <v>0</v>
      </c>
      <c r="U561" s="1371">
        <f t="shared" si="94"/>
        <v>0</v>
      </c>
      <c r="V561" s="1373">
        <f t="shared" si="99"/>
        <v>0</v>
      </c>
      <c r="W561" s="960"/>
    </row>
    <row r="562" spans="1:23">
      <c r="A562" s="921">
        <v>301455</v>
      </c>
      <c r="B562" s="920" t="s">
        <v>784</v>
      </c>
      <c r="C562" s="1363">
        <f>IF('TAR_Tab 2_Volumina'!M565,1,0)</f>
        <v>1</v>
      </c>
      <c r="D562" s="1527">
        <v>17726.04489529389</v>
      </c>
      <c r="E562" s="1528">
        <f t="shared" si="90"/>
        <v>16903.556412152255</v>
      </c>
      <c r="F562" s="1528">
        <f t="shared" si="91"/>
        <v>17861.01390568259</v>
      </c>
      <c r="G562" s="1533"/>
      <c r="H562" s="1528">
        <f t="shared" si="92"/>
        <v>16967.963210398459</v>
      </c>
      <c r="I562" s="1528">
        <f t="shared" si="93"/>
        <v>18754.064600966722</v>
      </c>
      <c r="J562" s="1532">
        <f t="shared" si="95"/>
        <v>17861.01390568259</v>
      </c>
      <c r="K562" s="1369" t="b">
        <f t="shared" si="96"/>
        <v>1</v>
      </c>
      <c r="L562" s="1558"/>
      <c r="M562" s="1366"/>
      <c r="N562" s="1371">
        <f t="shared" si="98"/>
        <v>17861.01390568259</v>
      </c>
      <c r="O562" s="1372"/>
      <c r="P562" s="1371">
        <f t="shared" si="100"/>
        <v>56.167947152971543</v>
      </c>
      <c r="Q562" s="1371">
        <f t="shared" si="100"/>
        <v>44.520984859919338</v>
      </c>
      <c r="R562" s="1371">
        <f t="shared" si="100"/>
        <v>123.12413435904286</v>
      </c>
      <c r="S562" s="1371">
        <f t="shared" si="100"/>
        <v>0</v>
      </c>
      <c r="T562" s="1371">
        <f t="shared" si="100"/>
        <v>1155.1357038717852</v>
      </c>
      <c r="U562" s="1371">
        <f t="shared" si="94"/>
        <v>19239.962675926312</v>
      </c>
      <c r="V562" s="1373">
        <f t="shared" si="99"/>
        <v>19239.96</v>
      </c>
      <c r="W562" s="960"/>
    </row>
    <row r="563" spans="1:23">
      <c r="A563" s="922">
        <v>301456</v>
      </c>
      <c r="B563" s="923" t="s">
        <v>785</v>
      </c>
      <c r="C563" s="1363">
        <f>IF('TAR_Tab 2_Volumina'!M566,1,0)</f>
        <v>1</v>
      </c>
      <c r="D563" s="1529">
        <v>88630.2244764692</v>
      </c>
      <c r="E563" s="1528">
        <f t="shared" si="90"/>
        <v>84517.782060761034</v>
      </c>
      <c r="F563" s="1528">
        <f t="shared" si="91"/>
        <v>89305.0695284127</v>
      </c>
      <c r="G563" s="1533"/>
      <c r="H563" s="1528">
        <f t="shared" si="92"/>
        <v>84839.816051992064</v>
      </c>
      <c r="I563" s="1528">
        <f t="shared" si="93"/>
        <v>93770.323004833335</v>
      </c>
      <c r="J563" s="1532">
        <f t="shared" si="95"/>
        <v>89305.0695284127</v>
      </c>
      <c r="K563" s="1369" t="b">
        <f t="shared" si="96"/>
        <v>1</v>
      </c>
      <c r="L563" s="1558"/>
      <c r="M563" s="1366"/>
      <c r="N563" s="1371">
        <f t="shared" si="98"/>
        <v>89305.0695284127</v>
      </c>
      <c r="O563" s="1372"/>
      <c r="P563" s="1371">
        <f t="shared" si="100"/>
        <v>280.83973576485693</v>
      </c>
      <c r="Q563" s="1371">
        <f t="shared" si="100"/>
        <v>222.60492429959606</v>
      </c>
      <c r="R563" s="1371">
        <f t="shared" si="100"/>
        <v>615.6206717952125</v>
      </c>
      <c r="S563" s="1371">
        <f t="shared" si="100"/>
        <v>0</v>
      </c>
      <c r="T563" s="1371">
        <f t="shared" si="100"/>
        <v>5775.6785193589103</v>
      </c>
      <c r="U563" s="1371">
        <f t="shared" si="94"/>
        <v>96199.813379631276</v>
      </c>
      <c r="V563" s="1373">
        <f t="shared" si="99"/>
        <v>96199.81</v>
      </c>
      <c r="W563" s="960"/>
    </row>
    <row r="564" spans="1:23">
      <c r="A564" s="921">
        <v>301457</v>
      </c>
      <c r="B564" s="920" t="s">
        <v>786</v>
      </c>
      <c r="C564" s="1363">
        <f>IF('TAR_Tab 2_Volumina'!M567,1,0)</f>
        <v>1</v>
      </c>
      <c r="D564" s="1529">
        <v>141808.35916235077</v>
      </c>
      <c r="E564" s="1528">
        <f t="shared" si="90"/>
        <v>135228.45129721769</v>
      </c>
      <c r="F564" s="1528">
        <f t="shared" si="91"/>
        <v>142888.11124546034</v>
      </c>
      <c r="G564" s="1533"/>
      <c r="H564" s="1528">
        <f t="shared" si="92"/>
        <v>135743.70568318732</v>
      </c>
      <c r="I564" s="1528">
        <f t="shared" si="93"/>
        <v>150032.51680773337</v>
      </c>
      <c r="J564" s="1532">
        <f t="shared" si="95"/>
        <v>142888.11124546034</v>
      </c>
      <c r="K564" s="1369" t="b">
        <f t="shared" si="96"/>
        <v>1</v>
      </c>
      <c r="L564" s="1558"/>
      <c r="M564" s="1366"/>
      <c r="N564" s="1371">
        <f t="shared" si="98"/>
        <v>142888.11124546034</v>
      </c>
      <c r="O564" s="1372"/>
      <c r="P564" s="1371">
        <f t="shared" si="100"/>
        <v>449.34357722377115</v>
      </c>
      <c r="Q564" s="1371">
        <f t="shared" si="100"/>
        <v>356.16787887935374</v>
      </c>
      <c r="R564" s="1371">
        <f t="shared" si="100"/>
        <v>984.99307487234023</v>
      </c>
      <c r="S564" s="1371">
        <f t="shared" si="100"/>
        <v>0</v>
      </c>
      <c r="T564" s="1371">
        <f t="shared" si="100"/>
        <v>9241.0856309742576</v>
      </c>
      <c r="U564" s="1371">
        <f t="shared" si="94"/>
        <v>153919.70140741006</v>
      </c>
      <c r="V564" s="1373">
        <f t="shared" si="99"/>
        <v>153919.70000000001</v>
      </c>
      <c r="W564" s="960"/>
    </row>
    <row r="565" spans="1:23">
      <c r="A565" s="1324">
        <v>301460</v>
      </c>
      <c r="B565" s="1325" t="s">
        <v>462</v>
      </c>
      <c r="C565" s="1363">
        <f>IF('TAR_Tab 2_Volumina'!M568,1,0)</f>
        <v>0</v>
      </c>
      <c r="D565" s="855"/>
      <c r="E565" s="1528">
        <f t="shared" si="90"/>
        <v>0</v>
      </c>
      <c r="F565" s="1528">
        <f t="shared" si="91"/>
        <v>0</v>
      </c>
      <c r="G565" s="1533"/>
      <c r="H565" s="1528">
        <f t="shared" si="92"/>
        <v>0</v>
      </c>
      <c r="I565" s="1528">
        <f t="shared" si="93"/>
        <v>0</v>
      </c>
      <c r="J565" s="1532">
        <f t="shared" si="95"/>
        <v>0</v>
      </c>
      <c r="K565" s="1369" t="str">
        <f t="shared" si="96"/>
        <v/>
      </c>
      <c r="L565" s="1558"/>
      <c r="M565" s="1366"/>
      <c r="N565" s="1371">
        <f t="shared" si="98"/>
        <v>0</v>
      </c>
      <c r="O565" s="1372"/>
      <c r="P565" s="1371">
        <f t="shared" si="100"/>
        <v>0</v>
      </c>
      <c r="Q565" s="1371">
        <f t="shared" si="100"/>
        <v>0</v>
      </c>
      <c r="R565" s="1371">
        <f t="shared" si="100"/>
        <v>0</v>
      </c>
      <c r="S565" s="1371">
        <f t="shared" si="100"/>
        <v>0</v>
      </c>
      <c r="T565" s="1371">
        <f t="shared" si="100"/>
        <v>0</v>
      </c>
      <c r="U565" s="1371">
        <f t="shared" si="94"/>
        <v>0</v>
      </c>
      <c r="V565" s="1373">
        <f t="shared" si="99"/>
        <v>0</v>
      </c>
      <c r="W565" s="1323" t="s">
        <v>1245</v>
      </c>
    </row>
    <row r="566" spans="1:23">
      <c r="A566" s="1324">
        <v>301464</v>
      </c>
      <c r="B566" s="1325" t="s">
        <v>1138</v>
      </c>
      <c r="C566" s="1363">
        <f>IF('TAR_Tab 2_Volumina'!M569,1,0)</f>
        <v>1</v>
      </c>
      <c r="D566" s="855">
        <v>35452.089790587779</v>
      </c>
      <c r="E566" s="1528">
        <f t="shared" si="90"/>
        <v>33807.11282430451</v>
      </c>
      <c r="F566" s="1528">
        <f t="shared" si="91"/>
        <v>35722.02781136518</v>
      </c>
      <c r="G566" s="1533"/>
      <c r="H566" s="1528">
        <f t="shared" si="92"/>
        <v>33935.926420796917</v>
      </c>
      <c r="I566" s="1528">
        <f t="shared" si="93"/>
        <v>37508.129201933443</v>
      </c>
      <c r="J566" s="1532">
        <f t="shared" si="95"/>
        <v>35722.02781136518</v>
      </c>
      <c r="K566" s="1369" t="b">
        <f t="shared" si="96"/>
        <v>1</v>
      </c>
      <c r="L566" s="1558"/>
      <c r="M566" s="1366"/>
      <c r="N566" s="1371">
        <f t="shared" si="98"/>
        <v>35722.02781136518</v>
      </c>
      <c r="O566" s="1372"/>
      <c r="P566" s="1371">
        <f t="shared" si="100"/>
        <v>112.33589430594309</v>
      </c>
      <c r="Q566" s="1371">
        <f t="shared" si="100"/>
        <v>89.041969719838676</v>
      </c>
      <c r="R566" s="1371">
        <f t="shared" si="100"/>
        <v>246.24826871808571</v>
      </c>
      <c r="S566" s="1371">
        <f t="shared" si="100"/>
        <v>0</v>
      </c>
      <c r="T566" s="1371">
        <f t="shared" si="100"/>
        <v>2310.2714077435703</v>
      </c>
      <c r="U566" s="1371">
        <f t="shared" si="94"/>
        <v>38479.925351852624</v>
      </c>
      <c r="V566" s="1373">
        <f t="shared" si="99"/>
        <v>38479.93</v>
      </c>
      <c r="W566" s="1323" t="s">
        <v>1245</v>
      </c>
    </row>
    <row r="567" spans="1:23">
      <c r="A567" s="1324">
        <v>301465</v>
      </c>
      <c r="B567" s="1325" t="s">
        <v>1139</v>
      </c>
      <c r="C567" s="1363">
        <f>IF('TAR_Tab 2_Volumina'!M570,1,0)</f>
        <v>1</v>
      </c>
      <c r="D567" s="855">
        <v>70904.179581175558</v>
      </c>
      <c r="E567" s="1528">
        <f t="shared" si="90"/>
        <v>67614.225648609019</v>
      </c>
      <c r="F567" s="1528">
        <f t="shared" si="91"/>
        <v>71444.05562273036</v>
      </c>
      <c r="G567" s="1533"/>
      <c r="H567" s="1528">
        <f t="shared" si="92"/>
        <v>67871.852841593834</v>
      </c>
      <c r="I567" s="1528">
        <f t="shared" si="93"/>
        <v>75016.258403866887</v>
      </c>
      <c r="J567" s="1532">
        <f t="shared" si="95"/>
        <v>71444.05562273036</v>
      </c>
      <c r="K567" s="1369" t="b">
        <f t="shared" si="96"/>
        <v>1</v>
      </c>
      <c r="L567" s="1558"/>
      <c r="M567" s="1366"/>
      <c r="N567" s="1371">
        <f t="shared" si="98"/>
        <v>71444.05562273036</v>
      </c>
      <c r="O567" s="1372"/>
      <c r="P567" s="1371">
        <f t="shared" si="100"/>
        <v>224.67178861188617</v>
      </c>
      <c r="Q567" s="1371">
        <f t="shared" si="100"/>
        <v>178.08393943967735</v>
      </c>
      <c r="R567" s="1371">
        <f t="shared" si="100"/>
        <v>492.49653743617142</v>
      </c>
      <c r="S567" s="1371">
        <f t="shared" si="100"/>
        <v>0</v>
      </c>
      <c r="T567" s="1371">
        <f t="shared" si="100"/>
        <v>4620.5428154871406</v>
      </c>
      <c r="U567" s="1371">
        <f t="shared" si="94"/>
        <v>76959.850703705248</v>
      </c>
      <c r="V567" s="1373">
        <f t="shared" si="99"/>
        <v>76959.850000000006</v>
      </c>
      <c r="W567" s="1323" t="s">
        <v>1245</v>
      </c>
    </row>
    <row r="568" spans="1:23">
      <c r="A568" s="1324">
        <v>301466</v>
      </c>
      <c r="B568" s="1325" t="s">
        <v>1140</v>
      </c>
      <c r="C568" s="1363">
        <f>IF('TAR_Tab 2_Volumina'!M571,1,0)</f>
        <v>1</v>
      </c>
      <c r="D568" s="855">
        <v>70904.179581175558</v>
      </c>
      <c r="E568" s="1528">
        <f t="shared" si="90"/>
        <v>67614.225648609019</v>
      </c>
      <c r="F568" s="1528">
        <f t="shared" si="91"/>
        <v>71444.05562273036</v>
      </c>
      <c r="G568" s="1533"/>
      <c r="H568" s="1528">
        <f t="shared" si="92"/>
        <v>67871.852841593834</v>
      </c>
      <c r="I568" s="1528">
        <f t="shared" si="93"/>
        <v>75016.258403866887</v>
      </c>
      <c r="J568" s="1532">
        <f t="shared" si="95"/>
        <v>71444.05562273036</v>
      </c>
      <c r="K568" s="1369" t="b">
        <f t="shared" si="96"/>
        <v>1</v>
      </c>
      <c r="L568" s="1558"/>
      <c r="M568" s="1366"/>
      <c r="N568" s="1371">
        <f t="shared" si="98"/>
        <v>71444.05562273036</v>
      </c>
      <c r="O568" s="1372"/>
      <c r="P568" s="1371">
        <f t="shared" si="100"/>
        <v>224.67178861188617</v>
      </c>
      <c r="Q568" s="1371">
        <f t="shared" si="100"/>
        <v>178.08393943967735</v>
      </c>
      <c r="R568" s="1371">
        <f t="shared" si="100"/>
        <v>492.49653743617142</v>
      </c>
      <c r="S568" s="1371">
        <f t="shared" si="100"/>
        <v>0</v>
      </c>
      <c r="T568" s="1371">
        <f t="shared" si="100"/>
        <v>4620.5428154871406</v>
      </c>
      <c r="U568" s="1371">
        <f t="shared" si="94"/>
        <v>76959.850703705248</v>
      </c>
      <c r="V568" s="1373">
        <f t="shared" si="99"/>
        <v>76959.850000000006</v>
      </c>
      <c r="W568" s="1323" t="s">
        <v>1245</v>
      </c>
    </row>
    <row r="569" spans="1:23">
      <c r="A569" s="1324">
        <v>301467</v>
      </c>
      <c r="B569" s="1325" t="s">
        <v>1141</v>
      </c>
      <c r="C569" s="1363">
        <f>IF('TAR_Tab 2_Volumina'!M572,1,0)</f>
        <v>1</v>
      </c>
      <c r="D569" s="855">
        <v>70904.179581175558</v>
      </c>
      <c r="E569" s="1528">
        <f t="shared" si="90"/>
        <v>67614.225648609019</v>
      </c>
      <c r="F569" s="1528">
        <f t="shared" si="91"/>
        <v>71444.05562273036</v>
      </c>
      <c r="G569" s="1533"/>
      <c r="H569" s="1528">
        <f t="shared" si="92"/>
        <v>67871.852841593834</v>
      </c>
      <c r="I569" s="1528">
        <f t="shared" si="93"/>
        <v>75016.258403866887</v>
      </c>
      <c r="J569" s="1532">
        <f t="shared" si="95"/>
        <v>71444.05562273036</v>
      </c>
      <c r="K569" s="1369" t="b">
        <f t="shared" si="96"/>
        <v>1</v>
      </c>
      <c r="L569" s="1558"/>
      <c r="M569" s="1366"/>
      <c r="N569" s="1371">
        <f t="shared" si="98"/>
        <v>71444.05562273036</v>
      </c>
      <c r="O569" s="1372"/>
      <c r="P569" s="1371">
        <f t="shared" si="100"/>
        <v>224.67178861188617</v>
      </c>
      <c r="Q569" s="1371">
        <f t="shared" si="100"/>
        <v>178.08393943967735</v>
      </c>
      <c r="R569" s="1371">
        <f t="shared" si="100"/>
        <v>492.49653743617142</v>
      </c>
      <c r="S569" s="1371">
        <f t="shared" si="100"/>
        <v>0</v>
      </c>
      <c r="T569" s="1371">
        <f t="shared" si="100"/>
        <v>4620.5428154871406</v>
      </c>
      <c r="U569" s="1371">
        <f t="shared" si="94"/>
        <v>76959.850703705248</v>
      </c>
      <c r="V569" s="1373">
        <f t="shared" si="99"/>
        <v>76959.850000000006</v>
      </c>
      <c r="W569" s="1323" t="s">
        <v>1245</v>
      </c>
    </row>
    <row r="570" spans="1:23">
      <c r="A570" s="1324">
        <v>301469</v>
      </c>
      <c r="B570" s="1325" t="s">
        <v>1237</v>
      </c>
      <c r="C570" s="1363">
        <f>IF('TAR_Tab 2_Volumina'!M573,1,0)</f>
        <v>1</v>
      </c>
      <c r="D570" s="855">
        <v>194986.49384823284</v>
      </c>
      <c r="E570" s="1528">
        <f t="shared" si="90"/>
        <v>185939.12053367484</v>
      </c>
      <c r="F570" s="1528">
        <f t="shared" si="91"/>
        <v>196471.15296250852</v>
      </c>
      <c r="G570" s="1533"/>
      <c r="H570" s="1528">
        <f t="shared" si="92"/>
        <v>186647.5953143831</v>
      </c>
      <c r="I570" s="1528">
        <f t="shared" si="93"/>
        <v>206294.71061063395</v>
      </c>
      <c r="J570" s="1532">
        <f t="shared" si="95"/>
        <v>196471.15296250852</v>
      </c>
      <c r="K570" s="1369" t="b">
        <f t="shared" si="96"/>
        <v>1</v>
      </c>
      <c r="L570" s="1558"/>
      <c r="M570" s="1366"/>
      <c r="N570" s="1371">
        <f t="shared" si="98"/>
        <v>196471.15296250852</v>
      </c>
      <c r="O570" s="1372"/>
      <c r="P570" s="1371">
        <f t="shared" si="100"/>
        <v>617.84741868268702</v>
      </c>
      <c r="Q570" s="1371">
        <f t="shared" si="100"/>
        <v>489.73083345911277</v>
      </c>
      <c r="R570" s="1371">
        <f t="shared" si="100"/>
        <v>1354.3654779494716</v>
      </c>
      <c r="S570" s="1371">
        <f t="shared" si="100"/>
        <v>0</v>
      </c>
      <c r="T570" s="1371">
        <f t="shared" si="100"/>
        <v>12706.49274258964</v>
      </c>
      <c r="U570" s="1371">
        <f t="shared" si="94"/>
        <v>211639.58943518944</v>
      </c>
      <c r="V570" s="1373">
        <f t="shared" si="99"/>
        <v>211639.59</v>
      </c>
      <c r="W570" s="1323" t="s">
        <v>1245</v>
      </c>
    </row>
    <row r="572" spans="1:23" s="114" customFormat="1">
      <c r="L572" s="118"/>
      <c r="N572" s="908"/>
      <c r="O572" s="907"/>
      <c r="P572" s="907"/>
      <c r="Q572" s="138"/>
    </row>
    <row r="573" spans="1:23" s="114" customFormat="1">
      <c r="L573" s="118"/>
      <c r="N573" s="907"/>
      <c r="O573" s="907"/>
      <c r="P573" s="907"/>
      <c r="Q573" s="138"/>
    </row>
    <row r="574" spans="1:23" s="114" customFormat="1">
      <c r="L574" s="118"/>
      <c r="N574" s="907"/>
      <c r="O574" s="907"/>
      <c r="P574" s="907"/>
      <c r="Q574" s="138"/>
    </row>
    <row r="575" spans="1:23">
      <c r="N575" s="144"/>
      <c r="O575" s="144"/>
      <c r="P575" s="144"/>
      <c r="Q575" s="144"/>
    </row>
  </sheetData>
  <phoneticPr fontId="0" type="noConversion"/>
  <conditionalFormatting sqref="D468:D570 D9:D466">
    <cfRule type="containsErrors" dxfId="7" priority="16">
      <formula>ISERROR(D9)</formula>
    </cfRule>
  </conditionalFormatting>
  <conditionalFormatting sqref="D467">
    <cfRule type="containsErrors" dxfId="6" priority="14">
      <formula>ISERROR(D467)</formula>
    </cfRule>
  </conditionalFormatting>
  <pageMargins left="0.75" right="0.75" top="1" bottom="1" header="0.5" footer="0.5"/>
  <pageSetup paperSize="9" scale="24" orientation="portrait" r:id="rId1"/>
  <headerFooter alignWithMargins="0">
    <oddFooter>&amp;LEnergiekamer NMa&amp;R&amp;F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W26"/>
  <sheetViews>
    <sheetView showGridLines="0" tabSelected="1" zoomScale="80" zoomScaleNormal="80" zoomScaleSheetLayoutView="55" workbookViewId="0">
      <selection activeCell="E23" sqref="E23:E24"/>
    </sheetView>
  </sheetViews>
  <sheetFormatPr defaultRowHeight="12.75"/>
  <cols>
    <col min="1" max="1" width="34" customWidth="1"/>
    <col min="2" max="2" width="92" customWidth="1"/>
    <col min="3" max="3" width="16.85546875" style="171" customWidth="1"/>
    <col min="4" max="4" width="23.28515625" customWidth="1"/>
    <col min="5" max="5" width="19.28515625" customWidth="1"/>
    <col min="6" max="7" width="16.42578125" bestFit="1" customWidth="1"/>
    <col min="8" max="8" width="13.7109375" customWidth="1"/>
    <col min="9" max="9" width="19.28515625" bestFit="1" customWidth="1"/>
    <col min="10" max="10" width="15" style="23" customWidth="1"/>
    <col min="11" max="11" width="1.7109375" customWidth="1"/>
    <col min="12" max="12" width="15.42578125" bestFit="1" customWidth="1"/>
    <col min="13" max="13" width="1.7109375" customWidth="1"/>
    <col min="14" max="14" width="16.42578125" style="171" bestFit="1" customWidth="1"/>
    <col min="15" max="15" width="15.7109375" customWidth="1"/>
    <col min="16" max="17" width="12.5703125" bestFit="1" customWidth="1"/>
    <col min="18" max="18" width="13.5703125" customWidth="1"/>
    <col min="19" max="19" width="14.85546875" customWidth="1"/>
    <col min="20" max="20" width="15.28515625" customWidth="1"/>
    <col min="21" max="21" width="28.7109375" customWidth="1"/>
    <col min="22" max="22" width="7.28515625" customWidth="1"/>
    <col min="23" max="23" width="50.42578125" customWidth="1"/>
  </cols>
  <sheetData>
    <row r="1" spans="1:23" s="13" customFormat="1" ht="23.25" customHeight="1">
      <c r="A1" s="9" t="s">
        <v>799</v>
      </c>
      <c r="B1" s="14"/>
      <c r="C1" s="14"/>
      <c r="D1" s="731"/>
      <c r="E1" s="14"/>
      <c r="F1" s="14"/>
      <c r="G1" s="14"/>
      <c r="H1" s="14"/>
      <c r="I1" s="14"/>
      <c r="J1" s="14"/>
      <c r="K1" s="14"/>
      <c r="L1" s="14"/>
      <c r="M1" s="14"/>
      <c r="N1" s="14"/>
      <c r="O1" s="14"/>
      <c r="P1" s="731"/>
      <c r="Q1" s="879"/>
      <c r="R1" s="879"/>
      <c r="S1" s="879"/>
      <c r="T1" s="879"/>
      <c r="U1" s="1165" t="s">
        <v>165</v>
      </c>
      <c r="W1" s="1395" t="s">
        <v>813</v>
      </c>
    </row>
    <row r="2" spans="1:23">
      <c r="B2" s="59"/>
      <c r="J2"/>
      <c r="Q2" s="25"/>
      <c r="R2" s="25"/>
      <c r="S2" s="25"/>
      <c r="T2" s="25"/>
      <c r="W2" s="728"/>
    </row>
    <row r="3" spans="1:23" s="30" customFormat="1" ht="72.75" customHeight="1">
      <c r="A3" s="576" t="s">
        <v>273</v>
      </c>
      <c r="B3" s="577" t="s">
        <v>154</v>
      </c>
      <c r="C3" s="239" t="s">
        <v>897</v>
      </c>
      <c r="D3" s="239" t="s">
        <v>1006</v>
      </c>
      <c r="E3" s="239" t="s">
        <v>1007</v>
      </c>
      <c r="F3" s="239" t="s">
        <v>152</v>
      </c>
      <c r="G3" s="239" t="s">
        <v>153</v>
      </c>
      <c r="H3" s="239" t="s">
        <v>146</v>
      </c>
      <c r="I3" s="239" t="s">
        <v>151</v>
      </c>
      <c r="J3" s="239" t="s">
        <v>810</v>
      </c>
      <c r="K3" s="239"/>
      <c r="L3" s="239" t="s">
        <v>147</v>
      </c>
      <c r="M3" s="239"/>
      <c r="N3" s="239" t="s">
        <v>656</v>
      </c>
      <c r="O3" s="239" t="s">
        <v>156</v>
      </c>
      <c r="P3" s="239" t="s">
        <v>149</v>
      </c>
      <c r="Q3" s="239" t="s">
        <v>148</v>
      </c>
      <c r="R3" s="239" t="s">
        <v>681</v>
      </c>
      <c r="S3" s="239" t="s">
        <v>898</v>
      </c>
      <c r="T3" s="240" t="s">
        <v>899</v>
      </c>
      <c r="U3" s="1184" t="s">
        <v>813</v>
      </c>
      <c r="W3" s="728"/>
    </row>
    <row r="4" spans="1:23" s="589" customFormat="1" ht="13.5" customHeight="1">
      <c r="A4" s="585"/>
      <c r="B4" s="585"/>
      <c r="C4" s="217" t="s">
        <v>769</v>
      </c>
      <c r="D4" s="585"/>
      <c r="E4" s="585"/>
      <c r="F4" s="587"/>
      <c r="G4" s="587"/>
      <c r="H4" s="586"/>
      <c r="I4" s="586"/>
      <c r="J4" s="217" t="s">
        <v>766</v>
      </c>
      <c r="K4" s="586"/>
      <c r="L4" s="217" t="s">
        <v>769</v>
      </c>
      <c r="M4" s="586"/>
      <c r="N4" s="588"/>
      <c r="O4" s="588"/>
      <c r="P4" s="588"/>
      <c r="Q4" s="588"/>
      <c r="R4" s="588"/>
      <c r="S4" s="217" t="s">
        <v>769</v>
      </c>
      <c r="T4" s="217" t="s">
        <v>769</v>
      </c>
      <c r="U4" s="585"/>
      <c r="W4" s="728"/>
    </row>
    <row r="5" spans="1:23" s="30" customFormat="1" ht="13.5" customHeight="1">
      <c r="F5" s="51"/>
      <c r="G5" s="51"/>
      <c r="H5" s="171"/>
      <c r="I5" s="171"/>
      <c r="J5" s="317"/>
      <c r="K5" s="171"/>
      <c r="L5" s="202"/>
      <c r="M5" s="201"/>
      <c r="N5" s="204"/>
      <c r="O5" s="204"/>
      <c r="P5" s="204"/>
      <c r="Q5" s="204"/>
      <c r="R5" s="204"/>
      <c r="S5" s="25"/>
      <c r="T5" s="25"/>
      <c r="W5" s="728"/>
    </row>
    <row r="6" spans="1:23" s="30" customFormat="1" ht="13.5" customHeight="1">
      <c r="C6" s="837" t="s">
        <v>582</v>
      </c>
      <c r="D6" s="917">
        <f>Parameters!$B$61-Parameters!B18</f>
        <v>0.9536</v>
      </c>
      <c r="E6" s="904">
        <f>TAR_Tab_3_Tariefaanpassing!D24</f>
        <v>1.0566423698176322</v>
      </c>
      <c r="F6" s="86">
        <v>0.95</v>
      </c>
      <c r="G6" s="86">
        <v>1.05</v>
      </c>
      <c r="H6" s="137"/>
      <c r="I6" s="137"/>
      <c r="J6" s="317"/>
      <c r="K6" s="137"/>
      <c r="L6" s="147" t="s">
        <v>582</v>
      </c>
      <c r="N6" s="581">
        <v>0</v>
      </c>
      <c r="O6" s="211">
        <v>0</v>
      </c>
      <c r="P6" s="211">
        <v>0</v>
      </c>
      <c r="Q6" s="211">
        <v>0</v>
      </c>
      <c r="R6" s="211">
        <v>0</v>
      </c>
      <c r="S6" s="25"/>
      <c r="T6" s="25"/>
      <c r="W6" s="728"/>
    </row>
    <row r="7" spans="1:23" s="30" customFormat="1" ht="13.5" customHeight="1">
      <c r="C7" s="837" t="s">
        <v>583</v>
      </c>
      <c r="D7" s="917">
        <f>Parameters!$B$61-Parameters!B19</f>
        <v>0.9536</v>
      </c>
      <c r="E7" s="904">
        <f>TAR_Tab_3_Tariefaanpassing!D26</f>
        <v>1.0699713508625348</v>
      </c>
      <c r="F7" s="86">
        <v>0.95</v>
      </c>
      <c r="G7" s="86">
        <v>1.05</v>
      </c>
      <c r="H7" s="137"/>
      <c r="I7" s="137"/>
      <c r="J7" s="193"/>
      <c r="K7" s="137"/>
      <c r="L7" s="191" t="s">
        <v>583</v>
      </c>
      <c r="M7" s="137"/>
      <c r="N7" s="1520">
        <f>'TAR-Tab 9_incidenteel'!E43</f>
        <v>3.1137826432160853E-3</v>
      </c>
      <c r="O7" s="92">
        <f>TAR_Tab_4_BESeF!E23</f>
        <v>-9.3215974701137641E-2</v>
      </c>
      <c r="P7" s="92">
        <f>'TAR_Tab 7_MFA '!B46</f>
        <v>6.7666625987440349E-3</v>
      </c>
      <c r="Q7" s="92">
        <f>'TAR_Tab 6_NPD'!B45</f>
        <v>0</v>
      </c>
      <c r="R7" s="92">
        <f>'TAR_Tab 5_UI'!B201</f>
        <v>6.2224773596935158E-2</v>
      </c>
      <c r="S7" s="25"/>
      <c r="T7" s="25"/>
      <c r="W7" s="1323" t="s">
        <v>1390</v>
      </c>
    </row>
    <row r="8" spans="1:23" s="30" customFormat="1" ht="13.5" customHeight="1">
      <c r="C8" s="837" t="s">
        <v>545</v>
      </c>
      <c r="D8" s="917">
        <f>Parameters!$B$61-Parameters!B22</f>
        <v>0.91690000000000005</v>
      </c>
      <c r="E8" s="904">
        <f>TAR_Tab_3_Tariefaanpassing!D28</f>
        <v>1.0699713508625348</v>
      </c>
      <c r="F8" s="86">
        <v>0.95</v>
      </c>
      <c r="G8" s="86">
        <v>1.05</v>
      </c>
      <c r="H8" s="137"/>
      <c r="I8" s="137"/>
      <c r="J8" s="193"/>
      <c r="K8" s="137"/>
      <c r="L8" s="192" t="s">
        <v>545</v>
      </c>
      <c r="M8" s="137"/>
      <c r="N8" s="1520">
        <f>'TAR-Tab 9_incidenteel'!H43</f>
        <v>5.0743895940227922E-3</v>
      </c>
      <c r="O8" s="92">
        <f>TAR_Tab_4_BESeF!H23</f>
        <v>-0.16799112600306432</v>
      </c>
      <c r="P8" s="92">
        <f>'TAR_Tab 7_MFA '!B48</f>
        <v>0</v>
      </c>
      <c r="Q8" s="92">
        <f>'TAR_Tab 6_NPD'!B46</f>
        <v>0</v>
      </c>
      <c r="R8" s="92">
        <f>'TAR_Tab 5_UI'!B202</f>
        <v>3.8826804097769882E-2</v>
      </c>
      <c r="S8" s="144"/>
      <c r="T8" s="144"/>
      <c r="W8" s="1323" t="s">
        <v>1390</v>
      </c>
    </row>
    <row r="9" spans="1:23" s="30" customFormat="1" ht="13.5" customHeight="1">
      <c r="C9" s="837" t="s">
        <v>618</v>
      </c>
      <c r="D9" s="917">
        <f>Parameters!$B$61-Parameters!B20</f>
        <v>0.94430000000000003</v>
      </c>
      <c r="E9" s="904">
        <f>TAR_Tab_3_Tariefaanpassing!D30</f>
        <v>1.0367308717758259</v>
      </c>
      <c r="F9" s="86">
        <v>0.95</v>
      </c>
      <c r="G9" s="86">
        <v>1.05</v>
      </c>
      <c r="H9" s="137"/>
      <c r="I9" s="137"/>
      <c r="J9" s="193"/>
      <c r="K9" s="137"/>
      <c r="L9" s="192" t="s">
        <v>618</v>
      </c>
      <c r="M9" s="137"/>
      <c r="N9" s="1520">
        <f>'TAR-Tab 9_incidenteel'!F43</f>
        <v>3.1595011219446747E-3</v>
      </c>
      <c r="O9" s="92">
        <f>TAR_Tab_4_BESeF!B23</f>
        <v>2.4926348019781068E-3</v>
      </c>
      <c r="P9" s="92">
        <f>'TAR_Tab 7_MFA '!B47</f>
        <v>5.2646369121448731E-3</v>
      </c>
      <c r="Q9" s="377">
        <v>0</v>
      </c>
      <c r="R9" s="92">
        <f>'TAR_Tab 5_UI'!B200</f>
        <v>1.3919147995885917E-2</v>
      </c>
      <c r="S9" s="144"/>
      <c r="T9" s="144"/>
      <c r="W9" s="1323" t="s">
        <v>1390</v>
      </c>
    </row>
    <row r="10" spans="1:23" s="30" customFormat="1" ht="13.5" customHeight="1">
      <c r="B10" s="147"/>
      <c r="F10" s="51"/>
      <c r="G10" s="51"/>
      <c r="H10" s="171"/>
      <c r="I10" s="171"/>
      <c r="J10" s="193"/>
      <c r="K10" s="171"/>
      <c r="L10" s="192"/>
      <c r="M10" s="114"/>
      <c r="N10" s="204"/>
      <c r="O10" s="204"/>
      <c r="P10" s="204"/>
      <c r="Q10" s="204"/>
      <c r="R10" s="204"/>
      <c r="S10" s="144"/>
      <c r="T10" s="144"/>
      <c r="W10" s="728"/>
    </row>
    <row r="11" spans="1:23" s="30" customFormat="1" ht="13.5" customHeight="1">
      <c r="A11" s="31"/>
      <c r="B11" s="31"/>
      <c r="C11" s="16"/>
      <c r="D11" s="16"/>
      <c r="E11" s="16"/>
      <c r="F11" s="16"/>
      <c r="G11" s="16"/>
      <c r="H11" s="16"/>
      <c r="I11" s="16"/>
      <c r="J11" s="16"/>
      <c r="K11" s="16"/>
      <c r="L11" s="16"/>
      <c r="M11" s="16"/>
      <c r="N11" s="53"/>
      <c r="O11" s="16"/>
      <c r="P11" s="16"/>
      <c r="Q11" s="16"/>
      <c r="R11" s="16"/>
      <c r="S11" s="16"/>
      <c r="T11" s="29"/>
      <c r="U11" s="1183"/>
      <c r="W11" s="728"/>
    </row>
    <row r="12" spans="1:23">
      <c r="A12" s="146" t="s">
        <v>112</v>
      </c>
      <c r="B12" s="146" t="s">
        <v>770</v>
      </c>
      <c r="C12" s="836">
        <v>0.19413051354476571</v>
      </c>
      <c r="D12" s="1376">
        <f>C12*$D$6</f>
        <v>0.18512285771628859</v>
      </c>
      <c r="E12" s="1377">
        <f>D12*$E$6</f>
        <v>0.1956086550847515</v>
      </c>
      <c r="F12" s="1378">
        <f>E12*$F$6</f>
        <v>0.18582822233051391</v>
      </c>
      <c r="G12" s="1378">
        <f>E12*$G$6</f>
        <v>0.2053890878389891</v>
      </c>
      <c r="H12" s="1387">
        <f>E12</f>
        <v>0.1956086550847515</v>
      </c>
      <c r="I12" s="22" t="b">
        <f>IF(H12&gt;0,AND(H12&gt;=F12,H12&lt;=G12),"")</f>
        <v>1</v>
      </c>
      <c r="J12" s="594">
        <f>'TAR_Tab 2_Volumina'!AL12</f>
        <v>2003627.2028619526</v>
      </c>
      <c r="K12" s="1388"/>
      <c r="L12" s="1361">
        <f t="shared" ref="L12:L17" si="0">IF(H12&gt;0,H12,E12)</f>
        <v>0.1956086550847515</v>
      </c>
      <c r="M12" s="17"/>
      <c r="N12" s="1391"/>
      <c r="O12" s="1392"/>
      <c r="P12" s="1392"/>
      <c r="Q12" s="1392"/>
      <c r="R12" s="1392"/>
      <c r="S12" s="1358">
        <f>L12+N12+O12+P12+Q12+R12</f>
        <v>0.1956086550847515</v>
      </c>
      <c r="T12" s="1393">
        <f>ROUND(S12,3)</f>
        <v>0.19600000000000001</v>
      </c>
      <c r="U12" s="960"/>
      <c r="W12" s="728"/>
    </row>
    <row r="13" spans="1:23">
      <c r="A13" s="146" t="s">
        <v>114</v>
      </c>
      <c r="B13" s="146" t="s">
        <v>274</v>
      </c>
      <c r="C13" s="1379">
        <v>99.20155486052542</v>
      </c>
      <c r="D13" s="1380">
        <f>C13*$D$6</f>
        <v>94.598602714997043</v>
      </c>
      <c r="E13" s="1367">
        <f>D13*$E$6</f>
        <v>99.956891754211171</v>
      </c>
      <c r="F13" s="1381">
        <f>E13*$F$6</f>
        <v>94.959047166500611</v>
      </c>
      <c r="G13" s="1381">
        <f>E13*$G$6</f>
        <v>104.95473634192173</v>
      </c>
      <c r="H13" s="1370">
        <f t="shared" ref="H13:H17" si="1">E13</f>
        <v>99.956891754211171</v>
      </c>
      <c r="I13" s="22" t="b">
        <f t="shared" ref="I13:I17" si="2">IF(H13&gt;0,AND(H13&gt;=F13,H13&lt;=G13),"")</f>
        <v>1</v>
      </c>
      <c r="J13" s="595">
        <f>'TAR_Tab 2_Volumina'!AL13</f>
        <v>182.00000000000003</v>
      </c>
      <c r="K13" s="1388"/>
      <c r="L13" s="1361">
        <f t="shared" si="0"/>
        <v>99.956891754211171</v>
      </c>
      <c r="N13" s="1391"/>
      <c r="O13" s="1392"/>
      <c r="P13" s="1392"/>
      <c r="Q13" s="1392"/>
      <c r="R13" s="1392"/>
      <c r="S13" s="1394">
        <f>L13+N13+O13+P13+Q13+R13</f>
        <v>99.956891754211171</v>
      </c>
      <c r="T13" s="1368">
        <f>ROUND(S13,2)</f>
        <v>99.96</v>
      </c>
      <c r="U13" s="960"/>
      <c r="W13" s="728"/>
    </row>
    <row r="14" spans="1:23" s="114" customFormat="1">
      <c r="A14" s="146" t="s">
        <v>654</v>
      </c>
      <c r="B14" s="146" t="s">
        <v>274</v>
      </c>
      <c r="C14" s="1379">
        <v>99.20155486052542</v>
      </c>
      <c r="D14" s="1380">
        <f>C14*$D$6</f>
        <v>94.598602714997043</v>
      </c>
      <c r="E14" s="1367">
        <f>D14*$E$6</f>
        <v>99.956891754211171</v>
      </c>
      <c r="F14" s="1381">
        <f>E14*$F$6</f>
        <v>94.959047166500611</v>
      </c>
      <c r="G14" s="1381">
        <f>E14*$G$6</f>
        <v>104.95473634192173</v>
      </c>
      <c r="H14" s="1370">
        <f t="shared" si="1"/>
        <v>99.956891754211171</v>
      </c>
      <c r="I14" s="22" t="b">
        <f t="shared" si="2"/>
        <v>1</v>
      </c>
      <c r="J14" s="595">
        <f>'TAR_Tab 2_Volumina'!AL14</f>
        <v>587</v>
      </c>
      <c r="K14" s="1389"/>
      <c r="L14" s="1361">
        <f t="shared" si="0"/>
        <v>99.956891754211171</v>
      </c>
      <c r="N14" s="1391"/>
      <c r="O14" s="1392"/>
      <c r="P14" s="1392"/>
      <c r="Q14" s="1392"/>
      <c r="R14" s="1392"/>
      <c r="S14" s="1394">
        <f>L14+N14+O14+P14+Q14+R14</f>
        <v>99.956891754211171</v>
      </c>
      <c r="T14" s="1368">
        <f>ROUND(S14,2)</f>
        <v>99.96</v>
      </c>
      <c r="U14" s="1185"/>
      <c r="W14" s="728"/>
    </row>
    <row r="15" spans="1:23" s="137" customFormat="1">
      <c r="A15" s="146" t="s">
        <v>624</v>
      </c>
      <c r="B15" s="146" t="s">
        <v>771</v>
      </c>
      <c r="C15" s="1382">
        <v>4.6150267090670431E-2</v>
      </c>
      <c r="D15" s="1376">
        <f>C15*$D$7</f>
        <v>4.4008894697663323E-2</v>
      </c>
      <c r="E15" s="1383">
        <f>D15*E7</f>
        <v>4.7088256509625871E-2</v>
      </c>
      <c r="F15" s="1384">
        <f>E15*$F$7</f>
        <v>4.4733843684144577E-2</v>
      </c>
      <c r="G15" s="1384">
        <f>E15*$G$7</f>
        <v>4.9442669335107166E-2</v>
      </c>
      <c r="H15" s="1387">
        <f t="shared" si="1"/>
        <v>4.7088256509625871E-2</v>
      </c>
      <c r="I15" s="242" t="b">
        <f t="shared" si="2"/>
        <v>1</v>
      </c>
      <c r="J15" s="596">
        <f>'TAR_Tab 2_Volumina'!AL15</f>
        <v>694298320.33823371</v>
      </c>
      <c r="K15" s="1390"/>
      <c r="L15" s="1356">
        <f t="shared" si="0"/>
        <v>4.7088256509625871E-2</v>
      </c>
      <c r="N15" s="1361">
        <f>$N$7*L15</f>
        <v>1.4662259581897988E-4</v>
      </c>
      <c r="O15" s="1362">
        <f>$O$7*L15</f>
        <v>-4.3893777275219653E-3</v>
      </c>
      <c r="P15" s="1362">
        <f>$P$7*L15</f>
        <v>3.186303441637507E-4</v>
      </c>
      <c r="Q15" s="1362">
        <f>$Q$7*L15</f>
        <v>0</v>
      </c>
      <c r="R15" s="1362">
        <f>$R$7*L15</f>
        <v>2.9300561003858779E-3</v>
      </c>
      <c r="S15" s="1362">
        <f t="shared" ref="S15:S16" si="3">L15+N15+O15+P15+Q15+R15</f>
        <v>4.6094187822472515E-2</v>
      </c>
      <c r="T15" s="1393">
        <f>ROUND(S15,3)</f>
        <v>4.5999999999999999E-2</v>
      </c>
      <c r="U15" s="944"/>
      <c r="W15" s="728"/>
    </row>
    <row r="16" spans="1:23" s="137" customFormat="1">
      <c r="A16" s="146" t="s">
        <v>275</v>
      </c>
      <c r="B16" s="146" t="s">
        <v>771</v>
      </c>
      <c r="C16" s="836">
        <v>0.12405330925512338</v>
      </c>
      <c r="D16" s="1376">
        <f>C16*$D$8</f>
        <v>0.11374447925602263</v>
      </c>
      <c r="E16" s="1385">
        <f>D16*E8</f>
        <v>0.12170333412272211</v>
      </c>
      <c r="F16" s="1384">
        <f>E16*$F$8</f>
        <v>0.115618167416586</v>
      </c>
      <c r="G16" s="1384">
        <f>E16*$G$8</f>
        <v>0.1277885008288582</v>
      </c>
      <c r="H16" s="1387">
        <f t="shared" si="1"/>
        <v>0.12170333412272211</v>
      </c>
      <c r="I16" s="242" t="b">
        <f t="shared" si="2"/>
        <v>1</v>
      </c>
      <c r="J16" s="596">
        <f>'TAR_Tab 2_Volumina'!AL16</f>
        <v>694298320.33823371</v>
      </c>
      <c r="K16" s="1390"/>
      <c r="L16" s="1356">
        <f t="shared" si="0"/>
        <v>0.12170333412272211</v>
      </c>
      <c r="N16" s="1361">
        <f>$N$8*L16</f>
        <v>6.1757013223022006E-4</v>
      </c>
      <c r="O16" s="1362">
        <f>$O$8*L16</f>
        <v>-2.0445080137603246E-2</v>
      </c>
      <c r="P16" s="1362">
        <f>$P$8*L16</f>
        <v>0</v>
      </c>
      <c r="Q16" s="1362">
        <f>$Q8*L16</f>
        <v>0</v>
      </c>
      <c r="R16" s="1362">
        <f>$R$8*L16</f>
        <v>4.7253515120283642E-3</v>
      </c>
      <c r="S16" s="1362">
        <f t="shared" si="3"/>
        <v>0.10660117562937745</v>
      </c>
      <c r="T16" s="1393">
        <f t="shared" ref="T16" si="4">ROUND(S16,3)</f>
        <v>0.107</v>
      </c>
      <c r="U16" s="944"/>
      <c r="W16" s="728"/>
    </row>
    <row r="17" spans="1:23" s="137" customFormat="1">
      <c r="A17" s="146" t="s">
        <v>693</v>
      </c>
      <c r="B17" s="146" t="s">
        <v>772</v>
      </c>
      <c r="C17" s="1382">
        <v>0.10857373367306102</v>
      </c>
      <c r="D17" s="1376">
        <f>C17*$D$9</f>
        <v>0.10252617670747152</v>
      </c>
      <c r="E17" s="1386">
        <f>D17*E9</f>
        <v>0.10629205255777932</v>
      </c>
      <c r="F17" s="1384">
        <f>E17*$F$9</f>
        <v>0.10097744992989036</v>
      </c>
      <c r="G17" s="1384">
        <f>E17*$G$9</f>
        <v>0.11160665518566829</v>
      </c>
      <c r="H17" s="1387">
        <f t="shared" si="1"/>
        <v>0.10629205255777932</v>
      </c>
      <c r="I17" s="242" t="b">
        <f t="shared" si="2"/>
        <v>1</v>
      </c>
      <c r="J17" s="596">
        <f>'TAR_Tab 2_Volumina'!AL17</f>
        <v>319947530.89727527</v>
      </c>
      <c r="K17" s="1390"/>
      <c r="L17" s="1356">
        <f t="shared" si="0"/>
        <v>0.10629205255777932</v>
      </c>
      <c r="N17" s="1361">
        <f>$N$9*L17</f>
        <v>3.3582985931010609E-4</v>
      </c>
      <c r="O17" s="1362">
        <f>$O$9*L17</f>
        <v>2.6494726937920679E-4</v>
      </c>
      <c r="P17" s="1362">
        <f>$P$9*L17</f>
        <v>5.5958906336332792E-4</v>
      </c>
      <c r="Q17" s="1362">
        <f>$Q9*L17</f>
        <v>0</v>
      </c>
      <c r="R17" s="1362">
        <f>$R$9*L17</f>
        <v>1.4794948103382145E-3</v>
      </c>
      <c r="S17" s="1362">
        <f t="shared" ref="S17" si="5">L17+N17+O17+P17+Q17+R17</f>
        <v>0.10893191356017017</v>
      </c>
      <c r="T17" s="1393">
        <f>ROUND(S17,3)</f>
        <v>0.109</v>
      </c>
      <c r="U17" s="944"/>
      <c r="W17" s="728"/>
    </row>
    <row r="19" spans="1:23">
      <c r="F19" s="114"/>
      <c r="G19" s="114"/>
      <c r="H19" s="114"/>
      <c r="I19" s="114"/>
      <c r="J19" s="118"/>
    </row>
    <row r="20" spans="1:23" s="171" customFormat="1" ht="15.75">
      <c r="A20" s="1085" t="s">
        <v>941</v>
      </c>
      <c r="B20" s="1085"/>
      <c r="C20" s="710"/>
      <c r="D20" s="1085"/>
      <c r="E20" s="1085"/>
      <c r="F20" s="1086"/>
      <c r="G20" s="114"/>
      <c r="H20" s="114"/>
      <c r="I20" s="114"/>
      <c r="J20" s="118"/>
    </row>
    <row r="21" spans="1:23" ht="30">
      <c r="A21" s="970" t="s">
        <v>166</v>
      </c>
      <c r="B21" s="970" t="s">
        <v>167</v>
      </c>
      <c r="C21" s="239" t="s">
        <v>810</v>
      </c>
      <c r="D21" s="239" t="s">
        <v>898</v>
      </c>
      <c r="E21" s="239" t="s">
        <v>899</v>
      </c>
      <c r="F21" s="48"/>
      <c r="G21" s="114"/>
      <c r="H21" s="114"/>
      <c r="I21" s="114"/>
      <c r="O21" s="171"/>
      <c r="P21" s="171"/>
    </row>
    <row r="22" spans="1:23">
      <c r="A22" s="1004"/>
      <c r="B22" s="970"/>
      <c r="C22" s="217" t="s">
        <v>766</v>
      </c>
      <c r="D22" s="217" t="s">
        <v>769</v>
      </c>
      <c r="E22" s="217" t="s">
        <v>769</v>
      </c>
      <c r="F22" s="48"/>
      <c r="G22" s="114"/>
      <c r="H22" s="114"/>
      <c r="I22" s="321"/>
      <c r="O22" s="171"/>
      <c r="P22" s="171"/>
    </row>
    <row r="23" spans="1:23">
      <c r="A23" s="1587"/>
      <c r="B23" s="1588"/>
      <c r="C23" s="1589"/>
      <c r="D23" s="1590"/>
      <c r="E23" s="1088">
        <v>0.112</v>
      </c>
      <c r="F23" s="1087"/>
      <c r="O23" s="171"/>
      <c r="P23" s="171"/>
    </row>
    <row r="24" spans="1:23">
      <c r="A24" s="1587"/>
      <c r="B24" s="1588"/>
      <c r="C24" s="1589"/>
      <c r="D24" s="1590"/>
      <c r="E24" s="1088">
        <v>0.26800000000000002</v>
      </c>
      <c r="F24" s="1087"/>
    </row>
    <row r="25" spans="1:23">
      <c r="A25" s="1114"/>
      <c r="B25" s="1089"/>
      <c r="C25" s="1090"/>
      <c r="D25" s="1115"/>
      <c r="E25" s="1116"/>
      <c r="F25" s="1087"/>
    </row>
    <row r="26" spans="1:23">
      <c r="A26" s="1114"/>
      <c r="B26" s="1089"/>
      <c r="C26" s="1090"/>
      <c r="D26" s="1115"/>
      <c r="E26" s="1116"/>
      <c r="F26" s="1087"/>
    </row>
  </sheetData>
  <phoneticPr fontId="0" type="noConversion"/>
  <conditionalFormatting sqref="C12">
    <cfRule type="containsErrors" dxfId="5" priority="4">
      <formula>ISERROR(C12)</formula>
    </cfRule>
    <cfRule type="cellIs" dxfId="4" priority="5" operator="equal">
      <formula>#N/A</formula>
    </cfRule>
    <cfRule type="cellIs" dxfId="3" priority="6" operator="equal">
      <formula>#N/A</formula>
    </cfRule>
  </conditionalFormatting>
  <conditionalFormatting sqref="C16">
    <cfRule type="containsErrors" dxfId="2" priority="1">
      <formula>ISERROR(C16)</formula>
    </cfRule>
    <cfRule type="cellIs" dxfId="1" priority="2" operator="equal">
      <formula>#N/A</formula>
    </cfRule>
    <cfRule type="cellIs" dxfId="0" priority="3" operator="equal">
      <formula>#N/A</formula>
    </cfRule>
  </conditionalFormatting>
  <pageMargins left="0.75" right="0.75" top="1" bottom="1" header="0.5" footer="0.5"/>
  <pageSetup paperSize="9" scale="32" orientation="landscape" r:id="rId1"/>
  <headerFooter alignWithMargins="0">
    <oddFooter>&amp;LEnergiekamer NMa&amp;R&amp;F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80"/>
  </sheetPr>
  <dimension ref="A1"/>
  <sheetViews>
    <sheetView showGridLines="0" zoomScale="80" zoomScaleNormal="80"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7:R32"/>
  <sheetViews>
    <sheetView showGridLines="0" zoomScale="80" zoomScaleNormal="80" zoomScaleSheetLayoutView="70" workbookViewId="0">
      <selection activeCell="A7" sqref="A7:R7"/>
    </sheetView>
  </sheetViews>
  <sheetFormatPr defaultRowHeight="12.75"/>
  <cols>
    <col min="1" max="1" width="3.5703125" style="1" customWidth="1"/>
    <col min="2" max="2" width="5.42578125" style="1" customWidth="1"/>
    <col min="3" max="6" width="8" style="1" customWidth="1"/>
    <col min="7" max="7" width="12.5703125" style="1" customWidth="1"/>
    <col min="8" max="14" width="10.85546875" style="1" customWidth="1"/>
    <col min="15" max="15" width="70" style="1" customWidth="1"/>
    <col min="16" max="16" width="25.85546875" style="1" customWidth="1"/>
    <col min="17" max="18" width="9.140625" style="1" hidden="1" customWidth="1"/>
    <col min="19" max="16384" width="9.140625" style="1"/>
  </cols>
  <sheetData>
    <row r="7" spans="1:18" ht="60">
      <c r="A7" s="1610" t="s">
        <v>161</v>
      </c>
      <c r="B7" s="1611"/>
      <c r="C7" s="1611"/>
      <c r="D7" s="1611"/>
      <c r="E7" s="1611"/>
      <c r="F7" s="1611"/>
      <c r="G7" s="1611"/>
      <c r="H7" s="1611"/>
      <c r="I7" s="1611"/>
      <c r="J7" s="1611"/>
      <c r="K7" s="1611"/>
      <c r="L7" s="1611"/>
      <c r="M7" s="1611"/>
      <c r="N7" s="1611"/>
      <c r="O7" s="1611"/>
      <c r="P7" s="1611"/>
      <c r="Q7" s="1611"/>
      <c r="R7" s="1611"/>
    </row>
    <row r="8" spans="1:18" ht="45.75" customHeight="1"/>
    <row r="9" spans="1:18" ht="60">
      <c r="A9" s="1610" t="s">
        <v>1433</v>
      </c>
      <c r="B9" s="1612"/>
      <c r="C9" s="1612"/>
      <c r="D9" s="1612"/>
      <c r="E9" s="1612"/>
      <c r="F9" s="1612"/>
      <c r="G9" s="1612"/>
      <c r="H9" s="1612"/>
      <c r="I9" s="1612"/>
      <c r="J9" s="1612"/>
      <c r="K9" s="1612"/>
      <c r="L9" s="1612"/>
      <c r="M9" s="1612"/>
      <c r="N9" s="1612"/>
      <c r="O9" s="1612"/>
      <c r="P9" s="1612"/>
      <c r="Q9" s="1612"/>
      <c r="R9" s="1612"/>
    </row>
    <row r="11" spans="1:18" s="2" customFormat="1">
      <c r="A11" s="1"/>
      <c r="B11" s="1"/>
      <c r="C11" s="1"/>
      <c r="D11" s="1"/>
      <c r="E11" s="1"/>
      <c r="F11" s="1"/>
      <c r="G11" s="1"/>
      <c r="H11" s="1"/>
      <c r="I11" s="1"/>
      <c r="J11" s="1"/>
      <c r="K11" s="1"/>
      <c r="L11" s="1"/>
      <c r="M11" s="1"/>
      <c r="N11" s="1"/>
      <c r="O11" s="1"/>
      <c r="P11" s="1"/>
      <c r="Q11" s="1"/>
      <c r="R11" s="1"/>
    </row>
    <row r="12" spans="1:18" s="2" customFormat="1">
      <c r="A12" s="3"/>
      <c r="B12" s="3"/>
      <c r="C12" s="3"/>
      <c r="D12" s="3"/>
      <c r="E12" s="3"/>
      <c r="F12" s="3"/>
      <c r="G12" s="3"/>
      <c r="H12" s="3"/>
      <c r="I12" s="3"/>
      <c r="J12" s="3"/>
      <c r="K12" s="3"/>
      <c r="L12" s="3"/>
      <c r="M12" s="3"/>
      <c r="N12" s="3"/>
      <c r="O12" s="3"/>
      <c r="P12" s="3"/>
      <c r="Q12" s="1"/>
      <c r="R12" s="1"/>
    </row>
    <row r="13" spans="1:18" s="2" customFormat="1">
      <c r="A13" s="3"/>
      <c r="B13" s="4" t="s">
        <v>162</v>
      </c>
      <c r="C13" s="3"/>
      <c r="D13" s="3"/>
      <c r="E13" s="3"/>
      <c r="F13" s="3"/>
      <c r="G13" s="3"/>
      <c r="H13" s="3"/>
      <c r="I13" s="3"/>
      <c r="J13" s="3"/>
      <c r="K13" s="3"/>
      <c r="L13" s="3"/>
      <c r="M13" s="3"/>
      <c r="N13" s="3"/>
      <c r="O13" s="3"/>
      <c r="P13" s="3"/>
      <c r="Q13" s="1"/>
      <c r="R13" s="1"/>
    </row>
    <row r="14" spans="1:18" s="2" customFormat="1">
      <c r="A14" s="3"/>
      <c r="B14" s="3"/>
      <c r="C14" s="3"/>
      <c r="D14" s="5"/>
      <c r="E14" s="5"/>
      <c r="F14" s="5"/>
      <c r="G14" s="3"/>
      <c r="H14" s="3"/>
      <c r="I14" s="3"/>
      <c r="J14" s="3"/>
      <c r="K14" s="3"/>
      <c r="L14" s="3"/>
      <c r="M14" s="3"/>
      <c r="N14" s="3"/>
      <c r="O14" s="3"/>
      <c r="P14" s="3"/>
      <c r="Q14" s="3"/>
      <c r="R14" s="3"/>
    </row>
    <row r="15" spans="1:18" s="2" customFormat="1" ht="15.75">
      <c r="A15" s="3"/>
      <c r="B15" s="936">
        <v>0</v>
      </c>
      <c r="C15" s="937"/>
      <c r="D15" s="1613" t="s">
        <v>807</v>
      </c>
      <c r="E15" s="1614"/>
      <c r="F15" s="1614"/>
      <c r="G15" s="1614"/>
      <c r="H15" s="1614"/>
      <c r="I15" s="1614"/>
      <c r="J15" s="1614"/>
      <c r="K15" s="1614"/>
      <c r="L15" s="1614"/>
      <c r="M15" s="1614"/>
      <c r="N15" s="1615"/>
      <c r="O15" s="1616"/>
      <c r="P15" s="320"/>
      <c r="Q15" s="3"/>
      <c r="R15" s="3"/>
    </row>
    <row r="16" spans="1:18" ht="15">
      <c r="A16" s="3"/>
      <c r="B16" s="6"/>
      <c r="C16" s="6"/>
      <c r="D16" s="7"/>
      <c r="E16" s="7"/>
      <c r="F16" s="7"/>
      <c r="G16" s="6"/>
      <c r="H16" s="6"/>
      <c r="I16" s="6"/>
      <c r="J16" s="6"/>
      <c r="K16" s="6"/>
      <c r="L16" s="6"/>
      <c r="M16" s="6"/>
      <c r="N16" s="3"/>
      <c r="O16" s="3"/>
      <c r="P16" s="3"/>
      <c r="Q16" s="3"/>
      <c r="R16" s="3"/>
    </row>
    <row r="17" spans="1:18" ht="15.75">
      <c r="A17" s="3"/>
      <c r="B17" s="934">
        <v>0</v>
      </c>
      <c r="C17" s="935"/>
      <c r="D17" s="1617" t="s">
        <v>642</v>
      </c>
      <c r="E17" s="1618"/>
      <c r="F17" s="1618"/>
      <c r="G17" s="1618"/>
      <c r="H17" s="1618"/>
      <c r="I17" s="1618"/>
      <c r="J17" s="1618"/>
      <c r="K17" s="1618"/>
      <c r="L17" s="1618"/>
      <c r="M17" s="1618"/>
      <c r="N17" s="1619"/>
      <c r="O17" s="1620"/>
      <c r="P17" s="3"/>
      <c r="Q17" s="3"/>
      <c r="R17" s="3"/>
    </row>
    <row r="18" spans="1:18" ht="15">
      <c r="A18" s="3"/>
      <c r="B18" s="6"/>
      <c r="C18" s="6"/>
      <c r="D18" s="7"/>
      <c r="E18" s="7"/>
      <c r="F18" s="7"/>
      <c r="G18" s="6"/>
      <c r="H18" s="6"/>
      <c r="I18" s="6"/>
      <c r="J18" s="6"/>
      <c r="K18" s="6"/>
      <c r="L18" s="6"/>
      <c r="M18" s="6"/>
      <c r="N18" s="3"/>
      <c r="O18" s="3"/>
      <c r="P18" s="3"/>
      <c r="Q18" s="3"/>
      <c r="R18" s="3"/>
    </row>
    <row r="19" spans="1:18" ht="15.75">
      <c r="A19" s="3"/>
      <c r="B19" s="932">
        <v>0</v>
      </c>
      <c r="C19" s="933"/>
      <c r="D19" s="1621" t="s">
        <v>163</v>
      </c>
      <c r="E19" s="1622"/>
      <c r="F19" s="1622"/>
      <c r="G19" s="1622"/>
      <c r="H19" s="1622"/>
      <c r="I19" s="1622"/>
      <c r="J19" s="1622"/>
      <c r="K19" s="1622"/>
      <c r="L19" s="1622"/>
      <c r="M19" s="1622"/>
      <c r="N19" s="1623"/>
      <c r="O19" s="1624"/>
      <c r="P19" s="3"/>
      <c r="Q19" s="3"/>
      <c r="R19" s="3"/>
    </row>
    <row r="20" spans="1:18" ht="15">
      <c r="A20" s="3"/>
      <c r="B20" s="6"/>
      <c r="C20" s="6"/>
      <c r="D20" s="7"/>
      <c r="E20" s="7"/>
      <c r="F20" s="7"/>
      <c r="G20" s="6"/>
      <c r="H20" s="6"/>
      <c r="I20" s="6"/>
      <c r="J20" s="6"/>
      <c r="K20" s="6"/>
      <c r="L20" s="6"/>
      <c r="M20" s="6"/>
      <c r="N20" s="3"/>
      <c r="O20" s="3"/>
      <c r="P20" s="3"/>
      <c r="Q20" s="3"/>
      <c r="R20" s="3"/>
    </row>
    <row r="21" spans="1:18" ht="15.75">
      <c r="A21" s="3"/>
      <c r="B21" s="930">
        <v>0</v>
      </c>
      <c r="C21" s="931"/>
      <c r="D21" s="1625" t="s">
        <v>164</v>
      </c>
      <c r="E21" s="1622"/>
      <c r="F21" s="1622"/>
      <c r="G21" s="1622"/>
      <c r="H21" s="1622"/>
      <c r="I21" s="1622"/>
      <c r="J21" s="1622"/>
      <c r="K21" s="1622"/>
      <c r="L21" s="1622"/>
      <c r="M21" s="1622"/>
      <c r="N21" s="1623"/>
      <c r="O21" s="1624"/>
      <c r="P21" s="3"/>
      <c r="Q21" s="3"/>
      <c r="R21" s="3"/>
    </row>
    <row r="22" spans="1:18" ht="15">
      <c r="A22" s="3"/>
      <c r="B22" s="6"/>
      <c r="C22" s="6"/>
      <c r="D22" s="6"/>
      <c r="E22" s="6"/>
      <c r="F22" s="6"/>
      <c r="G22" s="8"/>
      <c r="H22" s="8"/>
      <c r="I22" s="6"/>
      <c r="J22" s="6"/>
      <c r="K22" s="6"/>
      <c r="L22" s="6"/>
      <c r="M22" s="6"/>
      <c r="N22" s="3"/>
      <c r="O22" s="3"/>
      <c r="P22" s="3"/>
      <c r="Q22" s="3"/>
      <c r="R22" s="3"/>
    </row>
    <row r="23" spans="1:18" ht="15.75">
      <c r="A23" s="623"/>
      <c r="B23" s="1161">
        <v>0</v>
      </c>
      <c r="C23" s="1162"/>
      <c r="D23" s="1606" t="s">
        <v>995</v>
      </c>
      <c r="E23" s="1607"/>
      <c r="F23" s="1607"/>
      <c r="G23" s="1607"/>
      <c r="H23" s="1607"/>
      <c r="I23" s="1607"/>
      <c r="J23" s="1607"/>
      <c r="K23" s="1607"/>
      <c r="L23" s="1607"/>
      <c r="M23" s="1607"/>
      <c r="N23" s="1608"/>
      <c r="O23" s="1609"/>
      <c r="P23" s="623"/>
    </row>
    <row r="24" spans="1:18">
      <c r="A24" s="623"/>
      <c r="B24" s="623"/>
      <c r="C24" s="623"/>
      <c r="D24" s="623"/>
      <c r="E24" s="623"/>
      <c r="F24" s="623"/>
      <c r="G24" s="623"/>
      <c r="H24" s="623"/>
      <c r="I24" s="623"/>
      <c r="J24" s="623"/>
      <c r="K24" s="623"/>
      <c r="L24" s="623"/>
      <c r="M24" s="623"/>
      <c r="N24" s="623"/>
      <c r="O24" s="623"/>
      <c r="P24" s="623"/>
    </row>
    <row r="25" spans="1:18" ht="15.75">
      <c r="A25" s="623"/>
      <c r="B25" s="826">
        <v>0</v>
      </c>
      <c r="C25" s="827"/>
      <c r="D25" s="1604" t="s">
        <v>895</v>
      </c>
      <c r="E25" s="1604"/>
      <c r="F25" s="1604"/>
      <c r="G25" s="1604"/>
      <c r="H25" s="1604"/>
      <c r="I25" s="1604"/>
      <c r="J25" s="1604"/>
      <c r="K25" s="1604"/>
      <c r="L25" s="1604"/>
      <c r="M25" s="1604"/>
      <c r="N25" s="1604"/>
      <c r="O25" s="1605"/>
      <c r="P25" s="623"/>
    </row>
    <row r="26" spans="1:18">
      <c r="A26" s="623"/>
      <c r="B26" s="623"/>
      <c r="C26" s="623"/>
      <c r="D26" s="623"/>
      <c r="E26" s="623"/>
      <c r="F26" s="623"/>
      <c r="G26" s="623"/>
      <c r="H26" s="623"/>
      <c r="I26" s="623"/>
      <c r="J26" s="623"/>
      <c r="K26" s="623"/>
      <c r="L26" s="623"/>
      <c r="M26" s="623"/>
      <c r="N26" s="623"/>
      <c r="O26" s="623"/>
      <c r="P26" s="623"/>
    </row>
    <row r="28" spans="1:18" ht="15.75">
      <c r="B28" s="1522">
        <v>0</v>
      </c>
      <c r="C28" s="1523"/>
      <c r="D28" s="1600" t="s">
        <v>1414</v>
      </c>
      <c r="E28" s="1601"/>
      <c r="F28" s="1601"/>
      <c r="G28" s="1601"/>
      <c r="H28" s="1601"/>
      <c r="I28" s="1601"/>
      <c r="J28" s="1601"/>
      <c r="K28" s="1601"/>
      <c r="L28" s="1601"/>
      <c r="M28" s="1601"/>
      <c r="N28" s="1602"/>
      <c r="O28" s="1603"/>
    </row>
    <row r="32" spans="1:18">
      <c r="I32" s="1160" t="s">
        <v>568</v>
      </c>
    </row>
  </sheetData>
  <mergeCells count="9">
    <mergeCell ref="D28:O28"/>
    <mergeCell ref="D25:O25"/>
    <mergeCell ref="D23:O23"/>
    <mergeCell ref="A7:R7"/>
    <mergeCell ref="A9:R9"/>
    <mergeCell ref="D15:O15"/>
    <mergeCell ref="D17:O17"/>
    <mergeCell ref="D19:O19"/>
    <mergeCell ref="D21:O21"/>
  </mergeCells>
  <phoneticPr fontId="0" type="noConversion"/>
  <pageMargins left="0.75" right="0.75" top="1" bottom="1" header="0.5" footer="0.5"/>
  <pageSetup paperSize="9" scale="39" orientation="portrait" r:id="rId1"/>
  <headerFooter alignWithMargins="0">
    <oddFooter>&amp;LEnergiekamer NMa&amp;R&amp;F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showGridLines="0" zoomScale="80" zoomScaleNormal="80" zoomScaleSheetLayoutView="80" workbookViewId="0">
      <selection activeCell="I11" sqref="I11"/>
    </sheetView>
  </sheetViews>
  <sheetFormatPr defaultRowHeight="12.75"/>
  <cols>
    <col min="1" max="1" width="44.7109375" customWidth="1"/>
    <col min="2" max="2" width="21.42578125" customWidth="1"/>
    <col min="3" max="3" width="23.42578125" customWidth="1"/>
    <col min="4" max="4" width="45" bestFit="1" customWidth="1"/>
    <col min="5" max="5" width="10.42578125" bestFit="1" customWidth="1"/>
    <col min="6" max="6" width="14.140625" customWidth="1"/>
    <col min="7" max="7" width="23" customWidth="1"/>
    <col min="9" max="9" width="18.85546875" customWidth="1"/>
    <col min="10" max="10" width="31.28515625" customWidth="1"/>
    <col min="11" max="11" width="21.140625" customWidth="1"/>
    <col min="12" max="12" width="22.140625" customWidth="1"/>
    <col min="13" max="13" width="18.85546875" customWidth="1"/>
    <col min="14" max="14" width="18.28515625" customWidth="1"/>
    <col min="15" max="15" width="16.140625" customWidth="1"/>
    <col min="16" max="16" width="12.7109375" customWidth="1"/>
  </cols>
  <sheetData>
    <row r="1" spans="1:6" s="13" customFormat="1" ht="23.25" customHeight="1">
      <c r="A1" s="9" t="s">
        <v>800</v>
      </c>
      <c r="B1" s="14"/>
      <c r="C1" s="97"/>
      <c r="D1" s="1184" t="s">
        <v>813</v>
      </c>
    </row>
    <row r="2" spans="1:6">
      <c r="A2" s="45"/>
      <c r="B2" s="252"/>
      <c r="D2" s="960"/>
    </row>
    <row r="3" spans="1:6">
      <c r="A3" s="98" t="s">
        <v>2</v>
      </c>
      <c r="B3" s="150"/>
      <c r="C3" s="99"/>
      <c r="D3" s="1185"/>
    </row>
    <row r="4" spans="1:6">
      <c r="D4" s="960"/>
    </row>
    <row r="5" spans="1:6">
      <c r="A5" t="s">
        <v>3</v>
      </c>
      <c r="B5" s="1311">
        <v>2114474.3097838759</v>
      </c>
      <c r="D5" s="1323" t="s">
        <v>1246</v>
      </c>
    </row>
    <row r="6" spans="1:6">
      <c r="A6" t="s">
        <v>4</v>
      </c>
      <c r="B6" s="234">
        <v>-2114474.3097831011</v>
      </c>
      <c r="D6" s="960"/>
      <c r="E6" s="114"/>
    </row>
    <row r="7" spans="1:6">
      <c r="A7" t="s">
        <v>113</v>
      </c>
      <c r="B7" s="234">
        <v>0</v>
      </c>
      <c r="D7" s="1185"/>
      <c r="F7" s="129"/>
    </row>
    <row r="8" spans="1:6">
      <c r="A8" t="s">
        <v>562</v>
      </c>
      <c r="B8" s="234">
        <f>'TAR_Tab 13_Overige tarieven'!E12*'TAR_Tab 13_Overige tarieven'!J12-('TAR_Tab 13_Overige tarieven'!J12*'TAR_Tab 13_Overige tarieven'!H12)</f>
        <v>0</v>
      </c>
      <c r="D8" s="960"/>
    </row>
    <row r="9" spans="1:6">
      <c r="A9" t="s">
        <v>114</v>
      </c>
      <c r="B9" s="234">
        <f>'TAR_Tab 13_Overige tarieven'!E13*'TAR_Tab 13_Overige tarieven'!J13-'TAR_Tab 13_Overige tarieven'!J13*'TAR_Tab 13_Overige tarieven'!H13</f>
        <v>0</v>
      </c>
      <c r="D9" s="1185"/>
      <c r="E9" s="114"/>
    </row>
    <row r="10" spans="1:6" s="171" customFormat="1">
      <c r="A10" s="137" t="s">
        <v>654</v>
      </c>
      <c r="B10" s="234">
        <f>'TAR_Tab 13_Overige tarieven'!E14*'TAR_Tab 13_Overige tarieven'!J14-'TAR_Tab 13_Overige tarieven'!J14*'TAR_Tab 13_Overige tarieven'!H14</f>
        <v>0</v>
      </c>
      <c r="D10" s="960"/>
      <c r="E10" s="321"/>
    </row>
    <row r="11" spans="1:6">
      <c r="B11" s="137"/>
      <c r="D11" s="1185"/>
    </row>
    <row r="12" spans="1:6">
      <c r="A12" s="172" t="s">
        <v>655</v>
      </c>
      <c r="B12" s="231">
        <f>SUM(B5:B10)</f>
        <v>7.7486038208007813E-7</v>
      </c>
      <c r="D12" s="960"/>
      <c r="E12" s="137"/>
    </row>
    <row r="13" spans="1:6">
      <c r="A13" s="25"/>
      <c r="D13" s="1185"/>
    </row>
    <row r="14" spans="1:6">
      <c r="D14" s="960"/>
    </row>
    <row r="15" spans="1:6">
      <c r="D15" s="1185"/>
    </row>
    <row r="16" spans="1:6">
      <c r="D16" s="960"/>
    </row>
    <row r="17" spans="1:16">
      <c r="A17" s="98" t="s">
        <v>1</v>
      </c>
      <c r="B17" s="98"/>
      <c r="C17" s="98"/>
      <c r="D17" s="1185"/>
    </row>
    <row r="18" spans="1:16" ht="81" customHeight="1">
      <c r="A18" s="98"/>
      <c r="B18" s="212" t="s">
        <v>896</v>
      </c>
      <c r="C18" s="212" t="s">
        <v>1016</v>
      </c>
      <c r="D18" s="960"/>
    </row>
    <row r="19" spans="1:16" s="171" customFormat="1">
      <c r="A19" s="113" t="s">
        <v>569</v>
      </c>
      <c r="B19" s="1521">
        <f>Parameters!B85+TAR_Tab_4_BESeF!B18*TAR_Tab_4_BESeF!B20/(TAR_Tab_4_BESeF!B20+TAR_Tab_4_BESeF!B21)+'TAR_Tab 5_UI'!B187+'TAR_Tab 6_NPD'!B35+'TAR_Tab 7_MFA '!B34+'TAR-Tab 9_incidenteel'!D39</f>
        <v>993935154.67474341</v>
      </c>
      <c r="C19" s="329"/>
      <c r="D19" s="1323" t="s">
        <v>1246</v>
      </c>
    </row>
    <row r="20" spans="1:16">
      <c r="A20" s="137" t="s">
        <v>3</v>
      </c>
      <c r="B20" s="378"/>
      <c r="C20" s="234">
        <v>384411979.52661198</v>
      </c>
      <c r="D20" s="960"/>
    </row>
    <row r="21" spans="1:16">
      <c r="A21" s="137" t="s">
        <v>4</v>
      </c>
      <c r="B21" s="378"/>
      <c r="C21" s="234">
        <v>587988524.21290469</v>
      </c>
      <c r="D21" s="1185"/>
    </row>
    <row r="22" spans="1:16">
      <c r="A22" s="172" t="s">
        <v>113</v>
      </c>
      <c r="B22" s="378"/>
      <c r="C22" s="234">
        <v>12615857.263024554</v>
      </c>
      <c r="D22" s="960"/>
    </row>
    <row r="23" spans="1:16">
      <c r="A23" s="172" t="s">
        <v>112</v>
      </c>
      <c r="B23" s="378"/>
      <c r="C23" s="234">
        <f>'TAR_Tab 13_Overige tarieven'!J12*'TAR_Tab 13_Overige tarieven'!S12</f>
        <v>391926.82244304911</v>
      </c>
      <c r="D23" s="1185"/>
      <c r="F23" s="25"/>
      <c r="G23" s="25"/>
      <c r="H23" s="25"/>
      <c r="I23" s="25"/>
      <c r="J23" s="25"/>
      <c r="K23" s="25"/>
      <c r="L23" s="25"/>
      <c r="M23" s="25"/>
      <c r="N23" s="25"/>
      <c r="O23" s="25"/>
      <c r="P23" s="25"/>
    </row>
    <row r="24" spans="1:16">
      <c r="A24" s="172" t="s">
        <v>114</v>
      </c>
      <c r="B24" s="378"/>
      <c r="C24" s="234">
        <f>'TAR_Tab 13_Overige tarieven'!J13*'TAR_Tab 13_Overige tarieven'!S13</f>
        <v>18192.154299266436</v>
      </c>
      <c r="D24" s="960"/>
      <c r="F24" s="1709"/>
      <c r="G24" s="1709"/>
      <c r="H24" s="25"/>
      <c r="I24" s="1709"/>
      <c r="J24" s="1709"/>
      <c r="K24" s="1710"/>
      <c r="L24" s="1709"/>
      <c r="M24" s="1710"/>
      <c r="N24" s="1709"/>
      <c r="O24" s="1710"/>
      <c r="P24" s="1709"/>
    </row>
    <row r="25" spans="1:16" s="171" customFormat="1">
      <c r="A25" s="172" t="s">
        <v>654</v>
      </c>
      <c r="B25" s="378"/>
      <c r="C25" s="234">
        <f>'TAR_Tab 13_Overige tarieven'!J14*'TAR_Tab 13_Overige tarieven'!S14</f>
        <v>58674.695459721959</v>
      </c>
      <c r="D25" s="1185"/>
      <c r="E25" s="597"/>
      <c r="F25" s="785"/>
      <c r="G25" s="785"/>
      <c r="H25" s="914"/>
      <c r="I25" s="914"/>
      <c r="J25" s="915"/>
      <c r="K25" s="913"/>
      <c r="L25" s="913"/>
      <c r="M25" s="913"/>
      <c r="N25" s="913"/>
      <c r="O25" s="913"/>
      <c r="P25" s="25"/>
    </row>
    <row r="26" spans="1:16" s="171" customFormat="1">
      <c r="A26" s="1242" t="s">
        <v>998</v>
      </c>
      <c r="B26" s="378"/>
      <c r="C26" s="1226">
        <f>TAR_Tab_3_Tariefaanpassing!B6</f>
        <v>8450000</v>
      </c>
      <c r="D26" s="960"/>
      <c r="E26" s="597"/>
      <c r="F26" s="1169"/>
      <c r="G26" s="1169"/>
      <c r="H26" s="1168"/>
      <c r="I26" s="1168"/>
      <c r="J26" s="915"/>
      <c r="K26" s="913"/>
      <c r="L26" s="913"/>
      <c r="M26" s="913"/>
      <c r="N26" s="913"/>
      <c r="O26" s="913"/>
      <c r="P26" s="25"/>
    </row>
    <row r="27" spans="1:16" s="171" customFormat="1">
      <c r="A27" s="1242" t="s">
        <v>999</v>
      </c>
      <c r="B27" s="378"/>
      <c r="C27" s="1226">
        <f>TAR_Tab_3_Tariefaanpassing!B7</f>
        <v>0</v>
      </c>
      <c r="D27" s="1185"/>
      <c r="E27" s="597"/>
      <c r="F27" s="1169"/>
      <c r="G27" s="1169"/>
      <c r="H27" s="1168"/>
      <c r="I27" s="1168"/>
      <c r="J27" s="915"/>
      <c r="K27" s="913"/>
      <c r="L27" s="913"/>
      <c r="M27" s="913"/>
      <c r="N27" s="913"/>
      <c r="O27" s="913"/>
      <c r="P27" s="25"/>
    </row>
    <row r="28" spans="1:16" s="171" customFormat="1">
      <c r="A28" s="1242" t="s">
        <v>1000</v>
      </c>
      <c r="B28" s="378"/>
      <c r="C28" s="1226">
        <f>TAR_Tab_3_Tariefaanpassing!B8</f>
        <v>0</v>
      </c>
      <c r="D28" s="960"/>
      <c r="E28" s="597"/>
      <c r="F28" s="1169"/>
      <c r="G28" s="1169"/>
      <c r="H28" s="1168"/>
      <c r="I28" s="1168"/>
      <c r="J28" s="915"/>
      <c r="K28" s="913"/>
      <c r="L28" s="913"/>
      <c r="M28" s="913"/>
      <c r="N28" s="913"/>
      <c r="O28" s="913"/>
      <c r="P28" s="25"/>
    </row>
    <row r="29" spans="1:16" s="113" customFormat="1">
      <c r="A29" s="95" t="s">
        <v>24</v>
      </c>
      <c r="B29" s="1521">
        <f>Parameters!B89+TAR_Tab_4_BESeF!H18+'TAR_Tab 5_UI'!E176+'TAR_Tab 6_NPD'!B37+'TAR_Tab 7_MFA '!B37+'TAR-Tab 9_incidenteel'!H39</f>
        <v>74013017.185557812</v>
      </c>
      <c r="C29" s="250">
        <f>'TAR_Tab 13_Overige tarieven'!J16*'TAR_Tab 13_Overige tarieven'!S16</f>
        <v>74013017.185557812</v>
      </c>
      <c r="D29" s="1323" t="s">
        <v>1246</v>
      </c>
      <c r="E29" s="137"/>
      <c r="F29" s="495"/>
      <c r="G29" s="495"/>
      <c r="H29" s="618"/>
      <c r="I29" s="495"/>
      <c r="J29" s="495"/>
      <c r="K29" s="495"/>
      <c r="L29" s="495"/>
      <c r="M29" s="495"/>
      <c r="N29" s="495"/>
      <c r="O29" s="618"/>
      <c r="P29" s="618"/>
    </row>
    <row r="30" spans="1:16" s="113" customFormat="1">
      <c r="A30" s="95" t="s">
        <v>570</v>
      </c>
      <c r="B30" s="1521">
        <f>Parameters!B86+TAR_Tab_4_BESeF!E18+'TAR_Tab 5_UI'!D176+'TAR_Tab 6_NPD'!B36+'TAR_Tab 7_MFA '!B35+'TAR-Tab 9_incidenteel'!E39</f>
        <v>32003117.182497736</v>
      </c>
      <c r="C30" s="250">
        <f>'TAR_Tab 13_Overige tarieven'!J15*'TAR_Tab 13_Overige tarieven'!S15</f>
        <v>32003117.182497732</v>
      </c>
      <c r="D30" s="1323" t="s">
        <v>1246</v>
      </c>
      <c r="E30" s="137"/>
      <c r="F30" s="495"/>
      <c r="G30" s="495"/>
      <c r="H30" s="618"/>
      <c r="I30" s="495"/>
      <c r="J30" s="495"/>
      <c r="K30" s="495"/>
      <c r="L30" s="495"/>
      <c r="M30" s="495"/>
      <c r="N30" s="495"/>
      <c r="O30" s="618"/>
      <c r="P30" s="618"/>
    </row>
    <row r="31" spans="1:16" s="113" customFormat="1">
      <c r="A31" s="95" t="s">
        <v>593</v>
      </c>
      <c r="B31" s="1521">
        <f>Parameters!B87+TAR_Tab_4_BESeF!B18*TAR_Tab_4_BESeF!B21/(TAR_Tab_4_BESeF!B20+TAR_Tab_4_BESeF!B21)+'TAR_Tab 5_UI'!B188+'TAR_Tab 7_MFA '!B36+'TAR-Tab 9_incidenteel'!F39</f>
        <v>34852496.779491872</v>
      </c>
      <c r="C31" s="250">
        <f>'TAR_Tab 13_Overige tarieven'!J17*'TAR_Tab 13_Overige tarieven'!S17</f>
        <v>34852496.779491864</v>
      </c>
      <c r="D31" s="1323" t="s">
        <v>1246</v>
      </c>
      <c r="E31" s="203"/>
      <c r="F31" s="495"/>
      <c r="G31" s="495"/>
      <c r="H31" s="618"/>
      <c r="I31" s="495"/>
      <c r="J31" s="495"/>
      <c r="K31" s="495"/>
      <c r="L31" s="495"/>
      <c r="M31" s="495"/>
      <c r="N31" s="495"/>
      <c r="O31" s="495"/>
      <c r="P31" s="495"/>
    </row>
    <row r="32" spans="1:16" s="113" customFormat="1">
      <c r="A32" s="95" t="s">
        <v>665</v>
      </c>
      <c r="B32" s="250">
        <f>'TAR_Tab 6_NPD'!S33</f>
        <v>99327.717339740266</v>
      </c>
      <c r="C32" s="250">
        <v>99327.71733974028</v>
      </c>
      <c r="D32" s="960"/>
      <c r="E32" s="137"/>
      <c r="F32" s="495"/>
      <c r="G32" s="618"/>
      <c r="H32" s="618"/>
      <c r="I32" s="618"/>
      <c r="J32" s="618"/>
      <c r="K32" s="618"/>
      <c r="L32" s="618"/>
      <c r="M32" s="618"/>
      <c r="N32" s="618"/>
      <c r="O32" s="618"/>
      <c r="P32" s="618"/>
    </row>
    <row r="33" spans="1:16" s="113" customFormat="1">
      <c r="A33" s="95"/>
      <c r="B33" s="203"/>
      <c r="C33" s="137"/>
      <c r="D33" s="1185"/>
      <c r="E33" s="137"/>
      <c r="F33" s="123"/>
      <c r="G33" s="618"/>
      <c r="H33" s="618"/>
      <c r="I33" s="618"/>
      <c r="J33" s="618"/>
      <c r="K33" s="618"/>
      <c r="L33" s="322"/>
      <c r="M33" s="618"/>
      <c r="N33" s="618"/>
      <c r="O33" s="618"/>
      <c r="P33" s="618"/>
    </row>
    <row r="34" spans="1:16">
      <c r="A34" s="95" t="s">
        <v>429</v>
      </c>
      <c r="B34" s="251">
        <f>SUM(B19:B32)</f>
        <v>1134903113.5396307</v>
      </c>
      <c r="C34" s="318">
        <f>SUM(C20:C32)</f>
        <v>1134903113.5396304</v>
      </c>
      <c r="D34" s="960"/>
      <c r="E34" s="597"/>
      <c r="F34" s="25"/>
      <c r="G34" s="25"/>
      <c r="H34" s="25"/>
      <c r="I34" s="25"/>
      <c r="J34" s="25"/>
      <c r="K34" s="25"/>
      <c r="L34" s="25"/>
      <c r="M34" s="25"/>
      <c r="N34" s="25"/>
      <c r="O34" s="916"/>
      <c r="P34" s="25"/>
    </row>
    <row r="35" spans="1:16">
      <c r="F35" s="25"/>
      <c r="G35" s="25"/>
      <c r="H35" s="25"/>
      <c r="I35" s="25"/>
      <c r="J35" s="25"/>
      <c r="K35" s="25"/>
      <c r="L35" s="25"/>
      <c r="M35" s="25"/>
      <c r="N35" s="25"/>
      <c r="O35" s="25"/>
      <c r="P35" s="25"/>
    </row>
    <row r="36" spans="1:16">
      <c r="C36" s="597"/>
      <c r="N36" s="597"/>
    </row>
    <row r="37" spans="1:16">
      <c r="N37" s="597"/>
    </row>
  </sheetData>
  <mergeCells count="5">
    <mergeCell ref="I24:J24"/>
    <mergeCell ref="F24:G24"/>
    <mergeCell ref="K24:L24"/>
    <mergeCell ref="M24:N24"/>
    <mergeCell ref="O24:P24"/>
  </mergeCells>
  <phoneticPr fontId="20" type="noConversion"/>
  <pageMargins left="0.75" right="0.75" top="1" bottom="1" header="0.5" footer="0.5"/>
  <pageSetup paperSize="9" scale="73" orientation="portrait" r:id="rId1"/>
  <headerFooter alignWithMargins="0">
    <oddFooter>&amp;LEnergiekamer NMa&amp;R&amp;F</oddFooter>
  </headerFooter>
  <colBreaks count="1" manualBreakCount="1">
    <brk id="3"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4"/>
  <sheetViews>
    <sheetView workbookViewId="0">
      <selection activeCell="C37" sqref="C37"/>
    </sheetView>
  </sheetViews>
  <sheetFormatPr defaultRowHeight="15"/>
  <cols>
    <col min="1" max="1" width="15.85546875" style="1440" customWidth="1"/>
    <col min="2" max="2" width="16.7109375" style="1440" bestFit="1" customWidth="1"/>
    <col min="3" max="3" width="104" style="1440" customWidth="1"/>
    <col min="4" max="4" width="15.140625" style="1440" bestFit="1" customWidth="1"/>
    <col min="5" max="5" width="9.140625" style="1440"/>
    <col min="6" max="6" width="15" style="1440" customWidth="1"/>
    <col min="7" max="16384" width="9.140625" style="1440"/>
  </cols>
  <sheetData>
    <row r="1" spans="1:6" s="1306" customFormat="1" ht="23.25" customHeight="1">
      <c r="A1" s="1303" t="s">
        <v>1190</v>
      </c>
      <c r="B1" s="1304"/>
      <c r="C1" s="1304"/>
      <c r="D1" s="1305"/>
    </row>
    <row r="2" spans="1:6" s="1400" customFormat="1">
      <c r="A2" s="1396"/>
      <c r="B2" s="1397"/>
      <c r="C2" s="1398"/>
      <c r="D2" s="1399"/>
    </row>
    <row r="3" spans="1:6" s="1400" customFormat="1">
      <c r="A3" s="1307" t="s">
        <v>1191</v>
      </c>
      <c r="B3" s="1308" t="s">
        <v>1192</v>
      </c>
      <c r="C3" s="1309" t="s">
        <v>1193</v>
      </c>
      <c r="D3" s="1309"/>
    </row>
    <row r="4" spans="1:6" s="1400" customFormat="1">
      <c r="A4" s="1397"/>
      <c r="B4" s="1397"/>
      <c r="C4" s="1401"/>
      <c r="D4" s="1399"/>
    </row>
    <row r="5" spans="1:6" s="1402" customFormat="1" ht="12.75">
      <c r="A5" s="1405"/>
      <c r="B5" s="1405"/>
      <c r="C5" s="1406"/>
      <c r="D5" s="1407"/>
      <c r="F5" s="1404"/>
    </row>
    <row r="6" spans="1:6" s="1403" customFormat="1" ht="12.75">
      <c r="A6" s="1310" t="s">
        <v>18</v>
      </c>
      <c r="B6" s="1408"/>
      <c r="C6" s="1409"/>
      <c r="D6" s="1410"/>
    </row>
    <row r="7" spans="1:6" s="1403" customFormat="1" ht="12.75">
      <c r="A7" s="1411"/>
      <c r="B7" s="1412"/>
      <c r="C7" s="1413"/>
      <c r="D7" s="1399"/>
    </row>
    <row r="8" spans="1:6" s="1403" customFormat="1" ht="12.75">
      <c r="A8" s="1310" t="s">
        <v>1194</v>
      </c>
      <c r="B8" s="1408"/>
      <c r="C8" s="1409"/>
      <c r="D8" s="1410"/>
    </row>
    <row r="9" spans="1:6" s="1403" customFormat="1" ht="25.5">
      <c r="B9" s="1414" t="s">
        <v>1385</v>
      </c>
      <c r="C9" s="1415" t="s">
        <v>1420</v>
      </c>
      <c r="D9" s="1416"/>
      <c r="F9" s="1404"/>
    </row>
    <row r="10" spans="1:6" s="1400" customFormat="1">
      <c r="A10" s="1396"/>
      <c r="B10" s="1397"/>
      <c r="C10" s="1401"/>
      <c r="D10" s="1399"/>
    </row>
    <row r="11" spans="1:6" s="1403" customFormat="1" ht="12.75">
      <c r="A11" s="1310" t="s">
        <v>1195</v>
      </c>
      <c r="B11" s="1408"/>
      <c r="C11" s="1409"/>
      <c r="D11" s="1410"/>
    </row>
    <row r="12" spans="1:6" s="1403" customFormat="1" ht="12.75">
      <c r="A12" s="1417"/>
      <c r="B12" s="1412"/>
      <c r="C12" s="1413"/>
      <c r="D12" s="1399"/>
    </row>
    <row r="13" spans="1:6" s="1403" customFormat="1" ht="12.75">
      <c r="A13" s="1310" t="s">
        <v>1196</v>
      </c>
      <c r="B13" s="1408"/>
      <c r="C13" s="1409"/>
      <c r="D13" s="1410"/>
    </row>
    <row r="14" spans="1:6" s="1403" customFormat="1" ht="12.75">
      <c r="A14" s="1417"/>
      <c r="B14" s="1412"/>
      <c r="C14" s="1413"/>
      <c r="D14" s="1399"/>
    </row>
    <row r="15" spans="1:6" s="1403" customFormat="1" ht="12.75">
      <c r="A15" s="1310" t="s">
        <v>1197</v>
      </c>
      <c r="B15" s="1408"/>
      <c r="C15" s="1409"/>
      <c r="D15" s="1410"/>
    </row>
    <row r="16" spans="1:6" s="1403" customFormat="1" ht="25.5">
      <c r="A16" s="1417"/>
      <c r="B16" s="1414" t="s">
        <v>1412</v>
      </c>
      <c r="C16" s="1415" t="s">
        <v>1413</v>
      </c>
      <c r="D16" s="1416"/>
    </row>
    <row r="17" spans="1:6" s="1403" customFormat="1" ht="63.75">
      <c r="B17" s="1414" t="s">
        <v>1422</v>
      </c>
      <c r="C17" s="1415" t="s">
        <v>1423</v>
      </c>
      <c r="D17" s="1416"/>
      <c r="F17" s="1404"/>
    </row>
    <row r="18" spans="1:6" s="1403" customFormat="1" ht="12.75">
      <c r="B18" s="1414" t="s">
        <v>1262</v>
      </c>
      <c r="C18" s="1415" t="s">
        <v>1263</v>
      </c>
      <c r="D18" s="1416"/>
      <c r="F18" s="1404"/>
    </row>
    <row r="19" spans="1:6" s="1403" customFormat="1" ht="12.75">
      <c r="B19" s="1414" t="s">
        <v>1264</v>
      </c>
      <c r="C19" s="1415" t="s">
        <v>1265</v>
      </c>
      <c r="D19" s="1416"/>
      <c r="F19" s="1404"/>
    </row>
    <row r="20" spans="1:6" s="1403" customFormat="1" ht="12.75">
      <c r="B20" s="1414"/>
      <c r="C20" s="1415"/>
      <c r="D20" s="1416"/>
      <c r="F20" s="1404"/>
    </row>
    <row r="21" spans="1:6" s="1400" customFormat="1" ht="15.75" thickBot="1">
      <c r="A21" s="1403"/>
      <c r="B21" s="1414" t="s">
        <v>1266</v>
      </c>
      <c r="C21" s="1415"/>
      <c r="D21" s="1399"/>
    </row>
    <row r="22" spans="1:6" s="1403" customFormat="1" ht="12.75">
      <c r="B22" s="1418"/>
      <c r="C22" s="1419" t="s">
        <v>1200</v>
      </c>
      <c r="D22" s="1420"/>
      <c r="F22" s="1404"/>
    </row>
    <row r="23" spans="1:6" s="1403" customFormat="1" ht="12.75">
      <c r="B23" s="1421" t="s">
        <v>166</v>
      </c>
      <c r="C23" s="1422" t="s">
        <v>1199</v>
      </c>
      <c r="D23" s="1423"/>
      <c r="F23" s="1404"/>
    </row>
    <row r="24" spans="1:6" s="1403" customFormat="1" ht="38.25">
      <c r="B24" s="1424">
        <v>301368</v>
      </c>
      <c r="C24" s="1425" t="s">
        <v>1421</v>
      </c>
      <c r="D24" s="1426"/>
      <c r="F24" s="1404"/>
    </row>
    <row r="25" spans="1:6" s="1403" customFormat="1" ht="39" thickBot="1">
      <c r="B25" s="1427">
        <v>301468</v>
      </c>
      <c r="C25" s="1428" t="s">
        <v>1424</v>
      </c>
      <c r="D25" s="1429"/>
      <c r="F25" s="1404"/>
    </row>
    <row r="26" spans="1:6" s="1400" customFormat="1">
      <c r="A26" s="1403"/>
      <c r="B26" s="1397"/>
      <c r="C26" s="1401"/>
      <c r="D26" s="1399"/>
    </row>
    <row r="27" spans="1:6" s="1400" customFormat="1">
      <c r="A27" s="1403"/>
      <c r="B27" s="1414" t="s">
        <v>1267</v>
      </c>
      <c r="C27" s="1415" t="s">
        <v>1268</v>
      </c>
      <c r="D27" s="1399"/>
    </row>
    <row r="28" spans="1:6" s="1400" customFormat="1">
      <c r="A28" s="1403"/>
      <c r="B28" s="1414" t="s">
        <v>1269</v>
      </c>
      <c r="C28" s="1415" t="s">
        <v>1265</v>
      </c>
      <c r="D28" s="1399"/>
    </row>
    <row r="29" spans="1:6" s="1400" customFormat="1">
      <c r="A29" s="1403"/>
      <c r="B29" s="1430" t="s">
        <v>1270</v>
      </c>
      <c r="C29" s="1431" t="s">
        <v>1271</v>
      </c>
      <c r="D29" s="1399"/>
    </row>
    <row r="30" spans="1:6" s="1400" customFormat="1">
      <c r="A30" s="1403"/>
      <c r="B30" s="1430" t="s">
        <v>1272</v>
      </c>
      <c r="C30" s="1431" t="s">
        <v>1273</v>
      </c>
      <c r="D30" s="1399"/>
    </row>
    <row r="31" spans="1:6" s="1400" customFormat="1" ht="15.75" thickBot="1">
      <c r="A31" s="1403"/>
      <c r="B31" s="1414" t="s">
        <v>1274</v>
      </c>
      <c r="C31" s="1415"/>
      <c r="D31" s="1399"/>
    </row>
    <row r="32" spans="1:6" s="1403" customFormat="1" ht="12.75">
      <c r="B32" s="1432"/>
      <c r="C32" s="1419" t="s">
        <v>1198</v>
      </c>
      <c r="D32" s="1433"/>
      <c r="F32" s="1404"/>
    </row>
    <row r="33" spans="1:6" s="1403" customFormat="1" ht="12.75">
      <c r="B33" s="1434" t="s">
        <v>166</v>
      </c>
      <c r="C33" s="1422" t="s">
        <v>1199</v>
      </c>
      <c r="D33" s="1435"/>
      <c r="F33" s="1404"/>
    </row>
    <row r="34" spans="1:6" s="1403" customFormat="1" ht="25.5">
      <c r="B34" s="1436">
        <v>301460</v>
      </c>
      <c r="C34" s="1415" t="s">
        <v>1275</v>
      </c>
      <c r="D34" s="1435"/>
      <c r="F34" s="1404"/>
    </row>
    <row r="35" spans="1:6" s="1403" customFormat="1" ht="51">
      <c r="B35" s="1436">
        <v>301464</v>
      </c>
      <c r="C35" s="1415" t="s">
        <v>1276</v>
      </c>
      <c r="D35" s="1435"/>
      <c r="F35" s="1404"/>
    </row>
    <row r="36" spans="1:6" s="1403" customFormat="1" ht="51">
      <c r="B36" s="1436">
        <v>301465</v>
      </c>
      <c r="C36" s="1415" t="s">
        <v>1277</v>
      </c>
      <c r="D36" s="1435"/>
      <c r="F36" s="1404"/>
    </row>
    <row r="37" spans="1:6" s="1403" customFormat="1" ht="51">
      <c r="B37" s="1436">
        <v>301466</v>
      </c>
      <c r="C37" s="1415" t="s">
        <v>1278</v>
      </c>
      <c r="D37" s="1435"/>
      <c r="F37" s="1404"/>
    </row>
    <row r="38" spans="1:6" s="1403" customFormat="1" ht="51">
      <c r="B38" s="1436">
        <v>301467</v>
      </c>
      <c r="C38" s="1415" t="s">
        <v>1279</v>
      </c>
      <c r="D38" s="1435"/>
      <c r="F38" s="1404"/>
    </row>
    <row r="39" spans="1:6" s="1403" customFormat="1" ht="51.75" thickBot="1">
      <c r="B39" s="1437">
        <v>301469</v>
      </c>
      <c r="C39" s="1428" t="s">
        <v>1280</v>
      </c>
      <c r="D39" s="1438"/>
      <c r="F39" s="1404"/>
    </row>
    <row r="40" spans="1:6" s="1400" customFormat="1">
      <c r="A40" s="1403"/>
      <c r="B40" s="1397"/>
      <c r="C40" s="1401"/>
      <c r="D40" s="1399"/>
    </row>
    <row r="41" spans="1:6" s="1400" customFormat="1">
      <c r="A41" s="1396"/>
      <c r="B41" s="1397"/>
      <c r="C41" s="1401"/>
      <c r="D41" s="1399"/>
    </row>
    <row r="42" spans="1:6" s="1403" customFormat="1" ht="12.75">
      <c r="A42" s="1310" t="s">
        <v>1201</v>
      </c>
      <c r="B42" s="1408"/>
      <c r="C42" s="1409"/>
      <c r="D42" s="1410"/>
    </row>
    <row r="43" spans="1:6" s="1403" customFormat="1" ht="12.75">
      <c r="A43" s="1310"/>
      <c r="B43" s="1408"/>
      <c r="C43" s="1409"/>
      <c r="D43" s="1410"/>
    </row>
    <row r="44" spans="1:6" s="1403" customFormat="1" ht="12.75">
      <c r="B44" s="1414"/>
      <c r="C44" s="1415"/>
      <c r="D44" s="1416"/>
      <c r="F44" s="1404"/>
    </row>
    <row r="45" spans="1:6" s="1403" customFormat="1" ht="12.75">
      <c r="B45" s="1414"/>
      <c r="C45" s="1415"/>
      <c r="D45" s="1416"/>
      <c r="F45" s="1404"/>
    </row>
    <row r="46" spans="1:6" s="1400" customFormat="1">
      <c r="A46" s="1396"/>
      <c r="B46" s="1397"/>
      <c r="C46" s="1401"/>
      <c r="D46" s="1399"/>
    </row>
    <row r="47" spans="1:6" s="1403" customFormat="1" ht="12.75">
      <c r="A47" s="1310" t="s">
        <v>1202</v>
      </c>
      <c r="B47" s="1408"/>
      <c r="C47" s="1409"/>
      <c r="D47" s="1410"/>
    </row>
    <row r="48" spans="1:6" s="1403" customFormat="1" ht="12.75">
      <c r="B48" s="1414"/>
      <c r="C48" s="1415"/>
      <c r="D48" s="1416"/>
      <c r="F48" s="1404"/>
    </row>
    <row r="49" spans="1:6" s="1403" customFormat="1" ht="12.75">
      <c r="B49" s="1414"/>
      <c r="C49" s="1415"/>
      <c r="D49" s="1416"/>
      <c r="F49" s="1404"/>
    </row>
    <row r="50" spans="1:6" s="1403" customFormat="1" ht="12.75">
      <c r="A50" s="1417"/>
      <c r="B50" s="1412"/>
      <c r="C50" s="1413"/>
      <c r="D50" s="1399"/>
    </row>
    <row r="51" spans="1:6" s="1403" customFormat="1" ht="12.75">
      <c r="A51" s="1310" t="s">
        <v>1203</v>
      </c>
      <c r="B51" s="1408"/>
      <c r="C51" s="1409"/>
      <c r="D51" s="1410"/>
    </row>
    <row r="52" spans="1:6" s="1403" customFormat="1" ht="25.5">
      <c r="B52" s="1414" t="s">
        <v>1281</v>
      </c>
      <c r="C52" s="1415" t="s">
        <v>1405</v>
      </c>
      <c r="D52" s="1416"/>
      <c r="F52" s="1404"/>
    </row>
    <row r="53" spans="1:6" s="1403" customFormat="1" ht="12.75">
      <c r="B53" s="1414"/>
      <c r="C53" s="1415"/>
      <c r="D53" s="1416"/>
      <c r="F53" s="1404"/>
    </row>
    <row r="54" spans="1:6" s="1400" customFormat="1">
      <c r="A54" s="1396"/>
      <c r="B54" s="1397"/>
      <c r="C54" s="1401"/>
      <c r="D54" s="1399"/>
    </row>
    <row r="55" spans="1:6" s="1403" customFormat="1" ht="12.75">
      <c r="A55" s="1310" t="s">
        <v>1204</v>
      </c>
      <c r="B55" s="1408"/>
      <c r="C55" s="1409"/>
      <c r="D55" s="1410"/>
    </row>
    <row r="56" spans="1:6" s="1403" customFormat="1" ht="27" customHeight="1">
      <c r="B56" s="1414" t="s">
        <v>1282</v>
      </c>
      <c r="C56" s="1415" t="s">
        <v>1406</v>
      </c>
      <c r="D56" s="1416"/>
      <c r="F56" s="1404"/>
    </row>
    <row r="57" spans="1:6" s="1403" customFormat="1" ht="12.75">
      <c r="B57" s="1414"/>
      <c r="C57" s="1415"/>
      <c r="D57" s="1416"/>
      <c r="F57" s="1404"/>
    </row>
    <row r="58" spans="1:6" s="1400" customFormat="1">
      <c r="A58" s="1396"/>
      <c r="B58" s="1397"/>
      <c r="C58" s="1401"/>
      <c r="D58" s="1399"/>
    </row>
    <row r="59" spans="1:6" s="1403" customFormat="1" ht="12.75">
      <c r="A59" s="1310" t="s">
        <v>1205</v>
      </c>
      <c r="B59" s="1408"/>
      <c r="C59" s="1409"/>
      <c r="D59" s="1410"/>
    </row>
    <row r="60" spans="1:6" s="1403" customFormat="1" ht="38.25">
      <c r="B60" s="1414" t="s">
        <v>1283</v>
      </c>
      <c r="C60" s="1415" t="s">
        <v>1284</v>
      </c>
      <c r="D60" s="1416"/>
      <c r="F60" s="1404"/>
    </row>
    <row r="61" spans="1:6" s="1403" customFormat="1" ht="51">
      <c r="B61" s="1414" t="s">
        <v>1285</v>
      </c>
      <c r="C61" s="1415" t="s">
        <v>1407</v>
      </c>
      <c r="D61" s="1416"/>
      <c r="F61" s="1404"/>
    </row>
    <row r="62" spans="1:6" s="1403" customFormat="1" ht="41.25" customHeight="1">
      <c r="B62" s="1414" t="s">
        <v>1286</v>
      </c>
      <c r="C62" s="1415" t="s">
        <v>1287</v>
      </c>
      <c r="D62" s="1416"/>
      <c r="F62" s="1404"/>
    </row>
    <row r="63" spans="1:6" s="1403" customFormat="1" ht="41.25" customHeight="1">
      <c r="B63" s="1414" t="s">
        <v>1288</v>
      </c>
      <c r="C63" s="1415" t="s">
        <v>1409</v>
      </c>
      <c r="D63" s="1416"/>
      <c r="F63" s="1404"/>
    </row>
    <row r="64" spans="1:6" s="1403" customFormat="1" ht="12.75">
      <c r="B64" s="1414"/>
      <c r="C64" s="1414"/>
      <c r="D64" s="1416"/>
      <c r="F64" s="1404"/>
    </row>
    <row r="65" spans="1:6" s="1400" customFormat="1">
      <c r="A65" s="1396"/>
      <c r="B65" s="1397"/>
      <c r="C65" s="1397"/>
      <c r="D65" s="1399"/>
    </row>
    <row r="66" spans="1:6" s="1403" customFormat="1" ht="12.75">
      <c r="A66" s="1310" t="s">
        <v>1206</v>
      </c>
      <c r="B66" s="1408"/>
      <c r="C66" s="1408"/>
      <c r="D66" s="1410"/>
    </row>
    <row r="67" spans="1:6" s="1403" customFormat="1" ht="12.75">
      <c r="B67" s="1414" t="s">
        <v>1415</v>
      </c>
      <c r="C67" s="1414" t="s">
        <v>1416</v>
      </c>
      <c r="D67" s="1416"/>
      <c r="F67" s="1404"/>
    </row>
    <row r="68" spans="1:6" s="1400" customFormat="1">
      <c r="A68" s="1403"/>
      <c r="B68" s="1397"/>
      <c r="C68" s="1397"/>
      <c r="D68" s="1399"/>
    </row>
    <row r="69" spans="1:6" s="1403" customFormat="1" ht="12.75">
      <c r="A69" s="1310" t="s">
        <v>1207</v>
      </c>
      <c r="B69" s="1408"/>
      <c r="C69" s="1408"/>
      <c r="D69" s="1410"/>
    </row>
    <row r="70" spans="1:6" s="1403" customFormat="1" ht="12.75">
      <c r="B70" s="1414" t="s">
        <v>1262</v>
      </c>
      <c r="C70" s="1414" t="s">
        <v>1408</v>
      </c>
      <c r="D70" s="1416"/>
      <c r="F70" s="1404"/>
    </row>
    <row r="71" spans="1:6" s="1403" customFormat="1" ht="41.25" customHeight="1">
      <c r="B71" s="1414" t="s">
        <v>1289</v>
      </c>
      <c r="C71" s="1415" t="s">
        <v>1387</v>
      </c>
      <c r="D71" s="1416"/>
      <c r="F71" s="1404"/>
    </row>
    <row r="72" spans="1:6" s="1403" customFormat="1" ht="40.5" customHeight="1">
      <c r="B72" s="1414" t="s">
        <v>1290</v>
      </c>
      <c r="C72" s="1415" t="s">
        <v>1388</v>
      </c>
      <c r="D72" s="1416"/>
      <c r="F72" s="1404"/>
    </row>
    <row r="73" spans="1:6" s="1403" customFormat="1" ht="42.75" customHeight="1">
      <c r="B73" s="1414" t="s">
        <v>1385</v>
      </c>
      <c r="C73" s="1415" t="s">
        <v>1389</v>
      </c>
      <c r="D73" s="1416"/>
      <c r="F73" s="1404"/>
    </row>
    <row r="74" spans="1:6" s="1403" customFormat="1" ht="42" customHeight="1">
      <c r="B74" s="1414" t="s">
        <v>1386</v>
      </c>
      <c r="C74" s="1415" t="s">
        <v>1410</v>
      </c>
      <c r="D74" s="1416"/>
      <c r="F74" s="1404"/>
    </row>
    <row r="75" spans="1:6" s="1403" customFormat="1" ht="12.75">
      <c r="B75" s="1414"/>
      <c r="C75" s="1415"/>
      <c r="D75" s="1416"/>
      <c r="F75" s="1404"/>
    </row>
    <row r="76" spans="1:6" s="1403" customFormat="1" ht="12.75">
      <c r="B76" s="1412"/>
      <c r="C76" s="1413"/>
      <c r="D76" s="1399"/>
      <c r="F76" s="1404"/>
    </row>
    <row r="77" spans="1:6" s="1403" customFormat="1" ht="12.75">
      <c r="A77" s="1310" t="s">
        <v>1208</v>
      </c>
      <c r="B77" s="1408"/>
      <c r="C77" s="1409"/>
      <c r="D77" s="1410"/>
    </row>
    <row r="78" spans="1:6" s="1403" customFormat="1" ht="12.75">
      <c r="B78" s="1414" t="s">
        <v>1291</v>
      </c>
      <c r="C78" s="1415" t="s">
        <v>1430</v>
      </c>
      <c r="D78" s="1416"/>
      <c r="F78" s="1404"/>
    </row>
    <row r="79" spans="1:6" s="1403" customFormat="1" ht="12.75">
      <c r="B79" s="1414"/>
      <c r="C79" s="1415"/>
      <c r="D79" s="1416"/>
      <c r="F79" s="1404"/>
    </row>
    <row r="80" spans="1:6" s="1400" customFormat="1">
      <c r="A80" s="1397"/>
      <c r="B80" s="1397"/>
      <c r="C80" s="1401"/>
      <c r="D80" s="1399"/>
    </row>
    <row r="81" spans="1:6" s="1403" customFormat="1" ht="12.75">
      <c r="A81" s="1310" t="s">
        <v>1209</v>
      </c>
      <c r="B81" s="1408"/>
      <c r="C81" s="1409"/>
      <c r="D81" s="1410"/>
    </row>
    <row r="82" spans="1:6" s="1403" customFormat="1" ht="12.75">
      <c r="B82" s="1414" t="s">
        <v>1292</v>
      </c>
      <c r="C82" s="1415" t="s">
        <v>1430</v>
      </c>
      <c r="D82" s="1416"/>
      <c r="F82" s="1404"/>
    </row>
    <row r="83" spans="1:6" s="1403" customFormat="1" ht="12.75">
      <c r="B83" s="1414"/>
      <c r="C83" s="1415"/>
      <c r="D83" s="1416"/>
      <c r="F83" s="1404"/>
    </row>
    <row r="84" spans="1:6" s="1400" customFormat="1">
      <c r="A84" s="1403"/>
      <c r="B84" s="1397"/>
      <c r="C84" s="1401"/>
      <c r="D84" s="1399"/>
    </row>
    <row r="85" spans="1:6" s="1403" customFormat="1" ht="12.75">
      <c r="A85" s="1310" t="s">
        <v>1210</v>
      </c>
      <c r="B85" s="1408"/>
      <c r="C85" s="1409"/>
      <c r="D85" s="1410"/>
    </row>
    <row r="86" spans="1:6" s="1403" customFormat="1" ht="25.5">
      <c r="B86" s="1414" t="s">
        <v>1293</v>
      </c>
      <c r="C86" s="1415" t="s">
        <v>1431</v>
      </c>
      <c r="D86" s="1416"/>
      <c r="F86" s="1404"/>
    </row>
    <row r="87" spans="1:6" s="1403" customFormat="1" ht="25.5">
      <c r="B87" s="1414" t="s">
        <v>1294</v>
      </c>
      <c r="C87" s="1415" t="s">
        <v>1295</v>
      </c>
      <c r="D87" s="1416"/>
      <c r="F87" s="1404"/>
    </row>
    <row r="88" spans="1:6" s="1403" customFormat="1" ht="25.5">
      <c r="B88" s="1414" t="s">
        <v>1296</v>
      </c>
      <c r="C88" s="1415" t="s">
        <v>1297</v>
      </c>
      <c r="D88" s="1416"/>
      <c r="F88" s="1404"/>
    </row>
    <row r="89" spans="1:6" s="1403" customFormat="1" ht="12.75">
      <c r="B89" s="1414" t="s">
        <v>1292</v>
      </c>
      <c r="C89" s="1415" t="s">
        <v>1298</v>
      </c>
      <c r="D89" s="1416"/>
      <c r="F89" s="1404"/>
    </row>
    <row r="90" spans="1:6" s="1400" customFormat="1">
      <c r="A90" s="1396"/>
      <c r="B90" s="1397"/>
      <c r="C90" s="1401"/>
      <c r="D90" s="1399"/>
    </row>
    <row r="91" spans="1:6" s="1403" customFormat="1" ht="12.75">
      <c r="A91" s="1310" t="s">
        <v>1211</v>
      </c>
      <c r="B91" s="1408"/>
      <c r="C91" s="1409"/>
      <c r="D91" s="1410"/>
    </row>
    <row r="92" spans="1:6" s="1400" customFormat="1">
      <c r="A92" s="1396"/>
      <c r="B92" s="1414" t="s">
        <v>1395</v>
      </c>
      <c r="C92" s="1415" t="s">
        <v>1398</v>
      </c>
      <c r="D92" s="1416"/>
    </row>
    <row r="93" spans="1:6" s="1400" customFormat="1">
      <c r="A93" s="1396"/>
      <c r="B93" s="1414" t="s">
        <v>1396</v>
      </c>
      <c r="C93" s="1415" t="s">
        <v>1399</v>
      </c>
      <c r="D93" s="1416"/>
    </row>
    <row r="94" spans="1:6" s="1400" customFormat="1">
      <c r="A94" s="1396"/>
      <c r="B94" s="1414" t="s">
        <v>1397</v>
      </c>
      <c r="C94" s="1415" t="s">
        <v>1400</v>
      </c>
      <c r="D94" s="1416"/>
    </row>
    <row r="95" spans="1:6" s="1400" customFormat="1">
      <c r="A95" s="1396"/>
      <c r="B95" s="1414"/>
      <c r="C95" s="1415"/>
      <c r="D95" s="1416"/>
    </row>
    <row r="96" spans="1:6" s="1400" customFormat="1">
      <c r="A96" s="1396"/>
      <c r="B96" s="1397"/>
      <c r="C96" s="1401"/>
      <c r="D96" s="1399"/>
    </row>
    <row r="97" spans="1:6" s="1403" customFormat="1" ht="12.75">
      <c r="A97" s="1310" t="s">
        <v>1212</v>
      </c>
      <c r="B97" s="1408"/>
      <c r="C97" s="1409"/>
      <c r="D97" s="1410"/>
    </row>
    <row r="98" spans="1:6" s="1403" customFormat="1" ht="12.75">
      <c r="B98" s="1414" t="s">
        <v>1299</v>
      </c>
      <c r="C98" s="1415" t="s">
        <v>1300</v>
      </c>
      <c r="D98" s="1416"/>
      <c r="F98" s="1404"/>
    </row>
    <row r="99" spans="1:6" s="1403" customFormat="1" ht="12.75">
      <c r="B99" s="1414" t="s">
        <v>1289</v>
      </c>
      <c r="C99" s="1415" t="s">
        <v>1404</v>
      </c>
      <c r="D99" s="1416"/>
      <c r="F99" s="1404"/>
    </row>
    <row r="100" spans="1:6" s="1403" customFormat="1" ht="12.75">
      <c r="B100" s="1414" t="s">
        <v>1285</v>
      </c>
      <c r="C100" s="1415" t="s">
        <v>1392</v>
      </c>
      <c r="D100" s="1416"/>
      <c r="F100" s="1404"/>
    </row>
    <row r="101" spans="1:6" s="1403" customFormat="1" ht="12.75">
      <c r="B101" s="1414" t="s">
        <v>1391</v>
      </c>
      <c r="C101" s="1415" t="s">
        <v>1393</v>
      </c>
      <c r="D101" s="1416"/>
      <c r="F101" s="1404"/>
    </row>
    <row r="102" spans="1:6" s="1403" customFormat="1" ht="12.75">
      <c r="B102" s="1414" t="s">
        <v>1282</v>
      </c>
      <c r="C102" s="1415" t="s">
        <v>1394</v>
      </c>
      <c r="D102" s="1416"/>
      <c r="F102" s="1404"/>
    </row>
    <row r="103" spans="1:6" s="1403" customFormat="1" ht="12.75">
      <c r="B103" s="1414"/>
      <c r="C103" s="1415"/>
      <c r="D103" s="1416"/>
      <c r="F103" s="1404"/>
    </row>
    <row r="104" spans="1:6" s="1400" customFormat="1">
      <c r="A104" s="1396"/>
      <c r="B104" s="1397"/>
      <c r="C104" s="1401"/>
      <c r="D104" s="1399"/>
    </row>
    <row r="105" spans="1:6" s="1403" customFormat="1" ht="12.75">
      <c r="A105" s="1310" t="s">
        <v>1213</v>
      </c>
      <c r="B105" s="1408"/>
      <c r="C105" s="1409"/>
      <c r="D105" s="1410"/>
    </row>
    <row r="106" spans="1:6" s="1400" customFormat="1">
      <c r="A106" s="1396"/>
      <c r="B106" s="1397"/>
      <c r="C106" s="1401"/>
      <c r="D106" s="1399"/>
    </row>
    <row r="107" spans="1:6" s="1403" customFormat="1" ht="12.75">
      <c r="A107" s="1310" t="s">
        <v>1301</v>
      </c>
      <c r="B107" s="1408"/>
      <c r="C107" s="1409"/>
      <c r="D107" s="1410"/>
    </row>
    <row r="108" spans="1:6" s="1403" customFormat="1" ht="25.5">
      <c r="B108" s="1414"/>
      <c r="C108" s="1415" t="s">
        <v>1432</v>
      </c>
      <c r="D108" s="1416"/>
      <c r="F108" s="1404"/>
    </row>
    <row r="109" spans="1:6" s="1400" customFormat="1">
      <c r="A109" s="1396"/>
      <c r="B109" s="1397"/>
      <c r="C109" s="1401"/>
      <c r="D109" s="1399"/>
    </row>
    <row r="110" spans="1:6" s="1403" customFormat="1" ht="12.75">
      <c r="A110" s="1310" t="s">
        <v>1214</v>
      </c>
      <c r="B110" s="1408"/>
      <c r="C110" s="1409"/>
      <c r="D110" s="1410"/>
    </row>
    <row r="111" spans="1:6" s="1403" customFormat="1" ht="25.5">
      <c r="B111" s="1414"/>
      <c r="C111" s="1415" t="s">
        <v>1302</v>
      </c>
      <c r="D111" s="1416"/>
      <c r="F111" s="1404"/>
    </row>
    <row r="112" spans="1:6" s="1402" customFormat="1" ht="12.75">
      <c r="A112" s="1439"/>
      <c r="B112" s="1405"/>
      <c r="C112" s="1406"/>
      <c r="D112" s="1407"/>
    </row>
    <row r="113" spans="1:4" s="1402" customFormat="1" ht="12.75">
      <c r="A113" s="1439"/>
      <c r="B113" s="1405"/>
      <c r="C113" s="1406"/>
      <c r="D113" s="1407"/>
    </row>
    <row r="114" spans="1:4" s="1400" customFormat="1">
      <c r="A114" s="1396"/>
      <c r="B114" s="1397"/>
      <c r="C114" s="1401"/>
      <c r="D114" s="1399"/>
    </row>
  </sheetData>
  <pageMargins left="0.7" right="0.7" top="0.75" bottom="0.75" header="0.3" footer="0.3"/>
  <pageSetup paperSize="9"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78"/>
  <sheetViews>
    <sheetView topLeftCell="A52" zoomScale="85" zoomScaleNormal="85" workbookViewId="0">
      <selection activeCell="AM22" sqref="AM22"/>
    </sheetView>
  </sheetViews>
  <sheetFormatPr defaultRowHeight="15"/>
  <cols>
    <col min="1" max="1" width="56.85546875" style="1440" bestFit="1" customWidth="1"/>
    <col min="2" max="2" width="26.28515625" style="1440" bestFit="1" customWidth="1"/>
    <col min="3" max="3" width="20.7109375" style="1440" bestFit="1" customWidth="1"/>
    <col min="4" max="4" width="24.42578125" style="1440" bestFit="1" customWidth="1"/>
    <col min="5" max="5" width="12" style="1440" bestFit="1" customWidth="1"/>
    <col min="6" max="6" width="20.7109375" style="1440" bestFit="1" customWidth="1"/>
    <col min="7" max="16384" width="9.140625" style="1440"/>
  </cols>
  <sheetData>
    <row r="1" spans="1:52" s="1306" customFormat="1" ht="23.25" customHeight="1">
      <c r="A1" s="1303" t="s">
        <v>1425</v>
      </c>
      <c r="B1" s="1304"/>
      <c r="C1" s="1304"/>
      <c r="D1" s="1305"/>
    </row>
    <row r="4" spans="1:52">
      <c r="A4" s="1441"/>
      <c r="B4" s="1442"/>
      <c r="C4" s="1443"/>
      <c r="D4" s="1444"/>
      <c r="E4" s="1445"/>
      <c r="F4" s="1444"/>
      <c r="G4" s="1444"/>
      <c r="H4" s="1444"/>
      <c r="I4" s="1444"/>
      <c r="J4" s="1444"/>
      <c r="K4" s="1444"/>
      <c r="L4" s="1444"/>
      <c r="M4" s="1444"/>
      <c r="N4" s="1444"/>
      <c r="O4" s="1444"/>
      <c r="P4" s="1444"/>
      <c r="Q4" s="1444"/>
      <c r="R4" s="1444"/>
      <c r="S4" s="1444"/>
      <c r="T4" s="1444"/>
      <c r="U4" s="1444"/>
      <c r="V4" s="1444"/>
      <c r="W4" s="1444"/>
      <c r="X4" s="1444"/>
      <c r="Y4" s="1444"/>
      <c r="Z4" s="1444"/>
      <c r="AA4" s="1444"/>
      <c r="AB4" s="1444"/>
      <c r="AC4" s="1444"/>
      <c r="AD4" s="1444"/>
      <c r="AE4" s="1444"/>
      <c r="AF4" s="1444"/>
      <c r="AG4" s="1444"/>
      <c r="AH4" s="1444"/>
      <c r="AI4" s="1444"/>
      <c r="AJ4" s="1444"/>
      <c r="AK4" s="1444"/>
      <c r="AL4" s="1444"/>
      <c r="AM4" s="1444"/>
      <c r="AN4" s="1444"/>
      <c r="AO4" s="1444"/>
      <c r="AP4" s="1444"/>
      <c r="AQ4" s="1444"/>
      <c r="AR4" s="1444"/>
      <c r="AS4" s="1444"/>
      <c r="AT4" s="1444"/>
      <c r="AU4" s="1444"/>
      <c r="AV4" s="1444"/>
      <c r="AW4" s="1444"/>
      <c r="AX4" s="1444"/>
      <c r="AY4" s="1444"/>
      <c r="AZ4" s="1446"/>
    </row>
    <row r="5" spans="1:52">
      <c r="A5" s="1447" t="s">
        <v>18</v>
      </c>
      <c r="B5" s="1448"/>
      <c r="C5" s="1448"/>
      <c r="D5" s="1448"/>
      <c r="E5" s="1448"/>
      <c r="F5" s="1448"/>
      <c r="G5" s="1448"/>
      <c r="H5" s="1448"/>
      <c r="I5" s="1448"/>
      <c r="J5" s="1448"/>
      <c r="K5" s="1448"/>
      <c r="L5" s="1448"/>
      <c r="M5" s="1448"/>
      <c r="N5" s="1448"/>
      <c r="O5" s="1448"/>
      <c r="P5" s="1448"/>
      <c r="Q5" s="1448"/>
      <c r="R5" s="1448"/>
      <c r="S5" s="1448"/>
      <c r="T5" s="1448"/>
      <c r="U5" s="1448"/>
      <c r="V5" s="1448"/>
      <c r="W5" s="1448"/>
      <c r="X5" s="1448"/>
      <c r="Y5" s="1448"/>
      <c r="Z5" s="1448"/>
      <c r="AA5" s="1448"/>
      <c r="AB5" s="1448"/>
      <c r="AC5" s="1448"/>
      <c r="AD5" s="1448"/>
      <c r="AE5" s="1448"/>
      <c r="AF5" s="1448"/>
      <c r="AG5" s="1448"/>
      <c r="AH5" s="1448"/>
      <c r="AI5" s="1448"/>
      <c r="AJ5" s="1448"/>
      <c r="AK5" s="1448"/>
      <c r="AL5" s="1448"/>
      <c r="AM5" s="1448"/>
      <c r="AN5" s="1448"/>
      <c r="AO5" s="1448"/>
      <c r="AP5" s="1448"/>
      <c r="AQ5" s="1448"/>
      <c r="AR5" s="1448"/>
      <c r="AS5" s="1448"/>
      <c r="AT5" s="1448"/>
      <c r="AU5" s="1448"/>
      <c r="AV5" s="1448"/>
      <c r="AW5" s="1448"/>
      <c r="AX5" s="1448"/>
      <c r="AY5" s="1448"/>
      <c r="AZ5" s="1449"/>
    </row>
    <row r="6" spans="1:52">
      <c r="A6" s="1444" t="s">
        <v>690</v>
      </c>
      <c r="B6" s="1450">
        <v>5.8000000000000003E-2</v>
      </c>
      <c r="C6" s="1451"/>
      <c r="D6" s="1444"/>
      <c r="E6" s="1444"/>
      <c r="F6" s="1444"/>
      <c r="G6" s="1444"/>
      <c r="H6" s="1444"/>
      <c r="I6" s="1444"/>
      <c r="J6" s="1451"/>
      <c r="K6" s="1451"/>
      <c r="L6" s="1451"/>
      <c r="M6" s="1451"/>
      <c r="N6" s="1451"/>
      <c r="O6" s="1451"/>
      <c r="P6" s="1451"/>
      <c r="Q6" s="1451"/>
      <c r="R6" s="1451"/>
      <c r="S6" s="1451"/>
      <c r="T6" s="1451"/>
      <c r="U6" s="1444"/>
      <c r="V6" s="1444"/>
      <c r="W6" s="1444"/>
      <c r="X6" s="1444"/>
      <c r="Y6" s="1444"/>
      <c r="Z6" s="1444"/>
      <c r="AA6" s="1444"/>
      <c r="AB6" s="1444"/>
      <c r="AC6" s="1444"/>
      <c r="AD6" s="1444"/>
      <c r="AE6" s="1444"/>
      <c r="AF6" s="1444"/>
      <c r="AG6" s="1444"/>
      <c r="AH6" s="1444"/>
      <c r="AI6" s="1444"/>
      <c r="AJ6" s="1444"/>
      <c r="AK6" s="1444"/>
      <c r="AL6" s="1444"/>
      <c r="AM6" s="1444"/>
      <c r="AN6" s="1444"/>
      <c r="AO6" s="1444"/>
      <c r="AP6" s="1444"/>
      <c r="AQ6" s="1444"/>
      <c r="AR6" s="1444"/>
      <c r="AS6" s="1444"/>
      <c r="AT6" s="1444"/>
      <c r="AU6" s="1444"/>
      <c r="AV6" s="1444"/>
      <c r="AW6" s="1444"/>
      <c r="AX6" s="1444"/>
      <c r="AY6" s="1444"/>
      <c r="AZ6" s="1446"/>
    </row>
    <row r="7" spans="1:52">
      <c r="A7" s="1444" t="s">
        <v>513</v>
      </c>
      <c r="B7" s="1452">
        <v>0.01</v>
      </c>
      <c r="C7" s="1451"/>
      <c r="D7" s="1444"/>
      <c r="E7" s="1444"/>
      <c r="F7" s="1444"/>
      <c r="G7" s="1444"/>
      <c r="H7" s="1444"/>
      <c r="I7" s="1444"/>
      <c r="J7" s="1451"/>
      <c r="K7" s="1451"/>
      <c r="L7" s="1451"/>
      <c r="M7" s="1451"/>
      <c r="N7" s="1451"/>
      <c r="O7" s="1451"/>
      <c r="P7" s="1451"/>
      <c r="Q7" s="1451"/>
      <c r="R7" s="1451"/>
      <c r="S7" s="1451"/>
      <c r="T7" s="1451"/>
      <c r="U7" s="1444"/>
      <c r="V7" s="1444"/>
      <c r="W7" s="1444"/>
      <c r="X7" s="1444"/>
      <c r="Y7" s="1444"/>
      <c r="Z7" s="1444"/>
      <c r="AA7" s="1444"/>
      <c r="AB7" s="1444"/>
      <c r="AC7" s="1444"/>
      <c r="AD7" s="1444"/>
      <c r="AE7" s="1444"/>
      <c r="AF7" s="1444"/>
      <c r="AG7" s="1444"/>
      <c r="AH7" s="1444"/>
      <c r="AI7" s="1444"/>
      <c r="AJ7" s="1444"/>
      <c r="AK7" s="1444"/>
      <c r="AL7" s="1444"/>
      <c r="AM7" s="1444"/>
      <c r="AN7" s="1444"/>
      <c r="AO7" s="1444"/>
      <c r="AP7" s="1444"/>
      <c r="AQ7" s="1444"/>
      <c r="AR7" s="1444"/>
      <c r="AS7" s="1444"/>
      <c r="AT7" s="1444"/>
      <c r="AU7" s="1444"/>
      <c r="AV7" s="1444"/>
      <c r="AW7" s="1444"/>
      <c r="AX7" s="1444"/>
      <c r="AY7" s="1444"/>
      <c r="AZ7" s="1446"/>
    </row>
    <row r="8" spans="1:52">
      <c r="A8" s="1453"/>
      <c r="B8" s="1454"/>
      <c r="C8" s="1451"/>
      <c r="D8" s="1444"/>
      <c r="E8" s="1444"/>
      <c r="F8" s="1444"/>
      <c r="G8" s="1444"/>
      <c r="H8" s="1444"/>
      <c r="I8" s="1444"/>
      <c r="J8" s="1451"/>
      <c r="K8" s="1451"/>
      <c r="L8" s="1451"/>
      <c r="M8" s="1451"/>
      <c r="N8" s="1451"/>
      <c r="O8" s="1451"/>
      <c r="P8" s="1451"/>
      <c r="Q8" s="1451"/>
      <c r="R8" s="1451"/>
      <c r="S8" s="1451"/>
      <c r="T8" s="1451"/>
      <c r="U8" s="1444"/>
      <c r="V8" s="1444"/>
      <c r="W8" s="1444"/>
      <c r="X8" s="1444"/>
      <c r="Y8" s="1444"/>
      <c r="Z8" s="1444"/>
      <c r="AA8" s="1444"/>
      <c r="AB8" s="1444"/>
      <c r="AC8" s="1444"/>
      <c r="AD8" s="1444"/>
      <c r="AE8" s="1444"/>
      <c r="AF8" s="1444"/>
      <c r="AG8" s="1444"/>
      <c r="AH8" s="1444"/>
      <c r="AI8" s="1444"/>
      <c r="AJ8" s="1444"/>
      <c r="AK8" s="1444"/>
      <c r="AL8" s="1444"/>
      <c r="AM8" s="1444"/>
      <c r="AN8" s="1444"/>
      <c r="AO8" s="1444"/>
      <c r="AP8" s="1444"/>
      <c r="AQ8" s="1444"/>
      <c r="AR8" s="1444"/>
      <c r="AS8" s="1444"/>
      <c r="AT8" s="1444"/>
      <c r="AU8" s="1444"/>
      <c r="AV8" s="1444"/>
      <c r="AW8" s="1444"/>
      <c r="AX8" s="1444"/>
      <c r="AY8" s="1444"/>
      <c r="AZ8" s="1446"/>
    </row>
    <row r="9" spans="1:52">
      <c r="A9" s="1455" t="s">
        <v>511</v>
      </c>
      <c r="B9" s="77" t="s">
        <v>504</v>
      </c>
      <c r="C9" s="1456">
        <v>2010</v>
      </c>
      <c r="D9" s="344">
        <v>2011</v>
      </c>
      <c r="E9" s="344">
        <v>2012</v>
      </c>
      <c r="F9" s="344">
        <v>2013</v>
      </c>
      <c r="G9" s="1444"/>
      <c r="H9" s="1444"/>
      <c r="I9" s="1444"/>
      <c r="J9" s="1451"/>
      <c r="K9" s="1451"/>
      <c r="L9" s="1451"/>
      <c r="M9" s="1451"/>
      <c r="N9" s="1451"/>
      <c r="O9" s="1451"/>
      <c r="P9" s="1451"/>
      <c r="Q9" s="1451"/>
      <c r="R9" s="1451"/>
      <c r="S9" s="1451"/>
      <c r="T9" s="1451"/>
      <c r="U9" s="1444"/>
      <c r="V9" s="1444"/>
      <c r="W9" s="1444"/>
      <c r="X9" s="1444"/>
      <c r="Y9" s="1444"/>
      <c r="Z9" s="1444"/>
      <c r="AA9" s="1444"/>
      <c r="AB9" s="1444"/>
      <c r="AC9" s="1444"/>
      <c r="AD9" s="1444"/>
      <c r="AE9" s="1444"/>
      <c r="AF9" s="1444"/>
      <c r="AG9" s="1444"/>
      <c r="AH9" s="1444"/>
      <c r="AI9" s="1444"/>
      <c r="AJ9" s="1444"/>
      <c r="AK9" s="1444"/>
      <c r="AL9" s="1444"/>
      <c r="AM9" s="1444"/>
      <c r="AN9" s="1444"/>
      <c r="AO9" s="1444"/>
      <c r="AP9" s="1444"/>
      <c r="AQ9" s="1444"/>
      <c r="AR9" s="1444"/>
      <c r="AS9" s="1444"/>
      <c r="AT9" s="1444"/>
      <c r="AU9" s="1444"/>
      <c r="AV9" s="1444"/>
      <c r="AW9" s="1444"/>
      <c r="AX9" s="1444"/>
      <c r="AY9" s="1444"/>
      <c r="AZ9" s="1446"/>
    </row>
    <row r="10" spans="1:52">
      <c r="A10" s="177">
        <v>2010</v>
      </c>
      <c r="B10" s="346">
        <v>1.0029999999999999</v>
      </c>
      <c r="C10" s="249">
        <v>1</v>
      </c>
      <c r="D10" s="249">
        <v>1.0149999999999999</v>
      </c>
      <c r="E10" s="249">
        <v>1.0413899999999998</v>
      </c>
      <c r="F10" s="249">
        <v>1.06534197</v>
      </c>
      <c r="G10" s="1444"/>
      <c r="H10" s="1444"/>
      <c r="I10" s="1444"/>
      <c r="J10" s="1451"/>
      <c r="K10" s="1451"/>
      <c r="L10" s="1451"/>
      <c r="M10" s="1451"/>
      <c r="N10" s="1451"/>
      <c r="O10" s="1451"/>
      <c r="P10" s="1451"/>
      <c r="Q10" s="1451"/>
      <c r="R10" s="1451"/>
      <c r="S10" s="1451"/>
      <c r="T10" s="1451"/>
      <c r="U10" s="1451"/>
      <c r="V10" s="1451"/>
      <c r="W10" s="1451"/>
      <c r="X10" s="1451"/>
      <c r="Y10" s="1451"/>
      <c r="Z10" s="1451"/>
      <c r="AA10" s="1451"/>
      <c r="AB10" s="1451"/>
      <c r="AC10" s="1451"/>
      <c r="AD10" s="1451"/>
      <c r="AE10" s="1451"/>
      <c r="AF10" s="1451"/>
      <c r="AG10" s="1451"/>
      <c r="AH10" s="1451"/>
      <c r="AI10" s="1451"/>
      <c r="AJ10" s="1451"/>
      <c r="AK10" s="1451"/>
      <c r="AL10" s="1451"/>
      <c r="AM10" s="1451"/>
      <c r="AN10" s="1444"/>
      <c r="AO10" s="1444"/>
      <c r="AP10" s="1444"/>
      <c r="AQ10" s="1444"/>
      <c r="AR10" s="1444"/>
      <c r="AS10" s="1444"/>
      <c r="AT10" s="1444"/>
      <c r="AU10" s="1444"/>
      <c r="AV10" s="1444"/>
      <c r="AW10" s="1444"/>
      <c r="AX10" s="1444"/>
      <c r="AY10" s="1444"/>
      <c r="AZ10" s="1446"/>
    </row>
    <row r="11" spans="1:52">
      <c r="A11" s="177">
        <v>2011</v>
      </c>
      <c r="B11" s="346">
        <v>1.0149999999999999</v>
      </c>
      <c r="C11" s="1457"/>
      <c r="D11" s="249">
        <v>1</v>
      </c>
      <c r="E11" s="249">
        <v>1.026</v>
      </c>
      <c r="F11" s="249">
        <v>1.049598</v>
      </c>
      <c r="G11" s="177"/>
      <c r="H11" s="177"/>
      <c r="I11" s="177"/>
      <c r="J11" s="1458"/>
      <c r="K11" s="1458"/>
      <c r="L11" s="1458"/>
      <c r="M11" s="1458"/>
      <c r="N11" s="1458"/>
      <c r="O11" s="1458"/>
      <c r="P11" s="1458"/>
      <c r="Q11" s="1458"/>
      <c r="R11" s="1458"/>
      <c r="S11" s="1458"/>
      <c r="T11" s="1458"/>
      <c r="U11" s="1458"/>
      <c r="V11" s="1458"/>
      <c r="W11" s="1458"/>
      <c r="X11" s="1458"/>
      <c r="Y11" s="1458"/>
      <c r="Z11" s="1458"/>
      <c r="AA11" s="1458"/>
      <c r="AB11" s="1458"/>
      <c r="AC11" s="1458"/>
      <c r="AD11" s="1458"/>
      <c r="AE11" s="1458"/>
      <c r="AF11" s="1458"/>
      <c r="AG11" s="1458"/>
      <c r="AH11" s="1458"/>
      <c r="AI11" s="1458"/>
      <c r="AJ11" s="1458"/>
      <c r="AK11" s="1458"/>
      <c r="AL11" s="1458"/>
      <c r="AM11" s="1458"/>
      <c r="AN11" s="1453"/>
      <c r="AO11" s="1453"/>
      <c r="AP11" s="1453"/>
      <c r="AQ11" s="1453"/>
      <c r="AR11" s="1453"/>
      <c r="AS11" s="1453"/>
      <c r="AT11" s="1453"/>
      <c r="AU11" s="1453"/>
      <c r="AV11" s="1453"/>
      <c r="AW11" s="1453"/>
      <c r="AX11" s="1453"/>
      <c r="AY11" s="1453"/>
      <c r="AZ11" s="1459"/>
    </row>
    <row r="12" spans="1:52">
      <c r="A12" s="177">
        <v>2012</v>
      </c>
      <c r="B12" s="346">
        <v>1.026</v>
      </c>
      <c r="C12" s="1457"/>
      <c r="D12" s="1460"/>
      <c r="E12" s="249">
        <v>1</v>
      </c>
      <c r="F12" s="249">
        <v>1.0229999999999999</v>
      </c>
      <c r="G12" s="177"/>
      <c r="H12" s="177"/>
      <c r="I12" s="177"/>
      <c r="J12" s="1458"/>
      <c r="K12" s="1458"/>
      <c r="L12" s="1458"/>
      <c r="M12" s="1458"/>
      <c r="N12" s="1458"/>
      <c r="O12" s="1458"/>
      <c r="P12" s="1458"/>
      <c r="Q12" s="1458"/>
      <c r="R12" s="1458"/>
      <c r="S12" s="1458"/>
      <c r="T12" s="1458"/>
      <c r="U12" s="1458"/>
      <c r="V12" s="1458"/>
      <c r="W12" s="1458"/>
      <c r="X12" s="1458"/>
      <c r="Y12" s="1458"/>
      <c r="Z12" s="1458"/>
      <c r="AA12" s="1458"/>
      <c r="AB12" s="1458"/>
      <c r="AC12" s="1458"/>
      <c r="AD12" s="1458"/>
      <c r="AE12" s="1458"/>
      <c r="AF12" s="1458"/>
      <c r="AG12" s="1458"/>
      <c r="AH12" s="1458"/>
      <c r="AI12" s="1458"/>
      <c r="AJ12" s="1458"/>
      <c r="AK12" s="1458"/>
      <c r="AL12" s="1458"/>
      <c r="AM12" s="1458"/>
      <c r="AN12" s="1453"/>
      <c r="AO12" s="1453"/>
      <c r="AP12" s="1453"/>
      <c r="AQ12" s="1453"/>
      <c r="AR12" s="1453"/>
      <c r="AS12" s="1453"/>
      <c r="AT12" s="1453"/>
      <c r="AU12" s="1453"/>
      <c r="AV12" s="1453"/>
      <c r="AW12" s="1453"/>
      <c r="AX12" s="1453"/>
      <c r="AY12" s="1453"/>
      <c r="AZ12" s="1459"/>
    </row>
    <row r="13" spans="1:52">
      <c r="A13" s="177">
        <v>2013</v>
      </c>
      <c r="B13" s="346">
        <v>1.0229999999999999</v>
      </c>
      <c r="C13" s="1457"/>
      <c r="D13" s="1460"/>
      <c r="E13" s="1460"/>
      <c r="F13" s="249">
        <v>1</v>
      </c>
      <c r="AK13" s="1461"/>
      <c r="AN13" s="1462"/>
      <c r="AO13" s="1462"/>
      <c r="AP13" s="1462"/>
      <c r="AQ13" s="1462"/>
      <c r="AR13" s="1462"/>
      <c r="AS13" s="1462"/>
      <c r="AT13" s="1462"/>
      <c r="AU13" s="1462"/>
      <c r="AV13" s="1462"/>
      <c r="AW13" s="1462"/>
      <c r="AX13" s="1462"/>
      <c r="AY13" s="1462"/>
      <c r="AZ13" s="1463"/>
    </row>
    <row r="14" spans="1:52">
      <c r="A14" s="177"/>
      <c r="B14" s="1453"/>
      <c r="C14" s="1453"/>
      <c r="D14" s="177"/>
      <c r="E14" s="177"/>
      <c r="F14" s="177"/>
      <c r="G14" s="1458"/>
      <c r="H14" s="1458"/>
      <c r="I14" s="1458"/>
      <c r="J14" s="1458"/>
      <c r="K14" s="1458"/>
      <c r="L14" s="1458"/>
      <c r="M14" s="1458"/>
      <c r="N14" s="1458"/>
      <c r="O14" s="1458"/>
      <c r="P14" s="1458"/>
      <c r="Q14" s="1458"/>
      <c r="R14" s="1458"/>
      <c r="S14" s="1458"/>
      <c r="T14" s="1458"/>
      <c r="U14" s="1458"/>
      <c r="V14" s="1458"/>
      <c r="W14" s="1458"/>
      <c r="X14" s="1458"/>
      <c r="Y14" s="1458"/>
      <c r="Z14" s="1458"/>
      <c r="AA14" s="1458"/>
      <c r="AB14" s="1458"/>
      <c r="AC14" s="1458"/>
      <c r="AD14" s="1458"/>
      <c r="AE14" s="1458"/>
      <c r="AF14" s="1458"/>
      <c r="AG14" s="1458"/>
      <c r="AH14" s="1458"/>
      <c r="AI14" s="1458"/>
      <c r="AJ14" s="1458"/>
      <c r="AK14" s="1464"/>
      <c r="AL14" s="1458"/>
      <c r="AM14" s="1458"/>
      <c r="AN14" s="1453"/>
      <c r="AO14" s="1453"/>
      <c r="AP14" s="1453"/>
      <c r="AQ14" s="1453"/>
      <c r="AR14" s="1453"/>
      <c r="AS14" s="1453"/>
      <c r="AT14" s="1453"/>
      <c r="AU14" s="1453"/>
      <c r="AV14" s="1453"/>
      <c r="AW14" s="1453"/>
      <c r="AX14" s="1453"/>
      <c r="AY14" s="1453"/>
      <c r="AZ14" s="1459"/>
    </row>
    <row r="15" spans="1:52">
      <c r="A15" s="1447" t="s">
        <v>543</v>
      </c>
      <c r="B15" s="1448"/>
      <c r="C15" s="1448"/>
      <c r="D15" s="1448"/>
      <c r="E15" s="1448"/>
      <c r="F15" s="1465"/>
      <c r="G15" s="1465"/>
      <c r="H15" s="1465"/>
      <c r="I15" s="1465"/>
      <c r="J15" s="1465"/>
      <c r="K15" s="1465"/>
      <c r="L15" s="1465"/>
      <c r="M15" s="1465"/>
      <c r="N15" s="1465"/>
      <c r="O15" s="1465"/>
      <c r="P15" s="1465"/>
      <c r="Q15" s="1465"/>
      <c r="R15" s="1465"/>
      <c r="S15" s="1465"/>
      <c r="T15" s="1465"/>
      <c r="U15" s="1465"/>
      <c r="V15" s="1465"/>
      <c r="W15" s="1465"/>
      <c r="X15" s="1465"/>
      <c r="Y15" s="1465"/>
      <c r="Z15" s="1465"/>
      <c r="AA15" s="1465"/>
      <c r="AB15" s="1465"/>
      <c r="AC15" s="1465"/>
      <c r="AD15" s="1465"/>
      <c r="AE15" s="1465"/>
      <c r="AF15" s="1465"/>
      <c r="AG15" s="1465"/>
      <c r="AH15" s="1465"/>
      <c r="AI15" s="1465"/>
      <c r="AJ15" s="1465"/>
      <c r="AK15" s="1465"/>
      <c r="AL15" s="1465"/>
      <c r="AM15" s="1465"/>
      <c r="AN15" s="1465"/>
      <c r="AO15" s="1465"/>
      <c r="AP15" s="1465"/>
      <c r="AQ15" s="1465"/>
      <c r="AR15" s="1448"/>
      <c r="AS15" s="1448"/>
      <c r="AT15" s="1448"/>
      <c r="AU15" s="1448"/>
      <c r="AV15" s="1448"/>
      <c r="AW15" s="1448"/>
      <c r="AX15" s="1448"/>
      <c r="AY15" s="1448"/>
      <c r="AZ15" s="1449"/>
    </row>
    <row r="16" spans="1:52">
      <c r="A16" s="90" t="s">
        <v>540</v>
      </c>
      <c r="B16" s="90" t="s">
        <v>544</v>
      </c>
      <c r="C16" s="90" t="s">
        <v>1303</v>
      </c>
      <c r="D16" s="91" t="s">
        <v>1304</v>
      </c>
      <c r="E16" s="91" t="s">
        <v>545</v>
      </c>
      <c r="F16" s="1465"/>
      <c r="G16" s="1465"/>
      <c r="H16" s="1465"/>
      <c r="I16" s="1465"/>
      <c r="J16" s="1465"/>
      <c r="K16" s="1465"/>
      <c r="L16" s="1465"/>
      <c r="M16" s="1465"/>
      <c r="N16" s="1465"/>
      <c r="O16" s="1465"/>
      <c r="P16" s="1465"/>
      <c r="Q16" s="1465"/>
      <c r="R16" s="1465"/>
      <c r="S16" s="1465"/>
      <c r="T16" s="1465"/>
      <c r="U16" s="1465"/>
      <c r="V16" s="1465"/>
      <c r="W16" s="1465"/>
      <c r="X16" s="1465"/>
      <c r="Y16" s="1465"/>
      <c r="Z16" s="1465"/>
      <c r="AA16" s="1465"/>
      <c r="AB16" s="1465"/>
      <c r="AC16" s="1465"/>
      <c r="AD16" s="1465"/>
      <c r="AE16" s="1465"/>
      <c r="AF16" s="1465"/>
      <c r="AG16" s="1465"/>
      <c r="AH16" s="1465"/>
      <c r="AI16" s="1465"/>
      <c r="AJ16" s="1465"/>
      <c r="AK16" s="1465"/>
      <c r="AL16" s="1465"/>
      <c r="AM16" s="1465"/>
      <c r="AN16" s="1465"/>
      <c r="AO16" s="1465"/>
      <c r="AP16" s="1465"/>
      <c r="AQ16" s="1465"/>
      <c r="AR16" s="1465"/>
      <c r="AS16" s="1465"/>
      <c r="AT16" s="1465"/>
      <c r="AU16" s="1465"/>
      <c r="AV16" s="1465"/>
      <c r="AW16" s="1465"/>
      <c r="AX16" s="1465"/>
      <c r="AY16" s="1465"/>
      <c r="AZ16" s="1466"/>
    </row>
    <row r="17" spans="1:52">
      <c r="A17" s="1467" t="s">
        <v>539</v>
      </c>
      <c r="B17" s="491">
        <v>36</v>
      </c>
      <c r="C17" s="492">
        <v>30</v>
      </c>
      <c r="D17" s="493">
        <v>0</v>
      </c>
      <c r="E17" s="493">
        <v>1</v>
      </c>
      <c r="AG17" s="1468"/>
      <c r="AK17" s="1461"/>
      <c r="AN17" s="1462"/>
      <c r="AO17" s="1462"/>
      <c r="AP17" s="1462"/>
      <c r="AQ17" s="1469"/>
      <c r="AR17" s="1469"/>
      <c r="AS17" s="1469"/>
      <c r="AT17" s="1469"/>
      <c r="AU17" s="1462"/>
      <c r="AV17" s="1462"/>
      <c r="AW17" s="1462"/>
      <c r="AX17" s="1462"/>
      <c r="AY17" s="1462"/>
      <c r="AZ17" s="1463"/>
    </row>
    <row r="18" spans="1:52">
      <c r="A18" s="1470"/>
      <c r="B18" s="1468"/>
      <c r="C18" s="1458"/>
      <c r="D18" s="1458"/>
      <c r="E18" s="1458"/>
      <c r="F18" s="1458"/>
      <c r="G18" s="1458"/>
      <c r="H18" s="1458"/>
      <c r="I18" s="1458"/>
      <c r="J18" s="1458"/>
      <c r="K18" s="1458"/>
      <c r="L18" s="1458"/>
      <c r="M18" s="1458"/>
      <c r="N18" s="1458"/>
      <c r="O18" s="1471"/>
      <c r="P18" s="1458"/>
      <c r="Q18" s="1458"/>
      <c r="R18" s="1458"/>
      <c r="S18" s="1458"/>
      <c r="T18" s="1458"/>
      <c r="U18" s="1458"/>
      <c r="V18" s="1458"/>
      <c r="W18" s="1458"/>
      <c r="X18" s="1458"/>
      <c r="Y18" s="1458"/>
      <c r="Z18" s="1458"/>
      <c r="AA18" s="1458"/>
      <c r="AB18" s="1458"/>
      <c r="AC18" s="1458"/>
      <c r="AD18" s="1458"/>
      <c r="AE18" s="1458"/>
      <c r="AF18" s="1458"/>
      <c r="AG18" s="1458"/>
      <c r="AH18" s="1458"/>
      <c r="AI18" s="1458"/>
      <c r="AJ18" s="1458"/>
      <c r="AK18" s="1458"/>
      <c r="AL18" s="1458"/>
      <c r="AM18" s="1458"/>
      <c r="AN18" s="1458"/>
      <c r="AO18" s="1453"/>
      <c r="AP18" s="1453"/>
      <c r="AQ18" s="1453"/>
      <c r="AR18" s="1453"/>
      <c r="AS18" s="1453"/>
      <c r="AT18" s="1453"/>
      <c r="AU18" s="1453"/>
      <c r="AV18" s="1453"/>
      <c r="AW18" s="1453"/>
      <c r="AX18" s="1453"/>
      <c r="AY18" s="1453"/>
      <c r="AZ18" s="1459"/>
    </row>
    <row r="19" spans="1:52" s="1537" customFormat="1" ht="9.75" customHeight="1">
      <c r="A19" s="1535"/>
      <c r="B19" s="1536"/>
      <c r="O19" s="1538"/>
      <c r="AO19" s="1539"/>
      <c r="AP19" s="1539"/>
      <c r="AQ19" s="1539"/>
      <c r="AR19" s="1539"/>
      <c r="AS19" s="1539"/>
      <c r="AT19" s="1539"/>
      <c r="AU19" s="1539"/>
      <c r="AV19" s="1539"/>
      <c r="AW19" s="1539"/>
      <c r="AX19" s="1539"/>
      <c r="AY19" s="1539"/>
      <c r="AZ19" s="1540"/>
    </row>
    <row r="20" spans="1:52" s="1537" customFormat="1" ht="15.75">
      <c r="A20" s="1541" t="s">
        <v>1426</v>
      </c>
      <c r="B20" s="1536"/>
      <c r="O20" s="1538"/>
      <c r="AO20" s="1539"/>
      <c r="AP20" s="1539"/>
      <c r="AQ20" s="1539"/>
      <c r="AR20" s="1539"/>
      <c r="AS20" s="1539"/>
      <c r="AT20" s="1539"/>
      <c r="AU20" s="1539"/>
      <c r="AV20" s="1539"/>
      <c r="AW20" s="1539"/>
      <c r="AX20" s="1539"/>
      <c r="AY20" s="1539"/>
      <c r="AZ20" s="1540"/>
    </row>
    <row r="21" spans="1:52" s="1537" customFormat="1" ht="10.5" customHeight="1">
      <c r="A21" s="1535"/>
      <c r="B21" s="1536"/>
      <c r="O21" s="1538"/>
      <c r="AO21" s="1539"/>
      <c r="AP21" s="1539"/>
      <c r="AQ21" s="1539"/>
      <c r="AR21" s="1539"/>
      <c r="AS21" s="1539"/>
      <c r="AT21" s="1539"/>
      <c r="AU21" s="1539"/>
      <c r="AV21" s="1539"/>
      <c r="AW21" s="1539"/>
      <c r="AX21" s="1539"/>
      <c r="AY21" s="1539"/>
      <c r="AZ21" s="1540"/>
    </row>
    <row r="22" spans="1:52">
      <c r="A22" s="1470"/>
      <c r="B22" s="1468"/>
      <c r="C22" s="1458"/>
      <c r="D22" s="1458"/>
      <c r="E22" s="1458"/>
      <c r="F22" s="1458"/>
      <c r="G22" s="1458"/>
      <c r="H22" s="1458"/>
      <c r="I22" s="1458"/>
      <c r="J22" s="1458"/>
      <c r="K22" s="1458"/>
      <c r="L22" s="1458"/>
      <c r="M22" s="1458"/>
      <c r="N22" s="1458"/>
      <c r="O22" s="1471"/>
      <c r="P22" s="1458"/>
      <c r="Q22" s="1458"/>
      <c r="R22" s="1458"/>
      <c r="S22" s="1458"/>
      <c r="T22" s="1458"/>
      <c r="U22" s="1458"/>
      <c r="V22" s="1458"/>
      <c r="W22" s="1458"/>
      <c r="X22" s="1458"/>
      <c r="Y22" s="1458"/>
      <c r="Z22" s="1458"/>
      <c r="AA22" s="1458"/>
      <c r="AB22" s="1458"/>
      <c r="AC22" s="1458"/>
      <c r="AD22" s="1458"/>
      <c r="AE22" s="1458"/>
      <c r="AF22" s="1458"/>
      <c r="AG22" s="1458"/>
      <c r="AH22" s="1458"/>
      <c r="AI22" s="1458"/>
      <c r="AJ22" s="1458"/>
      <c r="AK22" s="1458"/>
      <c r="AL22" s="1458"/>
      <c r="AM22" s="1458"/>
      <c r="AN22" s="1458"/>
      <c r="AO22" s="1453"/>
      <c r="AP22" s="1453"/>
      <c r="AQ22" s="1453"/>
      <c r="AR22" s="1453"/>
      <c r="AS22" s="1453"/>
      <c r="AT22" s="1453"/>
      <c r="AU22" s="1453"/>
      <c r="AV22" s="1453"/>
      <c r="AW22" s="1453"/>
      <c r="AX22" s="1453"/>
      <c r="AY22" s="1453"/>
      <c r="AZ22" s="1459"/>
    </row>
    <row r="23" spans="1:52">
      <c r="A23" s="1472"/>
      <c r="B23" s="1472"/>
      <c r="C23" s="1472"/>
      <c r="D23" s="1472"/>
      <c r="E23" s="1472"/>
      <c r="F23" s="1472"/>
      <c r="G23" s="1472"/>
      <c r="H23" s="1473"/>
      <c r="I23" s="1473"/>
      <c r="J23" s="1473"/>
      <c r="K23" s="1473"/>
      <c r="L23" s="1473"/>
      <c r="M23" s="1473"/>
      <c r="N23" s="1473"/>
      <c r="O23" s="1473"/>
      <c r="P23" s="1474"/>
      <c r="Q23" s="1473"/>
      <c r="R23" s="1474"/>
      <c r="S23" s="1475"/>
      <c r="T23" s="1473"/>
      <c r="U23" s="1711" t="s">
        <v>1305</v>
      </c>
      <c r="V23" s="1711"/>
      <c r="W23" s="1711"/>
      <c r="X23" s="1711"/>
      <c r="Y23" s="1711" t="s">
        <v>1306</v>
      </c>
      <c r="Z23" s="1711"/>
      <c r="AA23" s="1711"/>
      <c r="AB23" s="1711"/>
      <c r="AC23" s="1711" t="s">
        <v>560</v>
      </c>
      <c r="AD23" s="1711"/>
      <c r="AE23" s="1711"/>
      <c r="AF23" s="1711"/>
      <c r="AG23" s="1711" t="s">
        <v>10</v>
      </c>
      <c r="AH23" s="1711"/>
      <c r="AI23" s="1711"/>
      <c r="AJ23" s="1711"/>
      <c r="AK23" s="1711" t="s">
        <v>1307</v>
      </c>
      <c r="AL23" s="1711"/>
      <c r="AM23" s="1711"/>
      <c r="AN23" s="1711"/>
      <c r="AO23" s="1711" t="s">
        <v>1308</v>
      </c>
      <c r="AP23" s="1711"/>
      <c r="AQ23" s="1711"/>
      <c r="AR23" s="1711"/>
      <c r="AS23" s="1711" t="s">
        <v>1309</v>
      </c>
      <c r="AT23" s="1711"/>
      <c r="AU23" s="1711"/>
      <c r="AV23" s="1711"/>
      <c r="AW23" s="1711" t="s">
        <v>1310</v>
      </c>
      <c r="AX23" s="1711"/>
      <c r="AY23" s="1711"/>
      <c r="AZ23" s="1712"/>
    </row>
    <row r="24" spans="1:52">
      <c r="A24" s="1472" t="s">
        <v>505</v>
      </c>
      <c r="B24" s="1472" t="s">
        <v>540</v>
      </c>
      <c r="C24" s="1472" t="s">
        <v>541</v>
      </c>
      <c r="D24" s="1472" t="s">
        <v>542</v>
      </c>
      <c r="E24" s="1472" t="s">
        <v>514</v>
      </c>
      <c r="F24" s="1472" t="s">
        <v>1311</v>
      </c>
      <c r="G24" s="1472" t="s">
        <v>1312</v>
      </c>
      <c r="H24" s="1472" t="s">
        <v>1313</v>
      </c>
      <c r="I24" s="1472" t="s">
        <v>506</v>
      </c>
      <c r="J24" s="1472" t="s">
        <v>1314</v>
      </c>
      <c r="K24" s="1472" t="s">
        <v>507</v>
      </c>
      <c r="L24" s="1472" t="s">
        <v>1315</v>
      </c>
      <c r="M24" s="1472" t="s">
        <v>1316</v>
      </c>
      <c r="N24" s="1472" t="s">
        <v>1317</v>
      </c>
      <c r="O24" s="1472" t="s">
        <v>1318</v>
      </c>
      <c r="P24" s="1472" t="s">
        <v>1319</v>
      </c>
      <c r="Q24" s="1472" t="s">
        <v>1320</v>
      </c>
      <c r="R24" s="1472" t="s">
        <v>1321</v>
      </c>
      <c r="S24" s="1472" t="s">
        <v>1322</v>
      </c>
      <c r="T24" s="1472" t="s">
        <v>1323</v>
      </c>
      <c r="U24" s="1472">
        <v>2010</v>
      </c>
      <c r="V24" s="1472">
        <v>2011</v>
      </c>
      <c r="W24" s="1472">
        <v>2012</v>
      </c>
      <c r="X24" s="1472">
        <v>2013</v>
      </c>
      <c r="Y24" s="1472">
        <v>2010</v>
      </c>
      <c r="Z24" s="1472">
        <v>2011</v>
      </c>
      <c r="AA24" s="1472">
        <v>2012</v>
      </c>
      <c r="AB24" s="1472">
        <v>2013</v>
      </c>
      <c r="AC24" s="1472">
        <v>2010</v>
      </c>
      <c r="AD24" s="1472">
        <v>2011</v>
      </c>
      <c r="AE24" s="1472">
        <v>2012</v>
      </c>
      <c r="AF24" s="1472">
        <v>2013</v>
      </c>
      <c r="AG24" s="1472">
        <v>2010</v>
      </c>
      <c r="AH24" s="1472">
        <v>2011</v>
      </c>
      <c r="AI24" s="1472">
        <v>2012</v>
      </c>
      <c r="AJ24" s="1472">
        <v>2013</v>
      </c>
      <c r="AK24" s="1472">
        <v>2010</v>
      </c>
      <c r="AL24" s="1472">
        <v>2011</v>
      </c>
      <c r="AM24" s="1472">
        <v>2012</v>
      </c>
      <c r="AN24" s="1472">
        <v>2013</v>
      </c>
      <c r="AO24" s="1472">
        <v>2010</v>
      </c>
      <c r="AP24" s="1472">
        <v>2011</v>
      </c>
      <c r="AQ24" s="1472">
        <v>2012</v>
      </c>
      <c r="AR24" s="1472">
        <v>2013</v>
      </c>
      <c r="AS24" s="1472">
        <v>2010</v>
      </c>
      <c r="AT24" s="1472">
        <v>2011</v>
      </c>
      <c r="AU24" s="1472">
        <v>2012</v>
      </c>
      <c r="AV24" s="1472">
        <v>2013</v>
      </c>
      <c r="AW24" s="1476">
        <v>2010</v>
      </c>
      <c r="AX24" s="1477">
        <v>2011</v>
      </c>
      <c r="AY24" s="1476">
        <v>2012</v>
      </c>
      <c r="AZ24" s="1477">
        <v>2013</v>
      </c>
    </row>
    <row r="25" spans="1:52">
      <c r="A25" s="1478" t="s">
        <v>781</v>
      </c>
      <c r="B25" s="1478" t="s">
        <v>1324</v>
      </c>
      <c r="C25" s="1479">
        <f>139210170-3056997</f>
        <v>136153173</v>
      </c>
      <c r="D25" s="1480">
        <v>41180</v>
      </c>
      <c r="E25" s="1478">
        <v>36</v>
      </c>
      <c r="F25" s="1481">
        <f t="shared" ref="F25" si="0">IF(YEAR(D25)=2010,1,0)</f>
        <v>0</v>
      </c>
      <c r="G25" s="1481">
        <f t="shared" ref="G25" si="1">IF(YEAR(D25)=2011,1,0)</f>
        <v>0</v>
      </c>
      <c r="H25" s="1481">
        <f t="shared" ref="H25" si="2">IF(YEAR(D25)=2012,1,0)</f>
        <v>1</v>
      </c>
      <c r="I25" s="1482">
        <f>VLOOKUP($E25,$B$17:$E$17,2,FALSE)</f>
        <v>30</v>
      </c>
      <c r="J25" s="1483">
        <f>VLOOKUP($E25,$B$17:$E$17,3,FALSE)</f>
        <v>0</v>
      </c>
      <c r="K25" s="1483">
        <f>VLOOKUP($E25,$B$17:$E$17,4,FALSE)</f>
        <v>1</v>
      </c>
      <c r="L25" s="1484">
        <f t="shared" ref="L25" si="3">C25*$B$7</f>
        <v>1361531.73</v>
      </c>
      <c r="M25" s="1485">
        <f t="shared" ref="M25" si="4">(IF(F25=1,L25,0))*J25</f>
        <v>0</v>
      </c>
      <c r="N25" s="1485">
        <f t="shared" ref="N25" si="5">(IF(F25=1,L25,0))*K25</f>
        <v>0</v>
      </c>
      <c r="O25" s="1485">
        <f t="shared" ref="O25" si="6">(IF(G25=1,L25*$J25,L25*J25*F25*$D$10))</f>
        <v>0</v>
      </c>
      <c r="P25" s="1485">
        <f t="shared" ref="P25" si="7">(IF(G25=1,L25*$K25,N25*$D$10*$K25))</f>
        <v>0</v>
      </c>
      <c r="Q25" s="1485">
        <f t="shared" ref="Q25" si="8">IF(H25=1,L25*$J25,O25*$E$11)</f>
        <v>0</v>
      </c>
      <c r="R25" s="1485">
        <f t="shared" ref="R25" si="9">(IF(H25=1,L25*$K25,P25*$E$11))</f>
        <v>1361531.73</v>
      </c>
      <c r="S25" s="1485">
        <f t="shared" ref="S25:T25" si="10">Q25*$F$12</f>
        <v>0</v>
      </c>
      <c r="T25" s="1486">
        <f t="shared" si="10"/>
        <v>1392846.9597899998</v>
      </c>
      <c r="U25" s="1487">
        <f>IF(U$24=YEAR($D25),(12-(MONTH($D25)-1))/12,0)</f>
        <v>0</v>
      </c>
      <c r="V25" s="1487">
        <f>IF(V$24=YEAR($D25),(12-(MONTH($D25)-1))/12,IF(V$24&lt;YEAR($D25),0,U25+1))</f>
        <v>0</v>
      </c>
      <c r="W25" s="1487">
        <f>IF(W$24=YEAR($D25),(12-(MONTH($D25)-1))/12,IF(W$24&lt;YEAR($D25),0,V25+1))</f>
        <v>0.33333333333333331</v>
      </c>
      <c r="X25" s="1487">
        <f>IF(X$24=YEAR($D25),(12-(MONTH($D25)-1))/12,IF(X$24&lt;YEAR($D25),0,W25+1))</f>
        <v>1.3333333333333333</v>
      </c>
      <c r="Y25" s="1481">
        <f t="shared" ref="Y25" si="11">IF(F25=1,U25*$C25/$I25,0)</f>
        <v>0</v>
      </c>
      <c r="Z25" s="1481">
        <f t="shared" ref="Z25:AB25" si="12">(V25-U25)*$C25/$I25</f>
        <v>0</v>
      </c>
      <c r="AA25" s="1481">
        <f t="shared" si="12"/>
        <v>1512813.0333333334</v>
      </c>
      <c r="AB25" s="1481">
        <f t="shared" si="12"/>
        <v>4538439.0999999996</v>
      </c>
      <c r="AC25" s="1488">
        <v>1.0029999999999999</v>
      </c>
      <c r="AD25" s="1488">
        <v>1.0149999999999999</v>
      </c>
      <c r="AE25" s="1488">
        <v>1</v>
      </c>
      <c r="AF25" s="1488">
        <v>1.0229999999999999</v>
      </c>
      <c r="AG25" s="1489">
        <f t="shared" ref="AG25" si="13">Y25*AC25</f>
        <v>0</v>
      </c>
      <c r="AH25" s="1489">
        <f t="shared" ref="AH25" si="14">IF(YEAR(D25)=2011,Z25*AD25,IF(YEAR(D25)=2010,Z25*AD25,Y25*AD25))</f>
        <v>0</v>
      </c>
      <c r="AI25" s="1489">
        <f t="shared" ref="AI25" si="15">IF(YEAR(D25)=2012,AA25*AE25,IF(YEAR(D25)=2011,AA25*AE25,AH25*AE25))</f>
        <v>1512813.0333333334</v>
      </c>
      <c r="AJ25" s="1489">
        <f t="shared" ref="AJ25" si="16">IF(YEAR(D25)=2012,AB25*AF25,IF(YEAR(D25)=2011,AB25*AF25*AE25,AI25*AF25))</f>
        <v>4642823.1992999995</v>
      </c>
      <c r="AK25" s="1490">
        <v>0</v>
      </c>
      <c r="AL25" s="1491">
        <f t="shared" ref="AL25:AN25" si="17">AO25</f>
        <v>0</v>
      </c>
      <c r="AM25" s="1491">
        <f t="shared" si="17"/>
        <v>0</v>
      </c>
      <c r="AN25" s="1491">
        <f t="shared" si="17"/>
        <v>134640359.96666667</v>
      </c>
      <c r="AO25" s="1489">
        <f t="shared" ref="AO25" si="18">IF(F25=1,C25-AG25,AK25*AC25-AG25)</f>
        <v>0</v>
      </c>
      <c r="AP25" s="1489">
        <f t="shared" ref="AP25" si="19">IF(G25=1,C25-AH25,AL25*AD25-AH25)</f>
        <v>0</v>
      </c>
      <c r="AQ25" s="1489">
        <f t="shared" ref="AQ25" si="20">IF(H25=1,C25-AI25,AM25*AE25-AI25)</f>
        <v>134640359.96666667</v>
      </c>
      <c r="AR25" s="1489">
        <f t="shared" ref="AR25" si="21">AN25*AF25-AJ25</f>
        <v>133094265.04659997</v>
      </c>
      <c r="AS25" s="1489">
        <f t="shared" ref="AS25:AV25" si="22">(AO25*$B$6+AG25)*$J25</f>
        <v>0</v>
      </c>
      <c r="AT25" s="1489">
        <f t="shared" si="22"/>
        <v>0</v>
      </c>
      <c r="AU25" s="1489">
        <f t="shared" si="22"/>
        <v>0</v>
      </c>
      <c r="AV25" s="1489">
        <f t="shared" si="22"/>
        <v>0</v>
      </c>
      <c r="AW25" s="1489">
        <f t="shared" ref="AW25:AZ25" si="23">(AO25*$B$6+AG25)*$K25</f>
        <v>0</v>
      </c>
      <c r="AX25" s="1489">
        <f t="shared" si="23"/>
        <v>0</v>
      </c>
      <c r="AY25" s="1489">
        <f t="shared" si="23"/>
        <v>9321953.9114000015</v>
      </c>
      <c r="AZ25" s="1492">
        <f t="shared" si="23"/>
        <v>12362290.572002798</v>
      </c>
    </row>
    <row r="26" spans="1:52">
      <c r="A26" s="1462"/>
      <c r="B26" s="580"/>
      <c r="C26" s="580"/>
      <c r="D26" s="580"/>
      <c r="E26" s="580"/>
      <c r="F26" s="580"/>
      <c r="G26" s="580"/>
      <c r="H26" s="580"/>
      <c r="I26" s="1462"/>
      <c r="J26" s="1462"/>
      <c r="K26" s="1462"/>
      <c r="L26" s="1462"/>
      <c r="M26" s="1462"/>
      <c r="N26" s="1462"/>
      <c r="O26" s="1462"/>
      <c r="P26" s="1462"/>
      <c r="Q26" s="1462"/>
      <c r="R26" s="1462"/>
      <c r="S26" s="1462"/>
      <c r="T26" s="1462"/>
      <c r="U26" s="1462"/>
      <c r="V26" s="1462"/>
      <c r="W26" s="1462"/>
      <c r="X26" s="1462"/>
      <c r="Y26" s="1462"/>
      <c r="Z26" s="1462"/>
      <c r="AA26" s="1462"/>
      <c r="AB26" s="1462"/>
      <c r="AC26" s="1462"/>
      <c r="AD26" s="1462"/>
      <c r="AE26" s="1462"/>
      <c r="AF26" s="1462"/>
      <c r="AG26" s="1462"/>
      <c r="AH26" s="1462"/>
      <c r="AI26" s="1462"/>
      <c r="AJ26" s="1462"/>
      <c r="AK26" s="1493"/>
      <c r="AL26" s="1462"/>
      <c r="AM26" s="1462"/>
      <c r="AN26" s="1462"/>
      <c r="AO26" s="1462"/>
      <c r="AP26" s="1462"/>
      <c r="AQ26" s="1462"/>
      <c r="AR26" s="1462"/>
      <c r="AS26" s="1462"/>
      <c r="AT26" s="1462"/>
      <c r="AU26" s="1462"/>
      <c r="AV26" s="1462"/>
      <c r="AW26" s="1462"/>
      <c r="AX26" s="1462"/>
      <c r="AY26" s="1494"/>
      <c r="AZ26" s="1495"/>
    </row>
    <row r="27" spans="1:52">
      <c r="A27" s="714"/>
      <c r="B27" s="1496"/>
      <c r="C27" s="1496"/>
      <c r="D27" s="1496"/>
      <c r="E27" s="1496"/>
      <c r="F27" s="1497"/>
      <c r="G27" s="1497"/>
      <c r="H27" s="1497"/>
      <c r="I27" s="1497"/>
      <c r="J27" s="1497"/>
      <c r="K27" s="1497"/>
      <c r="L27" s="1497"/>
      <c r="M27" s="1497"/>
      <c r="N27" s="1497"/>
      <c r="O27" s="1497"/>
      <c r="P27" s="1497"/>
      <c r="Q27" s="1497"/>
      <c r="R27" s="1497"/>
      <c r="S27" s="1497"/>
      <c r="T27" s="1497"/>
      <c r="U27" s="1497"/>
      <c r="V27" s="1497"/>
      <c r="W27" s="1497"/>
      <c r="X27" s="1497"/>
      <c r="Y27" s="1497"/>
      <c r="Z27" s="1497"/>
      <c r="AA27" s="1497"/>
      <c r="AB27" s="1497"/>
      <c r="AC27" s="1497"/>
      <c r="AD27" s="1497"/>
      <c r="AE27" s="1497"/>
      <c r="AF27" s="1497"/>
      <c r="AG27" s="1497"/>
      <c r="AH27" s="1497"/>
      <c r="AI27" s="1497"/>
      <c r="AJ27" s="1497"/>
      <c r="AK27" s="1498"/>
      <c r="AL27" s="1497"/>
      <c r="AM27" s="1497"/>
      <c r="AN27" s="1497"/>
      <c r="AO27" s="1497"/>
      <c r="AP27" s="1496"/>
      <c r="AQ27" s="1496"/>
      <c r="AR27" s="1496"/>
      <c r="AS27" s="1496"/>
      <c r="AT27" s="1496"/>
      <c r="AU27" s="1496"/>
      <c r="AV27" s="1496"/>
      <c r="AW27" s="1496"/>
      <c r="AX27" s="1496"/>
      <c r="AY27" s="1496"/>
      <c r="AZ27" s="1499"/>
    </row>
    <row r="28" spans="1:52">
      <c r="A28" s="1153" t="s">
        <v>23</v>
      </c>
      <c r="B28" s="1500"/>
      <c r="C28" s="1500"/>
      <c r="D28" s="1500"/>
      <c r="E28" s="1500"/>
      <c r="F28" s="1501"/>
      <c r="G28" s="1501"/>
      <c r="H28" s="1501"/>
      <c r="I28" s="1501"/>
      <c r="J28" s="1501"/>
      <c r="K28" s="1501"/>
      <c r="L28" s="1501"/>
      <c r="M28" s="1501"/>
      <c r="N28" s="1501"/>
      <c r="O28" s="1501"/>
      <c r="P28" s="1501"/>
      <c r="Q28" s="1501"/>
      <c r="R28" s="1501"/>
      <c r="S28" s="1501"/>
      <c r="T28" s="1501"/>
      <c r="U28" s="1501"/>
      <c r="V28" s="1501"/>
      <c r="W28" s="1501"/>
      <c r="X28" s="1501"/>
      <c r="Y28" s="1501"/>
      <c r="Z28" s="1501"/>
      <c r="AA28" s="1501"/>
      <c r="AB28" s="1501"/>
      <c r="AC28" s="1501"/>
      <c r="AD28" s="1501"/>
      <c r="AE28" s="1501"/>
      <c r="AF28" s="1501"/>
      <c r="AG28" s="1501"/>
      <c r="AH28" s="1501"/>
      <c r="AI28" s="1501"/>
      <c r="AJ28" s="1501"/>
      <c r="AK28" s="1502"/>
      <c r="AL28" s="1501"/>
      <c r="AM28" s="1501"/>
      <c r="AN28" s="1501"/>
      <c r="AO28" s="1501"/>
      <c r="AP28" s="1500"/>
      <c r="AQ28" s="1500"/>
      <c r="AR28" s="1500"/>
      <c r="AS28" s="1500"/>
      <c r="AT28" s="1500"/>
      <c r="AU28" s="1500"/>
      <c r="AV28" s="1500"/>
      <c r="AW28" s="1500"/>
      <c r="AX28" s="1500"/>
      <c r="AY28" s="1500"/>
      <c r="AZ28" s="1503"/>
    </row>
    <row r="29" spans="1:52">
      <c r="A29" s="1153" t="s">
        <v>540</v>
      </c>
      <c r="B29" s="1153" t="s">
        <v>675</v>
      </c>
      <c r="C29" s="1153" t="s">
        <v>1325</v>
      </c>
      <c r="D29" s="1153" t="s">
        <v>677</v>
      </c>
      <c r="E29" s="1447" t="s">
        <v>166</v>
      </c>
      <c r="F29" s="1470"/>
      <c r="AK29" s="1461"/>
      <c r="AP29" s="1462"/>
      <c r="AQ29" s="1462"/>
      <c r="AR29" s="1462"/>
      <c r="AS29" s="1462"/>
      <c r="AT29" s="1462"/>
      <c r="AU29" s="1462"/>
      <c r="AV29" s="1462"/>
      <c r="AW29" s="1462"/>
      <c r="AX29" s="1462"/>
      <c r="AY29" s="1462"/>
      <c r="AZ29" s="1463"/>
    </row>
    <row r="30" spans="1:52">
      <c r="A30" s="1504" t="s">
        <v>19</v>
      </c>
      <c r="B30" s="1505"/>
      <c r="C30" s="1506">
        <v>0</v>
      </c>
      <c r="D30" s="1506">
        <v>0</v>
      </c>
      <c r="E30" s="1462"/>
      <c r="AK30" s="1461"/>
      <c r="AP30" s="1462"/>
      <c r="AQ30" s="1462"/>
      <c r="AR30" s="1462"/>
      <c r="AS30" s="1462"/>
      <c r="AT30" s="1462"/>
      <c r="AU30" s="1462"/>
      <c r="AV30" s="1462"/>
      <c r="AW30" s="1462"/>
      <c r="AX30" s="1462"/>
      <c r="AY30" s="1462"/>
      <c r="AZ30" s="1463"/>
    </row>
    <row r="31" spans="1:52">
      <c r="A31" s="580"/>
      <c r="B31" s="1507"/>
      <c r="C31" s="1508"/>
      <c r="D31" s="1453"/>
      <c r="E31" s="1453"/>
      <c r="F31" s="1458"/>
      <c r="G31" s="1458"/>
      <c r="H31" s="1458"/>
      <c r="I31" s="1458"/>
      <c r="J31" s="1458"/>
      <c r="K31" s="1458"/>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1458"/>
      <c r="AH31" s="1458"/>
      <c r="AI31" s="1458"/>
      <c r="AJ31" s="1458"/>
      <c r="AK31" s="1464"/>
      <c r="AL31" s="1458"/>
      <c r="AM31" s="1458"/>
      <c r="AN31" s="1458"/>
      <c r="AO31" s="1458"/>
      <c r="AP31" s="1453"/>
      <c r="AQ31" s="1453"/>
      <c r="AR31" s="1453"/>
      <c r="AS31" s="1453"/>
      <c r="AT31" s="1453"/>
      <c r="AU31" s="1453"/>
      <c r="AV31" s="1453"/>
      <c r="AW31" s="1453"/>
      <c r="AX31" s="1453"/>
      <c r="AY31" s="1453"/>
      <c r="AZ31" s="1459"/>
    </row>
    <row r="32" spans="1:52">
      <c r="A32" s="1509" t="s">
        <v>1326</v>
      </c>
      <c r="B32" s="1500">
        <v>2010</v>
      </c>
      <c r="C32" s="1500">
        <v>2011</v>
      </c>
      <c r="D32" s="1500">
        <v>2012</v>
      </c>
      <c r="E32" s="1501">
        <v>2013</v>
      </c>
      <c r="F32" s="1465"/>
      <c r="G32" s="1465"/>
      <c r="H32" s="1465"/>
      <c r="I32" s="1465"/>
      <c r="J32" s="1465"/>
      <c r="K32" s="1465"/>
      <c r="L32" s="1465"/>
      <c r="M32" s="1465"/>
      <c r="N32" s="1465"/>
      <c r="O32" s="1465"/>
      <c r="P32" s="1465"/>
      <c r="Q32" s="1465"/>
      <c r="R32" s="1465"/>
      <c r="S32" s="1465"/>
      <c r="T32" s="1465"/>
      <c r="U32" s="1465"/>
      <c r="V32" s="1465"/>
      <c r="W32" s="1465"/>
      <c r="X32" s="1465"/>
      <c r="Y32" s="1465"/>
      <c r="Z32" s="1465"/>
      <c r="AA32" s="1465"/>
      <c r="AB32" s="1465"/>
      <c r="AC32" s="1465"/>
      <c r="AD32" s="1465"/>
      <c r="AE32" s="1465"/>
      <c r="AF32" s="1465"/>
      <c r="AG32" s="1465"/>
      <c r="AH32" s="1465"/>
      <c r="AI32" s="1465"/>
      <c r="AJ32" s="1465"/>
      <c r="AK32" s="1465"/>
      <c r="AL32" s="1465"/>
      <c r="AM32" s="1465"/>
      <c r="AN32" s="1465"/>
      <c r="AO32" s="1465"/>
      <c r="AP32" s="1465"/>
      <c r="AQ32" s="1448"/>
      <c r="AR32" s="1448"/>
      <c r="AS32" s="1448"/>
      <c r="AT32" s="1448"/>
      <c r="AU32" s="1448"/>
      <c r="AV32" s="1448"/>
      <c r="AW32" s="1448"/>
      <c r="AX32" s="1448"/>
      <c r="AY32" s="1448"/>
      <c r="AZ32" s="1449"/>
    </row>
    <row r="33" spans="1:52">
      <c r="A33" s="1453"/>
      <c r="B33" s="1468"/>
      <c r="C33" s="1468"/>
      <c r="D33" s="1458"/>
      <c r="E33" s="1458"/>
      <c r="F33" s="1510"/>
      <c r="G33" s="1510"/>
      <c r="H33" s="1510"/>
      <c r="I33" s="1458"/>
      <c r="J33" s="1458"/>
      <c r="K33" s="1458"/>
      <c r="L33" s="1458"/>
      <c r="M33" s="1458"/>
      <c r="N33" s="1458"/>
      <c r="O33" s="1458"/>
      <c r="P33" s="1458"/>
      <c r="Q33" s="1458"/>
      <c r="R33" s="1458"/>
      <c r="S33" s="1458"/>
      <c r="T33" s="1458"/>
      <c r="U33" s="1458"/>
      <c r="V33" s="1458"/>
      <c r="W33" s="1458"/>
      <c r="X33" s="1458"/>
      <c r="Y33" s="1458"/>
      <c r="Z33" s="1458"/>
      <c r="AA33" s="1458"/>
      <c r="AB33" s="1458"/>
      <c r="AC33" s="1458"/>
      <c r="AD33" s="1458"/>
      <c r="AE33" s="1458"/>
      <c r="AF33" s="1458"/>
      <c r="AG33" s="1458"/>
      <c r="AH33" s="1458"/>
      <c r="AI33" s="1458"/>
      <c r="AJ33" s="1458"/>
      <c r="AK33" s="1458"/>
      <c r="AL33" s="1458"/>
      <c r="AM33" s="1458"/>
      <c r="AN33" s="1458"/>
      <c r="AO33" s="1458"/>
      <c r="AP33" s="1458"/>
      <c r="AQ33" s="1458"/>
      <c r="AR33" s="1458"/>
      <c r="AS33" s="1458"/>
      <c r="AT33" s="1458"/>
      <c r="AU33" s="1458"/>
      <c r="AV33" s="1458"/>
      <c r="AW33" s="1458"/>
      <c r="AX33" s="1458"/>
      <c r="AY33" s="1453"/>
      <c r="AZ33" s="1459"/>
    </row>
    <row r="34" spans="1:52">
      <c r="A34" s="1447" t="s">
        <v>1327</v>
      </c>
      <c r="B34" s="1468"/>
      <c r="C34" s="1468"/>
      <c r="D34" s="1458"/>
      <c r="E34" s="1458"/>
      <c r="F34" s="1510"/>
      <c r="G34" s="1510"/>
      <c r="H34" s="1510"/>
      <c r="I34" s="1458"/>
      <c r="J34" s="1458"/>
      <c r="K34" s="1458"/>
      <c r="L34" s="1458"/>
      <c r="M34" s="1458"/>
      <c r="N34" s="1458"/>
      <c r="O34" s="1458"/>
      <c r="P34" s="1458"/>
      <c r="Q34" s="1458"/>
      <c r="R34" s="1458"/>
      <c r="S34" s="1458"/>
      <c r="T34" s="1458"/>
      <c r="U34" s="1458"/>
      <c r="V34" s="1458"/>
      <c r="W34" s="1458"/>
      <c r="X34" s="1458"/>
      <c r="Y34" s="1458"/>
      <c r="Z34" s="1458"/>
      <c r="AA34" s="1458"/>
      <c r="AB34" s="1458"/>
      <c r="AC34" s="1458"/>
      <c r="AD34" s="1458"/>
      <c r="AE34" s="1458"/>
      <c r="AF34" s="1458"/>
      <c r="AG34" s="1458"/>
      <c r="AH34" s="1458"/>
      <c r="AI34" s="1458"/>
      <c r="AJ34" s="1458"/>
      <c r="AK34" s="1458"/>
      <c r="AL34" s="1458"/>
      <c r="AM34" s="1458"/>
      <c r="AN34" s="1458"/>
      <c r="AO34" s="1458"/>
      <c r="AP34" s="1458"/>
      <c r="AQ34" s="1458"/>
      <c r="AR34" s="1458"/>
      <c r="AS34" s="1458"/>
      <c r="AT34" s="1458"/>
      <c r="AU34" s="1458"/>
      <c r="AV34" s="1458"/>
      <c r="AW34" s="1458"/>
      <c r="AX34" s="1458"/>
      <c r="AY34" s="1453"/>
      <c r="AZ34" s="1459"/>
    </row>
    <row r="35" spans="1:52">
      <c r="A35" s="1511" t="s">
        <v>1328</v>
      </c>
      <c r="B35" s="1489">
        <f>SUM($N$25:$N$25)</f>
        <v>0</v>
      </c>
      <c r="C35" s="1489">
        <f>SUM($P$25:$P$25)</f>
        <v>0</v>
      </c>
      <c r="D35" s="1489">
        <f>SUM($R$25:$R$25)</f>
        <v>1361531.73</v>
      </c>
      <c r="E35" s="1489">
        <f>SUM($T$25:$T$25)</f>
        <v>1392846.9597899998</v>
      </c>
      <c r="F35" s="1510"/>
      <c r="G35" s="1510"/>
      <c r="H35" s="1510"/>
      <c r="AK35" s="1461"/>
      <c r="AN35" s="1462"/>
      <c r="AO35" s="1462"/>
      <c r="AP35" s="1462"/>
      <c r="AQ35" s="1462"/>
      <c r="AR35" s="1462"/>
      <c r="AS35" s="1462"/>
      <c r="AT35" s="1462"/>
      <c r="AU35" s="1462"/>
      <c r="AV35" s="1462"/>
      <c r="AW35" s="1462"/>
      <c r="AX35" s="1462"/>
      <c r="AY35" s="1462"/>
      <c r="AZ35" s="1463"/>
    </row>
    <row r="36" spans="1:52">
      <c r="A36" s="1511" t="s">
        <v>1329</v>
      </c>
      <c r="B36" s="1489">
        <f>SUM($AW$25:$AW$25)</f>
        <v>0</v>
      </c>
      <c r="C36" s="1489">
        <f>SUM($AX$25:$AX$25)</f>
        <v>0</v>
      </c>
      <c r="D36" s="1489">
        <f>SUM($AY$25:$AY$25)</f>
        <v>9321953.9114000015</v>
      </c>
      <c r="E36" s="1489">
        <f>SUM(AZ25:AZ25)</f>
        <v>12362290.572002798</v>
      </c>
      <c r="F36" s="1510"/>
      <c r="G36" s="1510"/>
      <c r="H36" s="1510"/>
      <c r="AK36" s="1461"/>
      <c r="AN36" s="1462"/>
      <c r="AO36" s="1462"/>
      <c r="AP36" s="1462"/>
      <c r="AQ36" s="1462"/>
      <c r="AR36" s="1462"/>
      <c r="AS36" s="1462"/>
      <c r="AT36" s="1462"/>
      <c r="AU36" s="1462"/>
      <c r="AV36" s="1462"/>
      <c r="AW36" s="1462"/>
      <c r="AX36" s="1462"/>
      <c r="AY36" s="1462"/>
      <c r="AZ36" s="1463"/>
    </row>
    <row r="37" spans="1:52">
      <c r="A37" s="1511" t="s">
        <v>1330</v>
      </c>
      <c r="B37" s="1489">
        <f>B35+B36</f>
        <v>0</v>
      </c>
      <c r="C37" s="1489">
        <f>C35+C36</f>
        <v>0</v>
      </c>
      <c r="D37" s="1489">
        <f>D35+D36</f>
        <v>10683485.641400002</v>
      </c>
      <c r="E37" s="1489">
        <f>E35+E36</f>
        <v>13755137.531792797</v>
      </c>
      <c r="F37" s="1510"/>
      <c r="G37" s="1510"/>
      <c r="H37" s="1510"/>
      <c r="AK37" s="1461"/>
      <c r="AN37" s="1462"/>
      <c r="AO37" s="1462"/>
      <c r="AP37" s="1462"/>
      <c r="AQ37" s="1462"/>
      <c r="AR37" s="1462"/>
      <c r="AS37" s="1462"/>
      <c r="AT37" s="1462"/>
      <c r="AU37" s="1462"/>
      <c r="AV37" s="1462"/>
      <c r="AW37" s="1462"/>
      <c r="AX37" s="1462"/>
      <c r="AY37" s="1462"/>
      <c r="AZ37" s="1463"/>
    </row>
    <row r="38" spans="1:52">
      <c r="AY38" s="1462"/>
      <c r="AZ38" s="1463"/>
    </row>
    <row r="39" spans="1:52">
      <c r="A39" s="1511" t="s">
        <v>1331</v>
      </c>
      <c r="B39" s="1512"/>
      <c r="C39" s="1512"/>
      <c r="D39" s="1513"/>
      <c r="E39" s="1514">
        <f>D30</f>
        <v>0</v>
      </c>
      <c r="AK39" s="1461"/>
      <c r="AR39" s="1462"/>
      <c r="AS39" s="1462"/>
      <c r="AT39" s="1462"/>
      <c r="AU39" s="1462"/>
      <c r="AV39" s="1462"/>
      <c r="AW39" s="1462"/>
      <c r="AX39" s="1462"/>
      <c r="AY39" s="1462"/>
      <c r="AZ39" s="1463"/>
    </row>
    <row r="40" spans="1:52">
      <c r="A40" s="1444"/>
      <c r="AY40" s="1462"/>
      <c r="AZ40" s="1463"/>
    </row>
    <row r="41" spans="1:52">
      <c r="A41" s="1511" t="s">
        <v>1332</v>
      </c>
      <c r="B41" s="1489">
        <f>B37-B39</f>
        <v>0</v>
      </c>
      <c r="C41" s="1489">
        <f>C37-C39</f>
        <v>0</v>
      </c>
      <c r="D41" s="1489">
        <f>D37-D39</f>
        <v>10683485.641400002</v>
      </c>
      <c r="E41" s="1481">
        <f>E37-E39</f>
        <v>13755137.531792797</v>
      </c>
      <c r="AK41" s="1461"/>
      <c r="AR41" s="1462"/>
      <c r="AS41" s="1462"/>
      <c r="AT41" s="1462"/>
      <c r="AU41" s="1462"/>
      <c r="AV41" s="1462"/>
      <c r="AW41" s="1462"/>
      <c r="AX41" s="1462"/>
      <c r="AY41" s="1462"/>
      <c r="AZ41" s="1463"/>
    </row>
    <row r="42" spans="1:52">
      <c r="A42" s="1511" t="s">
        <v>1333</v>
      </c>
      <c r="B42" s="170">
        <v>7.7276200765247216E-2</v>
      </c>
      <c r="C42" s="170">
        <v>5.1001171478289864E-2</v>
      </c>
      <c r="D42" s="170">
        <v>2.3124427771918921E-2</v>
      </c>
      <c r="E42" s="1460"/>
      <c r="AK42" s="1461"/>
      <c r="AR42" s="1462"/>
      <c r="AS42" s="1462"/>
      <c r="AT42" s="1462"/>
      <c r="AU42" s="1462"/>
      <c r="AV42" s="1462"/>
      <c r="AW42" s="1462"/>
      <c r="AX42" s="1462"/>
      <c r="AY42" s="1462"/>
      <c r="AZ42" s="1463"/>
    </row>
    <row r="43" spans="1:52">
      <c r="A43" s="1511" t="s">
        <v>1334</v>
      </c>
      <c r="B43" s="1489">
        <f>B41*(1+$B$42)</f>
        <v>0</v>
      </c>
      <c r="C43" s="1489">
        <f>C41*(1+$C$42)</f>
        <v>0</v>
      </c>
      <c r="D43" s="1489">
        <f>D41*(1+$D$42)</f>
        <v>10930535.13346689</v>
      </c>
      <c r="E43" s="1515">
        <f>E41*(1+$E$42)</f>
        <v>13755137.531792797</v>
      </c>
      <c r="AK43" s="1461"/>
      <c r="AR43" s="1462"/>
      <c r="AS43" s="1462"/>
      <c r="AT43" s="1462"/>
      <c r="AU43" s="1462"/>
      <c r="AV43" s="1462"/>
      <c r="AW43" s="1462"/>
      <c r="AX43" s="1462"/>
      <c r="AY43" s="1462"/>
      <c r="AZ43" s="1463"/>
    </row>
    <row r="44" spans="1:52">
      <c r="A44" s="1516"/>
      <c r="B44" s="1516"/>
      <c r="C44" s="1516"/>
      <c r="D44" s="1516"/>
      <c r="E44" s="1516"/>
      <c r="F44" s="1516"/>
      <c r="G44" s="1516"/>
      <c r="H44" s="1516"/>
      <c r="I44" s="1516"/>
      <c r="J44" s="1516"/>
      <c r="K44" s="1516"/>
      <c r="L44" s="1516"/>
      <c r="M44" s="1516"/>
      <c r="N44" s="1516"/>
      <c r="O44" s="1516"/>
      <c r="P44" s="1516"/>
      <c r="Q44" s="1516"/>
      <c r="R44" s="1516"/>
      <c r="S44" s="1516"/>
      <c r="T44" s="1516"/>
      <c r="U44" s="1516"/>
      <c r="V44" s="1516"/>
      <c r="W44" s="1516"/>
      <c r="X44" s="1516"/>
      <c r="Y44" s="1516"/>
      <c r="Z44" s="1516"/>
      <c r="AA44" s="1516"/>
      <c r="AB44" s="1516"/>
      <c r="AC44" s="1516"/>
      <c r="AD44" s="1516"/>
      <c r="AE44" s="1516"/>
      <c r="AF44" s="1516"/>
      <c r="AG44" s="1516"/>
      <c r="AH44" s="1516"/>
      <c r="AI44" s="1516"/>
      <c r="AJ44" s="1516"/>
      <c r="AK44" s="1516"/>
      <c r="AL44" s="1516"/>
      <c r="AM44" s="1516"/>
      <c r="AN44" s="1516"/>
      <c r="AO44" s="1516"/>
      <c r="AP44" s="1516"/>
      <c r="AQ44" s="1516"/>
      <c r="AR44" s="1516"/>
      <c r="AS44" s="1516"/>
      <c r="AT44" s="1516"/>
      <c r="AU44" s="1516"/>
      <c r="AV44" s="1516"/>
      <c r="AW44" s="1516"/>
      <c r="AX44" s="1516"/>
      <c r="AY44" s="1517"/>
      <c r="AZ44" s="1518"/>
    </row>
    <row r="45" spans="1:52">
      <c r="A45" s="1511" t="s">
        <v>1335</v>
      </c>
      <c r="B45" s="1489">
        <f>C43+D43+E43+B43</f>
        <v>24685672.665259689</v>
      </c>
      <c r="D45" s="1462"/>
      <c r="AK45" s="1461"/>
      <c r="AP45" s="1462"/>
      <c r="AQ45" s="1462"/>
      <c r="AR45" s="1462"/>
      <c r="AS45" s="1462"/>
      <c r="AT45" s="1462"/>
      <c r="AU45" s="1462"/>
      <c r="AV45" s="1462"/>
      <c r="AW45" s="1462"/>
      <c r="AX45" s="1462"/>
      <c r="AY45" s="1462"/>
      <c r="AZ45" s="1463"/>
    </row>
    <row r="46" spans="1:52">
      <c r="A46" s="1519"/>
      <c r="B46" s="1519"/>
      <c r="D46" s="1462"/>
      <c r="AK46" s="1461"/>
      <c r="AP46" s="1462"/>
      <c r="AQ46" s="1462"/>
      <c r="AR46" s="1462"/>
      <c r="AS46" s="1462"/>
      <c r="AT46" s="1462"/>
      <c r="AU46" s="1462"/>
      <c r="AV46" s="1462"/>
      <c r="AW46" s="1462"/>
      <c r="AX46" s="1462"/>
      <c r="AY46" s="1462"/>
      <c r="AZ46" s="1463"/>
    </row>
    <row r="47" spans="1:52">
      <c r="A47" s="1519"/>
      <c r="B47" s="1519"/>
      <c r="D47" s="1462"/>
      <c r="AK47" s="1461"/>
      <c r="AP47" s="1462"/>
      <c r="AQ47" s="1462"/>
      <c r="AR47" s="1462"/>
      <c r="AS47" s="1462"/>
      <c r="AT47" s="1462"/>
      <c r="AU47" s="1462"/>
      <c r="AV47" s="1462"/>
      <c r="AW47" s="1462"/>
      <c r="AX47" s="1462"/>
      <c r="AY47" s="1462"/>
      <c r="AZ47" s="1462"/>
    </row>
    <row r="48" spans="1:52" s="1534" customFormat="1" ht="10.5" customHeight="1"/>
    <row r="49" spans="1:52" s="1534" customFormat="1" ht="15.75">
      <c r="A49" s="1541" t="s">
        <v>1427</v>
      </c>
    </row>
    <row r="50" spans="1:52" s="1534" customFormat="1" ht="9.75" customHeight="1">
      <c r="A50" s="1542"/>
    </row>
    <row r="52" spans="1:52">
      <c r="A52" s="1472"/>
      <c r="B52" s="1472"/>
      <c r="C52" s="1472"/>
      <c r="D52" s="1472"/>
      <c r="E52" s="1472"/>
      <c r="F52" s="1472"/>
      <c r="G52" s="1472"/>
      <c r="H52" s="1473"/>
      <c r="I52" s="1473"/>
      <c r="J52" s="1473"/>
      <c r="K52" s="1473"/>
      <c r="L52" s="1473"/>
      <c r="M52" s="1473"/>
      <c r="N52" s="1473"/>
      <c r="O52" s="1473"/>
      <c r="P52" s="1474"/>
      <c r="Q52" s="1473"/>
      <c r="R52" s="1474"/>
      <c r="S52" s="1475"/>
      <c r="T52" s="1473"/>
      <c r="U52" s="1711" t="s">
        <v>1305</v>
      </c>
      <c r="V52" s="1711"/>
      <c r="W52" s="1711"/>
      <c r="X52" s="1711"/>
      <c r="Y52" s="1711" t="s">
        <v>1306</v>
      </c>
      <c r="Z52" s="1711"/>
      <c r="AA52" s="1711"/>
      <c r="AB52" s="1711"/>
      <c r="AC52" s="1711" t="s">
        <v>560</v>
      </c>
      <c r="AD52" s="1711"/>
      <c r="AE52" s="1711"/>
      <c r="AF52" s="1711"/>
      <c r="AG52" s="1711" t="s">
        <v>10</v>
      </c>
      <c r="AH52" s="1711"/>
      <c r="AI52" s="1711"/>
      <c r="AJ52" s="1711"/>
      <c r="AK52" s="1711" t="s">
        <v>1307</v>
      </c>
      <c r="AL52" s="1711"/>
      <c r="AM52" s="1711"/>
      <c r="AN52" s="1711"/>
      <c r="AO52" s="1711" t="s">
        <v>1308</v>
      </c>
      <c r="AP52" s="1711"/>
      <c r="AQ52" s="1711"/>
      <c r="AR52" s="1711"/>
      <c r="AS52" s="1711" t="s">
        <v>1309</v>
      </c>
      <c r="AT52" s="1711"/>
      <c r="AU52" s="1711"/>
      <c r="AV52" s="1711"/>
      <c r="AW52" s="1711" t="s">
        <v>1310</v>
      </c>
      <c r="AX52" s="1711"/>
      <c r="AY52" s="1711"/>
      <c r="AZ52" s="1712"/>
    </row>
    <row r="53" spans="1:52">
      <c r="A53" s="1472" t="s">
        <v>505</v>
      </c>
      <c r="B53" s="1472" t="s">
        <v>540</v>
      </c>
      <c r="C53" s="1472" t="s">
        <v>541</v>
      </c>
      <c r="D53" s="1472" t="s">
        <v>542</v>
      </c>
      <c r="E53" s="1472" t="s">
        <v>514</v>
      </c>
      <c r="F53" s="1472" t="s">
        <v>1311</v>
      </c>
      <c r="G53" s="1472" t="s">
        <v>1312</v>
      </c>
      <c r="H53" s="1472" t="s">
        <v>1313</v>
      </c>
      <c r="I53" s="1472" t="s">
        <v>506</v>
      </c>
      <c r="J53" s="1472" t="s">
        <v>1314</v>
      </c>
      <c r="K53" s="1472" t="s">
        <v>507</v>
      </c>
      <c r="L53" s="1472" t="s">
        <v>1315</v>
      </c>
      <c r="M53" s="1472" t="s">
        <v>1316</v>
      </c>
      <c r="N53" s="1472" t="s">
        <v>1317</v>
      </c>
      <c r="O53" s="1472" t="s">
        <v>1318</v>
      </c>
      <c r="P53" s="1472" t="s">
        <v>1319</v>
      </c>
      <c r="Q53" s="1472" t="s">
        <v>1320</v>
      </c>
      <c r="R53" s="1472" t="s">
        <v>1321</v>
      </c>
      <c r="S53" s="1472" t="s">
        <v>1322</v>
      </c>
      <c r="T53" s="1472" t="s">
        <v>1323</v>
      </c>
      <c r="U53" s="1472">
        <v>2010</v>
      </c>
      <c r="V53" s="1472">
        <v>2011</v>
      </c>
      <c r="W53" s="1472">
        <v>2012</v>
      </c>
      <c r="X53" s="1472">
        <v>2013</v>
      </c>
      <c r="Y53" s="1472">
        <v>2010</v>
      </c>
      <c r="Z53" s="1472">
        <v>2011</v>
      </c>
      <c r="AA53" s="1472">
        <v>2012</v>
      </c>
      <c r="AB53" s="1472">
        <v>2013</v>
      </c>
      <c r="AC53" s="1472">
        <v>2010</v>
      </c>
      <c r="AD53" s="1472">
        <v>2011</v>
      </c>
      <c r="AE53" s="1472">
        <v>2012</v>
      </c>
      <c r="AF53" s="1472">
        <v>2013</v>
      </c>
      <c r="AG53" s="1472">
        <v>2010</v>
      </c>
      <c r="AH53" s="1472">
        <v>2011</v>
      </c>
      <c r="AI53" s="1472">
        <v>2012</v>
      </c>
      <c r="AJ53" s="1472">
        <v>2013</v>
      </c>
      <c r="AK53" s="1472">
        <v>2010</v>
      </c>
      <c r="AL53" s="1472">
        <v>2011</v>
      </c>
      <c r="AM53" s="1472">
        <v>2012</v>
      </c>
      <c r="AN53" s="1472">
        <v>2013</v>
      </c>
      <c r="AO53" s="1472">
        <v>2010</v>
      </c>
      <c r="AP53" s="1472">
        <v>2011</v>
      </c>
      <c r="AQ53" s="1472">
        <v>2012</v>
      </c>
      <c r="AR53" s="1472">
        <v>2013</v>
      </c>
      <c r="AS53" s="1472">
        <v>2010</v>
      </c>
      <c r="AT53" s="1472">
        <v>2011</v>
      </c>
      <c r="AU53" s="1472">
        <v>2012</v>
      </c>
      <c r="AV53" s="1472">
        <v>2013</v>
      </c>
      <c r="AW53" s="1476">
        <v>2010</v>
      </c>
      <c r="AX53" s="1477">
        <v>2011</v>
      </c>
      <c r="AY53" s="1476">
        <v>2012</v>
      </c>
      <c r="AZ53" s="1477">
        <v>2013</v>
      </c>
    </row>
    <row r="54" spans="1:52">
      <c r="A54" s="1478" t="s">
        <v>781</v>
      </c>
      <c r="B54" s="1478" t="s">
        <v>1324</v>
      </c>
      <c r="C54" s="1479">
        <v>138355570</v>
      </c>
      <c r="D54" s="1480">
        <v>41180</v>
      </c>
      <c r="E54" s="1478">
        <v>36</v>
      </c>
      <c r="F54" s="1481">
        <f t="shared" ref="F54" si="24">IF(YEAR(D54)=2010,1,0)</f>
        <v>0</v>
      </c>
      <c r="G54" s="1481">
        <f t="shared" ref="G54" si="25">IF(YEAR(D54)=2011,1,0)</f>
        <v>0</v>
      </c>
      <c r="H54" s="1481">
        <f t="shared" ref="H54" si="26">IF(YEAR(D54)=2012,1,0)</f>
        <v>1</v>
      </c>
      <c r="I54" s="1482">
        <f>VLOOKUP($E54,$B$17:$E$17,2,FALSE)</f>
        <v>30</v>
      </c>
      <c r="J54" s="1483">
        <f>VLOOKUP($E54,$B$17:$E$17,3,FALSE)</f>
        <v>0</v>
      </c>
      <c r="K54" s="1483">
        <f>VLOOKUP($E54,$B$17:$E$17,4,FALSE)</f>
        <v>1</v>
      </c>
      <c r="L54" s="1484">
        <f t="shared" ref="L54" si="27">C54*$B$7</f>
        <v>1383555.7</v>
      </c>
      <c r="M54" s="1485">
        <f t="shared" ref="M54" si="28">(IF(F54=1,L54,0))*J54</f>
        <v>0</v>
      </c>
      <c r="N54" s="1485">
        <f t="shared" ref="N54" si="29">(IF(F54=1,L54,0))*K54</f>
        <v>0</v>
      </c>
      <c r="O54" s="1485">
        <f t="shared" ref="O54" si="30">(IF(G54=1,L54*$J54,L54*J54*F54*$D$10))</f>
        <v>0</v>
      </c>
      <c r="P54" s="1485">
        <f t="shared" ref="P54" si="31">(IF(G54=1,L54*$K54,N54*$D$10*$K54))</f>
        <v>0</v>
      </c>
      <c r="Q54" s="1485">
        <f t="shared" ref="Q54" si="32">IF(H54=1,L54*$J54,O54*$E$11)</f>
        <v>0</v>
      </c>
      <c r="R54" s="1485">
        <f t="shared" ref="R54" si="33">(IF(H54=1,L54*$K54,P54*$E$11))</f>
        <v>1383555.7</v>
      </c>
      <c r="S54" s="1485">
        <f t="shared" ref="S54:T54" si="34">Q54*$F$12</f>
        <v>0</v>
      </c>
      <c r="T54" s="1486">
        <f t="shared" si="34"/>
        <v>1415377.4810999997</v>
      </c>
      <c r="U54" s="1487">
        <f>IF(U$24=YEAR($D54),(12-(MONTH($D54)-1))/12,0)</f>
        <v>0</v>
      </c>
      <c r="V54" s="1487">
        <f>IF(V$24=YEAR($D54),(12-(MONTH($D54)-1))/12,IF(V$24&lt;YEAR($D54),0,U54+1))</f>
        <v>0</v>
      </c>
      <c r="W54" s="1487">
        <f>IF(W$24=YEAR($D54),(12-(MONTH($D54)-1))/12,IF(W$24&lt;YEAR($D54),0,V54+1))</f>
        <v>0.33333333333333331</v>
      </c>
      <c r="X54" s="1487">
        <f>IF(X$24=YEAR($D54),(12-(MONTH($D54)-1))/12,IF(X$24&lt;YEAR($D54),0,W54+1))</f>
        <v>1.3333333333333333</v>
      </c>
      <c r="Y54" s="1481">
        <f t="shared" ref="Y54" si="35">IF(F54=1,U54*$C54/$I54,0)</f>
        <v>0</v>
      </c>
      <c r="Z54" s="1481">
        <f t="shared" ref="Z54:AB54" si="36">(V54-U54)*$C54/$I54</f>
        <v>0</v>
      </c>
      <c r="AA54" s="1481">
        <f t="shared" si="36"/>
        <v>1537284.111111111</v>
      </c>
      <c r="AB54" s="1481">
        <f t="shared" si="36"/>
        <v>4611852.333333333</v>
      </c>
      <c r="AC54" s="1488">
        <v>1.0029999999999999</v>
      </c>
      <c r="AD54" s="1488">
        <v>1.0149999999999999</v>
      </c>
      <c r="AE54" s="1488">
        <v>1</v>
      </c>
      <c r="AF54" s="1488">
        <v>1.0229999999999999</v>
      </c>
      <c r="AG54" s="1489">
        <f t="shared" ref="AG54" si="37">Y54*AC54</f>
        <v>0</v>
      </c>
      <c r="AH54" s="1489">
        <f t="shared" ref="AH54" si="38">IF(YEAR(D54)=2011,Z54*AD54,IF(YEAR(D54)=2010,Z54*AD54,Y54*AD54))</f>
        <v>0</v>
      </c>
      <c r="AI54" s="1489">
        <f t="shared" ref="AI54" si="39">IF(YEAR(D54)=2012,AA54*AE54,IF(YEAR(D54)=2011,AA54*AE54,AH54*AE54))</f>
        <v>1537284.111111111</v>
      </c>
      <c r="AJ54" s="1489">
        <f t="shared" ref="AJ54" si="40">IF(YEAR(D54)=2012,AB54*AF54,IF(YEAR(D54)=2011,AB54*AF54*AE54,AI54*AF54))</f>
        <v>4717924.936999999</v>
      </c>
      <c r="AK54" s="1490">
        <v>0</v>
      </c>
      <c r="AL54" s="1491">
        <f t="shared" ref="AL54:AN54" si="41">AO54</f>
        <v>0</v>
      </c>
      <c r="AM54" s="1491">
        <f t="shared" si="41"/>
        <v>0</v>
      </c>
      <c r="AN54" s="1491">
        <f t="shared" si="41"/>
        <v>136818285.8888889</v>
      </c>
      <c r="AO54" s="1489">
        <f t="shared" ref="AO54" si="42">IF(F54=1,C54-AG54,AK54*AC54-AG54)</f>
        <v>0</v>
      </c>
      <c r="AP54" s="1489">
        <f t="shared" ref="AP54" si="43">IF(G54=1,C54-AH54,AL54*AD54-AH54)</f>
        <v>0</v>
      </c>
      <c r="AQ54" s="1489">
        <f t="shared" ref="AQ54" si="44">IF(H54=1,C54-AI54,AM54*AE54-AI54)</f>
        <v>136818285.8888889</v>
      </c>
      <c r="AR54" s="1489">
        <f t="shared" ref="AR54" si="45">AN54*AF54-AJ54</f>
        <v>135247181.52733332</v>
      </c>
      <c r="AS54" s="1489">
        <f t="shared" ref="AS54:AV54" si="46">(AO54*$B$6+AG54)*$J54</f>
        <v>0</v>
      </c>
      <c r="AT54" s="1489">
        <f t="shared" si="46"/>
        <v>0</v>
      </c>
      <c r="AU54" s="1489">
        <f t="shared" si="46"/>
        <v>0</v>
      </c>
      <c r="AV54" s="1489">
        <f t="shared" si="46"/>
        <v>0</v>
      </c>
      <c r="AW54" s="1489">
        <f t="shared" ref="AW54:AZ54" si="47">(AO54*$B$6+AG54)*$K54</f>
        <v>0</v>
      </c>
      <c r="AX54" s="1489">
        <f t="shared" si="47"/>
        <v>0</v>
      </c>
      <c r="AY54" s="1489">
        <f t="shared" si="47"/>
        <v>9472744.6926666684</v>
      </c>
      <c r="AZ54" s="1492">
        <f t="shared" si="47"/>
        <v>12562261.465585332</v>
      </c>
    </row>
    <row r="55" spans="1:52">
      <c r="A55" s="1462"/>
      <c r="B55" s="580"/>
      <c r="C55" s="580"/>
      <c r="D55" s="580"/>
      <c r="E55" s="580"/>
      <c r="F55" s="580"/>
      <c r="G55" s="580"/>
      <c r="H55" s="580"/>
      <c r="I55" s="1462"/>
      <c r="J55" s="1462"/>
      <c r="K55" s="1462"/>
      <c r="L55" s="1462"/>
      <c r="M55" s="1462"/>
      <c r="N55" s="1462"/>
      <c r="O55" s="1462"/>
      <c r="P55" s="1462"/>
      <c r="Q55" s="1462"/>
      <c r="R55" s="1462"/>
      <c r="S55" s="1462"/>
      <c r="T55" s="1462"/>
      <c r="U55" s="1462"/>
      <c r="V55" s="1462"/>
      <c r="W55" s="1462"/>
      <c r="X55" s="1462"/>
      <c r="Y55" s="1462"/>
      <c r="Z55" s="1462"/>
      <c r="AA55" s="1462"/>
      <c r="AB55" s="1462"/>
      <c r="AC55" s="1462"/>
      <c r="AD55" s="1462"/>
      <c r="AE55" s="1462"/>
      <c r="AF55" s="1462"/>
      <c r="AG55" s="1462"/>
      <c r="AH55" s="1462"/>
      <c r="AI55" s="1462"/>
      <c r="AJ55" s="1462"/>
      <c r="AK55" s="1493"/>
      <c r="AL55" s="1462"/>
      <c r="AM55" s="1462"/>
      <c r="AN55" s="1462"/>
      <c r="AO55" s="1462"/>
      <c r="AP55" s="1462"/>
      <c r="AQ55" s="1462"/>
      <c r="AR55" s="1462"/>
      <c r="AS55" s="1462"/>
      <c r="AT55" s="1462"/>
      <c r="AU55" s="1462"/>
      <c r="AV55" s="1462"/>
      <c r="AW55" s="1462"/>
      <c r="AX55" s="1462"/>
      <c r="AY55" s="1494"/>
      <c r="AZ55" s="1495"/>
    </row>
    <row r="56" spans="1:52">
      <c r="A56" s="714"/>
      <c r="B56" s="1496"/>
      <c r="C56" s="1496"/>
      <c r="D56" s="1496"/>
      <c r="E56" s="1496"/>
      <c r="F56" s="1497"/>
      <c r="G56" s="1497"/>
      <c r="H56" s="1497"/>
      <c r="I56" s="1497"/>
      <c r="J56" s="1497"/>
      <c r="K56" s="1497"/>
      <c r="L56" s="1497"/>
      <c r="M56" s="1497"/>
      <c r="N56" s="1497"/>
      <c r="O56" s="1497"/>
      <c r="P56" s="1497"/>
      <c r="Q56" s="1497"/>
      <c r="R56" s="1497"/>
      <c r="S56" s="1497"/>
      <c r="T56" s="1497"/>
      <c r="U56" s="1497"/>
      <c r="V56" s="1497"/>
      <c r="W56" s="1497"/>
      <c r="X56" s="1497"/>
      <c r="Y56" s="1497"/>
      <c r="Z56" s="1497"/>
      <c r="AA56" s="1497"/>
      <c r="AB56" s="1497"/>
      <c r="AC56" s="1497"/>
      <c r="AD56" s="1497"/>
      <c r="AE56" s="1497"/>
      <c r="AF56" s="1497"/>
      <c r="AG56" s="1497"/>
      <c r="AH56" s="1497"/>
      <c r="AI56" s="1497"/>
      <c r="AJ56" s="1497"/>
      <c r="AK56" s="1498"/>
      <c r="AL56" s="1497"/>
      <c r="AM56" s="1497"/>
      <c r="AN56" s="1497"/>
      <c r="AO56" s="1497"/>
      <c r="AP56" s="1496"/>
      <c r="AQ56" s="1496"/>
      <c r="AR56" s="1496"/>
      <c r="AS56" s="1496"/>
      <c r="AT56" s="1496"/>
      <c r="AU56" s="1496"/>
      <c r="AV56" s="1496"/>
      <c r="AW56" s="1496"/>
      <c r="AX56" s="1496"/>
      <c r="AY56" s="1496"/>
      <c r="AZ56" s="1499"/>
    </row>
    <row r="57" spans="1:52">
      <c r="A57" s="1153" t="s">
        <v>23</v>
      </c>
      <c r="B57" s="1500"/>
      <c r="C57" s="1500"/>
      <c r="D57" s="1500"/>
      <c r="E57" s="1500"/>
      <c r="F57" s="1501"/>
      <c r="G57" s="1501"/>
      <c r="H57" s="1501"/>
      <c r="I57" s="1501"/>
      <c r="J57" s="1501"/>
      <c r="K57" s="1501"/>
      <c r="L57" s="1501"/>
      <c r="M57" s="1501"/>
      <c r="N57" s="1501"/>
      <c r="O57" s="1501"/>
      <c r="P57" s="1501"/>
      <c r="Q57" s="1501"/>
      <c r="R57" s="1501"/>
      <c r="S57" s="1501"/>
      <c r="T57" s="1501"/>
      <c r="U57" s="1501"/>
      <c r="V57" s="1501"/>
      <c r="W57" s="1501"/>
      <c r="X57" s="1501"/>
      <c r="Y57" s="1501"/>
      <c r="Z57" s="1501"/>
      <c r="AA57" s="1501"/>
      <c r="AB57" s="1501"/>
      <c r="AC57" s="1501"/>
      <c r="AD57" s="1501"/>
      <c r="AE57" s="1501"/>
      <c r="AF57" s="1501"/>
      <c r="AG57" s="1501"/>
      <c r="AH57" s="1501"/>
      <c r="AI57" s="1501"/>
      <c r="AJ57" s="1501"/>
      <c r="AK57" s="1502"/>
      <c r="AL57" s="1501"/>
      <c r="AM57" s="1501"/>
      <c r="AN57" s="1501"/>
      <c r="AO57" s="1501"/>
      <c r="AP57" s="1500"/>
      <c r="AQ57" s="1500"/>
      <c r="AR57" s="1500"/>
      <c r="AS57" s="1500"/>
      <c r="AT57" s="1500"/>
      <c r="AU57" s="1500"/>
      <c r="AV57" s="1500"/>
      <c r="AW57" s="1500"/>
      <c r="AX57" s="1500"/>
      <c r="AY57" s="1500"/>
      <c r="AZ57" s="1503"/>
    </row>
    <row r="58" spans="1:52">
      <c r="A58" s="1153" t="s">
        <v>540</v>
      </c>
      <c r="B58" s="1153" t="s">
        <v>675</v>
      </c>
      <c r="C58" s="1153" t="s">
        <v>1325</v>
      </c>
      <c r="D58" s="1153" t="s">
        <v>677</v>
      </c>
      <c r="E58" s="1447" t="s">
        <v>166</v>
      </c>
      <c r="F58" s="1470"/>
      <c r="AK58" s="1461"/>
      <c r="AP58" s="1462"/>
      <c r="AQ58" s="1462"/>
      <c r="AR58" s="1462"/>
      <c r="AS58" s="1462"/>
      <c r="AT58" s="1462"/>
      <c r="AU58" s="1462"/>
      <c r="AV58" s="1462"/>
      <c r="AW58" s="1462"/>
      <c r="AX58" s="1462"/>
      <c r="AY58" s="1462"/>
      <c r="AZ58" s="1463"/>
    </row>
    <row r="59" spans="1:52">
      <c r="A59" s="1504" t="s">
        <v>19</v>
      </c>
      <c r="B59" s="1505"/>
      <c r="C59" s="1506">
        <v>0</v>
      </c>
      <c r="D59" s="1506">
        <v>0</v>
      </c>
      <c r="E59" s="1462"/>
      <c r="AK59" s="1461"/>
      <c r="AP59" s="1462"/>
      <c r="AQ59" s="1462"/>
      <c r="AR59" s="1462"/>
      <c r="AS59" s="1462"/>
      <c r="AT59" s="1462"/>
      <c r="AU59" s="1462"/>
      <c r="AV59" s="1462"/>
      <c r="AW59" s="1462"/>
      <c r="AX59" s="1462"/>
      <c r="AY59" s="1462"/>
      <c r="AZ59" s="1463"/>
    </row>
    <row r="60" spans="1:52">
      <c r="A60" s="580"/>
      <c r="B60" s="1507"/>
      <c r="C60" s="1508"/>
      <c r="D60" s="1453"/>
      <c r="E60" s="1453"/>
      <c r="F60" s="1458"/>
      <c r="G60" s="1458"/>
      <c r="H60" s="1458"/>
      <c r="I60" s="1458"/>
      <c r="J60" s="1458"/>
      <c r="K60" s="1458"/>
      <c r="L60" s="1458"/>
      <c r="M60" s="1458"/>
      <c r="N60" s="1458"/>
      <c r="O60" s="1458"/>
      <c r="P60" s="1458"/>
      <c r="Q60" s="1458"/>
      <c r="R60" s="1458"/>
      <c r="S60" s="1458"/>
      <c r="T60" s="1458"/>
      <c r="U60" s="1458"/>
      <c r="V60" s="1458"/>
      <c r="W60" s="1458"/>
      <c r="X60" s="1458"/>
      <c r="Y60" s="1458"/>
      <c r="Z60" s="1458"/>
      <c r="AA60" s="1458"/>
      <c r="AB60" s="1458"/>
      <c r="AC60" s="1458"/>
      <c r="AD60" s="1458"/>
      <c r="AE60" s="1458"/>
      <c r="AF60" s="1458"/>
      <c r="AG60" s="1458"/>
      <c r="AH60" s="1458"/>
      <c r="AI60" s="1458"/>
      <c r="AJ60" s="1458"/>
      <c r="AK60" s="1464"/>
      <c r="AL60" s="1458"/>
      <c r="AM60" s="1458"/>
      <c r="AN60" s="1458"/>
      <c r="AO60" s="1458"/>
      <c r="AP60" s="1453"/>
      <c r="AQ60" s="1453"/>
      <c r="AR60" s="1453"/>
      <c r="AS60" s="1453"/>
      <c r="AT60" s="1453"/>
      <c r="AU60" s="1453"/>
      <c r="AV60" s="1453"/>
      <c r="AW60" s="1453"/>
      <c r="AX60" s="1453"/>
      <c r="AY60" s="1453"/>
      <c r="AZ60" s="1459"/>
    </row>
    <row r="61" spans="1:52">
      <c r="A61" s="1509" t="s">
        <v>1326</v>
      </c>
      <c r="B61" s="1500">
        <v>2010</v>
      </c>
      <c r="C61" s="1500">
        <v>2011</v>
      </c>
      <c r="D61" s="1500">
        <v>2012</v>
      </c>
      <c r="E61" s="1501">
        <v>2013</v>
      </c>
      <c r="F61" s="1465"/>
      <c r="G61" s="1465"/>
      <c r="H61" s="1465"/>
      <c r="I61" s="1465"/>
      <c r="J61" s="1465"/>
      <c r="K61" s="1465"/>
      <c r="L61" s="1465"/>
      <c r="M61" s="1465"/>
      <c r="N61" s="1465"/>
      <c r="O61" s="1465"/>
      <c r="P61" s="1465"/>
      <c r="Q61" s="1465"/>
      <c r="R61" s="1465"/>
      <c r="S61" s="1465"/>
      <c r="T61" s="1465"/>
      <c r="U61" s="1465"/>
      <c r="V61" s="1465"/>
      <c r="W61" s="1465"/>
      <c r="X61" s="1465"/>
      <c r="Y61" s="1465"/>
      <c r="Z61" s="1465"/>
      <c r="AA61" s="1465"/>
      <c r="AB61" s="1465"/>
      <c r="AC61" s="1465"/>
      <c r="AD61" s="1465"/>
      <c r="AE61" s="1465"/>
      <c r="AF61" s="1465"/>
      <c r="AG61" s="1465"/>
      <c r="AH61" s="1465"/>
      <c r="AI61" s="1465"/>
      <c r="AJ61" s="1465"/>
      <c r="AK61" s="1465"/>
      <c r="AL61" s="1465"/>
      <c r="AM61" s="1465"/>
      <c r="AN61" s="1465"/>
      <c r="AO61" s="1465"/>
      <c r="AP61" s="1465"/>
      <c r="AQ61" s="1448"/>
      <c r="AR61" s="1448"/>
      <c r="AS61" s="1448"/>
      <c r="AT61" s="1448"/>
      <c r="AU61" s="1448"/>
      <c r="AV61" s="1448"/>
      <c r="AW61" s="1448"/>
      <c r="AX61" s="1448"/>
      <c r="AY61" s="1448"/>
      <c r="AZ61" s="1449"/>
    </row>
    <row r="62" spans="1:52">
      <c r="A62" s="1453"/>
      <c r="B62" s="1468"/>
      <c r="C62" s="1468"/>
      <c r="D62" s="1458"/>
      <c r="E62" s="1458"/>
      <c r="F62" s="1510"/>
      <c r="G62" s="1510"/>
      <c r="H62" s="1510"/>
      <c r="I62" s="1458"/>
      <c r="J62" s="1458"/>
      <c r="K62" s="1458"/>
      <c r="L62" s="1458"/>
      <c r="M62" s="1458"/>
      <c r="N62" s="1458"/>
      <c r="O62" s="1458"/>
      <c r="P62" s="1458"/>
      <c r="Q62" s="1458"/>
      <c r="R62" s="1458"/>
      <c r="S62" s="1458"/>
      <c r="T62" s="1458"/>
      <c r="U62" s="1458"/>
      <c r="V62" s="1458"/>
      <c r="W62" s="1458"/>
      <c r="X62" s="1458"/>
      <c r="Y62" s="1458"/>
      <c r="Z62" s="1458"/>
      <c r="AA62" s="1458"/>
      <c r="AB62" s="1458"/>
      <c r="AC62" s="1458"/>
      <c r="AD62" s="1458"/>
      <c r="AE62" s="1458"/>
      <c r="AF62" s="1458"/>
      <c r="AG62" s="1458"/>
      <c r="AH62" s="1458"/>
      <c r="AI62" s="1458"/>
      <c r="AJ62" s="1458"/>
      <c r="AK62" s="1458"/>
      <c r="AL62" s="1458"/>
      <c r="AM62" s="1458"/>
      <c r="AN62" s="1458"/>
      <c r="AO62" s="1458"/>
      <c r="AP62" s="1458"/>
      <c r="AQ62" s="1458"/>
      <c r="AR62" s="1458"/>
      <c r="AS62" s="1458"/>
      <c r="AT62" s="1458"/>
      <c r="AU62" s="1458"/>
      <c r="AV62" s="1458"/>
      <c r="AW62" s="1458"/>
      <c r="AX62" s="1458"/>
      <c r="AY62" s="1453"/>
      <c r="AZ62" s="1459"/>
    </row>
    <row r="63" spans="1:52">
      <c r="A63" s="1447" t="s">
        <v>1327</v>
      </c>
      <c r="B63" s="1468"/>
      <c r="C63" s="1468"/>
      <c r="D63" s="1458"/>
      <c r="E63" s="1458"/>
      <c r="F63" s="1510"/>
      <c r="G63" s="1510"/>
      <c r="H63" s="1510"/>
      <c r="I63" s="1458"/>
      <c r="J63" s="1458"/>
      <c r="K63" s="1458"/>
      <c r="L63" s="1458"/>
      <c r="M63" s="1458"/>
      <c r="N63" s="1458"/>
      <c r="O63" s="1458"/>
      <c r="P63" s="1458"/>
      <c r="Q63" s="1458"/>
      <c r="R63" s="1458"/>
      <c r="S63" s="1458"/>
      <c r="T63" s="1458"/>
      <c r="U63" s="1458"/>
      <c r="V63" s="1458"/>
      <c r="W63" s="1458"/>
      <c r="X63" s="1458"/>
      <c r="Y63" s="1458"/>
      <c r="Z63" s="1458"/>
      <c r="AA63" s="1458"/>
      <c r="AB63" s="1458"/>
      <c r="AC63" s="1458"/>
      <c r="AD63" s="1458"/>
      <c r="AE63" s="1458"/>
      <c r="AF63" s="1458"/>
      <c r="AG63" s="1458"/>
      <c r="AH63" s="1458"/>
      <c r="AI63" s="1458"/>
      <c r="AJ63" s="1458"/>
      <c r="AK63" s="1458"/>
      <c r="AL63" s="1458"/>
      <c r="AM63" s="1458"/>
      <c r="AN63" s="1458"/>
      <c r="AO63" s="1458"/>
      <c r="AP63" s="1458"/>
      <c r="AQ63" s="1458"/>
      <c r="AR63" s="1458"/>
      <c r="AS63" s="1458"/>
      <c r="AT63" s="1458"/>
      <c r="AU63" s="1458"/>
      <c r="AV63" s="1458"/>
      <c r="AW63" s="1458"/>
      <c r="AX63" s="1458"/>
      <c r="AY63" s="1453"/>
      <c r="AZ63" s="1459"/>
    </row>
    <row r="64" spans="1:52">
      <c r="A64" s="1511" t="s">
        <v>1328</v>
      </c>
      <c r="B64" s="1489">
        <f>SUM($N$54:$N$54)</f>
        <v>0</v>
      </c>
      <c r="C64" s="1489">
        <f>SUM($P$54:$P$54)</f>
        <v>0</v>
      </c>
      <c r="D64" s="1489">
        <f>SUM($R$54:$R$54)</f>
        <v>1383555.7</v>
      </c>
      <c r="E64" s="1489">
        <f>SUM($T$54:$T$54)</f>
        <v>1415377.4810999997</v>
      </c>
      <c r="F64" s="1510"/>
      <c r="G64" s="1510"/>
      <c r="H64" s="1510"/>
      <c r="AK64" s="1461"/>
      <c r="AN64" s="1462"/>
      <c r="AO64" s="1462"/>
      <c r="AP64" s="1462"/>
      <c r="AQ64" s="1462"/>
      <c r="AR64" s="1462"/>
      <c r="AS64" s="1462"/>
      <c r="AT64" s="1462"/>
      <c r="AU64" s="1462"/>
      <c r="AV64" s="1462"/>
      <c r="AW64" s="1462"/>
      <c r="AX64" s="1462"/>
      <c r="AY64" s="1462"/>
      <c r="AZ64" s="1463"/>
    </row>
    <row r="65" spans="1:52">
      <c r="A65" s="1511" t="s">
        <v>1329</v>
      </c>
      <c r="B65" s="1489">
        <f>SUM($AW$54:$AW$54)</f>
        <v>0</v>
      </c>
      <c r="C65" s="1489">
        <f>SUM($AX$54:$AX$54)</f>
        <v>0</v>
      </c>
      <c r="D65" s="1489">
        <f>SUM($AY$54:$AY$54)</f>
        <v>9472744.6926666684</v>
      </c>
      <c r="E65" s="1489">
        <f>SUM(AZ54:AZ54)</f>
        <v>12562261.465585332</v>
      </c>
      <c r="F65" s="1510"/>
      <c r="G65" s="1510"/>
      <c r="H65" s="1510"/>
      <c r="AK65" s="1461"/>
      <c r="AN65" s="1462"/>
      <c r="AO65" s="1462"/>
      <c r="AP65" s="1462"/>
      <c r="AQ65" s="1462"/>
      <c r="AR65" s="1462"/>
      <c r="AS65" s="1462"/>
      <c r="AT65" s="1462"/>
      <c r="AU65" s="1462"/>
      <c r="AV65" s="1462"/>
      <c r="AW65" s="1462"/>
      <c r="AX65" s="1462"/>
      <c r="AY65" s="1462"/>
      <c r="AZ65" s="1463"/>
    </row>
    <row r="66" spans="1:52">
      <c r="A66" s="1511" t="s">
        <v>1330</v>
      </c>
      <c r="B66" s="1489">
        <f>B64+B65</f>
        <v>0</v>
      </c>
      <c r="C66" s="1489">
        <f>C64+C65</f>
        <v>0</v>
      </c>
      <c r="D66" s="1489">
        <f>D64+D65</f>
        <v>10856300.392666668</v>
      </c>
      <c r="E66" s="1489">
        <f>E64+E65</f>
        <v>13977638.946685333</v>
      </c>
      <c r="F66" s="1510"/>
      <c r="G66" s="1510"/>
      <c r="H66" s="1510"/>
      <c r="AK66" s="1461"/>
      <c r="AN66" s="1462"/>
      <c r="AO66" s="1462"/>
      <c r="AP66" s="1462"/>
      <c r="AQ66" s="1462"/>
      <c r="AR66" s="1462"/>
      <c r="AS66" s="1462"/>
      <c r="AT66" s="1462"/>
      <c r="AU66" s="1462"/>
      <c r="AV66" s="1462"/>
      <c r="AW66" s="1462"/>
      <c r="AX66" s="1462"/>
      <c r="AY66" s="1462"/>
      <c r="AZ66" s="1463"/>
    </row>
    <row r="67" spans="1:52">
      <c r="AY67" s="1462"/>
      <c r="AZ67" s="1463"/>
    </row>
    <row r="68" spans="1:52">
      <c r="A68" s="1511" t="s">
        <v>1331</v>
      </c>
      <c r="B68" s="1512"/>
      <c r="C68" s="1512"/>
      <c r="D68" s="1513"/>
      <c r="E68" s="1514">
        <f>D59</f>
        <v>0</v>
      </c>
      <c r="AK68" s="1461"/>
      <c r="AR68" s="1462"/>
      <c r="AS68" s="1462"/>
      <c r="AT68" s="1462"/>
      <c r="AU68" s="1462"/>
      <c r="AV68" s="1462"/>
      <c r="AW68" s="1462"/>
      <c r="AX68" s="1462"/>
      <c r="AY68" s="1462"/>
      <c r="AZ68" s="1463"/>
    </row>
    <row r="69" spans="1:52">
      <c r="A69" s="1444"/>
      <c r="AY69" s="1462"/>
      <c r="AZ69" s="1463"/>
    </row>
    <row r="70" spans="1:52">
      <c r="A70" s="1511" t="s">
        <v>1332</v>
      </c>
      <c r="B70" s="1489">
        <f>B66-B68</f>
        <v>0</v>
      </c>
      <c r="C70" s="1489">
        <f>C66-C68</f>
        <v>0</v>
      </c>
      <c r="D70" s="1489">
        <f>D66-D68</f>
        <v>10856300.392666668</v>
      </c>
      <c r="E70" s="1481">
        <f>E66-E68</f>
        <v>13977638.946685333</v>
      </c>
      <c r="AK70" s="1461"/>
      <c r="AR70" s="1462"/>
      <c r="AS70" s="1462"/>
      <c r="AT70" s="1462"/>
      <c r="AU70" s="1462"/>
      <c r="AV70" s="1462"/>
      <c r="AW70" s="1462"/>
      <c r="AX70" s="1462"/>
      <c r="AY70" s="1462"/>
      <c r="AZ70" s="1463"/>
    </row>
    <row r="71" spans="1:52">
      <c r="A71" s="1511" t="s">
        <v>1333</v>
      </c>
      <c r="B71" s="170">
        <v>7.7276200765247216E-2</v>
      </c>
      <c r="C71" s="170">
        <v>5.1001171478289864E-2</v>
      </c>
      <c r="D71" s="170">
        <v>2.3124427771918921E-2</v>
      </c>
      <c r="E71" s="1460"/>
      <c r="AK71" s="1461"/>
      <c r="AR71" s="1462"/>
      <c r="AS71" s="1462"/>
      <c r="AT71" s="1462"/>
      <c r="AU71" s="1462"/>
      <c r="AV71" s="1462"/>
      <c r="AW71" s="1462"/>
      <c r="AX71" s="1462"/>
      <c r="AY71" s="1462"/>
      <c r="AZ71" s="1463"/>
    </row>
    <row r="72" spans="1:52">
      <c r="A72" s="1511" t="s">
        <v>1334</v>
      </c>
      <c r="B72" s="1489">
        <f>B70*(1+$B$42)</f>
        <v>0</v>
      </c>
      <c r="C72" s="1489">
        <f>C70*(1+$C$42)</f>
        <v>0</v>
      </c>
      <c r="D72" s="1489">
        <f>D70*(1+$D$42)</f>
        <v>11107346.126967143</v>
      </c>
      <c r="E72" s="1515">
        <f>E70*(1+$E$42)</f>
        <v>13977638.946685333</v>
      </c>
      <c r="AK72" s="1461"/>
      <c r="AR72" s="1462"/>
      <c r="AS72" s="1462"/>
      <c r="AT72" s="1462"/>
      <c r="AU72" s="1462"/>
      <c r="AV72" s="1462"/>
      <c r="AW72" s="1462"/>
      <c r="AX72" s="1462"/>
      <c r="AY72" s="1462"/>
      <c r="AZ72" s="1463"/>
    </row>
    <row r="73" spans="1:52">
      <c r="A73" s="1516"/>
      <c r="B73" s="1516"/>
      <c r="C73" s="1516"/>
      <c r="D73" s="1516"/>
      <c r="E73" s="1516"/>
      <c r="F73" s="1516"/>
      <c r="G73" s="1516"/>
      <c r="H73" s="1516"/>
      <c r="I73" s="1516"/>
      <c r="J73" s="1516"/>
      <c r="K73" s="1516"/>
      <c r="L73" s="1516"/>
      <c r="M73" s="1516"/>
      <c r="N73" s="1516"/>
      <c r="O73" s="1516"/>
      <c r="P73" s="1516"/>
      <c r="Q73" s="1516"/>
      <c r="R73" s="1516"/>
      <c r="S73" s="1516"/>
      <c r="T73" s="1516"/>
      <c r="U73" s="1516"/>
      <c r="V73" s="1516"/>
      <c r="W73" s="1516"/>
      <c r="X73" s="1516"/>
      <c r="Y73" s="1516"/>
      <c r="Z73" s="1516"/>
      <c r="AA73" s="1516"/>
      <c r="AB73" s="1516"/>
      <c r="AC73" s="1516"/>
      <c r="AD73" s="1516"/>
      <c r="AE73" s="1516"/>
      <c r="AF73" s="1516"/>
      <c r="AG73" s="1516"/>
      <c r="AH73" s="1516"/>
      <c r="AI73" s="1516"/>
      <c r="AJ73" s="1516"/>
      <c r="AK73" s="1516"/>
      <c r="AL73" s="1516"/>
      <c r="AM73" s="1516"/>
      <c r="AN73" s="1516"/>
      <c r="AO73" s="1516"/>
      <c r="AP73" s="1516"/>
      <c r="AQ73" s="1516"/>
      <c r="AR73" s="1516"/>
      <c r="AS73" s="1516"/>
      <c r="AT73" s="1516"/>
      <c r="AU73" s="1516"/>
      <c r="AV73" s="1516"/>
      <c r="AW73" s="1516"/>
      <c r="AX73" s="1516"/>
      <c r="AY73" s="1517"/>
      <c r="AZ73" s="1518"/>
    </row>
    <row r="74" spans="1:52">
      <c r="A74" s="1511" t="s">
        <v>1335</v>
      </c>
      <c r="B74" s="1489">
        <f>C72+D72+E72+B72</f>
        <v>25084985.073652476</v>
      </c>
      <c r="D74" s="1462"/>
      <c r="AK74" s="1461"/>
      <c r="AP74" s="1462"/>
      <c r="AQ74" s="1462"/>
      <c r="AR74" s="1462"/>
      <c r="AS74" s="1462"/>
      <c r="AT74" s="1462"/>
      <c r="AU74" s="1462"/>
      <c r="AV74" s="1462"/>
      <c r="AW74" s="1462"/>
      <c r="AX74" s="1462"/>
      <c r="AY74" s="1462"/>
      <c r="AZ74" s="1463"/>
    </row>
    <row r="75" spans="1:52" ht="15.75" thickBot="1"/>
    <row r="76" spans="1:52">
      <c r="A76" s="1543"/>
      <c r="B76" s="1544"/>
    </row>
    <row r="77" spans="1:52">
      <c r="A77" s="1547" t="s">
        <v>1428</v>
      </c>
      <c r="B77" s="1548">
        <f>B74-B45</f>
        <v>399312.40839278698</v>
      </c>
    </row>
    <row r="78" spans="1:52" ht="15.75" thickBot="1">
      <c r="A78" s="1545"/>
      <c r="B78" s="1546"/>
    </row>
  </sheetData>
  <mergeCells count="16">
    <mergeCell ref="AO23:AR23"/>
    <mergeCell ref="AS23:AV23"/>
    <mergeCell ref="AW23:AZ23"/>
    <mergeCell ref="U23:X23"/>
    <mergeCell ref="Y23:AB23"/>
    <mergeCell ref="AC23:AF23"/>
    <mergeCell ref="AG23:AJ23"/>
    <mergeCell ref="AK23:AN23"/>
    <mergeCell ref="AS52:AV52"/>
    <mergeCell ref="AW52:AZ52"/>
    <mergeCell ref="U52:X52"/>
    <mergeCell ref="Y52:AB52"/>
    <mergeCell ref="AC52:AF52"/>
    <mergeCell ref="AG52:AJ52"/>
    <mergeCell ref="AK52:AN52"/>
    <mergeCell ref="AO52:AR5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workbookViewId="0">
      <selection activeCell="F28" sqref="F28"/>
    </sheetView>
  </sheetViews>
  <sheetFormatPr defaultRowHeight="15"/>
  <cols>
    <col min="1" max="1" width="7" style="1440" bestFit="1" customWidth="1"/>
    <col min="2" max="2" width="45.7109375" style="1440" bestFit="1" customWidth="1"/>
    <col min="3" max="3" width="53.85546875" style="1440" bestFit="1" customWidth="1"/>
    <col min="4" max="16384" width="9.140625" style="1440"/>
  </cols>
  <sheetData>
    <row r="1" spans="1:4" s="1306" customFormat="1" ht="23.25" customHeight="1">
      <c r="A1" s="1303" t="s">
        <v>1429</v>
      </c>
      <c r="B1" s="1304"/>
      <c r="C1" s="1304"/>
      <c r="D1" s="1305"/>
    </row>
    <row r="4" spans="1:4">
      <c r="A4" s="1713" t="s">
        <v>1336</v>
      </c>
      <c r="B4" s="1714"/>
      <c r="C4" s="1714"/>
    </row>
    <row r="5" spans="1:4">
      <c r="A5" s="217" t="s">
        <v>166</v>
      </c>
      <c r="B5" s="217" t="s">
        <v>167</v>
      </c>
      <c r="C5" s="217" t="s">
        <v>1193</v>
      </c>
    </row>
    <row r="6" spans="1:4">
      <c r="A6" s="1440">
        <v>300013</v>
      </c>
      <c r="B6" s="1440" t="s">
        <v>1337</v>
      </c>
      <c r="C6" s="1440" t="s">
        <v>1338</v>
      </c>
    </row>
    <row r="7" spans="1:4">
      <c r="A7" s="1440">
        <v>300017</v>
      </c>
      <c r="B7" s="1440" t="s">
        <v>1342</v>
      </c>
      <c r="C7" s="1440" t="s">
        <v>1338</v>
      </c>
    </row>
    <row r="8" spans="1:4">
      <c r="A8" s="1440">
        <v>301231</v>
      </c>
      <c r="B8" s="1440" t="s">
        <v>1377</v>
      </c>
      <c r="C8" s="1440" t="s">
        <v>1338</v>
      </c>
    </row>
    <row r="9" spans="1:4">
      <c r="A9" s="1440">
        <v>301236</v>
      </c>
      <c r="B9" s="1440" t="s">
        <v>1378</v>
      </c>
      <c r="C9" s="1440" t="s">
        <v>1338</v>
      </c>
    </row>
    <row r="10" spans="1:4">
      <c r="A10" s="1440">
        <v>301237</v>
      </c>
      <c r="B10" s="1440" t="s">
        <v>1379</v>
      </c>
      <c r="C10" s="1440" t="s">
        <v>1338</v>
      </c>
    </row>
    <row r="11" spans="1:4">
      <c r="A11" s="1440">
        <v>300628</v>
      </c>
      <c r="B11" s="1440" t="s">
        <v>1354</v>
      </c>
      <c r="C11" s="1440" t="s">
        <v>1355</v>
      </c>
    </row>
    <row r="12" spans="1:4">
      <c r="A12" s="1440">
        <v>301268</v>
      </c>
      <c r="B12" s="1440" t="s">
        <v>1380</v>
      </c>
      <c r="C12" s="1440" t="s">
        <v>1355</v>
      </c>
    </row>
    <row r="13" spans="1:4">
      <c r="A13" s="1440">
        <v>300014</v>
      </c>
      <c r="B13" s="1440" t="s">
        <v>1339</v>
      </c>
      <c r="C13" s="1440" t="s">
        <v>1340</v>
      </c>
    </row>
    <row r="14" spans="1:4">
      <c r="A14" s="1440">
        <v>300015</v>
      </c>
      <c r="B14" s="1440" t="s">
        <v>1341</v>
      </c>
      <c r="C14" s="1440" t="s">
        <v>1340</v>
      </c>
    </row>
    <row r="15" spans="1:4">
      <c r="A15" s="1440">
        <v>300047</v>
      </c>
      <c r="B15" s="1440" t="s">
        <v>1343</v>
      </c>
      <c r="C15" s="1440" t="s">
        <v>1340</v>
      </c>
    </row>
    <row r="16" spans="1:4">
      <c r="A16" s="1440">
        <v>300055</v>
      </c>
      <c r="B16" s="1440" t="s">
        <v>1344</v>
      </c>
      <c r="C16" s="1440" t="s">
        <v>1340</v>
      </c>
    </row>
    <row r="17" spans="1:3">
      <c r="A17" s="1440">
        <v>300058</v>
      </c>
      <c r="B17" s="1440" t="s">
        <v>1345</v>
      </c>
      <c r="C17" s="1440" t="s">
        <v>1340</v>
      </c>
    </row>
    <row r="18" spans="1:3">
      <c r="A18" s="1440">
        <v>300062</v>
      </c>
      <c r="B18" s="1440" t="s">
        <v>1346</v>
      </c>
      <c r="C18" s="1440" t="s">
        <v>1340</v>
      </c>
    </row>
    <row r="19" spans="1:3">
      <c r="A19" s="1440">
        <v>300904</v>
      </c>
      <c r="B19" s="1440" t="s">
        <v>1360</v>
      </c>
      <c r="C19" s="1440" t="s">
        <v>1340</v>
      </c>
    </row>
    <row r="20" spans="1:3">
      <c r="A20" s="1440">
        <v>300953</v>
      </c>
      <c r="B20" s="1440" t="s">
        <v>1361</v>
      </c>
      <c r="C20" s="1440" t="s">
        <v>1340</v>
      </c>
    </row>
    <row r="21" spans="1:3">
      <c r="A21" s="1440">
        <v>300984</v>
      </c>
      <c r="B21" s="1440" t="s">
        <v>1363</v>
      </c>
      <c r="C21" s="1440" t="s">
        <v>1340</v>
      </c>
    </row>
    <row r="22" spans="1:3">
      <c r="A22" s="1440">
        <v>301041</v>
      </c>
      <c r="B22" s="1526" t="s">
        <v>1370</v>
      </c>
      <c r="C22" s="1440" t="s">
        <v>1340</v>
      </c>
    </row>
    <row r="23" spans="1:3">
      <c r="A23" s="1440">
        <v>301208</v>
      </c>
      <c r="B23" s="1440" t="s">
        <v>1375</v>
      </c>
      <c r="C23" s="1440" t="s">
        <v>1340</v>
      </c>
    </row>
    <row r="24" spans="1:3">
      <c r="A24" s="1440">
        <v>301209</v>
      </c>
      <c r="B24" s="1440" t="s">
        <v>1376</v>
      </c>
      <c r="C24" s="1440" t="s">
        <v>1340</v>
      </c>
    </row>
    <row r="25" spans="1:3">
      <c r="A25" s="1440">
        <v>301163</v>
      </c>
      <c r="B25" s="1440" t="s">
        <v>1372</v>
      </c>
      <c r="C25" s="1526" t="s">
        <v>1419</v>
      </c>
    </row>
    <row r="26" spans="1:3">
      <c r="A26" s="1440">
        <v>301345</v>
      </c>
      <c r="B26" s="1440" t="s">
        <v>211</v>
      </c>
      <c r="C26" s="1526" t="s">
        <v>1419</v>
      </c>
    </row>
    <row r="27" spans="1:3">
      <c r="A27" s="1440">
        <v>300837</v>
      </c>
      <c r="B27" s="1440" t="s">
        <v>1359</v>
      </c>
      <c r="C27" s="1526" t="s">
        <v>1417</v>
      </c>
    </row>
    <row r="28" spans="1:3">
      <c r="A28" s="1440">
        <v>300986</v>
      </c>
      <c r="B28" s="1440" t="s">
        <v>1364</v>
      </c>
      <c r="C28" s="1526" t="s">
        <v>1418</v>
      </c>
    </row>
    <row r="29" spans="1:3">
      <c r="A29" s="1440">
        <v>300069</v>
      </c>
      <c r="B29" s="1440" t="s">
        <v>1347</v>
      </c>
      <c r="C29" s="1440" t="s">
        <v>1348</v>
      </c>
    </row>
    <row r="30" spans="1:3">
      <c r="A30" s="1440">
        <v>300185</v>
      </c>
      <c r="B30" s="1440" t="s">
        <v>1349</v>
      </c>
      <c r="C30" s="1440" t="s">
        <v>1348</v>
      </c>
    </row>
    <row r="31" spans="1:3">
      <c r="A31" s="1440">
        <v>300458</v>
      </c>
      <c r="B31" s="1440" t="s">
        <v>1350</v>
      </c>
      <c r="C31" s="1440" t="s">
        <v>1348</v>
      </c>
    </row>
    <row r="32" spans="1:3">
      <c r="A32" s="1440">
        <v>300545</v>
      </c>
      <c r="B32" s="1440" t="s">
        <v>1351</v>
      </c>
      <c r="C32" s="1440" t="s">
        <v>1348</v>
      </c>
    </row>
    <row r="33" spans="1:3">
      <c r="A33" s="1440">
        <v>300580</v>
      </c>
      <c r="B33" s="1440" t="s">
        <v>1352</v>
      </c>
      <c r="C33" s="1440" t="s">
        <v>1348</v>
      </c>
    </row>
    <row r="34" spans="1:3">
      <c r="A34" s="1440">
        <v>300616</v>
      </c>
      <c r="B34" s="1440" t="s">
        <v>1353</v>
      </c>
      <c r="C34" s="1440" t="s">
        <v>1348</v>
      </c>
    </row>
    <row r="35" spans="1:3">
      <c r="A35" s="1440">
        <v>300677</v>
      </c>
      <c r="B35" s="1440" t="s">
        <v>1356</v>
      </c>
      <c r="C35" s="1440" t="s">
        <v>1348</v>
      </c>
    </row>
    <row r="36" spans="1:3">
      <c r="A36" s="1440">
        <v>300714</v>
      </c>
      <c r="B36" s="1440" t="s">
        <v>1357</v>
      </c>
      <c r="C36" s="1440" t="s">
        <v>1348</v>
      </c>
    </row>
    <row r="37" spans="1:3">
      <c r="A37" s="1440">
        <v>300739</v>
      </c>
      <c r="B37" s="1440" t="s">
        <v>1358</v>
      </c>
      <c r="C37" s="1440" t="s">
        <v>1348</v>
      </c>
    </row>
    <row r="38" spans="1:3">
      <c r="A38" s="1440">
        <v>300849</v>
      </c>
      <c r="B38" s="1440" t="s">
        <v>462</v>
      </c>
      <c r="C38" s="1440" t="s">
        <v>1348</v>
      </c>
    </row>
    <row r="39" spans="1:3">
      <c r="A39" s="1440">
        <v>300980</v>
      </c>
      <c r="B39" s="1440" t="s">
        <v>1362</v>
      </c>
      <c r="C39" s="1440" t="s">
        <v>1348</v>
      </c>
    </row>
    <row r="40" spans="1:3">
      <c r="A40" s="1440">
        <v>300988</v>
      </c>
      <c r="B40" s="1440" t="s">
        <v>1365</v>
      </c>
      <c r="C40" s="1440" t="s">
        <v>1348</v>
      </c>
    </row>
    <row r="41" spans="1:3">
      <c r="A41" s="1440">
        <v>301010</v>
      </c>
      <c r="B41" s="1440" t="s">
        <v>1366</v>
      </c>
      <c r="C41" s="1440" t="s">
        <v>1348</v>
      </c>
    </row>
    <row r="42" spans="1:3">
      <c r="A42" s="1440">
        <v>301011</v>
      </c>
      <c r="B42" s="1440" t="s">
        <v>1367</v>
      </c>
      <c r="C42" s="1440" t="s">
        <v>1348</v>
      </c>
    </row>
    <row r="43" spans="1:3">
      <c r="A43" s="1440">
        <v>301012</v>
      </c>
      <c r="B43" s="1440" t="s">
        <v>1368</v>
      </c>
      <c r="C43" s="1440" t="s">
        <v>1348</v>
      </c>
    </row>
    <row r="44" spans="1:3">
      <c r="A44" s="1440">
        <v>301032</v>
      </c>
      <c r="B44" s="1440" t="s">
        <v>1369</v>
      </c>
      <c r="C44" s="1440" t="s">
        <v>1348</v>
      </c>
    </row>
    <row r="45" spans="1:3">
      <c r="A45" s="1440">
        <v>301057</v>
      </c>
      <c r="B45" s="1440" t="s">
        <v>1371</v>
      </c>
      <c r="C45" s="1440" t="s">
        <v>1348</v>
      </c>
    </row>
    <row r="46" spans="1:3">
      <c r="A46" s="1440">
        <v>301181</v>
      </c>
      <c r="B46" s="1440" t="s">
        <v>1373</v>
      </c>
      <c r="C46" s="1440" t="s">
        <v>1348</v>
      </c>
    </row>
    <row r="47" spans="1:3">
      <c r="A47" s="1440">
        <v>301200</v>
      </c>
      <c r="B47" s="1440" t="s">
        <v>1374</v>
      </c>
      <c r="C47" s="1440" t="s">
        <v>1348</v>
      </c>
    </row>
    <row r="48" spans="1:3">
      <c r="A48" s="1440">
        <v>301402</v>
      </c>
      <c r="B48" s="1440" t="s">
        <v>1381</v>
      </c>
      <c r="C48" s="1440" t="s">
        <v>1348</v>
      </c>
    </row>
    <row r="50" spans="1:3">
      <c r="A50" s="1713" t="s">
        <v>1382</v>
      </c>
      <c r="B50" s="1714"/>
      <c r="C50" s="1714"/>
    </row>
    <row r="51" spans="1:3">
      <c r="A51" s="217" t="s">
        <v>166</v>
      </c>
      <c r="B51" s="217" t="s">
        <v>167</v>
      </c>
      <c r="C51" s="217" t="s">
        <v>1193</v>
      </c>
    </row>
    <row r="52" spans="1:3">
      <c r="A52" s="1440" t="s">
        <v>1383</v>
      </c>
    </row>
  </sheetData>
  <mergeCells count="2">
    <mergeCell ref="A4:C4"/>
    <mergeCell ref="A50:C5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19" zoomScale="80" zoomScaleNormal="80" workbookViewId="0">
      <selection activeCell="B53" sqref="B53"/>
    </sheetView>
  </sheetViews>
  <sheetFormatPr defaultRowHeight="12.75"/>
  <cols>
    <col min="1" max="1" width="42.85546875" style="640" customWidth="1"/>
    <col min="2" max="2" width="53.28515625" style="640" customWidth="1"/>
    <col min="3" max="4" width="13.85546875" style="640" customWidth="1"/>
    <col min="5" max="5" width="67" style="640" customWidth="1"/>
    <col min="6" max="6" width="13.85546875" style="640" customWidth="1"/>
    <col min="7" max="16384" width="9.140625" style="640"/>
  </cols>
  <sheetData>
    <row r="1" spans="1:10" s="641" customFormat="1" ht="23.25" customHeight="1">
      <c r="A1" s="1639" t="s">
        <v>814</v>
      </c>
      <c r="B1" s="1640"/>
      <c r="C1" s="1640"/>
      <c r="D1" s="1640"/>
      <c r="E1" s="1640"/>
      <c r="F1" s="1641"/>
      <c r="G1" s="640"/>
      <c r="H1" s="640"/>
      <c r="I1" s="640"/>
      <c r="J1" s="640"/>
    </row>
    <row r="2" spans="1:10" s="644" customFormat="1">
      <c r="A2" s="642"/>
      <c r="B2" s="643"/>
      <c r="C2" s="643"/>
      <c r="D2" s="643"/>
      <c r="E2" s="643"/>
      <c r="F2" s="659"/>
    </row>
    <row r="3" spans="1:10" s="645" customFormat="1">
      <c r="A3" s="1642" t="s">
        <v>815</v>
      </c>
      <c r="B3" s="1643"/>
      <c r="C3" s="1643"/>
      <c r="D3" s="1643"/>
      <c r="E3" s="1643"/>
      <c r="F3" s="1644"/>
    </row>
    <row r="4" spans="1:10" s="645" customFormat="1">
      <c r="A4" s="1108"/>
      <c r="B4" s="658"/>
      <c r="C4" s="658"/>
      <c r="D4" s="658"/>
      <c r="E4" s="658"/>
      <c r="F4" s="660"/>
    </row>
    <row r="5" spans="1:10" s="645" customFormat="1">
      <c r="A5" s="1103" t="s">
        <v>816</v>
      </c>
      <c r="B5" s="1104"/>
      <c r="C5" s="1104"/>
      <c r="D5" s="1104"/>
      <c r="E5" s="1104" t="s">
        <v>974</v>
      </c>
      <c r="F5" s="1105"/>
    </row>
    <row r="6" spans="1:10" s="645" customFormat="1">
      <c r="A6" s="1103"/>
      <c r="B6" s="1104"/>
      <c r="C6" s="1104"/>
      <c r="D6" s="1104"/>
      <c r="E6" s="1104"/>
      <c r="F6" s="1105"/>
    </row>
    <row r="7" spans="1:10" s="645" customFormat="1">
      <c r="A7" s="1645" t="s">
        <v>817</v>
      </c>
      <c r="B7" s="1646"/>
      <c r="C7" s="1646"/>
      <c r="D7" s="1646"/>
      <c r="E7" s="1646"/>
      <c r="F7" s="1647"/>
    </row>
    <row r="8" spans="1:10">
      <c r="A8" s="650"/>
      <c r="B8" s="651"/>
      <c r="C8" s="651"/>
      <c r="D8" s="651"/>
      <c r="E8" s="651"/>
      <c r="F8" s="662"/>
    </row>
    <row r="9" spans="1:10">
      <c r="A9" s="1629" t="s">
        <v>818</v>
      </c>
      <c r="B9" s="1630"/>
      <c r="C9" s="1630"/>
      <c r="D9" s="1630"/>
      <c r="E9" s="1630"/>
      <c r="F9" s="1631"/>
    </row>
    <row r="10" spans="1:10">
      <c r="A10" s="650"/>
      <c r="B10" s="651"/>
      <c r="C10" s="651"/>
      <c r="D10" s="651"/>
      <c r="E10" s="651"/>
      <c r="F10" s="662"/>
    </row>
    <row r="11" spans="1:10" s="645" customFormat="1">
      <c r="A11" s="1648" t="s">
        <v>819</v>
      </c>
      <c r="B11" s="1649"/>
      <c r="C11" s="1649"/>
      <c r="D11" s="1649"/>
      <c r="E11" s="1649"/>
      <c r="F11" s="1650"/>
    </row>
    <row r="12" spans="1:10" s="645" customFormat="1" ht="9" customHeight="1">
      <c r="A12" s="646"/>
      <c r="B12" s="647"/>
      <c r="C12" s="647"/>
      <c r="D12" s="647"/>
      <c r="E12" s="647"/>
      <c r="F12" s="663"/>
    </row>
    <row r="13" spans="1:10" s="645" customFormat="1" ht="55.5" customHeight="1">
      <c r="A13" s="1629" t="s">
        <v>975</v>
      </c>
      <c r="B13" s="1630"/>
      <c r="C13" s="1630"/>
      <c r="D13" s="1630"/>
      <c r="E13" s="1630"/>
      <c r="F13" s="1631"/>
    </row>
    <row r="14" spans="1:10" s="645" customFormat="1">
      <c r="A14" s="1103"/>
      <c r="B14" s="1104"/>
      <c r="C14" s="1104"/>
      <c r="D14" s="1104"/>
      <c r="E14" s="1104"/>
      <c r="F14" s="1105"/>
    </row>
    <row r="15" spans="1:10" s="645" customFormat="1" ht="26.25" customHeight="1">
      <c r="A15" s="1629" t="s">
        <v>976</v>
      </c>
      <c r="B15" s="1630"/>
      <c r="C15" s="1630"/>
      <c r="D15" s="1630"/>
      <c r="E15" s="1630"/>
      <c r="F15" s="1631"/>
    </row>
    <row r="16" spans="1:10" s="645" customFormat="1">
      <c r="A16" s="1103"/>
      <c r="B16" s="1104"/>
      <c r="C16" s="1104"/>
      <c r="D16" s="1104"/>
      <c r="E16" s="1104"/>
      <c r="F16" s="1105"/>
    </row>
    <row r="17" spans="1:6" s="645" customFormat="1">
      <c r="A17" s="1645" t="s">
        <v>820</v>
      </c>
      <c r="B17" s="1646"/>
      <c r="C17" s="1646"/>
      <c r="D17" s="1646"/>
      <c r="E17" s="1646"/>
      <c r="F17" s="1647"/>
    </row>
    <row r="18" spans="1:6" s="645" customFormat="1">
      <c r="A18" s="646"/>
      <c r="B18" s="647"/>
      <c r="C18" s="647"/>
      <c r="D18" s="647"/>
      <c r="E18" s="647"/>
      <c r="F18" s="663"/>
    </row>
    <row r="19" spans="1:6" s="645" customFormat="1" ht="39.75" customHeight="1">
      <c r="A19" s="1629" t="s">
        <v>821</v>
      </c>
      <c r="B19" s="1630"/>
      <c r="C19" s="1630"/>
      <c r="D19" s="1630"/>
      <c r="E19" s="1630"/>
      <c r="F19" s="1631"/>
    </row>
    <row r="20" spans="1:6" s="645" customFormat="1" ht="12.75" customHeight="1">
      <c r="A20" s="1100"/>
      <c r="B20" s="1101"/>
      <c r="C20" s="1101"/>
      <c r="D20" s="1101"/>
      <c r="E20" s="1101"/>
      <c r="F20" s="1102"/>
    </row>
    <row r="21" spans="1:6" s="645" customFormat="1">
      <c r="A21" s="1629" t="s">
        <v>822</v>
      </c>
      <c r="B21" s="1630"/>
      <c r="C21" s="1630"/>
      <c r="D21" s="1630"/>
      <c r="E21" s="1630"/>
      <c r="F21" s="1631"/>
    </row>
    <row r="22" spans="1:6" s="645" customFormat="1">
      <c r="A22" s="1100"/>
      <c r="B22" s="1101"/>
      <c r="C22" s="1101"/>
      <c r="D22" s="1101"/>
      <c r="E22" s="1101"/>
      <c r="F22" s="1102"/>
    </row>
    <row r="23" spans="1:6" s="645" customFormat="1" ht="39.75" customHeight="1">
      <c r="A23" s="1629" t="s">
        <v>823</v>
      </c>
      <c r="B23" s="1630"/>
      <c r="C23" s="1630"/>
      <c r="D23" s="1630"/>
      <c r="E23" s="1630"/>
      <c r="F23" s="1631"/>
    </row>
    <row r="24" spans="1:6" s="645" customFormat="1" ht="12.75" customHeight="1">
      <c r="A24" s="1100"/>
      <c r="B24" s="1101"/>
      <c r="C24" s="1101"/>
      <c r="D24" s="1101"/>
      <c r="E24" s="1101"/>
      <c r="F24" s="1102"/>
    </row>
    <row r="25" spans="1:6" s="645" customFormat="1" ht="12.75" customHeight="1">
      <c r="A25" s="1629" t="s">
        <v>824</v>
      </c>
      <c r="B25" s="1630"/>
      <c r="C25" s="1630"/>
      <c r="D25" s="1630"/>
      <c r="E25" s="1630"/>
      <c r="F25" s="1631"/>
    </row>
    <row r="26" spans="1:6" s="645" customFormat="1" ht="12.75" customHeight="1">
      <c r="A26" s="652"/>
      <c r="B26" s="653"/>
      <c r="C26" s="653"/>
      <c r="D26" s="653"/>
      <c r="E26" s="653"/>
      <c r="F26" s="664"/>
    </row>
    <row r="27" spans="1:6" s="645" customFormat="1">
      <c r="A27" s="1626" t="s">
        <v>825</v>
      </c>
      <c r="B27" s="1627"/>
      <c r="C27" s="1627"/>
      <c r="D27" s="1627"/>
      <c r="E27" s="1627"/>
      <c r="F27" s="1628"/>
    </row>
    <row r="28" spans="1:6" s="645" customFormat="1">
      <c r="A28" s="646"/>
      <c r="B28" s="647"/>
      <c r="C28" s="647"/>
      <c r="D28" s="647"/>
      <c r="E28" s="647"/>
      <c r="F28" s="663"/>
    </row>
    <row r="29" spans="1:6" s="645" customFormat="1">
      <c r="A29" s="1119" t="s">
        <v>980</v>
      </c>
      <c r="B29" s="1104"/>
      <c r="C29" s="1104"/>
      <c r="D29" s="1104"/>
      <c r="E29" s="1104"/>
      <c r="F29" s="1105"/>
    </row>
    <row r="30" spans="1:6" s="645" customFormat="1" ht="27.75" customHeight="1">
      <c r="A30" s="1629" t="s">
        <v>973</v>
      </c>
      <c r="B30" s="1630"/>
      <c r="C30" s="1630"/>
      <c r="D30" s="1630"/>
      <c r="E30" s="1630"/>
      <c r="F30" s="1631"/>
    </row>
    <row r="31" spans="1:6" s="645" customFormat="1">
      <c r="A31" s="1103"/>
      <c r="B31" s="1104"/>
      <c r="C31" s="1104"/>
      <c r="D31" s="1104"/>
      <c r="E31" s="1104"/>
      <c r="F31" s="1105"/>
    </row>
    <row r="32" spans="1:6" s="645" customFormat="1">
      <c r="A32" s="1140" t="s">
        <v>972</v>
      </c>
      <c r="B32" s="1104"/>
      <c r="C32" s="1104"/>
      <c r="D32" s="1104"/>
      <c r="E32" s="1104"/>
      <c r="F32" s="1105"/>
    </row>
    <row r="33" spans="1:6" s="645" customFormat="1" ht="53.25" customHeight="1">
      <c r="A33" s="1635" t="s">
        <v>992</v>
      </c>
      <c r="B33" s="1635"/>
      <c r="C33" s="1635"/>
      <c r="D33" s="1635"/>
      <c r="E33" s="1635"/>
      <c r="F33" s="1636"/>
    </row>
    <row r="34" spans="1:6" s="645" customFormat="1" ht="16.5" customHeight="1">
      <c r="A34" s="1637"/>
      <c r="B34" s="1637"/>
      <c r="C34" s="1637"/>
      <c r="D34" s="1637"/>
      <c r="E34" s="1637"/>
      <c r="F34" s="1638"/>
    </row>
    <row r="35" spans="1:6" s="645" customFormat="1">
      <c r="A35" s="1626" t="s">
        <v>826</v>
      </c>
      <c r="B35" s="1627"/>
      <c r="C35" s="1627"/>
      <c r="D35" s="1627"/>
      <c r="E35" s="1627"/>
      <c r="F35" s="1628"/>
    </row>
    <row r="36" spans="1:6" s="645" customFormat="1" ht="13.5" customHeight="1">
      <c r="A36" s="646"/>
      <c r="B36" s="647"/>
      <c r="C36" s="647"/>
      <c r="D36" s="647"/>
      <c r="E36" s="647"/>
      <c r="F36" s="663"/>
    </row>
    <row r="37" spans="1:6" s="645" customFormat="1" ht="54.75" customHeight="1">
      <c r="A37" s="1629" t="s">
        <v>996</v>
      </c>
      <c r="B37" s="1630"/>
      <c r="C37" s="1630"/>
      <c r="D37" s="1630"/>
      <c r="E37" s="1630"/>
      <c r="F37" s="1631"/>
    </row>
    <row r="38" spans="1:6" s="645" customFormat="1">
      <c r="A38" s="648"/>
      <c r="B38" s="649"/>
      <c r="C38" s="649"/>
      <c r="D38" s="649"/>
      <c r="E38" s="649"/>
      <c r="F38" s="661"/>
    </row>
    <row r="39" spans="1:6" s="645" customFormat="1">
      <c r="A39" s="1632" t="s">
        <v>827</v>
      </c>
      <c r="B39" s="1633"/>
      <c r="C39" s="1633"/>
      <c r="D39" s="1633"/>
      <c r="E39" s="1633"/>
      <c r="F39" s="1634"/>
    </row>
    <row r="40" spans="1:6" s="645" customFormat="1">
      <c r="A40" s="654"/>
      <c r="B40" s="655"/>
      <c r="C40" s="655"/>
      <c r="D40" s="655"/>
      <c r="E40" s="655"/>
      <c r="F40" s="665"/>
    </row>
    <row r="41" spans="1:6" s="645" customFormat="1">
      <c r="A41" s="650" t="s">
        <v>828</v>
      </c>
      <c r="B41" s="1594"/>
      <c r="C41" s="651"/>
      <c r="D41" s="651"/>
      <c r="E41" s="1594"/>
      <c r="F41" s="662"/>
    </row>
    <row r="42" spans="1:6" s="645" customFormat="1">
      <c r="A42" s="650"/>
      <c r="B42" s="1594"/>
      <c r="C42" s="651"/>
      <c r="D42" s="651"/>
      <c r="E42" s="1594"/>
      <c r="F42" s="662"/>
    </row>
    <row r="43" spans="1:6" s="645" customFormat="1">
      <c r="A43" s="650"/>
      <c r="B43" s="1594"/>
      <c r="C43" s="651"/>
      <c r="D43" s="651"/>
      <c r="E43" s="1594"/>
      <c r="F43" s="662"/>
    </row>
    <row r="44" spans="1:6">
      <c r="A44" s="650"/>
      <c r="B44" s="1594"/>
      <c r="C44" s="666"/>
      <c r="D44" s="666"/>
      <c r="E44" s="1594"/>
      <c r="F44" s="667"/>
    </row>
    <row r="45" spans="1:6">
      <c r="A45" s="650"/>
      <c r="B45" s="1594"/>
      <c r="C45" s="666"/>
      <c r="D45" s="666"/>
      <c r="E45" s="1594"/>
      <c r="F45" s="667"/>
    </row>
    <row r="46" spans="1:6">
      <c r="A46" s="656"/>
      <c r="B46" s="657"/>
      <c r="C46" s="657"/>
      <c r="D46" s="657"/>
      <c r="E46" s="657"/>
      <c r="F46" s="668"/>
    </row>
  </sheetData>
  <mergeCells count="19">
    <mergeCell ref="A25:F25"/>
    <mergeCell ref="A1:F1"/>
    <mergeCell ref="A3:F3"/>
    <mergeCell ref="A7:F7"/>
    <mergeCell ref="A9:F9"/>
    <mergeCell ref="A11:F11"/>
    <mergeCell ref="A13:F13"/>
    <mergeCell ref="A15:F15"/>
    <mergeCell ref="A17:F17"/>
    <mergeCell ref="A19:F19"/>
    <mergeCell ref="A21:F21"/>
    <mergeCell ref="A23:F23"/>
    <mergeCell ref="A27:F27"/>
    <mergeCell ref="A30:F30"/>
    <mergeCell ref="A35:F35"/>
    <mergeCell ref="A39:F39"/>
    <mergeCell ref="A33:F33"/>
    <mergeCell ref="A34:F34"/>
    <mergeCell ref="A37:F37"/>
  </mergeCells>
  <pageMargins left="0.7" right="0.7" top="0.75" bottom="0.75" header="0.3" footer="0.3"/>
  <pageSetup paperSize="9" scale="43" orientation="portrait" r:id="rId1"/>
  <colBreaks count="1" manualBreakCount="1">
    <brk id="6" max="4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80" zoomScaleNormal="80" workbookViewId="0">
      <selection activeCell="D36" sqref="D36"/>
    </sheetView>
  </sheetViews>
  <sheetFormatPr defaultColWidth="10.28515625" defaultRowHeight="12.75"/>
  <cols>
    <col min="1" max="1" width="20.7109375" style="678" customWidth="1"/>
    <col min="2" max="2" width="10.5703125" style="678" customWidth="1"/>
    <col min="3" max="5" width="10.28515625" style="678" customWidth="1"/>
    <col min="6" max="6" width="22.5703125" style="678" customWidth="1"/>
    <col min="7" max="7" width="30.7109375" style="678" customWidth="1"/>
    <col min="8" max="10" width="10.28515625" style="678" customWidth="1"/>
    <col min="11" max="11" width="16.5703125" style="678" customWidth="1"/>
    <col min="12" max="16384" width="10.28515625" style="678"/>
  </cols>
  <sheetData>
    <row r="1" spans="1:9" s="674" customFormat="1" ht="23.25" customHeight="1">
      <c r="A1" s="669" t="s">
        <v>830</v>
      </c>
      <c r="B1" s="670"/>
      <c r="C1" s="670"/>
      <c r="D1" s="670"/>
      <c r="E1" s="670"/>
      <c r="F1" s="670"/>
      <c r="G1" s="670"/>
      <c r="H1" s="671"/>
      <c r="I1" s="672"/>
    </row>
    <row r="2" spans="1:9">
      <c r="A2" s="675"/>
      <c r="B2" s="676"/>
      <c r="C2" s="676"/>
      <c r="D2" s="676"/>
      <c r="E2" s="676"/>
      <c r="F2" s="676"/>
      <c r="G2" s="676"/>
      <c r="H2" s="676"/>
      <c r="I2" s="677"/>
    </row>
    <row r="3" spans="1:9">
      <c r="A3" s="1660" t="s">
        <v>926</v>
      </c>
      <c r="B3" s="1661"/>
      <c r="C3" s="1661"/>
      <c r="D3" s="1661"/>
      <c r="E3" s="1661"/>
      <c r="F3" s="1661"/>
      <c r="G3" s="1661"/>
      <c r="H3" s="1661"/>
      <c r="I3" s="1662"/>
    </row>
    <row r="4" spans="1:9">
      <c r="A4" s="690"/>
      <c r="B4" s="691"/>
      <c r="C4" s="692"/>
      <c r="D4" s="691"/>
      <c r="E4" s="693" t="s">
        <v>831</v>
      </c>
      <c r="F4" s="1220">
        <v>41918</v>
      </c>
      <c r="G4" s="694"/>
      <c r="H4" s="691"/>
      <c r="I4" s="695"/>
    </row>
    <row r="5" spans="1:9">
      <c r="A5" s="696"/>
      <c r="B5" s="697"/>
      <c r="C5" s="698"/>
      <c r="D5" s="697"/>
      <c r="E5" s="699" t="s">
        <v>832</v>
      </c>
      <c r="F5" s="702">
        <v>41918</v>
      </c>
      <c r="G5" s="700"/>
      <c r="H5" s="697"/>
      <c r="I5" s="701"/>
    </row>
    <row r="6" spans="1:9">
      <c r="A6" s="679"/>
      <c r="B6" s="680"/>
      <c r="C6" s="680"/>
      <c r="D6" s="680"/>
      <c r="E6" s="680"/>
      <c r="F6" s="680"/>
      <c r="G6" s="680"/>
      <c r="H6" s="680"/>
      <c r="I6" s="681"/>
    </row>
    <row r="7" spans="1:9">
      <c r="A7" s="682"/>
      <c r="B7" s="683"/>
      <c r="C7" s="683"/>
      <c r="D7" s="683"/>
      <c r="E7" s="683"/>
      <c r="F7" s="683"/>
      <c r="G7" s="683"/>
      <c r="H7" s="683"/>
      <c r="I7" s="684"/>
    </row>
    <row r="8" spans="1:9">
      <c r="A8" s="685" t="s">
        <v>833</v>
      </c>
      <c r="B8" s="1663" t="s">
        <v>834</v>
      </c>
      <c r="C8" s="1664"/>
      <c r="D8" s="1664"/>
      <c r="E8" s="1664"/>
      <c r="F8" s="1664"/>
      <c r="G8" s="1664"/>
      <c r="H8" s="1664"/>
      <c r="I8" s="1665"/>
    </row>
    <row r="9" spans="1:9">
      <c r="A9" s="679" t="s">
        <v>835</v>
      </c>
      <c r="B9" s="1663" t="s">
        <v>836</v>
      </c>
      <c r="C9" s="1664"/>
      <c r="D9" s="1664"/>
      <c r="E9" s="1664"/>
      <c r="F9" s="1664"/>
      <c r="G9" s="1664"/>
      <c r="H9" s="1664"/>
      <c r="I9" s="1665"/>
    </row>
    <row r="10" spans="1:9">
      <c r="A10" s="679" t="s">
        <v>837</v>
      </c>
      <c r="B10" s="1663" t="s">
        <v>838</v>
      </c>
      <c r="C10" s="1664"/>
      <c r="D10" s="1664"/>
      <c r="E10" s="1664"/>
      <c r="F10" s="1664"/>
      <c r="G10" s="1664"/>
      <c r="H10" s="1664"/>
      <c r="I10" s="1665"/>
    </row>
    <row r="11" spans="1:9">
      <c r="A11" s="679" t="s">
        <v>839</v>
      </c>
      <c r="B11" s="1663" t="s">
        <v>840</v>
      </c>
      <c r="C11" s="1664"/>
      <c r="D11" s="1664"/>
      <c r="E11" s="1664"/>
      <c r="F11" s="1664"/>
      <c r="G11" s="1664"/>
      <c r="H11" s="1664"/>
      <c r="I11" s="1665"/>
    </row>
    <row r="12" spans="1:9">
      <c r="A12" s="679" t="s">
        <v>841</v>
      </c>
      <c r="B12" s="1655"/>
      <c r="C12" s="1653"/>
      <c r="D12" s="1653"/>
      <c r="E12" s="1653"/>
      <c r="F12" s="1653"/>
      <c r="G12" s="1653"/>
      <c r="H12" s="1653"/>
      <c r="I12" s="1654"/>
    </row>
    <row r="13" spans="1:9">
      <c r="A13" s="679" t="s">
        <v>842</v>
      </c>
      <c r="B13" s="1652"/>
      <c r="C13" s="1653"/>
      <c r="D13" s="1653"/>
      <c r="E13" s="1653"/>
      <c r="F13" s="1653"/>
      <c r="G13" s="1653"/>
      <c r="H13" s="1653"/>
      <c r="I13" s="1654"/>
    </row>
    <row r="14" spans="1:9">
      <c r="A14" s="679" t="s">
        <v>843</v>
      </c>
      <c r="B14" s="1655"/>
      <c r="C14" s="1653"/>
      <c r="D14" s="1653"/>
      <c r="E14" s="1653"/>
      <c r="F14" s="1653"/>
      <c r="G14" s="1653"/>
      <c r="H14" s="1653"/>
      <c r="I14" s="1654"/>
    </row>
    <row r="15" spans="1:9">
      <c r="A15" s="686" t="s">
        <v>844</v>
      </c>
      <c r="B15" s="1655"/>
      <c r="C15" s="1653"/>
      <c r="D15" s="1653"/>
      <c r="E15" s="1653"/>
      <c r="F15" s="1653"/>
      <c r="G15" s="1653"/>
      <c r="H15" s="1653"/>
      <c r="I15" s="1654"/>
    </row>
    <row r="16" spans="1:9">
      <c r="A16" s="679"/>
      <c r="B16" s="676"/>
      <c r="C16" s="676"/>
      <c r="D16" s="676"/>
      <c r="E16" s="676"/>
      <c r="F16" s="676"/>
      <c r="G16" s="676"/>
      <c r="H16" s="676"/>
      <c r="I16" s="677"/>
    </row>
    <row r="17" spans="1:12">
      <c r="A17" s="679"/>
      <c r="B17" s="676"/>
      <c r="C17" s="676"/>
      <c r="D17" s="676"/>
      <c r="E17" s="676"/>
      <c r="F17" s="676"/>
      <c r="G17" s="676"/>
      <c r="H17" s="676"/>
      <c r="I17" s="677"/>
    </row>
    <row r="18" spans="1:12">
      <c r="A18" s="675"/>
      <c r="B18" s="676"/>
      <c r="C18" s="676"/>
      <c r="D18" s="676"/>
      <c r="E18" s="676"/>
      <c r="F18" s="676"/>
      <c r="G18" s="676"/>
      <c r="H18" s="676"/>
      <c r="I18" s="677"/>
    </row>
    <row r="19" spans="1:12">
      <c r="A19" s="703" t="s">
        <v>845</v>
      </c>
      <c r="B19" s="704"/>
      <c r="C19" s="704"/>
      <c r="D19" s="704"/>
      <c r="E19" s="1656"/>
      <c r="F19" s="1657"/>
      <c r="G19" s="704" t="s">
        <v>846</v>
      </c>
      <c r="H19" s="1596"/>
      <c r="I19" s="1597"/>
    </row>
    <row r="20" spans="1:12">
      <c r="A20" s="673"/>
      <c r="B20" s="705"/>
      <c r="C20" s="705"/>
      <c r="D20" s="705"/>
      <c r="E20" s="1595"/>
      <c r="F20" s="1595"/>
      <c r="G20" s="706" t="s">
        <v>847</v>
      </c>
      <c r="H20" s="1658"/>
      <c r="I20" s="1659"/>
    </row>
    <row r="21" spans="1:12">
      <c r="A21" s="673"/>
      <c r="B21" s="705"/>
      <c r="C21" s="705"/>
      <c r="D21" s="705"/>
      <c r="E21" s="1595"/>
      <c r="F21" s="1595"/>
      <c r="G21" s="706"/>
      <c r="H21" s="1658"/>
      <c r="I21" s="1659"/>
    </row>
    <row r="22" spans="1:12">
      <c r="A22" s="673"/>
      <c r="B22" s="705"/>
      <c r="C22" s="705"/>
      <c r="D22" s="705"/>
      <c r="E22" s="1651"/>
      <c r="F22" s="1651"/>
      <c r="G22" s="938"/>
      <c r="H22" s="938"/>
      <c r="I22" s="939"/>
    </row>
    <row r="23" spans="1:12">
      <c r="A23" s="675"/>
      <c r="B23" s="676"/>
      <c r="C23" s="676"/>
      <c r="D23" s="676"/>
      <c r="E23" s="676"/>
      <c r="F23" s="676"/>
      <c r="G23" s="676"/>
      <c r="H23" s="676"/>
      <c r="I23" s="677"/>
    </row>
    <row r="24" spans="1:12">
      <c r="A24" s="675"/>
      <c r="B24" s="676"/>
      <c r="C24" s="676"/>
      <c r="D24" s="676"/>
      <c r="E24" s="676"/>
      <c r="F24" s="676"/>
      <c r="G24" s="676"/>
      <c r="H24" s="676"/>
      <c r="I24" s="677"/>
      <c r="L24" s="688"/>
    </row>
    <row r="25" spans="1:12">
      <c r="A25" s="675"/>
      <c r="B25" s="676"/>
      <c r="C25" s="676"/>
      <c r="D25" s="676"/>
      <c r="E25" s="676"/>
      <c r="F25" s="676"/>
      <c r="G25" s="676"/>
      <c r="H25" s="676"/>
      <c r="I25" s="677"/>
    </row>
    <row r="26" spans="1:12">
      <c r="A26" s="707" t="s">
        <v>848</v>
      </c>
      <c r="B26" s="705"/>
      <c r="C26" s="705"/>
      <c r="D26" s="705"/>
      <c r="E26" s="687"/>
      <c r="F26" s="676"/>
      <c r="G26" s="676"/>
      <c r="H26" s="676"/>
      <c r="I26" s="677"/>
    </row>
    <row r="27" spans="1:12">
      <c r="A27" s="707" t="s">
        <v>829</v>
      </c>
      <c r="B27" s="705"/>
      <c r="C27" s="705"/>
      <c r="D27" s="705"/>
      <c r="E27" s="687"/>
      <c r="F27" s="676"/>
      <c r="G27" s="676"/>
      <c r="H27" s="676"/>
      <c r="I27" s="677"/>
    </row>
    <row r="28" spans="1:12">
      <c r="A28" s="707" t="s">
        <v>849</v>
      </c>
      <c r="B28" s="705"/>
      <c r="C28" s="705"/>
      <c r="D28" s="705"/>
      <c r="E28" s="687"/>
      <c r="F28" s="676"/>
      <c r="G28" s="676"/>
      <c r="H28" s="676"/>
      <c r="I28" s="677"/>
    </row>
    <row r="29" spans="1:12">
      <c r="A29" s="708" t="s">
        <v>850</v>
      </c>
      <c r="B29" s="709"/>
      <c r="C29" s="709"/>
      <c r="D29" s="709"/>
      <c r="E29" s="689"/>
      <c r="F29" s="683"/>
      <c r="G29" s="683"/>
      <c r="H29" s="683"/>
      <c r="I29" s="684"/>
    </row>
    <row r="30" spans="1:12">
      <c r="I30" s="676"/>
    </row>
    <row r="31" spans="1:12">
      <c r="I31" s="676"/>
    </row>
  </sheetData>
  <mergeCells count="13">
    <mergeCell ref="B12:I12"/>
    <mergeCell ref="A3:I3"/>
    <mergeCell ref="B8:I8"/>
    <mergeCell ref="B9:I9"/>
    <mergeCell ref="B10:I10"/>
    <mergeCell ref="B11:I11"/>
    <mergeCell ref="E22:F22"/>
    <mergeCell ref="B13:I13"/>
    <mergeCell ref="B14:I14"/>
    <mergeCell ref="B15:I15"/>
    <mergeCell ref="E19:F19"/>
    <mergeCell ref="H20:I20"/>
    <mergeCell ref="H21:I21"/>
  </mergeCells>
  <hyperlinks>
    <hyperlink ref="G20" r:id="rId1"/>
  </hyperlinks>
  <pageMargins left="0.7" right="0.7" top="0.75" bottom="0.75" header="0.3" footer="0.3"/>
  <pageSetup paperSize="9" scale="65" orientation="portrait" r:id="rId2"/>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87"/>
  <sheetViews>
    <sheetView showGridLines="0" zoomScale="55" zoomScaleNormal="55" zoomScaleSheetLayoutView="80" workbookViewId="0">
      <selection activeCell="AF56" sqref="AF56"/>
    </sheetView>
  </sheetViews>
  <sheetFormatPr defaultRowHeight="12.75"/>
  <cols>
    <col min="1" max="1" width="17.85546875" style="152" customWidth="1"/>
    <col min="2" max="2" width="61.85546875" style="152" bestFit="1" customWidth="1"/>
    <col min="3" max="3" width="25.140625" style="308" bestFit="1" customWidth="1"/>
    <col min="4" max="4" width="14.42578125" style="292" bestFit="1" customWidth="1"/>
    <col min="5" max="5" width="23.140625" style="152" customWidth="1"/>
    <col min="6" max="6" width="17.42578125" style="152" bestFit="1" customWidth="1"/>
    <col min="7" max="7" width="22.85546875" style="152" bestFit="1" customWidth="1"/>
    <col min="8" max="8" width="22.85546875" style="152" customWidth="1"/>
    <col min="9" max="9" width="1.7109375" style="296" customWidth="1"/>
    <col min="10" max="10" width="13.140625" style="307" bestFit="1" customWidth="1"/>
    <col min="11" max="11" width="13" style="307" bestFit="1" customWidth="1"/>
    <col min="12" max="12" width="1.7109375" style="307" customWidth="1"/>
    <col min="13" max="13" width="21.140625" style="307" bestFit="1" customWidth="1"/>
    <col min="14" max="14" width="1.7109375" style="296" customWidth="1"/>
    <col min="15" max="15" width="14.42578125" style="152" bestFit="1" customWidth="1"/>
    <col min="16" max="16" width="16.85546875" style="152" bestFit="1" customWidth="1"/>
    <col min="17" max="17" width="10" style="152" customWidth="1"/>
    <col min="18" max="18" width="22.85546875" style="152" bestFit="1" customWidth="1"/>
    <col min="19" max="19" width="1.7109375" style="152" customWidth="1"/>
    <col min="20" max="20" width="9" style="152" bestFit="1" customWidth="1"/>
    <col min="21" max="21" width="66.28515625" style="152" bestFit="1" customWidth="1"/>
    <col min="22" max="22" width="22.85546875" style="308" bestFit="1" customWidth="1"/>
    <col min="23" max="23" width="13.42578125" style="152" bestFit="1" customWidth="1"/>
    <col min="24" max="24" width="23.140625" style="152" bestFit="1" customWidth="1"/>
    <col min="25" max="25" width="17.42578125" style="167" bestFit="1" customWidth="1"/>
    <col min="26" max="27" width="21.5703125" style="167" bestFit="1" customWidth="1"/>
    <col min="28" max="28" width="1.7109375" style="296" customWidth="1"/>
    <col min="29" max="29" width="16" style="307" bestFit="1" customWidth="1"/>
    <col min="30" max="30" width="14.28515625" style="307" bestFit="1" customWidth="1"/>
    <col min="31" max="31" width="3.140625" style="296" customWidth="1"/>
    <col min="32" max="32" width="29.7109375" style="152" customWidth="1"/>
    <col min="33" max="33" width="23.42578125" style="152" customWidth="1"/>
    <col min="34" max="34" width="23.140625" style="152" bestFit="1" customWidth="1"/>
    <col min="35" max="35" width="17.42578125" style="152" bestFit="1" customWidth="1"/>
    <col min="36" max="36" width="17.42578125" style="152" customWidth="1"/>
    <col min="37" max="37" width="25" style="152" customWidth="1"/>
    <col min="38" max="38" width="22.85546875" style="152" customWidth="1"/>
    <col min="39" max="39" width="1.7109375" style="152" customWidth="1"/>
    <col min="40" max="40" width="18.28515625" style="308" bestFit="1" customWidth="1"/>
    <col min="41" max="41" width="9.140625" style="152"/>
    <col min="42" max="42" width="60.7109375" style="152" bestFit="1" customWidth="1"/>
    <col min="43" max="16384" width="9.140625" style="152"/>
  </cols>
  <sheetData>
    <row r="1" spans="1:42" ht="23.25" customHeight="1">
      <c r="A1" s="14" t="s">
        <v>157</v>
      </c>
      <c r="B1" s="150"/>
      <c r="C1" s="305"/>
      <c r="D1" s="150"/>
      <c r="E1" s="150"/>
      <c r="F1" s="150"/>
      <c r="G1" s="150"/>
      <c r="H1" s="150"/>
      <c r="I1" s="150"/>
      <c r="J1" s="305"/>
      <c r="K1" s="305"/>
      <c r="L1" s="305"/>
      <c r="M1" s="305"/>
      <c r="N1" s="150"/>
      <c r="O1" s="150"/>
      <c r="P1" s="150"/>
      <c r="Q1" s="150"/>
      <c r="R1" s="150"/>
      <c r="S1" s="150"/>
      <c r="T1" s="150"/>
      <c r="U1" s="150"/>
      <c r="V1" s="305"/>
      <c r="W1" s="150"/>
      <c r="X1" s="150"/>
      <c r="Y1" s="150"/>
      <c r="Z1" s="150"/>
      <c r="AA1" s="150"/>
      <c r="AB1" s="150"/>
      <c r="AC1" s="305"/>
      <c r="AD1" s="305"/>
      <c r="AE1" s="150"/>
      <c r="AF1" s="150"/>
      <c r="AG1" s="150"/>
      <c r="AH1" s="150"/>
      <c r="AI1" s="151"/>
      <c r="AJ1" s="150"/>
      <c r="AK1" s="150"/>
      <c r="AL1" s="150"/>
      <c r="AM1" s="150"/>
      <c r="AN1" s="305"/>
      <c r="AP1" s="1318" t="s">
        <v>813</v>
      </c>
    </row>
    <row r="2" spans="1:42" s="154" customFormat="1" ht="12.75" customHeight="1">
      <c r="A2" s="153"/>
      <c r="B2" s="153"/>
      <c r="C2" s="306"/>
      <c r="D2" s="153"/>
      <c r="E2" s="153"/>
      <c r="F2" s="153"/>
      <c r="G2" s="153"/>
      <c r="H2" s="153"/>
      <c r="I2" s="153"/>
      <c r="J2" s="306"/>
      <c r="K2" s="306"/>
      <c r="L2" s="306"/>
      <c r="M2" s="306"/>
      <c r="N2" s="153"/>
      <c r="O2" s="153"/>
      <c r="P2" s="153"/>
      <c r="Q2" s="153"/>
      <c r="R2" s="153"/>
      <c r="S2" s="153"/>
      <c r="T2" s="153"/>
      <c r="U2" s="153"/>
      <c r="V2" s="306"/>
      <c r="W2" s="153"/>
      <c r="X2" s="153"/>
      <c r="Y2" s="153"/>
      <c r="Z2" s="153"/>
      <c r="AA2" s="153"/>
      <c r="AB2" s="153"/>
      <c r="AC2" s="306"/>
      <c r="AD2" s="306"/>
      <c r="AE2" s="153"/>
      <c r="AF2" s="153"/>
      <c r="AG2" s="153"/>
      <c r="AH2" s="153"/>
      <c r="AI2" s="153"/>
      <c r="AJ2" s="153"/>
      <c r="AK2" s="153"/>
      <c r="AN2" s="314"/>
      <c r="AO2" s="1322"/>
      <c r="AP2" s="1323"/>
    </row>
    <row r="3" spans="1:42" s="439" customFormat="1" ht="31.5">
      <c r="A3" s="435"/>
      <c r="B3" s="435"/>
      <c r="C3" s="435"/>
      <c r="D3" s="1667" t="s">
        <v>696</v>
      </c>
      <c r="E3" s="1667"/>
      <c r="F3" s="1667"/>
      <c r="G3" s="624"/>
      <c r="H3" s="624"/>
      <c r="I3" s="437"/>
      <c r="J3" s="436" t="s">
        <v>698</v>
      </c>
      <c r="K3" s="436" t="s">
        <v>705</v>
      </c>
      <c r="L3" s="437"/>
      <c r="M3" s="438" t="s">
        <v>699</v>
      </c>
      <c r="N3" s="437"/>
      <c r="O3" s="1667" t="s">
        <v>113</v>
      </c>
      <c r="P3" s="1667"/>
      <c r="Q3" s="1667" t="s">
        <v>626</v>
      </c>
      <c r="R3" s="1668"/>
      <c r="T3" s="1667" t="s">
        <v>150</v>
      </c>
      <c r="U3" s="1667"/>
      <c r="V3" s="1667"/>
      <c r="W3" s="1667"/>
      <c r="X3" s="1667"/>
      <c r="Y3" s="1667"/>
      <c r="Z3" s="436"/>
      <c r="AA3" s="568"/>
      <c r="AB3" s="437"/>
      <c r="AC3" s="436" t="s">
        <v>703</v>
      </c>
      <c r="AD3" s="436" t="s">
        <v>709</v>
      </c>
      <c r="AE3" s="437"/>
      <c r="AF3" s="440"/>
      <c r="AG3" s="1667" t="s">
        <v>155</v>
      </c>
      <c r="AH3" s="1667"/>
      <c r="AI3" s="1667"/>
      <c r="AJ3" s="624"/>
      <c r="AK3" s="624"/>
      <c r="AL3" s="435"/>
      <c r="AM3" s="435"/>
      <c r="AN3" s="435"/>
      <c r="AO3" s="1322"/>
      <c r="AP3" s="1323"/>
    </row>
    <row r="4" spans="1:42" s="557" customFormat="1" ht="15.75">
      <c r="A4" s="554"/>
      <c r="B4" s="554"/>
      <c r="C4" s="554"/>
      <c r="D4" s="555"/>
      <c r="E4" s="555"/>
      <c r="F4" s="555"/>
      <c r="G4" s="555">
        <v>375704374.94166666</v>
      </c>
      <c r="H4" s="555"/>
      <c r="I4" s="556"/>
      <c r="J4" s="555"/>
      <c r="K4" s="555"/>
      <c r="L4" s="556"/>
      <c r="M4" s="1245"/>
      <c r="N4" s="556"/>
      <c r="O4" s="555"/>
      <c r="P4" s="555"/>
      <c r="Q4" s="555"/>
      <c r="R4" s="1246"/>
      <c r="T4" s="555"/>
      <c r="U4" s="555"/>
      <c r="V4" s="555"/>
      <c r="W4" s="555"/>
      <c r="X4" s="555"/>
      <c r="Y4" s="555"/>
      <c r="Z4" s="555"/>
      <c r="AA4" s="555"/>
      <c r="AB4" s="556"/>
      <c r="AC4" s="555"/>
      <c r="AD4" s="555"/>
      <c r="AE4" s="556"/>
      <c r="AG4" s="555"/>
      <c r="AH4" s="555"/>
      <c r="AI4" s="555"/>
      <c r="AJ4" s="555"/>
      <c r="AK4" s="555"/>
      <c r="AL4" s="554"/>
      <c r="AM4" s="554"/>
      <c r="AN4" s="554"/>
      <c r="AO4" s="1322"/>
      <c r="AP4" s="1323"/>
    </row>
    <row r="5" spans="1:42" s="154" customFormat="1" ht="15.75">
      <c r="A5" s="558" t="s">
        <v>977</v>
      </c>
      <c r="B5" s="559"/>
      <c r="C5" s="559"/>
      <c r="D5" s="559"/>
      <c r="E5" s="559"/>
      <c r="F5" s="559"/>
      <c r="G5" s="945">
        <v>348285703.22772348</v>
      </c>
      <c r="H5" s="332"/>
      <c r="I5" s="297"/>
      <c r="J5" s="945">
        <v>45447442.665815733</v>
      </c>
      <c r="K5" s="1017"/>
      <c r="L5" s="297"/>
      <c r="M5" s="114"/>
      <c r="N5" s="297"/>
      <c r="O5" s="330"/>
      <c r="P5" s="330"/>
      <c r="Q5" s="331"/>
      <c r="R5" s="625">
        <f>R6</f>
        <v>205.72598918969172</v>
      </c>
      <c r="T5" s="195"/>
      <c r="U5" s="195"/>
      <c r="V5" s="195"/>
      <c r="W5" s="195"/>
      <c r="X5" s="195"/>
      <c r="Y5" s="331"/>
      <c r="Z5" s="855">
        <v>346012617.11051023</v>
      </c>
      <c r="AA5" s="332"/>
      <c r="AB5" s="297"/>
      <c r="AC5" s="855">
        <v>274500088.23145956</v>
      </c>
      <c r="AD5" s="1017"/>
      <c r="AE5" s="297"/>
      <c r="AG5" s="195"/>
      <c r="AH5" s="195"/>
      <c r="AI5" s="195"/>
      <c r="AJ5" s="195"/>
      <c r="AK5" s="195"/>
      <c r="AL5" s="332"/>
      <c r="AM5" s="425"/>
      <c r="AN5" s="425"/>
      <c r="AO5" s="1322"/>
      <c r="AP5" s="1323"/>
    </row>
    <row r="6" spans="1:42" s="154" customFormat="1" ht="15.75">
      <c r="A6" s="558" t="s">
        <v>978</v>
      </c>
      <c r="B6" s="559"/>
      <c r="C6" s="559"/>
      <c r="D6" s="559"/>
      <c r="E6" s="559"/>
      <c r="F6" s="559"/>
      <c r="G6" s="856">
        <v>368720096.66595191</v>
      </c>
      <c r="H6" s="333"/>
      <c r="I6" s="297"/>
      <c r="J6" s="157">
        <v>49216241.304090068</v>
      </c>
      <c r="K6" s="1018"/>
      <c r="L6" s="297"/>
      <c r="M6" s="137" t="s">
        <v>568</v>
      </c>
      <c r="N6" s="297"/>
      <c r="O6" s="330"/>
      <c r="P6" s="330"/>
      <c r="Q6" s="331"/>
      <c r="R6" s="157">
        <v>205.72598918969172</v>
      </c>
      <c r="T6" s="195"/>
      <c r="U6" s="195"/>
      <c r="V6" s="195"/>
      <c r="W6" s="195"/>
      <c r="X6" s="195"/>
      <c r="Y6" s="331"/>
      <c r="Z6" s="1525">
        <v>370704204.21938652</v>
      </c>
      <c r="AA6" s="333"/>
      <c r="AB6" s="297"/>
      <c r="AC6" s="157">
        <v>287996940.64919931</v>
      </c>
      <c r="AD6" s="1018"/>
      <c r="AE6" s="297"/>
      <c r="AG6" s="195"/>
      <c r="AH6" s="195"/>
      <c r="AI6" s="195"/>
      <c r="AJ6" s="195"/>
      <c r="AK6" s="195"/>
      <c r="AL6" s="333"/>
      <c r="AM6" s="425"/>
      <c r="AN6" s="425"/>
      <c r="AO6" s="1322"/>
      <c r="AP6" s="1323" t="s">
        <v>1411</v>
      </c>
    </row>
    <row r="7" spans="1:42" s="154" customFormat="1">
      <c r="A7" s="425"/>
      <c r="B7" s="425"/>
      <c r="C7" s="306"/>
      <c r="D7" s="195"/>
      <c r="E7" s="195"/>
      <c r="F7" s="195"/>
      <c r="G7" s="311"/>
      <c r="H7" s="311"/>
      <c r="I7" s="297"/>
      <c r="J7" s="114"/>
      <c r="K7" s="321"/>
      <c r="L7" s="309"/>
      <c r="M7" s="114"/>
      <c r="N7" s="297"/>
      <c r="O7" s="195"/>
      <c r="P7" s="195"/>
      <c r="Q7" s="195"/>
      <c r="R7" s="311"/>
      <c r="T7" s="195"/>
      <c r="U7" s="195"/>
      <c r="V7" s="312"/>
      <c r="W7" s="195"/>
      <c r="X7" s="195"/>
      <c r="Y7" s="195"/>
      <c r="Z7" s="311"/>
      <c r="AA7" s="311"/>
      <c r="AB7" s="297"/>
      <c r="AC7" s="114"/>
      <c r="AD7" s="114"/>
      <c r="AE7" s="297"/>
      <c r="AG7" s="195"/>
      <c r="AH7" s="195"/>
      <c r="AI7" s="195"/>
      <c r="AJ7" s="195"/>
      <c r="AK7" s="195"/>
      <c r="AL7" s="425"/>
      <c r="AM7" s="425"/>
      <c r="AN7" s="306"/>
      <c r="AO7" s="1322"/>
      <c r="AP7" s="1323"/>
    </row>
    <row r="8" spans="1:42" s="154" customFormat="1">
      <c r="A8" s="150" t="s">
        <v>658</v>
      </c>
      <c r="B8" s="390"/>
      <c r="C8" s="391"/>
      <c r="D8" s="390"/>
      <c r="E8" s="390"/>
      <c r="F8" s="390"/>
      <c r="G8" s="392">
        <f>IF(G5="",1,G5/G6)</f>
        <v>0.94458020155939237</v>
      </c>
      <c r="H8" s="217"/>
      <c r="I8" s="393"/>
      <c r="J8" s="1670"/>
      <c r="K8" s="1670"/>
      <c r="L8" s="394"/>
      <c r="M8" s="1669"/>
      <c r="N8" s="1669"/>
      <c r="O8" s="1669"/>
      <c r="P8" s="1669"/>
      <c r="Q8" s="1669"/>
      <c r="R8" s="392">
        <f>IF(R5="",1,R5/R6)</f>
        <v>1</v>
      </c>
      <c r="S8" s="395"/>
      <c r="T8" s="1669"/>
      <c r="U8" s="1669"/>
      <c r="V8" s="1669"/>
      <c r="W8" s="1669"/>
      <c r="X8" s="1669"/>
      <c r="Y8" s="1669"/>
      <c r="Z8" s="392">
        <f>IF(Z5="",1,Z5/Z6)</f>
        <v>0.93339275134235178</v>
      </c>
      <c r="AA8" s="217"/>
      <c r="AB8" s="393"/>
      <c r="AC8" s="1670"/>
      <c r="AD8" s="1670"/>
      <c r="AE8" s="393"/>
      <c r="AF8" s="1669"/>
      <c r="AG8" s="1669"/>
      <c r="AH8" s="1669"/>
      <c r="AI8" s="1669"/>
      <c r="AJ8" s="1669"/>
      <c r="AK8" s="1669"/>
      <c r="AL8" s="1669"/>
      <c r="AM8" s="1669"/>
      <c r="AN8" s="1669"/>
      <c r="AO8" s="1322"/>
      <c r="AP8" s="1323"/>
    </row>
    <row r="9" spans="1:42" ht="12.75" customHeight="1">
      <c r="C9" s="307"/>
      <c r="D9" s="296"/>
      <c r="E9" s="296"/>
      <c r="F9" s="296"/>
      <c r="J9" s="334" t="s">
        <v>700</v>
      </c>
      <c r="K9" s="334" t="s">
        <v>700</v>
      </c>
      <c r="L9" s="296"/>
      <c r="M9" s="334" t="s">
        <v>700</v>
      </c>
      <c r="V9" s="296"/>
      <c r="Y9" s="152"/>
      <c r="Z9" s="152"/>
      <c r="AA9" s="154"/>
      <c r="AC9" s="334" t="s">
        <v>700</v>
      </c>
      <c r="AD9" s="334" t="s">
        <v>700</v>
      </c>
      <c r="AN9" s="152"/>
      <c r="AO9" s="1322"/>
      <c r="AP9" s="1323"/>
    </row>
    <row r="10" spans="1:42" s="216" customFormat="1">
      <c r="A10" s="217" t="s">
        <v>166</v>
      </c>
      <c r="B10" s="217" t="s">
        <v>167</v>
      </c>
      <c r="C10" s="217" t="s">
        <v>697</v>
      </c>
      <c r="D10" s="217" t="s">
        <v>900</v>
      </c>
      <c r="E10" s="217" t="s">
        <v>901</v>
      </c>
      <c r="F10" s="217" t="s">
        <v>810</v>
      </c>
      <c r="G10" s="217" t="s">
        <v>902</v>
      </c>
      <c r="H10" s="217" t="s">
        <v>903</v>
      </c>
      <c r="I10" s="298"/>
      <c r="J10" s="217" t="s">
        <v>701</v>
      </c>
      <c r="K10" s="217" t="s">
        <v>706</v>
      </c>
      <c r="L10" s="298"/>
      <c r="M10" s="217" t="s">
        <v>702</v>
      </c>
      <c r="N10" s="298"/>
      <c r="O10" s="217" t="s">
        <v>900</v>
      </c>
      <c r="P10" s="217" t="s">
        <v>901</v>
      </c>
      <c r="Q10" s="217" t="s">
        <v>810</v>
      </c>
      <c r="R10" s="217" t="s">
        <v>903</v>
      </c>
      <c r="T10" s="217" t="s">
        <v>166</v>
      </c>
      <c r="U10" s="217" t="s">
        <v>167</v>
      </c>
      <c r="V10" s="217" t="s">
        <v>697</v>
      </c>
      <c r="W10" s="217" t="s">
        <v>900</v>
      </c>
      <c r="X10" s="217" t="s">
        <v>901</v>
      </c>
      <c r="Y10" s="217" t="s">
        <v>810</v>
      </c>
      <c r="Z10" s="217" t="s">
        <v>902</v>
      </c>
      <c r="AA10" s="217" t="s">
        <v>903</v>
      </c>
      <c r="AB10" s="298"/>
      <c r="AC10" s="217" t="s">
        <v>701</v>
      </c>
      <c r="AD10" s="217" t="s">
        <v>706</v>
      </c>
      <c r="AE10" s="298"/>
      <c r="AF10" s="507"/>
      <c r="AG10" s="572" t="s">
        <v>900</v>
      </c>
      <c r="AH10" s="572" t="s">
        <v>901</v>
      </c>
      <c r="AI10" s="572" t="s">
        <v>810</v>
      </c>
      <c r="AJ10" s="572" t="s">
        <v>810</v>
      </c>
      <c r="AK10" s="572" t="s">
        <v>810</v>
      </c>
      <c r="AL10" s="572" t="s">
        <v>903</v>
      </c>
      <c r="AM10" s="508"/>
      <c r="AN10" s="217" t="s">
        <v>704</v>
      </c>
      <c r="AO10" s="1322"/>
      <c r="AP10" s="1323" t="s">
        <v>1238</v>
      </c>
    </row>
    <row r="11" spans="1:42" s="216" customFormat="1" ht="16.5" customHeight="1">
      <c r="A11" s="217"/>
      <c r="B11" s="217"/>
      <c r="C11" s="217"/>
      <c r="D11" s="217" t="s">
        <v>763</v>
      </c>
      <c r="E11" s="217" t="s">
        <v>764</v>
      </c>
      <c r="F11" s="217" t="s">
        <v>765</v>
      </c>
      <c r="G11" s="217" t="s">
        <v>766</v>
      </c>
      <c r="H11" s="217" t="s">
        <v>766</v>
      </c>
      <c r="I11" s="298"/>
      <c r="J11" s="217"/>
      <c r="K11" s="217"/>
      <c r="L11" s="298"/>
      <c r="M11" s="217"/>
      <c r="N11" s="298"/>
      <c r="O11" s="217"/>
      <c r="P11" s="217"/>
      <c r="Q11" s="217"/>
      <c r="R11" s="217"/>
      <c r="T11" s="217"/>
      <c r="U11" s="217"/>
      <c r="V11" s="217"/>
      <c r="W11" s="217" t="s">
        <v>763</v>
      </c>
      <c r="X11" s="217" t="s">
        <v>764</v>
      </c>
      <c r="Y11" s="217" t="s">
        <v>765</v>
      </c>
      <c r="Z11" s="217" t="s">
        <v>766</v>
      </c>
      <c r="AA11" s="217" t="s">
        <v>766</v>
      </c>
      <c r="AB11" s="298"/>
      <c r="AC11" s="217"/>
      <c r="AD11" s="217"/>
      <c r="AE11" s="298"/>
      <c r="AF11" s="507"/>
      <c r="AG11" s="572" t="s">
        <v>763</v>
      </c>
      <c r="AH11" s="572" t="s">
        <v>764</v>
      </c>
      <c r="AI11" s="572" t="s">
        <v>765</v>
      </c>
      <c r="AJ11" s="217" t="s">
        <v>766</v>
      </c>
      <c r="AK11" s="572" t="s">
        <v>811</v>
      </c>
      <c r="AL11" s="572" t="s">
        <v>766</v>
      </c>
      <c r="AM11" s="508"/>
      <c r="AN11" s="217"/>
      <c r="AO11" s="1322"/>
      <c r="AP11" s="1323"/>
    </row>
    <row r="12" spans="1:42">
      <c r="A12" s="155">
        <v>300001</v>
      </c>
      <c r="B12" s="156" t="s">
        <v>1018</v>
      </c>
      <c r="C12" s="626" t="s">
        <v>1019</v>
      </c>
      <c r="D12" s="1553"/>
      <c r="E12" s="840">
        <v>15.58</v>
      </c>
      <c r="F12" s="1554"/>
      <c r="G12" s="1555"/>
      <c r="H12" s="1556"/>
      <c r="J12" s="838">
        <v>0</v>
      </c>
      <c r="K12" s="1557"/>
      <c r="M12" s="383">
        <v>1</v>
      </c>
      <c r="O12" s="1584"/>
      <c r="P12" s="1343">
        <v>16019.21</v>
      </c>
      <c r="Q12" s="1555"/>
      <c r="R12" s="1555"/>
      <c r="T12" s="1123">
        <v>300131</v>
      </c>
      <c r="U12" s="159" t="s">
        <v>42</v>
      </c>
      <c r="V12" s="626" t="s">
        <v>1041</v>
      </c>
      <c r="W12" s="1553"/>
      <c r="X12" s="840">
        <v>8.6</v>
      </c>
      <c r="Y12" s="1555"/>
      <c r="Z12" s="1555"/>
      <c r="AA12" s="1556"/>
      <c r="AB12" s="299"/>
      <c r="AC12" s="838">
        <v>0</v>
      </c>
      <c r="AD12" s="1557"/>
      <c r="AE12" s="300"/>
      <c r="AF12" s="88" t="s">
        <v>112</v>
      </c>
      <c r="AG12" s="848">
        <v>365472.54</v>
      </c>
      <c r="AH12" s="849">
        <v>1.782</v>
      </c>
      <c r="AI12" s="851">
        <f>IF(AH12=0,0,AG12/AH12)</f>
        <v>205091.2121212121</v>
      </c>
      <c r="AJ12" s="852">
        <f>AI12*(35.17/3.6)</f>
        <v>2003627.2028619526</v>
      </c>
      <c r="AK12" s="571"/>
      <c r="AL12" s="573">
        <f>AJ12</f>
        <v>2003627.2028619526</v>
      </c>
      <c r="AM12" s="509"/>
      <c r="AN12" s="510" t="s">
        <v>582</v>
      </c>
      <c r="AO12" s="1322"/>
      <c r="AP12" s="1323"/>
    </row>
    <row r="13" spans="1:42">
      <c r="A13" s="155">
        <v>300002</v>
      </c>
      <c r="B13" s="156" t="s">
        <v>1020</v>
      </c>
      <c r="C13" s="626" t="s">
        <v>1019</v>
      </c>
      <c r="D13" s="1553"/>
      <c r="E13" s="840">
        <v>16.36</v>
      </c>
      <c r="F13" s="1554"/>
      <c r="G13" s="1555"/>
      <c r="H13" s="1556"/>
      <c r="J13" s="838">
        <v>0</v>
      </c>
      <c r="K13" s="1557"/>
      <c r="M13" s="383">
        <v>1</v>
      </c>
      <c r="O13" s="1584"/>
      <c r="P13" s="1343">
        <v>6354.91</v>
      </c>
      <c r="Q13" s="1555"/>
      <c r="R13" s="1555"/>
      <c r="T13" s="1123">
        <v>300132</v>
      </c>
      <c r="U13" s="156" t="s">
        <v>1042</v>
      </c>
      <c r="V13" s="626" t="s">
        <v>1041</v>
      </c>
      <c r="W13" s="1553"/>
      <c r="X13" s="840">
        <v>11.93</v>
      </c>
      <c r="Y13" s="1555"/>
      <c r="Z13" s="1555"/>
      <c r="AA13" s="1556"/>
      <c r="AC13" s="838">
        <v>0</v>
      </c>
      <c r="AD13" s="1557"/>
      <c r="AF13" s="88" t="s">
        <v>114</v>
      </c>
      <c r="AG13" s="848">
        <v>16964.22</v>
      </c>
      <c r="AH13" s="850">
        <v>93.21</v>
      </c>
      <c r="AI13" s="853"/>
      <c r="AJ13" s="571"/>
      <c r="AK13" s="852">
        <f>IF(AH13=0,0,AG13/AH13)</f>
        <v>182.00000000000003</v>
      </c>
      <c r="AL13" s="573">
        <f>AK13</f>
        <v>182.00000000000003</v>
      </c>
      <c r="AM13" s="509"/>
      <c r="AN13" s="510" t="s">
        <v>582</v>
      </c>
      <c r="AO13" s="1322"/>
      <c r="AP13" s="1323"/>
    </row>
    <row r="14" spans="1:42">
      <c r="A14" s="155">
        <v>300003</v>
      </c>
      <c r="B14" s="156" t="s">
        <v>1021</v>
      </c>
      <c r="C14" s="626" t="s">
        <v>1022</v>
      </c>
      <c r="D14" s="1553"/>
      <c r="E14" s="840">
        <v>19.05</v>
      </c>
      <c r="F14" s="1554"/>
      <c r="G14" s="1555"/>
      <c r="H14" s="1556"/>
      <c r="J14" s="838">
        <v>1</v>
      </c>
      <c r="K14" s="1557"/>
      <c r="M14" s="383">
        <v>0</v>
      </c>
      <c r="O14" s="1584"/>
      <c r="P14" s="1343">
        <v>16019.21</v>
      </c>
      <c r="Q14" s="1555"/>
      <c r="R14" s="1555"/>
      <c r="T14" s="1123">
        <v>300133</v>
      </c>
      <c r="U14" s="156" t="s">
        <v>1043</v>
      </c>
      <c r="V14" s="626" t="s">
        <v>1041</v>
      </c>
      <c r="W14" s="1553"/>
      <c r="X14" s="840">
        <v>11.93</v>
      </c>
      <c r="Y14" s="1555"/>
      <c r="Z14" s="1555"/>
      <c r="AA14" s="1556"/>
      <c r="AC14" s="838">
        <v>0</v>
      </c>
      <c r="AD14" s="1557"/>
      <c r="AF14" s="243" t="s">
        <v>654</v>
      </c>
      <c r="AG14" s="848">
        <v>54714.27</v>
      </c>
      <c r="AH14" s="940">
        <v>93.21</v>
      </c>
      <c r="AI14" s="854"/>
      <c r="AJ14" s="571"/>
      <c r="AK14" s="852">
        <f>IF(AH14=0,0,AG14/AH14)</f>
        <v>587</v>
      </c>
      <c r="AL14" s="573">
        <f>AK14</f>
        <v>587</v>
      </c>
      <c r="AM14" s="509"/>
      <c r="AN14" s="510" t="s">
        <v>582</v>
      </c>
      <c r="AO14" s="1322"/>
      <c r="AP14" s="1323" t="s">
        <v>1243</v>
      </c>
    </row>
    <row r="15" spans="1:42">
      <c r="A15" s="155">
        <v>300005</v>
      </c>
      <c r="B15" s="584" t="s">
        <v>1023</v>
      </c>
      <c r="C15" s="626" t="s">
        <v>1019</v>
      </c>
      <c r="D15" s="1553"/>
      <c r="E15" s="840">
        <v>25.71</v>
      </c>
      <c r="F15" s="1554"/>
      <c r="G15" s="1555"/>
      <c r="H15" s="1556"/>
      <c r="J15" s="838">
        <v>0</v>
      </c>
      <c r="K15" s="1557"/>
      <c r="M15" s="383">
        <v>1</v>
      </c>
      <c r="O15" s="1584"/>
      <c r="P15" s="1343">
        <v>32038.42</v>
      </c>
      <c r="Q15" s="1555"/>
      <c r="R15" s="1555"/>
      <c r="T15" s="1123">
        <v>300136</v>
      </c>
      <c r="U15" s="156" t="s">
        <v>796</v>
      </c>
      <c r="V15" s="626" t="s">
        <v>1041</v>
      </c>
      <c r="W15" s="1553"/>
      <c r="X15" s="840">
        <v>9.8800000000000008</v>
      </c>
      <c r="Y15" s="1555"/>
      <c r="Z15" s="1555"/>
      <c r="AA15" s="1556"/>
      <c r="AC15" s="838">
        <v>0</v>
      </c>
      <c r="AD15" s="1557"/>
      <c r="AF15" s="243" t="s">
        <v>570</v>
      </c>
      <c r="AG15" s="569"/>
      <c r="AH15" s="570"/>
      <c r="AI15" s="854"/>
      <c r="AJ15" s="571"/>
      <c r="AK15" s="571"/>
      <c r="AL15" s="573">
        <f>G5+Z5</f>
        <v>694298320.33823371</v>
      </c>
      <c r="AM15" s="161"/>
      <c r="AN15" s="510" t="s">
        <v>583</v>
      </c>
      <c r="AO15" s="1322"/>
      <c r="AP15" s="1323"/>
    </row>
    <row r="16" spans="1:42">
      <c r="A16" s="155">
        <v>300009</v>
      </c>
      <c r="B16" s="584" t="s">
        <v>1024</v>
      </c>
      <c r="C16" s="626" t="s">
        <v>1019</v>
      </c>
      <c r="D16" s="1553"/>
      <c r="E16" s="840">
        <v>18.27</v>
      </c>
      <c r="F16" s="1554"/>
      <c r="G16" s="1555"/>
      <c r="H16" s="1556"/>
      <c r="J16" s="838">
        <v>0</v>
      </c>
      <c r="K16" s="1557"/>
      <c r="M16" s="383">
        <v>1</v>
      </c>
      <c r="O16" s="1584"/>
      <c r="P16" s="1343">
        <v>32038.42</v>
      </c>
      <c r="Q16" s="1555"/>
      <c r="R16" s="1555"/>
      <c r="T16" s="1123">
        <v>300139</v>
      </c>
      <c r="U16" s="156" t="s">
        <v>1045</v>
      </c>
      <c r="V16" s="626" t="s">
        <v>1041</v>
      </c>
      <c r="W16" s="1553"/>
      <c r="X16" s="840">
        <v>8.6</v>
      </c>
      <c r="Y16" s="1555"/>
      <c r="Z16" s="1555"/>
      <c r="AA16" s="1556"/>
      <c r="AC16" s="838">
        <v>0</v>
      </c>
      <c r="AD16" s="1557"/>
      <c r="AF16" s="243" t="s">
        <v>275</v>
      </c>
      <c r="AG16" s="1020"/>
      <c r="AH16" s="1021"/>
      <c r="AI16" s="854"/>
      <c r="AJ16" s="571"/>
      <c r="AK16" s="571"/>
      <c r="AL16" s="573">
        <f>G5+Z5</f>
        <v>694298320.33823371</v>
      </c>
      <c r="AM16" s="509"/>
      <c r="AN16" s="510" t="s">
        <v>545</v>
      </c>
      <c r="AO16" s="1322"/>
      <c r="AP16" s="1323"/>
    </row>
    <row r="17" spans="1:42">
      <c r="A17" s="155">
        <v>300011</v>
      </c>
      <c r="B17" s="584" t="s">
        <v>1025</v>
      </c>
      <c r="C17" s="626" t="s">
        <v>1019</v>
      </c>
      <c r="D17" s="1553"/>
      <c r="E17" s="840">
        <v>20.32</v>
      </c>
      <c r="F17" s="1554"/>
      <c r="G17" s="1555"/>
      <c r="H17" s="1556"/>
      <c r="J17" s="838">
        <v>0</v>
      </c>
      <c r="K17" s="1557"/>
      <c r="M17" s="383">
        <v>1</v>
      </c>
      <c r="O17" s="1584"/>
      <c r="P17" s="1343">
        <v>16019.21</v>
      </c>
      <c r="Q17" s="1555"/>
      <c r="R17" s="1555"/>
      <c r="T17" s="1123">
        <v>300142</v>
      </c>
      <c r="U17" s="156" t="s">
        <v>43</v>
      </c>
      <c r="V17" s="626" t="s">
        <v>1041</v>
      </c>
      <c r="W17" s="1553"/>
      <c r="X17" s="840">
        <v>15.41</v>
      </c>
      <c r="Y17" s="1555"/>
      <c r="Z17" s="1555"/>
      <c r="AA17" s="1556"/>
      <c r="AC17" s="838">
        <v>0</v>
      </c>
      <c r="AD17" s="1557"/>
      <c r="AF17" s="243" t="s">
        <v>693</v>
      </c>
      <c r="AG17" s="991"/>
      <c r="AH17" s="991"/>
      <c r="AI17" s="992"/>
      <c r="AJ17" s="1120">
        <f>J6+AC6</f>
        <v>337213181.95328939</v>
      </c>
      <c r="AK17" s="991"/>
      <c r="AL17" s="857">
        <f>J5+AC5</f>
        <v>319947530.89727527</v>
      </c>
      <c r="AM17" s="509"/>
      <c r="AN17" s="993" t="s">
        <v>618</v>
      </c>
      <c r="AO17" s="1322"/>
      <c r="AP17" s="1323"/>
    </row>
    <row r="18" spans="1:42">
      <c r="A18" s="155">
        <v>300012</v>
      </c>
      <c r="B18" s="584" t="s">
        <v>1026</v>
      </c>
      <c r="C18" s="626" t="s">
        <v>1019</v>
      </c>
      <c r="D18" s="1553"/>
      <c r="E18" s="840">
        <v>21.88</v>
      </c>
      <c r="F18" s="1554"/>
      <c r="G18" s="1555"/>
      <c r="H18" s="1556"/>
      <c r="J18" s="838">
        <v>0</v>
      </c>
      <c r="K18" s="1557"/>
      <c r="M18" s="383">
        <v>1</v>
      </c>
      <c r="O18" s="1584"/>
      <c r="P18" s="1343">
        <v>80096.05</v>
      </c>
      <c r="Q18" s="1555"/>
      <c r="R18" s="1555"/>
      <c r="T18" s="1123">
        <v>300143</v>
      </c>
      <c r="U18" s="156" t="s">
        <v>44</v>
      </c>
      <c r="V18" s="626" t="s">
        <v>1041</v>
      </c>
      <c r="W18" s="1553"/>
      <c r="X18" s="840">
        <v>8.6</v>
      </c>
      <c r="Y18" s="1555"/>
      <c r="Z18" s="1555"/>
      <c r="AA18" s="1556"/>
      <c r="AC18" s="838">
        <v>0</v>
      </c>
      <c r="AD18" s="1557"/>
      <c r="AF18" s="994"/>
      <c r="AG18" s="995"/>
      <c r="AH18" s="995"/>
      <c r="AI18" s="995"/>
      <c r="AJ18" s="995"/>
      <c r="AK18" s="996"/>
      <c r="AL18" s="997"/>
      <c r="AM18" s="998"/>
      <c r="AN18" s="999"/>
      <c r="AO18" s="1322"/>
      <c r="AP18" s="1323"/>
    </row>
    <row r="19" spans="1:42">
      <c r="A19" s="155">
        <v>300016</v>
      </c>
      <c r="B19" s="584" t="s">
        <v>59</v>
      </c>
      <c r="C19" s="626" t="s">
        <v>1022</v>
      </c>
      <c r="D19" s="1553"/>
      <c r="E19" s="840">
        <v>17.27</v>
      </c>
      <c r="F19" s="1554"/>
      <c r="G19" s="1555"/>
      <c r="H19" s="1556"/>
      <c r="J19" s="838">
        <v>1</v>
      </c>
      <c r="K19" s="1557"/>
      <c r="M19" s="383">
        <v>0</v>
      </c>
      <c r="O19" s="1584"/>
      <c r="P19" s="1343">
        <v>16019.21</v>
      </c>
      <c r="Q19" s="1555"/>
      <c r="R19" s="1555"/>
      <c r="T19" s="1123">
        <v>300144</v>
      </c>
      <c r="U19" s="156" t="s">
        <v>292</v>
      </c>
      <c r="V19" s="626" t="s">
        <v>1041</v>
      </c>
      <c r="W19" s="1553"/>
      <c r="X19" s="840">
        <v>9.1999999999999993</v>
      </c>
      <c r="Y19" s="1555"/>
      <c r="Z19" s="1555"/>
      <c r="AA19" s="1556"/>
      <c r="AC19" s="838">
        <v>0</v>
      </c>
      <c r="AD19" s="1557"/>
      <c r="AF19" s="1675" t="s">
        <v>665</v>
      </c>
      <c r="AG19" s="1675"/>
      <c r="AH19" s="1675"/>
      <c r="AI19" s="1675"/>
      <c r="AJ19" s="1003"/>
      <c r="AK19" s="1003"/>
      <c r="AL19" s="1003"/>
      <c r="AM19" s="1003"/>
      <c r="AN19" s="1003"/>
      <c r="AO19" s="1322"/>
      <c r="AP19" s="1323"/>
    </row>
    <row r="20" spans="1:42">
      <c r="A20" s="155">
        <v>300024</v>
      </c>
      <c r="B20" s="156" t="s">
        <v>1027</v>
      </c>
      <c r="C20" s="626" t="s">
        <v>1019</v>
      </c>
      <c r="D20" s="1553"/>
      <c r="E20" s="840">
        <v>16.36</v>
      </c>
      <c r="F20" s="1554"/>
      <c r="G20" s="1555"/>
      <c r="H20" s="1556"/>
      <c r="J20" s="838">
        <v>0</v>
      </c>
      <c r="K20" s="1557"/>
      <c r="M20" s="383">
        <v>1</v>
      </c>
      <c r="O20" s="1584"/>
      <c r="P20" s="1343">
        <v>16019.21</v>
      </c>
      <c r="Q20" s="1555"/>
      <c r="R20" s="1555"/>
      <c r="T20" s="1123">
        <v>300145</v>
      </c>
      <c r="U20" s="156" t="s">
        <v>1047</v>
      </c>
      <c r="V20" s="626" t="s">
        <v>1041</v>
      </c>
      <c r="W20" s="1553"/>
      <c r="X20" s="840">
        <v>8.3699999999999992</v>
      </c>
      <c r="Y20" s="1555"/>
      <c r="Z20" s="1555"/>
      <c r="AA20" s="1556"/>
      <c r="AC20" s="838">
        <v>0</v>
      </c>
      <c r="AD20" s="1557"/>
      <c r="AF20" s="1675"/>
      <c r="AG20" s="1675"/>
      <c r="AH20" s="1675"/>
      <c r="AI20" s="1675"/>
      <c r="AJ20" s="1019"/>
      <c r="AK20" s="1003"/>
      <c r="AL20" s="1003"/>
      <c r="AM20" s="1003"/>
      <c r="AN20" s="1003"/>
      <c r="AO20" s="1322"/>
      <c r="AP20" s="1323"/>
    </row>
    <row r="21" spans="1:42">
      <c r="A21" s="155">
        <v>300025</v>
      </c>
      <c r="B21" s="156" t="s">
        <v>1028</v>
      </c>
      <c r="C21" s="626" t="s">
        <v>1019</v>
      </c>
      <c r="D21" s="1553"/>
      <c r="E21" s="840">
        <v>15.58</v>
      </c>
      <c r="F21" s="1554"/>
      <c r="G21" s="1555"/>
      <c r="H21" s="1556"/>
      <c r="J21" s="838">
        <v>0</v>
      </c>
      <c r="K21" s="1557"/>
      <c r="M21" s="383">
        <v>1</v>
      </c>
      <c r="O21" s="1584"/>
      <c r="P21" s="1343">
        <v>16019.21</v>
      </c>
      <c r="Q21" s="1555"/>
      <c r="R21" s="1555"/>
      <c r="T21" s="1123">
        <v>300146</v>
      </c>
      <c r="U21" s="156" t="s">
        <v>293</v>
      </c>
      <c r="V21" s="626" t="s">
        <v>1041</v>
      </c>
      <c r="W21" s="1553"/>
      <c r="X21" s="840">
        <v>8.3699999999999992</v>
      </c>
      <c r="Y21" s="1555"/>
      <c r="Z21" s="1555"/>
      <c r="AA21" s="1556"/>
      <c r="AC21" s="838">
        <v>0</v>
      </c>
      <c r="AD21" s="1557"/>
      <c r="AI21" s="509"/>
      <c r="AJ21" s="509"/>
      <c r="AK21" s="509"/>
      <c r="AL21" s="509"/>
      <c r="AM21" s="509"/>
      <c r="AN21" s="161"/>
      <c r="AO21" s="1322"/>
      <c r="AP21" s="1323"/>
    </row>
    <row r="22" spans="1:42">
      <c r="A22" s="155">
        <v>300027</v>
      </c>
      <c r="B22" s="156" t="s">
        <v>288</v>
      </c>
      <c r="C22" s="626" t="s">
        <v>1019</v>
      </c>
      <c r="D22" s="1553"/>
      <c r="E22" s="840">
        <v>15.58</v>
      </c>
      <c r="F22" s="1554"/>
      <c r="G22" s="1555"/>
      <c r="H22" s="1556"/>
      <c r="J22" s="838">
        <v>0</v>
      </c>
      <c r="K22" s="1557"/>
      <c r="M22" s="383">
        <v>1</v>
      </c>
      <c r="O22" s="1584"/>
      <c r="P22" s="1343">
        <v>32038.42</v>
      </c>
      <c r="Q22" s="1555"/>
      <c r="R22" s="1555"/>
      <c r="T22" s="1123">
        <v>300147</v>
      </c>
      <c r="U22" s="156" t="s">
        <v>1048</v>
      </c>
      <c r="V22" s="626" t="s">
        <v>1041</v>
      </c>
      <c r="W22" s="1553"/>
      <c r="X22" s="840">
        <v>8.3699999999999992</v>
      </c>
      <c r="Y22" s="1555"/>
      <c r="Z22" s="1555"/>
      <c r="AA22" s="1556"/>
      <c r="AC22" s="838">
        <v>0</v>
      </c>
      <c r="AD22" s="1557"/>
      <c r="AF22" s="1109" t="s">
        <v>166</v>
      </c>
      <c r="AG22" s="1674" t="s">
        <v>167</v>
      </c>
      <c r="AH22" s="1674"/>
      <c r="AI22" s="1109" t="s">
        <v>810</v>
      </c>
      <c r="AJ22" s="1000"/>
      <c r="AK22" s="1000"/>
      <c r="AL22" s="1001"/>
      <c r="AM22" s="1001"/>
      <c r="AN22" s="1001"/>
      <c r="AO22" s="1322"/>
      <c r="AP22" s="1323"/>
    </row>
    <row r="23" spans="1:42">
      <c r="A23" s="155">
        <v>300031</v>
      </c>
      <c r="B23" s="156" t="s">
        <v>1029</v>
      </c>
      <c r="C23" s="626" t="s">
        <v>1019</v>
      </c>
      <c r="D23" s="1553"/>
      <c r="E23" s="840">
        <v>18</v>
      </c>
      <c r="F23" s="1554"/>
      <c r="G23" s="1555"/>
      <c r="H23" s="1556"/>
      <c r="J23" s="838">
        <v>0</v>
      </c>
      <c r="K23" s="1557"/>
      <c r="M23" s="383">
        <v>1</v>
      </c>
      <c r="O23" s="1584"/>
      <c r="P23" s="1343">
        <v>16019.21</v>
      </c>
      <c r="Q23" s="1555"/>
      <c r="R23" s="1555"/>
      <c r="T23" s="1123">
        <v>301068</v>
      </c>
      <c r="U23" s="156" t="s">
        <v>1142</v>
      </c>
      <c r="V23" s="626" t="s">
        <v>1121</v>
      </c>
      <c r="W23" s="1553"/>
      <c r="X23" s="840">
        <v>14.5</v>
      </c>
      <c r="Y23" s="1555"/>
      <c r="Z23" s="1555"/>
      <c r="AA23" s="1556"/>
      <c r="AC23" s="838">
        <v>1</v>
      </c>
      <c r="AD23" s="1557"/>
      <c r="AF23" s="1110"/>
      <c r="AG23" s="1674"/>
      <c r="AH23" s="1674"/>
      <c r="AI23" s="1110" t="s">
        <v>766</v>
      </c>
      <c r="AJ23" s="1002"/>
      <c r="AK23" s="1002"/>
      <c r="AL23" s="1002"/>
      <c r="AM23" s="1002"/>
      <c r="AN23" s="1002"/>
      <c r="AO23" s="1322"/>
      <c r="AP23" s="1323"/>
    </row>
    <row r="24" spans="1:42">
      <c r="A24" s="155">
        <v>300032</v>
      </c>
      <c r="B24" s="156" t="s">
        <v>60</v>
      </c>
      <c r="C24" s="626" t="s">
        <v>1019</v>
      </c>
      <c r="D24" s="1553"/>
      <c r="E24" s="840">
        <v>18.39</v>
      </c>
      <c r="F24" s="1554"/>
      <c r="G24" s="1555"/>
      <c r="H24" s="1556"/>
      <c r="J24" s="838">
        <v>0</v>
      </c>
      <c r="K24" s="1557"/>
      <c r="M24" s="383">
        <v>1</v>
      </c>
      <c r="O24" s="1584"/>
      <c r="P24" s="1343">
        <v>16019.21</v>
      </c>
      <c r="Q24" s="1555"/>
      <c r="R24" s="1555"/>
      <c r="T24" s="1123">
        <v>301069</v>
      </c>
      <c r="U24" s="156" t="s">
        <v>115</v>
      </c>
      <c r="V24" s="626" t="s">
        <v>1121</v>
      </c>
      <c r="W24" s="1553"/>
      <c r="X24" s="840">
        <v>9.5299999999999994</v>
      </c>
      <c r="Y24" s="1555"/>
      <c r="Z24" s="1555"/>
      <c r="AA24" s="1556"/>
      <c r="AC24" s="838">
        <v>1</v>
      </c>
      <c r="AD24" s="1557"/>
      <c r="AF24" s="1579"/>
      <c r="AG24" s="1672"/>
      <c r="AH24" s="1673"/>
      <c r="AI24" s="1580"/>
      <c r="AJ24" s="315"/>
      <c r="AK24" s="315"/>
      <c r="AL24" s="295"/>
      <c r="AM24" s="295"/>
      <c r="AN24" s="315"/>
      <c r="AO24" s="1322"/>
      <c r="AP24" s="1323"/>
    </row>
    <row r="25" spans="1:42">
      <c r="A25" s="155">
        <v>300034</v>
      </c>
      <c r="B25" s="156" t="s">
        <v>1030</v>
      </c>
      <c r="C25" s="626" t="s">
        <v>1019</v>
      </c>
      <c r="D25" s="1553"/>
      <c r="E25" s="840">
        <v>15.58</v>
      </c>
      <c r="F25" s="1554"/>
      <c r="G25" s="1555"/>
      <c r="H25" s="1556"/>
      <c r="J25" s="838">
        <v>0</v>
      </c>
      <c r="K25" s="1557"/>
      <c r="M25" s="383">
        <v>1</v>
      </c>
      <c r="O25" s="1584"/>
      <c r="P25" s="1343">
        <v>16019.21</v>
      </c>
      <c r="Q25" s="1555"/>
      <c r="R25" s="1555"/>
      <c r="T25" s="1123">
        <v>301070</v>
      </c>
      <c r="U25" s="156" t="s">
        <v>116</v>
      </c>
      <c r="V25" s="626" t="s">
        <v>1121</v>
      </c>
      <c r="W25" s="1553"/>
      <c r="X25" s="840">
        <v>8.61</v>
      </c>
      <c r="Y25" s="1555"/>
      <c r="Z25" s="1555"/>
      <c r="AA25" s="1556"/>
      <c r="AC25" s="838">
        <v>1</v>
      </c>
      <c r="AD25" s="1557"/>
      <c r="AF25" s="1581"/>
      <c r="AG25" s="1678"/>
      <c r="AH25" s="1679"/>
      <c r="AI25" s="1580"/>
      <c r="AJ25" s="302"/>
      <c r="AK25" s="302"/>
      <c r="AL25" s="302"/>
      <c r="AM25" s="302"/>
      <c r="AN25" s="315"/>
      <c r="AO25" s="1322"/>
      <c r="AP25" s="1323"/>
    </row>
    <row r="26" spans="1:42">
      <c r="A26" s="155">
        <v>300035</v>
      </c>
      <c r="B26" s="156" t="s">
        <v>1031</v>
      </c>
      <c r="C26" s="626" t="s">
        <v>1019</v>
      </c>
      <c r="D26" s="1553"/>
      <c r="E26" s="840">
        <v>18.32</v>
      </c>
      <c r="F26" s="1554"/>
      <c r="G26" s="1555"/>
      <c r="H26" s="1556"/>
      <c r="J26" s="838">
        <v>0</v>
      </c>
      <c r="K26" s="1557"/>
      <c r="M26" s="383">
        <v>1</v>
      </c>
      <c r="O26" s="1584"/>
      <c r="P26" s="1343">
        <v>16019.21</v>
      </c>
      <c r="Q26" s="1555"/>
      <c r="R26" s="1555"/>
      <c r="T26" s="1123">
        <v>301071</v>
      </c>
      <c r="U26" s="156" t="s">
        <v>45</v>
      </c>
      <c r="V26" s="626" t="s">
        <v>1121</v>
      </c>
      <c r="W26" s="1553"/>
      <c r="X26" s="840">
        <v>14.98</v>
      </c>
      <c r="Y26" s="1555"/>
      <c r="Z26" s="1555"/>
      <c r="AA26" s="1556"/>
      <c r="AC26" s="838">
        <v>1</v>
      </c>
      <c r="AD26" s="1557"/>
      <c r="AF26" s="864"/>
      <c r="AG26" s="1676"/>
      <c r="AH26" s="1677"/>
      <c r="AI26" s="1111"/>
      <c r="AJ26" s="511"/>
      <c r="AK26" s="511"/>
      <c r="AL26" s="303"/>
      <c r="AM26" s="511"/>
      <c r="AN26" s="512"/>
      <c r="AO26" s="1322"/>
      <c r="AP26" s="1323"/>
    </row>
    <row r="27" spans="1:42">
      <c r="A27" s="155">
        <v>300039</v>
      </c>
      <c r="B27" s="156" t="s">
        <v>1032</v>
      </c>
      <c r="C27" s="626" t="s">
        <v>1019</v>
      </c>
      <c r="D27" s="1553"/>
      <c r="E27" s="840">
        <v>18</v>
      </c>
      <c r="F27" s="1554"/>
      <c r="G27" s="1555"/>
      <c r="H27" s="1556"/>
      <c r="J27" s="838">
        <v>0</v>
      </c>
      <c r="K27" s="1557"/>
      <c r="M27" s="383">
        <v>1</v>
      </c>
      <c r="O27" s="1584"/>
      <c r="P27" s="1343">
        <v>16019.21</v>
      </c>
      <c r="Q27" s="1555"/>
      <c r="R27" s="1555"/>
      <c r="T27" s="1123">
        <v>301072</v>
      </c>
      <c r="U27" s="156" t="s">
        <v>46</v>
      </c>
      <c r="V27" s="626" t="s">
        <v>1121</v>
      </c>
      <c r="W27" s="1553"/>
      <c r="X27" s="840">
        <v>12.04</v>
      </c>
      <c r="Y27" s="1555"/>
      <c r="Z27" s="1555"/>
      <c r="AA27" s="1556"/>
      <c r="AC27" s="838">
        <v>1</v>
      </c>
      <c r="AD27" s="1557"/>
      <c r="AF27" s="1121"/>
      <c r="AG27" s="1671"/>
      <c r="AH27" s="1671"/>
      <c r="AI27" s="1336"/>
      <c r="AJ27" s="511"/>
      <c r="AK27" s="511"/>
      <c r="AL27" s="303"/>
      <c r="AM27" s="511"/>
      <c r="AN27" s="512"/>
      <c r="AO27" s="1322"/>
      <c r="AP27" s="1323"/>
    </row>
    <row r="28" spans="1:42">
      <c r="A28" s="155">
        <v>300042</v>
      </c>
      <c r="B28" s="156" t="s">
        <v>289</v>
      </c>
      <c r="C28" s="626" t="s">
        <v>1019</v>
      </c>
      <c r="D28" s="1553"/>
      <c r="E28" s="840">
        <v>25.71</v>
      </c>
      <c r="F28" s="1554"/>
      <c r="G28" s="1555"/>
      <c r="H28" s="1556"/>
      <c r="J28" s="838">
        <v>0</v>
      </c>
      <c r="K28" s="1557"/>
      <c r="M28" s="383">
        <v>1</v>
      </c>
      <c r="O28" s="1584"/>
      <c r="P28" s="1343">
        <v>32038.42</v>
      </c>
      <c r="Q28" s="1555"/>
      <c r="R28" s="1555"/>
      <c r="T28" s="1123">
        <v>301073</v>
      </c>
      <c r="U28" s="156" t="s">
        <v>47</v>
      </c>
      <c r="V28" s="626" t="s">
        <v>1121</v>
      </c>
      <c r="W28" s="1553"/>
      <c r="X28" s="840">
        <v>14.98</v>
      </c>
      <c r="Y28" s="1555"/>
      <c r="Z28" s="1555"/>
      <c r="AA28" s="1556"/>
      <c r="AC28" s="838">
        <v>1</v>
      </c>
      <c r="AD28" s="1557"/>
      <c r="AF28" s="1121"/>
      <c r="AG28" s="1671"/>
      <c r="AH28" s="1671"/>
      <c r="AI28" s="1336"/>
      <c r="AJ28" s="511"/>
      <c r="AK28" s="511"/>
      <c r="AL28" s="303"/>
      <c r="AM28" s="511"/>
      <c r="AN28" s="512"/>
      <c r="AO28" s="1322"/>
      <c r="AP28" s="1323"/>
    </row>
    <row r="29" spans="1:42">
      <c r="A29" s="155">
        <v>300043</v>
      </c>
      <c r="B29" s="156" t="s">
        <v>290</v>
      </c>
      <c r="C29" s="626" t="s">
        <v>1019</v>
      </c>
      <c r="D29" s="1553"/>
      <c r="E29" s="840">
        <v>25.71</v>
      </c>
      <c r="F29" s="1554"/>
      <c r="G29" s="1555"/>
      <c r="H29" s="1556"/>
      <c r="J29" s="838">
        <v>0</v>
      </c>
      <c r="K29" s="1557"/>
      <c r="M29" s="383">
        <v>1</v>
      </c>
      <c r="O29" s="1584"/>
      <c r="P29" s="1343">
        <v>32038.42</v>
      </c>
      <c r="Q29" s="1555"/>
      <c r="R29" s="1555"/>
      <c r="T29" s="1123">
        <v>301074</v>
      </c>
      <c r="U29" s="156" t="s">
        <v>476</v>
      </c>
      <c r="V29" s="626" t="s">
        <v>1121</v>
      </c>
      <c r="W29" s="1553"/>
      <c r="X29" s="840">
        <v>9.5</v>
      </c>
      <c r="Y29" s="1555"/>
      <c r="Z29" s="1555"/>
      <c r="AA29" s="1556"/>
      <c r="AC29" s="838">
        <v>1</v>
      </c>
      <c r="AD29" s="1557"/>
      <c r="AF29" s="1121"/>
      <c r="AG29" s="1671"/>
      <c r="AH29" s="1671"/>
      <c r="AI29" s="1336"/>
      <c r="AJ29" s="513"/>
      <c r="AK29" s="513"/>
      <c r="AL29" s="303"/>
      <c r="AM29" s="511"/>
      <c r="AN29" s="512"/>
      <c r="AO29" s="1322"/>
      <c r="AP29" s="1323"/>
    </row>
    <row r="30" spans="1:42">
      <c r="A30" s="155">
        <v>300049</v>
      </c>
      <c r="B30" s="584" t="s">
        <v>1033</v>
      </c>
      <c r="C30" s="626" t="s">
        <v>1019</v>
      </c>
      <c r="D30" s="1553"/>
      <c r="E30" s="840">
        <v>21.88</v>
      </c>
      <c r="F30" s="1554"/>
      <c r="G30" s="1555"/>
      <c r="H30" s="1556"/>
      <c r="J30" s="838">
        <v>0</v>
      </c>
      <c r="K30" s="1557"/>
      <c r="M30" s="383">
        <v>1</v>
      </c>
      <c r="O30" s="1584"/>
      <c r="P30" s="1343">
        <v>16019.21</v>
      </c>
      <c r="Q30" s="1555"/>
      <c r="R30" s="1555"/>
      <c r="T30" s="1123">
        <v>301075</v>
      </c>
      <c r="U30" s="156" t="s">
        <v>477</v>
      </c>
      <c r="V30" s="626" t="s">
        <v>1121</v>
      </c>
      <c r="W30" s="1553"/>
      <c r="X30" s="840">
        <v>9.5299999999999994</v>
      </c>
      <c r="Y30" s="1555"/>
      <c r="Z30" s="1555"/>
      <c r="AA30" s="1556"/>
      <c r="AC30" s="838">
        <v>1</v>
      </c>
      <c r="AD30" s="1557"/>
      <c r="AF30" s="1121"/>
      <c r="AG30" s="1671"/>
      <c r="AH30" s="1671"/>
      <c r="AI30" s="1336"/>
      <c r="AJ30" s="511"/>
      <c r="AK30" s="511"/>
      <c r="AL30" s="303"/>
      <c r="AM30" s="511"/>
      <c r="AN30" s="512"/>
      <c r="AO30" s="1322"/>
      <c r="AP30" s="1323"/>
    </row>
    <row r="31" spans="1:42">
      <c r="A31" s="155">
        <v>300050</v>
      </c>
      <c r="B31" s="584" t="s">
        <v>61</v>
      </c>
      <c r="C31" s="626" t="s">
        <v>1019</v>
      </c>
      <c r="D31" s="1553"/>
      <c r="E31" s="840">
        <v>24.5</v>
      </c>
      <c r="F31" s="1554"/>
      <c r="G31" s="1555"/>
      <c r="H31" s="1556"/>
      <c r="J31" s="838">
        <v>0</v>
      </c>
      <c r="K31" s="1557"/>
      <c r="M31" s="383">
        <v>1</v>
      </c>
      <c r="O31" s="1584"/>
      <c r="P31" s="1343">
        <v>16019.21</v>
      </c>
      <c r="Q31" s="1555"/>
      <c r="R31" s="1555"/>
      <c r="T31" s="1123">
        <v>301076</v>
      </c>
      <c r="U31" s="156" t="s">
        <v>478</v>
      </c>
      <c r="V31" s="626" t="s">
        <v>1121</v>
      </c>
      <c r="W31" s="1553"/>
      <c r="X31" s="840">
        <v>8.61</v>
      </c>
      <c r="Y31" s="1555"/>
      <c r="Z31" s="1555"/>
      <c r="AA31" s="1556"/>
      <c r="AC31" s="838">
        <v>1</v>
      </c>
      <c r="AD31" s="1557"/>
      <c r="AF31" s="1121"/>
      <c r="AG31" s="1671"/>
      <c r="AH31" s="1671"/>
      <c r="AI31" s="1336"/>
      <c r="AJ31" s="514"/>
      <c r="AK31" s="514"/>
      <c r="AL31" s="303"/>
      <c r="AM31" s="303"/>
      <c r="AN31" s="316"/>
      <c r="AO31" s="1322"/>
      <c r="AP31" s="1323"/>
    </row>
    <row r="32" spans="1:42">
      <c r="A32" s="155">
        <v>300052</v>
      </c>
      <c r="B32" s="156" t="s">
        <v>62</v>
      </c>
      <c r="C32" s="626" t="s">
        <v>1019</v>
      </c>
      <c r="D32" s="1553"/>
      <c r="E32" s="840">
        <v>24.5</v>
      </c>
      <c r="F32" s="1554"/>
      <c r="G32" s="1555"/>
      <c r="H32" s="1556"/>
      <c r="J32" s="838">
        <v>0</v>
      </c>
      <c r="K32" s="1557"/>
      <c r="M32" s="383">
        <v>1</v>
      </c>
      <c r="O32" s="1584"/>
      <c r="P32" s="1343">
        <v>16019.21</v>
      </c>
      <c r="Q32" s="1555"/>
      <c r="R32" s="1555"/>
      <c r="T32" s="1123">
        <v>301078</v>
      </c>
      <c r="U32" s="156" t="s">
        <v>479</v>
      </c>
      <c r="V32" s="626" t="s">
        <v>1121</v>
      </c>
      <c r="W32" s="1553"/>
      <c r="X32" s="840">
        <v>8.85</v>
      </c>
      <c r="Y32" s="1555"/>
      <c r="Z32" s="1555"/>
      <c r="AA32" s="1556"/>
      <c r="AC32" s="838">
        <v>1</v>
      </c>
      <c r="AD32" s="1557"/>
      <c r="AF32" s="1121"/>
      <c r="AG32" s="1671"/>
      <c r="AH32" s="1671"/>
      <c r="AI32" s="1336"/>
      <c r="AJ32" s="210"/>
      <c r="AK32" s="210"/>
      <c r="AO32" s="1322"/>
      <c r="AP32" s="1323"/>
    </row>
    <row r="33" spans="1:42">
      <c r="A33" s="155">
        <v>300053</v>
      </c>
      <c r="B33" s="156" t="s">
        <v>1034</v>
      </c>
      <c r="C33" s="626" t="s">
        <v>1019</v>
      </c>
      <c r="D33" s="1553"/>
      <c r="E33" s="840">
        <v>24.5</v>
      </c>
      <c r="F33" s="1554"/>
      <c r="G33" s="1555"/>
      <c r="H33" s="1556"/>
      <c r="J33" s="838">
        <v>0</v>
      </c>
      <c r="K33" s="1557"/>
      <c r="M33" s="383">
        <v>1</v>
      </c>
      <c r="O33" s="1584"/>
      <c r="P33" s="1343">
        <v>32038.42</v>
      </c>
      <c r="Q33" s="1555"/>
      <c r="R33" s="1555"/>
      <c r="T33" s="1123">
        <v>301080</v>
      </c>
      <c r="U33" s="156" t="s">
        <v>480</v>
      </c>
      <c r="V33" s="626" t="s">
        <v>1121</v>
      </c>
      <c r="W33" s="1553"/>
      <c r="X33" s="840">
        <v>15.42</v>
      </c>
      <c r="Y33" s="1555"/>
      <c r="Z33" s="1555"/>
      <c r="AA33" s="1556"/>
      <c r="AC33" s="838">
        <v>1</v>
      </c>
      <c r="AD33" s="1557"/>
      <c r="AF33" s="1121"/>
      <c r="AG33" s="1671"/>
      <c r="AH33" s="1671"/>
      <c r="AI33" s="1336"/>
      <c r="AJ33" s="210"/>
      <c r="AK33" s="210"/>
      <c r="AO33" s="1322"/>
      <c r="AP33" s="1323"/>
    </row>
    <row r="34" spans="1:42">
      <c r="A34" s="155">
        <v>300057</v>
      </c>
      <c r="B34" s="156" t="s">
        <v>224</v>
      </c>
      <c r="C34" s="626" t="s">
        <v>1022</v>
      </c>
      <c r="D34" s="1553"/>
      <c r="E34" s="840">
        <v>17.34</v>
      </c>
      <c r="F34" s="1554"/>
      <c r="G34" s="1555"/>
      <c r="H34" s="1556"/>
      <c r="J34" s="838">
        <v>1</v>
      </c>
      <c r="K34" s="1557"/>
      <c r="M34" s="383">
        <v>0</v>
      </c>
      <c r="O34" s="1584"/>
      <c r="P34" s="1343">
        <v>16019.21</v>
      </c>
      <c r="Q34" s="1555"/>
      <c r="R34" s="1555"/>
      <c r="T34" s="1123">
        <v>301082</v>
      </c>
      <c r="U34" s="156" t="s">
        <v>48</v>
      </c>
      <c r="V34" s="626" t="s">
        <v>1121</v>
      </c>
      <c r="W34" s="1553"/>
      <c r="X34" s="840">
        <v>8.85</v>
      </c>
      <c r="Y34" s="1555"/>
      <c r="Z34" s="1555"/>
      <c r="AA34" s="1556"/>
      <c r="AC34" s="838">
        <v>1</v>
      </c>
      <c r="AD34" s="1557"/>
      <c r="AF34" s="1121"/>
      <c r="AG34" s="1671"/>
      <c r="AH34" s="1671"/>
      <c r="AI34" s="1336"/>
      <c r="AJ34" s="210"/>
      <c r="AK34" s="210"/>
      <c r="AO34" s="1322"/>
      <c r="AP34" s="1323"/>
    </row>
    <row r="35" spans="1:42">
      <c r="A35" s="155">
        <v>300059</v>
      </c>
      <c r="B35" s="156" t="s">
        <v>1035</v>
      </c>
      <c r="C35" s="626" t="s">
        <v>1019</v>
      </c>
      <c r="D35" s="1553"/>
      <c r="E35" s="840">
        <v>18</v>
      </c>
      <c r="F35" s="1554"/>
      <c r="G35" s="1555"/>
      <c r="H35" s="1556"/>
      <c r="J35" s="838">
        <v>0</v>
      </c>
      <c r="K35" s="1557"/>
      <c r="M35" s="383">
        <v>1</v>
      </c>
      <c r="O35" s="1584"/>
      <c r="P35" s="1343">
        <v>16019.21</v>
      </c>
      <c r="Q35" s="1555"/>
      <c r="R35" s="1555"/>
      <c r="T35" s="1123">
        <v>301083</v>
      </c>
      <c r="U35" s="156" t="s">
        <v>481</v>
      </c>
      <c r="V35" s="626" t="s">
        <v>1121</v>
      </c>
      <c r="W35" s="1553"/>
      <c r="X35" s="840">
        <v>8.85</v>
      </c>
      <c r="Y35" s="1555"/>
      <c r="Z35" s="1555"/>
      <c r="AA35" s="1556"/>
      <c r="AC35" s="838">
        <v>1</v>
      </c>
      <c r="AD35" s="1557"/>
      <c r="AF35" s="1121"/>
      <c r="AG35" s="1671"/>
      <c r="AH35" s="1671"/>
      <c r="AI35" s="1336"/>
      <c r="AJ35" s="210"/>
      <c r="AK35" s="210"/>
      <c r="AO35" s="1322"/>
      <c r="AP35" s="1323"/>
    </row>
    <row r="36" spans="1:42">
      <c r="A36" s="155">
        <v>300060</v>
      </c>
      <c r="B36" s="156" t="s">
        <v>63</v>
      </c>
      <c r="C36" s="626" t="s">
        <v>1022</v>
      </c>
      <c r="D36" s="1553"/>
      <c r="E36" s="840">
        <v>18</v>
      </c>
      <c r="F36" s="1554"/>
      <c r="G36" s="1555"/>
      <c r="H36" s="1556"/>
      <c r="J36" s="838">
        <v>1</v>
      </c>
      <c r="K36" s="1557"/>
      <c r="M36" s="383">
        <v>0</v>
      </c>
      <c r="O36" s="1584"/>
      <c r="P36" s="1343">
        <v>16019.21</v>
      </c>
      <c r="Q36" s="1555"/>
      <c r="R36" s="1555"/>
      <c r="T36" s="1123">
        <v>301084</v>
      </c>
      <c r="U36" s="156" t="s">
        <v>49</v>
      </c>
      <c r="V36" s="626" t="s">
        <v>1121</v>
      </c>
      <c r="W36" s="1553"/>
      <c r="X36" s="840">
        <v>9.25</v>
      </c>
      <c r="Y36" s="1555"/>
      <c r="Z36" s="1555"/>
      <c r="AA36" s="1556"/>
      <c r="AC36" s="838">
        <v>1</v>
      </c>
      <c r="AD36" s="1557"/>
      <c r="AF36" s="1121"/>
      <c r="AG36" s="1671"/>
      <c r="AH36" s="1671"/>
      <c r="AI36" s="1336"/>
      <c r="AJ36" s="210"/>
      <c r="AK36" s="210"/>
      <c r="AO36" s="1322"/>
      <c r="AP36" s="1323"/>
    </row>
    <row r="37" spans="1:42">
      <c r="A37" s="155">
        <v>300064</v>
      </c>
      <c r="B37" s="156" t="s">
        <v>1036</v>
      </c>
      <c r="C37" s="626" t="s">
        <v>1019</v>
      </c>
      <c r="D37" s="1553"/>
      <c r="E37" s="840">
        <v>18</v>
      </c>
      <c r="F37" s="1554"/>
      <c r="G37" s="1555"/>
      <c r="H37" s="1556"/>
      <c r="J37" s="838">
        <v>0</v>
      </c>
      <c r="K37" s="1557"/>
      <c r="M37" s="383">
        <v>1</v>
      </c>
      <c r="O37" s="1584"/>
      <c r="P37" s="1343">
        <v>16019.21</v>
      </c>
      <c r="Q37" s="1555"/>
      <c r="R37" s="1555"/>
      <c r="T37" s="1123">
        <v>301085</v>
      </c>
      <c r="U37" s="156" t="s">
        <v>482</v>
      </c>
      <c r="V37" s="626" t="s">
        <v>1121</v>
      </c>
      <c r="W37" s="1553"/>
      <c r="X37" s="840">
        <v>9.5299999999999994</v>
      </c>
      <c r="Y37" s="1555"/>
      <c r="Z37" s="1555"/>
      <c r="AA37" s="1556"/>
      <c r="AC37" s="838">
        <v>1</v>
      </c>
      <c r="AD37" s="1557"/>
      <c r="AF37" s="1121"/>
      <c r="AG37" s="1671"/>
      <c r="AH37" s="1671"/>
      <c r="AI37" s="1336"/>
      <c r="AJ37" s="210"/>
      <c r="AK37" s="210"/>
      <c r="AO37" s="1322"/>
      <c r="AP37" s="1323"/>
    </row>
    <row r="38" spans="1:42">
      <c r="A38" s="155">
        <v>300066</v>
      </c>
      <c r="B38" s="156" t="s">
        <v>1037</v>
      </c>
      <c r="C38" s="626" t="s">
        <v>1019</v>
      </c>
      <c r="D38" s="1553"/>
      <c r="E38" s="840">
        <v>18</v>
      </c>
      <c r="F38" s="1554"/>
      <c r="G38" s="1555"/>
      <c r="H38" s="1556"/>
      <c r="J38" s="838">
        <v>0</v>
      </c>
      <c r="K38" s="1557"/>
      <c r="M38" s="383">
        <v>1</v>
      </c>
      <c r="O38" s="1584"/>
      <c r="P38" s="1343">
        <v>16019.21</v>
      </c>
      <c r="Q38" s="1555"/>
      <c r="R38" s="1555"/>
      <c r="T38" s="1123">
        <v>301086</v>
      </c>
      <c r="U38" s="156" t="s">
        <v>50</v>
      </c>
      <c r="V38" s="626" t="s">
        <v>1121</v>
      </c>
      <c r="W38" s="1553"/>
      <c r="X38" s="840">
        <v>10.23</v>
      </c>
      <c r="Y38" s="1555"/>
      <c r="Z38" s="1555"/>
      <c r="AA38" s="1556"/>
      <c r="AC38" s="838">
        <v>1</v>
      </c>
      <c r="AD38" s="1557"/>
      <c r="AF38" s="1121"/>
      <c r="AG38" s="1671"/>
      <c r="AH38" s="1671"/>
      <c r="AI38" s="1336"/>
      <c r="AJ38" s="210"/>
      <c r="AK38" s="210"/>
      <c r="AO38" s="1322"/>
      <c r="AP38" s="1323"/>
    </row>
    <row r="39" spans="1:42">
      <c r="A39" s="155">
        <v>300070</v>
      </c>
      <c r="B39" s="156" t="s">
        <v>64</v>
      </c>
      <c r="C39" s="626" t="s">
        <v>1022</v>
      </c>
      <c r="D39" s="1553"/>
      <c r="E39" s="840">
        <v>20.95</v>
      </c>
      <c r="F39" s="1554"/>
      <c r="G39" s="1555"/>
      <c r="H39" s="1556"/>
      <c r="J39" s="838">
        <v>1</v>
      </c>
      <c r="K39" s="1557"/>
      <c r="M39" s="383">
        <v>0</v>
      </c>
      <c r="O39" s="1584"/>
      <c r="P39" s="1343">
        <v>13451.09</v>
      </c>
      <c r="Q39" s="1555"/>
      <c r="R39" s="1555"/>
      <c r="T39" s="1123">
        <v>301088</v>
      </c>
      <c r="U39" s="156" t="s">
        <v>51</v>
      </c>
      <c r="V39" s="626" t="s">
        <v>1121</v>
      </c>
      <c r="W39" s="1553"/>
      <c r="X39" s="840">
        <v>9.5299999999999994</v>
      </c>
      <c r="Y39" s="1555"/>
      <c r="Z39" s="1555"/>
      <c r="AA39" s="1556"/>
      <c r="AC39" s="838">
        <v>1</v>
      </c>
      <c r="AD39" s="1557"/>
      <c r="AF39" s="1112"/>
      <c r="AG39" s="1666"/>
      <c r="AH39" s="1666"/>
      <c r="AI39" s="210"/>
      <c r="AO39" s="1322"/>
      <c r="AP39" s="1323"/>
    </row>
    <row r="40" spans="1:42">
      <c r="A40" s="155">
        <v>300071</v>
      </c>
      <c r="B40" s="156" t="s">
        <v>65</v>
      </c>
      <c r="C40" s="626" t="s">
        <v>1022</v>
      </c>
      <c r="D40" s="1553"/>
      <c r="E40" s="840">
        <v>18</v>
      </c>
      <c r="F40" s="1554"/>
      <c r="G40" s="1555"/>
      <c r="H40" s="1556"/>
      <c r="J40" s="838">
        <v>1</v>
      </c>
      <c r="K40" s="1557"/>
      <c r="M40" s="383">
        <v>0</v>
      </c>
      <c r="O40" s="1584"/>
      <c r="P40" s="1343">
        <v>16019.21</v>
      </c>
      <c r="Q40" s="1555"/>
      <c r="R40" s="1555"/>
      <c r="T40" s="1123">
        <v>301089</v>
      </c>
      <c r="U40" s="156" t="s">
        <v>483</v>
      </c>
      <c r="V40" s="626" t="s">
        <v>1121</v>
      </c>
      <c r="W40" s="1553"/>
      <c r="X40" s="840">
        <v>8.61</v>
      </c>
      <c r="Y40" s="1555"/>
      <c r="Z40" s="1555"/>
      <c r="AA40" s="1556"/>
      <c r="AC40" s="838">
        <v>1</v>
      </c>
      <c r="AD40" s="1557"/>
      <c r="AF40" s="1112"/>
      <c r="AG40" s="1666"/>
      <c r="AH40" s="1666"/>
      <c r="AI40" s="210"/>
      <c r="AO40" s="1322"/>
      <c r="AP40" s="1323"/>
    </row>
    <row r="41" spans="1:42">
      <c r="A41" s="155">
        <v>300072</v>
      </c>
      <c r="B41" s="156" t="s">
        <v>33</v>
      </c>
      <c r="C41" s="626" t="s">
        <v>1022</v>
      </c>
      <c r="D41" s="1553"/>
      <c r="E41" s="840">
        <v>18</v>
      </c>
      <c r="F41" s="1554"/>
      <c r="G41" s="1555"/>
      <c r="H41" s="1556"/>
      <c r="J41" s="838">
        <v>1</v>
      </c>
      <c r="K41" s="1557"/>
      <c r="M41" s="383">
        <v>0</v>
      </c>
      <c r="O41" s="1584"/>
      <c r="P41" s="1343">
        <v>5324</v>
      </c>
      <c r="Q41" s="1555"/>
      <c r="R41" s="1555"/>
      <c r="T41" s="1123">
        <v>301090</v>
      </c>
      <c r="U41" s="156" t="s">
        <v>797</v>
      </c>
      <c r="V41" s="626" t="s">
        <v>1121</v>
      </c>
      <c r="W41" s="1553"/>
      <c r="X41" s="840">
        <v>8.85</v>
      </c>
      <c r="Y41" s="1555"/>
      <c r="Z41" s="1555"/>
      <c r="AA41" s="1556"/>
      <c r="AC41" s="838">
        <v>1</v>
      </c>
      <c r="AD41" s="1557"/>
      <c r="AF41" s="1112"/>
      <c r="AG41" s="1666"/>
      <c r="AH41" s="1666"/>
      <c r="AI41" s="210"/>
      <c r="AO41" s="1322"/>
      <c r="AP41" s="1323"/>
    </row>
    <row r="42" spans="1:42">
      <c r="A42" s="155">
        <v>300073</v>
      </c>
      <c r="B42" s="156" t="s">
        <v>66</v>
      </c>
      <c r="C42" s="626" t="s">
        <v>1022</v>
      </c>
      <c r="D42" s="1553"/>
      <c r="E42" s="840">
        <v>21.41</v>
      </c>
      <c r="F42" s="1554"/>
      <c r="G42" s="1555"/>
      <c r="H42" s="1556"/>
      <c r="J42" s="838">
        <v>1</v>
      </c>
      <c r="K42" s="1557"/>
      <c r="M42" s="383">
        <v>0</v>
      </c>
      <c r="O42" s="1584"/>
      <c r="P42" s="1343">
        <v>16019.21</v>
      </c>
      <c r="Q42" s="1555"/>
      <c r="R42" s="1555"/>
      <c r="T42" s="1123">
        <v>301092</v>
      </c>
      <c r="U42" s="156" t="s">
        <v>52</v>
      </c>
      <c r="V42" s="626" t="s">
        <v>1121</v>
      </c>
      <c r="W42" s="1553"/>
      <c r="X42" s="840">
        <v>15.42</v>
      </c>
      <c r="Y42" s="1555"/>
      <c r="Z42" s="1555"/>
      <c r="AA42" s="1556"/>
      <c r="AC42" s="838">
        <v>1</v>
      </c>
      <c r="AD42" s="1557"/>
      <c r="AF42" s="1112"/>
      <c r="AG42" s="1666"/>
      <c r="AH42" s="1666"/>
      <c r="AI42" s="210"/>
      <c r="AO42" s="1322"/>
      <c r="AP42" s="1323"/>
    </row>
    <row r="43" spans="1:42">
      <c r="A43" s="155">
        <v>300074</v>
      </c>
      <c r="B43" s="156" t="s">
        <v>67</v>
      </c>
      <c r="C43" s="626" t="s">
        <v>1022</v>
      </c>
      <c r="D43" s="1553"/>
      <c r="E43" s="840">
        <v>20.48</v>
      </c>
      <c r="F43" s="1554"/>
      <c r="G43" s="1555"/>
      <c r="H43" s="1556"/>
      <c r="J43" s="838">
        <v>1</v>
      </c>
      <c r="K43" s="1557"/>
      <c r="M43" s="383">
        <v>0</v>
      </c>
      <c r="O43" s="1584"/>
      <c r="P43" s="1343">
        <v>15145.79</v>
      </c>
      <c r="Q43" s="1555"/>
      <c r="R43" s="1555"/>
      <c r="T43" s="1123">
        <v>301093</v>
      </c>
      <c r="U43" s="156" t="s">
        <v>484</v>
      </c>
      <c r="V43" s="626" t="s">
        <v>1121</v>
      </c>
      <c r="W43" s="1553"/>
      <c r="X43" s="840">
        <v>8.85</v>
      </c>
      <c r="Y43" s="1555"/>
      <c r="Z43" s="1555"/>
      <c r="AA43" s="1556"/>
      <c r="AC43" s="838">
        <v>1</v>
      </c>
      <c r="AD43" s="1557"/>
      <c r="AF43" s="1112"/>
      <c r="AG43" s="1666"/>
      <c r="AH43" s="1666"/>
      <c r="AI43" s="210"/>
      <c r="AO43" s="1322"/>
      <c r="AP43" s="1323"/>
    </row>
    <row r="44" spans="1:42">
      <c r="A44" s="155">
        <v>300075</v>
      </c>
      <c r="B44" s="156" t="s">
        <v>1038</v>
      </c>
      <c r="C44" s="626" t="s">
        <v>1022</v>
      </c>
      <c r="D44" s="1553"/>
      <c r="E44" s="840">
        <v>20.95</v>
      </c>
      <c r="F44" s="1554"/>
      <c r="G44" s="1555"/>
      <c r="H44" s="1556"/>
      <c r="J44" s="838">
        <v>1</v>
      </c>
      <c r="K44" s="1557"/>
      <c r="M44" s="383">
        <v>0</v>
      </c>
      <c r="O44" s="1584"/>
      <c r="P44" s="1343">
        <v>16019.21</v>
      </c>
      <c r="Q44" s="1555"/>
      <c r="R44" s="1555"/>
      <c r="T44" s="1123">
        <v>301094</v>
      </c>
      <c r="U44" s="156" t="s">
        <v>485</v>
      </c>
      <c r="V44" s="626" t="s">
        <v>1121</v>
      </c>
      <c r="W44" s="1553"/>
      <c r="X44" s="840">
        <v>8.9499999999999993</v>
      </c>
      <c r="Y44" s="1555"/>
      <c r="Z44" s="1555"/>
      <c r="AA44" s="1556"/>
      <c r="AC44" s="838">
        <v>1</v>
      </c>
      <c r="AD44" s="1557"/>
      <c r="AF44" s="1112"/>
      <c r="AG44" s="1666"/>
      <c r="AH44" s="1666"/>
      <c r="AI44" s="210"/>
      <c r="AO44" s="1322"/>
      <c r="AP44" s="1323"/>
    </row>
    <row r="45" spans="1:42">
      <c r="A45" s="155">
        <v>300076</v>
      </c>
      <c r="B45" s="156" t="s">
        <v>34</v>
      </c>
      <c r="C45" s="626" t="s">
        <v>1022</v>
      </c>
      <c r="D45" s="1553"/>
      <c r="E45" s="840">
        <v>20.95</v>
      </c>
      <c r="F45" s="1554"/>
      <c r="G45" s="1555"/>
      <c r="H45" s="1556"/>
      <c r="J45" s="838">
        <v>1</v>
      </c>
      <c r="K45" s="1557"/>
      <c r="M45" s="383">
        <v>0</v>
      </c>
      <c r="O45" s="1584"/>
      <c r="P45" s="1343">
        <v>16019.21</v>
      </c>
      <c r="Q45" s="1555"/>
      <c r="R45" s="1555"/>
      <c r="T45" s="1123">
        <v>301096</v>
      </c>
      <c r="U45" s="156" t="s">
        <v>486</v>
      </c>
      <c r="V45" s="626" t="s">
        <v>1121</v>
      </c>
      <c r="W45" s="1553"/>
      <c r="X45" s="840">
        <v>8.61</v>
      </c>
      <c r="Y45" s="1555"/>
      <c r="Z45" s="1555"/>
      <c r="AA45" s="1556"/>
      <c r="AC45" s="838">
        <v>1</v>
      </c>
      <c r="AD45" s="1557"/>
      <c r="AF45" s="1112"/>
      <c r="AG45" s="1666"/>
      <c r="AH45" s="1666"/>
      <c r="AO45" s="1322"/>
      <c r="AP45" s="1323"/>
    </row>
    <row r="46" spans="1:42">
      <c r="A46" s="155">
        <v>300078</v>
      </c>
      <c r="B46" s="156" t="s">
        <v>68</v>
      </c>
      <c r="C46" s="626" t="s">
        <v>1022</v>
      </c>
      <c r="D46" s="1553"/>
      <c r="E46" s="840">
        <v>20.95</v>
      </c>
      <c r="F46" s="1554"/>
      <c r="G46" s="1555"/>
      <c r="H46" s="1556"/>
      <c r="J46" s="838">
        <v>1</v>
      </c>
      <c r="K46" s="1557"/>
      <c r="M46" s="383">
        <v>0</v>
      </c>
      <c r="O46" s="1584"/>
      <c r="P46" s="1343">
        <v>16019.21</v>
      </c>
      <c r="Q46" s="1555"/>
      <c r="R46" s="1555"/>
      <c r="T46" s="1123">
        <v>301097</v>
      </c>
      <c r="U46" s="156" t="s">
        <v>487</v>
      </c>
      <c r="V46" s="626" t="s">
        <v>1121</v>
      </c>
      <c r="W46" s="1553"/>
      <c r="X46" s="840">
        <v>8.85</v>
      </c>
      <c r="Y46" s="1555"/>
      <c r="Z46" s="1555"/>
      <c r="AA46" s="1556"/>
      <c r="AC46" s="838">
        <v>1</v>
      </c>
      <c r="AD46" s="1557"/>
      <c r="AF46" s="1112"/>
      <c r="AG46" s="1666"/>
      <c r="AH46" s="1666"/>
      <c r="AO46" s="1322"/>
      <c r="AP46" s="1323"/>
    </row>
    <row r="47" spans="1:42">
      <c r="A47" s="155">
        <v>300081</v>
      </c>
      <c r="B47" s="156" t="s">
        <v>35</v>
      </c>
      <c r="C47" s="626" t="s">
        <v>1022</v>
      </c>
      <c r="D47" s="1553"/>
      <c r="E47" s="840">
        <v>18.100000000000001</v>
      </c>
      <c r="F47" s="1554"/>
      <c r="G47" s="1555"/>
      <c r="H47" s="1556"/>
      <c r="J47" s="838">
        <v>1</v>
      </c>
      <c r="K47" s="1557"/>
      <c r="M47" s="383">
        <v>0</v>
      </c>
      <c r="O47" s="1584"/>
      <c r="P47" s="1343">
        <v>8854.31</v>
      </c>
      <c r="Q47" s="1555"/>
      <c r="R47" s="1555"/>
      <c r="T47" s="1123">
        <v>301098</v>
      </c>
      <c r="U47" s="156" t="s">
        <v>488</v>
      </c>
      <c r="V47" s="626" t="s">
        <v>1121</v>
      </c>
      <c r="W47" s="1553"/>
      <c r="X47" s="840">
        <v>8.61</v>
      </c>
      <c r="Y47" s="1555"/>
      <c r="Z47" s="1555"/>
      <c r="AA47" s="1556"/>
      <c r="AC47" s="838">
        <v>1</v>
      </c>
      <c r="AD47" s="1557"/>
      <c r="AF47" s="1112"/>
      <c r="AG47" s="1666"/>
      <c r="AH47" s="1666"/>
      <c r="AO47" s="1322"/>
      <c r="AP47" s="1323"/>
    </row>
    <row r="48" spans="1:42">
      <c r="A48" s="155">
        <v>300082</v>
      </c>
      <c r="B48" s="156" t="s">
        <v>1039</v>
      </c>
      <c r="C48" s="626" t="s">
        <v>1022</v>
      </c>
      <c r="D48" s="1553"/>
      <c r="E48" s="840">
        <v>21.41</v>
      </c>
      <c r="F48" s="1554"/>
      <c r="G48" s="1555"/>
      <c r="H48" s="1556"/>
      <c r="J48" s="838">
        <v>1</v>
      </c>
      <c r="K48" s="1557"/>
      <c r="M48" s="383">
        <v>0</v>
      </c>
      <c r="O48" s="1584"/>
      <c r="P48" s="1343">
        <v>16019.21</v>
      </c>
      <c r="Q48" s="1555"/>
      <c r="R48" s="1555"/>
      <c r="T48" s="1123">
        <v>301101</v>
      </c>
      <c r="U48" s="156" t="s">
        <v>489</v>
      </c>
      <c r="V48" s="626" t="s">
        <v>1121</v>
      </c>
      <c r="W48" s="1553"/>
      <c r="X48" s="840">
        <v>15.42</v>
      </c>
      <c r="Y48" s="1555"/>
      <c r="Z48" s="1555"/>
      <c r="AA48" s="1556"/>
      <c r="AC48" s="838">
        <v>1</v>
      </c>
      <c r="AD48" s="1557"/>
      <c r="AF48" s="1112"/>
      <c r="AG48" s="1666"/>
      <c r="AH48" s="1666"/>
      <c r="AO48" s="1322"/>
      <c r="AP48" s="1323"/>
    </row>
    <row r="49" spans="1:42">
      <c r="A49" s="155">
        <v>300083</v>
      </c>
      <c r="B49" s="156" t="s">
        <v>69</v>
      </c>
      <c r="C49" s="626" t="s">
        <v>1022</v>
      </c>
      <c r="D49" s="1553"/>
      <c r="E49" s="840">
        <v>18.100000000000001</v>
      </c>
      <c r="F49" s="1554"/>
      <c r="G49" s="1555"/>
      <c r="H49" s="1556"/>
      <c r="J49" s="838">
        <v>1</v>
      </c>
      <c r="K49" s="1557"/>
      <c r="M49" s="383">
        <v>0</v>
      </c>
      <c r="O49" s="1584"/>
      <c r="P49" s="1343">
        <v>12599.58</v>
      </c>
      <c r="Q49" s="1555"/>
      <c r="R49" s="1555"/>
      <c r="T49" s="1123">
        <v>301106</v>
      </c>
      <c r="U49" s="156" t="s">
        <v>490</v>
      </c>
      <c r="V49" s="626" t="s">
        <v>1121</v>
      </c>
      <c r="W49" s="1553"/>
      <c r="X49" s="840">
        <v>9.25</v>
      </c>
      <c r="Y49" s="1555"/>
      <c r="Z49" s="1555"/>
      <c r="AA49" s="1556"/>
      <c r="AC49" s="838">
        <v>1</v>
      </c>
      <c r="AD49" s="1557"/>
      <c r="AF49" s="1112"/>
      <c r="AG49" s="1666"/>
      <c r="AH49" s="1666"/>
      <c r="AO49" s="1322"/>
      <c r="AP49" s="1323"/>
    </row>
    <row r="50" spans="1:42">
      <c r="A50" s="155">
        <v>300085</v>
      </c>
      <c r="B50" s="156" t="s">
        <v>36</v>
      </c>
      <c r="C50" s="626" t="s">
        <v>1022</v>
      </c>
      <c r="D50" s="1553"/>
      <c r="E50" s="840">
        <v>18.100000000000001</v>
      </c>
      <c r="F50" s="1554"/>
      <c r="G50" s="1555"/>
      <c r="H50" s="1556"/>
      <c r="J50" s="838">
        <v>1</v>
      </c>
      <c r="K50" s="1557"/>
      <c r="M50" s="383">
        <v>0</v>
      </c>
      <c r="O50" s="1584"/>
      <c r="P50" s="1343">
        <v>16019.21</v>
      </c>
      <c r="Q50" s="1555"/>
      <c r="R50" s="1555"/>
      <c r="T50" s="1123">
        <v>301107</v>
      </c>
      <c r="U50" s="584" t="s">
        <v>53</v>
      </c>
      <c r="V50" s="626" t="s">
        <v>1121</v>
      </c>
      <c r="W50" s="1553"/>
      <c r="X50" s="840">
        <v>8.61</v>
      </c>
      <c r="Y50" s="1555"/>
      <c r="Z50" s="1555"/>
      <c r="AA50" s="1556"/>
      <c r="AC50" s="838">
        <v>1</v>
      </c>
      <c r="AD50" s="1557"/>
      <c r="AF50" s="1112"/>
      <c r="AG50" s="1666"/>
      <c r="AH50" s="1666"/>
      <c r="AO50" s="1322"/>
      <c r="AP50" s="1323"/>
    </row>
    <row r="51" spans="1:42">
      <c r="A51" s="155">
        <v>300088</v>
      </c>
      <c r="B51" s="156" t="s">
        <v>1040</v>
      </c>
      <c r="C51" s="626" t="s">
        <v>1022</v>
      </c>
      <c r="D51" s="1553"/>
      <c r="E51" s="840">
        <v>16.97</v>
      </c>
      <c r="F51" s="1554"/>
      <c r="G51" s="1555"/>
      <c r="H51" s="1556"/>
      <c r="J51" s="838">
        <v>1</v>
      </c>
      <c r="K51" s="1557"/>
      <c r="M51" s="383">
        <v>0</v>
      </c>
      <c r="O51" s="1584"/>
      <c r="P51" s="1343">
        <v>16019.21</v>
      </c>
      <c r="Q51" s="1555"/>
      <c r="R51" s="1555"/>
      <c r="T51" s="1123">
        <v>301108</v>
      </c>
      <c r="U51" s="156" t="s">
        <v>1143</v>
      </c>
      <c r="V51" s="626" t="s">
        <v>1121</v>
      </c>
      <c r="W51" s="1553"/>
      <c r="X51" s="840">
        <v>8.66</v>
      </c>
      <c r="Y51" s="1555"/>
      <c r="Z51" s="1555"/>
      <c r="AA51" s="1556"/>
      <c r="AC51" s="838">
        <v>1</v>
      </c>
      <c r="AD51" s="1557"/>
      <c r="AO51" s="1322"/>
      <c r="AP51" s="1323"/>
    </row>
    <row r="52" spans="1:42">
      <c r="A52" s="155">
        <v>300089</v>
      </c>
      <c r="B52" s="156" t="s">
        <v>70</v>
      </c>
      <c r="C52" s="626" t="s">
        <v>1022</v>
      </c>
      <c r="D52" s="1553"/>
      <c r="E52" s="840">
        <v>18.100000000000001</v>
      </c>
      <c r="F52" s="1554"/>
      <c r="G52" s="1555"/>
      <c r="H52" s="1556"/>
      <c r="J52" s="838">
        <v>1</v>
      </c>
      <c r="K52" s="1557"/>
      <c r="M52" s="383">
        <v>0</v>
      </c>
      <c r="O52" s="1584"/>
      <c r="P52" s="1343">
        <v>16019.21</v>
      </c>
      <c r="Q52" s="1555"/>
      <c r="R52" s="1555"/>
      <c r="T52" s="1123">
        <v>301109</v>
      </c>
      <c r="U52" s="156" t="s">
        <v>491</v>
      </c>
      <c r="V52" s="626" t="s">
        <v>1121</v>
      </c>
      <c r="W52" s="1553"/>
      <c r="X52" s="840">
        <v>8.61</v>
      </c>
      <c r="Y52" s="1555"/>
      <c r="Z52" s="1555"/>
      <c r="AA52" s="1556"/>
      <c r="AC52" s="838">
        <v>1</v>
      </c>
      <c r="AD52" s="1557"/>
      <c r="AO52" s="1322"/>
      <c r="AP52" s="1323"/>
    </row>
    <row r="53" spans="1:42">
      <c r="A53" s="155">
        <v>300090</v>
      </c>
      <c r="B53" s="156" t="s">
        <v>71</v>
      </c>
      <c r="C53" s="626" t="s">
        <v>1022</v>
      </c>
      <c r="D53" s="1553"/>
      <c r="E53" s="840">
        <v>20.28</v>
      </c>
      <c r="F53" s="1554"/>
      <c r="G53" s="1555"/>
      <c r="H53" s="1556"/>
      <c r="J53" s="838">
        <v>1</v>
      </c>
      <c r="K53" s="1557"/>
      <c r="M53" s="383">
        <v>0</v>
      </c>
      <c r="O53" s="1584"/>
      <c r="P53" s="1343">
        <v>7091.82</v>
      </c>
      <c r="Q53" s="1555"/>
      <c r="R53" s="1555"/>
      <c r="T53" s="1123">
        <v>301111</v>
      </c>
      <c r="U53" s="156" t="s">
        <v>54</v>
      </c>
      <c r="V53" s="626" t="s">
        <v>1041</v>
      </c>
      <c r="W53" s="1553"/>
      <c r="X53" s="840">
        <v>14.97</v>
      </c>
      <c r="Y53" s="1555"/>
      <c r="Z53" s="1555"/>
      <c r="AA53" s="1556"/>
      <c r="AC53" s="838">
        <v>0</v>
      </c>
      <c r="AD53" s="1557"/>
      <c r="AO53" s="1322"/>
      <c r="AP53" s="1323"/>
    </row>
    <row r="54" spans="1:42">
      <c r="A54" s="155">
        <v>300091</v>
      </c>
      <c r="B54" s="156" t="s">
        <v>72</v>
      </c>
      <c r="C54" s="626" t="s">
        <v>1022</v>
      </c>
      <c r="D54" s="1553"/>
      <c r="E54" s="840">
        <v>18.100000000000001</v>
      </c>
      <c r="F54" s="1554"/>
      <c r="G54" s="1555"/>
      <c r="H54" s="1556"/>
      <c r="J54" s="838">
        <v>1</v>
      </c>
      <c r="K54" s="1557"/>
      <c r="M54" s="383">
        <v>0</v>
      </c>
      <c r="O54" s="1584"/>
      <c r="P54" s="1343">
        <v>16019.21</v>
      </c>
      <c r="Q54" s="1555"/>
      <c r="R54" s="1555"/>
      <c r="T54" s="1123">
        <v>301112</v>
      </c>
      <c r="U54" s="156" t="s">
        <v>492</v>
      </c>
      <c r="V54" s="626" t="s">
        <v>1041</v>
      </c>
      <c r="W54" s="1553"/>
      <c r="X54" s="840">
        <v>8.3699999999999992</v>
      </c>
      <c r="Y54" s="1555"/>
      <c r="Z54" s="1555"/>
      <c r="AA54" s="1556"/>
      <c r="AC54" s="838">
        <v>0</v>
      </c>
      <c r="AD54" s="1557"/>
      <c r="AO54" s="1322"/>
      <c r="AP54" s="1323"/>
    </row>
    <row r="55" spans="1:42">
      <c r="A55" s="155">
        <v>300092</v>
      </c>
      <c r="B55" s="156" t="s">
        <v>73</v>
      </c>
      <c r="C55" s="626" t="s">
        <v>1022</v>
      </c>
      <c r="D55" s="1553"/>
      <c r="E55" s="840">
        <v>18</v>
      </c>
      <c r="F55" s="1554"/>
      <c r="G55" s="1555"/>
      <c r="H55" s="1556"/>
      <c r="J55" s="838">
        <v>1</v>
      </c>
      <c r="K55" s="1557"/>
      <c r="M55" s="383">
        <v>0</v>
      </c>
      <c r="O55" s="1584"/>
      <c r="P55" s="1343">
        <v>9689.19</v>
      </c>
      <c r="Q55" s="1555"/>
      <c r="R55" s="1555"/>
      <c r="T55" s="1123">
        <v>301113</v>
      </c>
      <c r="U55" s="156" t="s">
        <v>493</v>
      </c>
      <c r="V55" s="626" t="s">
        <v>1041</v>
      </c>
      <c r="W55" s="1553"/>
      <c r="X55" s="840">
        <v>8.3699999999999992</v>
      </c>
      <c r="Y55" s="1555"/>
      <c r="Z55" s="1555"/>
      <c r="AA55" s="1556"/>
      <c r="AC55" s="838">
        <v>0</v>
      </c>
      <c r="AD55" s="1557"/>
      <c r="AO55" s="1322"/>
      <c r="AP55" s="1323"/>
    </row>
    <row r="56" spans="1:42">
      <c r="A56" s="155">
        <v>300095</v>
      </c>
      <c r="B56" s="156" t="s">
        <v>291</v>
      </c>
      <c r="C56" s="626" t="s">
        <v>1022</v>
      </c>
      <c r="D56" s="1553"/>
      <c r="E56" s="840">
        <v>20.28</v>
      </c>
      <c r="F56" s="1554"/>
      <c r="G56" s="1555"/>
      <c r="H56" s="1556"/>
      <c r="J56" s="838">
        <v>1</v>
      </c>
      <c r="K56" s="1557"/>
      <c r="M56" s="383">
        <v>0</v>
      </c>
      <c r="O56" s="1584"/>
      <c r="P56" s="1343">
        <v>16004.09</v>
      </c>
      <c r="Q56" s="1555"/>
      <c r="R56" s="1555"/>
      <c r="T56" s="1123">
        <v>301114</v>
      </c>
      <c r="U56" s="156" t="s">
        <v>351</v>
      </c>
      <c r="V56" s="626" t="s">
        <v>1122</v>
      </c>
      <c r="W56" s="1553"/>
      <c r="X56" s="840">
        <v>9.75</v>
      </c>
      <c r="Y56" s="1555"/>
      <c r="Z56" s="1555"/>
      <c r="AA56" s="1556"/>
      <c r="AC56" s="838">
        <v>1</v>
      </c>
      <c r="AD56" s="1557"/>
      <c r="AO56" s="1322"/>
      <c r="AP56" s="1323"/>
    </row>
    <row r="57" spans="1:42">
      <c r="A57" s="155">
        <v>300096</v>
      </c>
      <c r="B57" s="156" t="s">
        <v>74</v>
      </c>
      <c r="C57" s="626" t="s">
        <v>1022</v>
      </c>
      <c r="D57" s="1553"/>
      <c r="E57" s="840">
        <v>20.28</v>
      </c>
      <c r="F57" s="1554"/>
      <c r="G57" s="1555"/>
      <c r="H57" s="1556"/>
      <c r="J57" s="838">
        <v>1</v>
      </c>
      <c r="K57" s="1557"/>
      <c r="M57" s="383">
        <v>0</v>
      </c>
      <c r="O57" s="1584"/>
      <c r="P57" s="1343">
        <v>16019.21</v>
      </c>
      <c r="Q57" s="1555"/>
      <c r="R57" s="1555"/>
      <c r="T57" s="1123">
        <v>301116</v>
      </c>
      <c r="U57" s="156" t="s">
        <v>352</v>
      </c>
      <c r="V57" s="626" t="s">
        <v>1122</v>
      </c>
      <c r="W57" s="1553"/>
      <c r="X57" s="840">
        <v>12.22</v>
      </c>
      <c r="Y57" s="1555"/>
      <c r="Z57" s="1555"/>
      <c r="AA57" s="1556"/>
      <c r="AC57" s="838">
        <v>1</v>
      </c>
      <c r="AD57" s="1557"/>
      <c r="AO57" s="1322"/>
      <c r="AP57" s="1323"/>
    </row>
    <row r="58" spans="1:42">
      <c r="A58" s="155">
        <v>300097</v>
      </c>
      <c r="B58" s="156" t="s">
        <v>75</v>
      </c>
      <c r="C58" s="626" t="s">
        <v>1022</v>
      </c>
      <c r="D58" s="1553"/>
      <c r="E58" s="840">
        <v>20.95</v>
      </c>
      <c r="F58" s="1554"/>
      <c r="G58" s="1555"/>
      <c r="H58" s="1556"/>
      <c r="J58" s="838">
        <v>1</v>
      </c>
      <c r="K58" s="1557"/>
      <c r="M58" s="383">
        <v>0</v>
      </c>
      <c r="O58" s="1584"/>
      <c r="P58" s="1343">
        <v>16019.21</v>
      </c>
      <c r="Q58" s="1555"/>
      <c r="R58" s="1555"/>
      <c r="T58" s="1123">
        <v>301118</v>
      </c>
      <c r="U58" s="156" t="s">
        <v>256</v>
      </c>
      <c r="V58" s="626" t="s">
        <v>1122</v>
      </c>
      <c r="W58" s="1553"/>
      <c r="X58" s="840">
        <v>11.46</v>
      </c>
      <c r="Y58" s="1555"/>
      <c r="Z58" s="1555"/>
      <c r="AA58" s="1556"/>
      <c r="AC58" s="838">
        <v>1</v>
      </c>
      <c r="AD58" s="1557"/>
      <c r="AO58" s="1322"/>
      <c r="AP58" s="1323"/>
    </row>
    <row r="59" spans="1:42">
      <c r="A59" s="155">
        <v>300099</v>
      </c>
      <c r="B59" s="156" t="s">
        <v>76</v>
      </c>
      <c r="C59" s="626" t="s">
        <v>1022</v>
      </c>
      <c r="D59" s="1553"/>
      <c r="E59" s="840">
        <v>14.84</v>
      </c>
      <c r="F59" s="1554"/>
      <c r="G59" s="1555"/>
      <c r="H59" s="1556"/>
      <c r="J59" s="838">
        <v>1</v>
      </c>
      <c r="K59" s="1557"/>
      <c r="M59" s="383">
        <v>0</v>
      </c>
      <c r="O59" s="1584"/>
      <c r="P59" s="1343">
        <v>16019.21</v>
      </c>
      <c r="Q59" s="1555"/>
      <c r="R59" s="1555"/>
      <c r="T59" s="1123">
        <v>301128</v>
      </c>
      <c r="U59" s="156" t="s">
        <v>497</v>
      </c>
      <c r="V59" s="626" t="s">
        <v>1144</v>
      </c>
      <c r="W59" s="1553"/>
      <c r="X59" s="840">
        <v>3.84</v>
      </c>
      <c r="Y59" s="1555"/>
      <c r="Z59" s="1555"/>
      <c r="AA59" s="1556"/>
      <c r="AC59" s="838">
        <v>0</v>
      </c>
      <c r="AD59" s="1557"/>
      <c r="AO59" s="1322"/>
      <c r="AP59" s="1323"/>
    </row>
    <row r="60" spans="1:42">
      <c r="A60" s="155">
        <v>300100</v>
      </c>
      <c r="B60" s="156" t="s">
        <v>37</v>
      </c>
      <c r="C60" s="626" t="s">
        <v>1022</v>
      </c>
      <c r="D60" s="1553"/>
      <c r="E60" s="840">
        <v>17.34</v>
      </c>
      <c r="F60" s="1554"/>
      <c r="G60" s="1555"/>
      <c r="H60" s="1556"/>
      <c r="J60" s="838">
        <v>1</v>
      </c>
      <c r="K60" s="1557"/>
      <c r="M60" s="383">
        <v>0</v>
      </c>
      <c r="O60" s="1584"/>
      <c r="P60" s="1343">
        <v>16019.21</v>
      </c>
      <c r="Q60" s="1555"/>
      <c r="R60" s="1555"/>
      <c r="T60" s="1123">
        <v>301184</v>
      </c>
      <c r="U60" s="156" t="s">
        <v>494</v>
      </c>
      <c r="V60" s="626" t="s">
        <v>1041</v>
      </c>
      <c r="W60" s="1553"/>
      <c r="X60" s="840">
        <v>12.77</v>
      </c>
      <c r="Y60" s="1555"/>
      <c r="Z60" s="1555"/>
      <c r="AA60" s="1556"/>
      <c r="AC60" s="838">
        <v>0</v>
      </c>
      <c r="AD60" s="1557"/>
      <c r="AO60" s="1322"/>
      <c r="AP60" s="1323"/>
    </row>
    <row r="61" spans="1:42">
      <c r="A61" s="155">
        <v>300131</v>
      </c>
      <c r="B61" s="156" t="s">
        <v>42</v>
      </c>
      <c r="C61" s="626" t="s">
        <v>1041</v>
      </c>
      <c r="D61" s="1553"/>
      <c r="E61" s="840">
        <v>18.75</v>
      </c>
      <c r="F61" s="1554"/>
      <c r="G61" s="1555"/>
      <c r="H61" s="1556"/>
      <c r="J61" s="838">
        <v>0</v>
      </c>
      <c r="K61" s="1557"/>
      <c r="M61" s="383">
        <v>0</v>
      </c>
      <c r="O61" s="1584"/>
      <c r="P61" s="1343">
        <v>0</v>
      </c>
      <c r="Q61" s="1555"/>
      <c r="R61" s="1555"/>
      <c r="T61" s="1123">
        <v>301185</v>
      </c>
      <c r="U61" s="156" t="s">
        <v>1123</v>
      </c>
      <c r="V61" s="626" t="s">
        <v>1122</v>
      </c>
      <c r="W61" s="1553"/>
      <c r="X61" s="840">
        <v>8.36</v>
      </c>
      <c r="Y61" s="1555"/>
      <c r="Z61" s="1555"/>
      <c r="AA61" s="1556"/>
      <c r="AC61" s="838">
        <v>1</v>
      </c>
      <c r="AD61" s="1557"/>
      <c r="AO61" s="1322"/>
      <c r="AP61" s="1323"/>
    </row>
    <row r="62" spans="1:42">
      <c r="A62" s="155">
        <v>300132</v>
      </c>
      <c r="B62" s="156" t="s">
        <v>1042</v>
      </c>
      <c r="C62" s="626" t="s">
        <v>1041</v>
      </c>
      <c r="D62" s="1553"/>
      <c r="E62" s="840">
        <v>12.8</v>
      </c>
      <c r="F62" s="1554"/>
      <c r="G62" s="1555"/>
      <c r="H62" s="1556"/>
      <c r="J62" s="838">
        <v>0</v>
      </c>
      <c r="K62" s="1557"/>
      <c r="M62" s="383">
        <v>0</v>
      </c>
      <c r="O62" s="1584"/>
      <c r="P62" s="1343">
        <v>0</v>
      </c>
      <c r="Q62" s="1555"/>
      <c r="R62" s="1555"/>
      <c r="T62" s="1123">
        <v>301198</v>
      </c>
      <c r="U62" s="156" t="s">
        <v>1126</v>
      </c>
      <c r="V62" s="626" t="s">
        <v>1122</v>
      </c>
      <c r="W62" s="1553"/>
      <c r="X62" s="840">
        <v>11.37</v>
      </c>
      <c r="Y62" s="1555"/>
      <c r="Z62" s="1555"/>
      <c r="AA62" s="1556"/>
      <c r="AC62" s="838">
        <v>1</v>
      </c>
      <c r="AD62" s="1557"/>
      <c r="AO62" s="1322"/>
      <c r="AP62" s="1323"/>
    </row>
    <row r="63" spans="1:42">
      <c r="A63" s="155">
        <v>300133</v>
      </c>
      <c r="B63" s="156" t="s">
        <v>1043</v>
      </c>
      <c r="C63" s="626" t="s">
        <v>1041</v>
      </c>
      <c r="D63" s="1553"/>
      <c r="E63" s="840">
        <v>12.8</v>
      </c>
      <c r="F63" s="1554"/>
      <c r="G63" s="1555"/>
      <c r="H63" s="1556"/>
      <c r="J63" s="838">
        <v>0</v>
      </c>
      <c r="K63" s="1557"/>
      <c r="M63" s="383">
        <v>0</v>
      </c>
      <c r="O63" s="1584"/>
      <c r="P63" s="1343">
        <v>0</v>
      </c>
      <c r="Q63" s="1555"/>
      <c r="R63" s="1555"/>
      <c r="T63" s="1123">
        <v>301214</v>
      </c>
      <c r="U63" s="156" t="s">
        <v>495</v>
      </c>
      <c r="V63" s="626" t="s">
        <v>1041</v>
      </c>
      <c r="W63" s="1553"/>
      <c r="X63" s="840">
        <v>14.97</v>
      </c>
      <c r="Y63" s="1555"/>
      <c r="Z63" s="1555"/>
      <c r="AA63" s="1556"/>
      <c r="AC63" s="838">
        <v>0</v>
      </c>
      <c r="AD63" s="1557"/>
      <c r="AO63" s="1322"/>
      <c r="AP63" s="1323"/>
    </row>
    <row r="64" spans="1:42">
      <c r="A64" s="155">
        <v>300136</v>
      </c>
      <c r="B64" s="156" t="s">
        <v>796</v>
      </c>
      <c r="C64" s="626" t="s">
        <v>1041</v>
      </c>
      <c r="D64" s="1553"/>
      <c r="E64" s="840">
        <v>6.3</v>
      </c>
      <c r="F64" s="1554"/>
      <c r="G64" s="1555"/>
      <c r="H64" s="1556"/>
      <c r="J64" s="838">
        <v>0</v>
      </c>
      <c r="K64" s="1557"/>
      <c r="M64" s="383">
        <v>0</v>
      </c>
      <c r="O64" s="1584"/>
      <c r="P64" s="1343">
        <v>0</v>
      </c>
      <c r="Q64" s="1555"/>
      <c r="R64" s="1555"/>
      <c r="T64" s="1123">
        <v>301276</v>
      </c>
      <c r="U64" s="156" t="s">
        <v>56</v>
      </c>
      <c r="V64" s="626" t="s">
        <v>1122</v>
      </c>
      <c r="W64" s="1553"/>
      <c r="X64" s="840">
        <v>15.76</v>
      </c>
      <c r="Y64" s="1555"/>
      <c r="Z64" s="1555"/>
      <c r="AA64" s="1556"/>
      <c r="AC64" s="838">
        <v>1</v>
      </c>
      <c r="AD64" s="1557"/>
      <c r="AO64" s="1322"/>
      <c r="AP64" s="1323"/>
    </row>
    <row r="65" spans="1:42">
      <c r="A65" s="155">
        <v>300138</v>
      </c>
      <c r="B65" s="156" t="s">
        <v>1044</v>
      </c>
      <c r="C65" s="626" t="s">
        <v>1041</v>
      </c>
      <c r="D65" s="1553"/>
      <c r="E65" s="840">
        <v>18.63</v>
      </c>
      <c r="F65" s="1554"/>
      <c r="G65" s="1555"/>
      <c r="H65" s="1556"/>
      <c r="J65" s="838">
        <v>0</v>
      </c>
      <c r="K65" s="1557"/>
      <c r="M65" s="383">
        <v>0</v>
      </c>
      <c r="O65" s="1584"/>
      <c r="P65" s="1343">
        <v>0</v>
      </c>
      <c r="Q65" s="1555"/>
      <c r="R65" s="1555"/>
      <c r="T65" s="1123">
        <v>301308</v>
      </c>
      <c r="U65" s="584" t="s">
        <v>1259</v>
      </c>
      <c r="V65" s="626" t="s">
        <v>1121</v>
      </c>
      <c r="W65" s="1553"/>
      <c r="X65" s="840">
        <v>9.0500000000000007</v>
      </c>
      <c r="Y65" s="1555"/>
      <c r="Z65" s="1555"/>
      <c r="AA65" s="1556"/>
      <c r="AC65" s="838">
        <v>1</v>
      </c>
      <c r="AD65" s="1557"/>
      <c r="AO65" s="1322"/>
      <c r="AP65" s="1323"/>
    </row>
    <row r="66" spans="1:42">
      <c r="A66" s="155">
        <v>300139</v>
      </c>
      <c r="B66" s="156" t="s">
        <v>1045</v>
      </c>
      <c r="C66" s="626" t="s">
        <v>1041</v>
      </c>
      <c r="D66" s="1553"/>
      <c r="E66" s="840">
        <v>14.37</v>
      </c>
      <c r="F66" s="1554"/>
      <c r="G66" s="1555"/>
      <c r="H66" s="1556"/>
      <c r="J66" s="838">
        <v>0</v>
      </c>
      <c r="K66" s="1557"/>
      <c r="M66" s="383">
        <v>0</v>
      </c>
      <c r="O66" s="1584"/>
      <c r="P66" s="1343">
        <v>0</v>
      </c>
      <c r="Q66" s="1555"/>
      <c r="R66" s="1555"/>
      <c r="T66" s="1123">
        <v>301309</v>
      </c>
      <c r="U66" s="156" t="s">
        <v>57</v>
      </c>
      <c r="V66" s="626" t="s">
        <v>1122</v>
      </c>
      <c r="W66" s="1553"/>
      <c r="X66" s="840">
        <v>11.37</v>
      </c>
      <c r="Y66" s="1555"/>
      <c r="Z66" s="1555"/>
      <c r="AA66" s="1556"/>
      <c r="AC66" s="838">
        <v>1</v>
      </c>
      <c r="AD66" s="1557"/>
      <c r="AO66" s="1322"/>
      <c r="AP66" s="1323"/>
    </row>
    <row r="67" spans="1:42">
      <c r="A67" s="155">
        <v>300140</v>
      </c>
      <c r="B67" s="156" t="s">
        <v>788</v>
      </c>
      <c r="C67" s="626" t="s">
        <v>1041</v>
      </c>
      <c r="D67" s="1553"/>
      <c r="E67" s="840">
        <v>11.6</v>
      </c>
      <c r="F67" s="1554"/>
      <c r="G67" s="1555"/>
      <c r="H67" s="1556"/>
      <c r="J67" s="838">
        <v>0</v>
      </c>
      <c r="K67" s="1557"/>
      <c r="M67" s="383">
        <v>0</v>
      </c>
      <c r="O67" s="1584"/>
      <c r="P67" s="1343">
        <v>0</v>
      </c>
      <c r="Q67" s="1555"/>
      <c r="R67" s="1555"/>
      <c r="T67" s="1123">
        <v>301311</v>
      </c>
      <c r="U67" s="156" t="s">
        <v>496</v>
      </c>
      <c r="V67" s="626" t="s">
        <v>1121</v>
      </c>
      <c r="W67" s="1553"/>
      <c r="X67" s="840">
        <v>11.21</v>
      </c>
      <c r="Y67" s="1555"/>
      <c r="Z67" s="1555"/>
      <c r="AA67" s="1556"/>
      <c r="AC67" s="838">
        <v>1</v>
      </c>
      <c r="AD67" s="1557"/>
      <c r="AO67" s="1322"/>
      <c r="AP67" s="1323"/>
    </row>
    <row r="68" spans="1:42">
      <c r="A68" s="155">
        <v>300141</v>
      </c>
      <c r="B68" s="156" t="s">
        <v>1046</v>
      </c>
      <c r="C68" s="626" t="s">
        <v>1041</v>
      </c>
      <c r="D68" s="1553"/>
      <c r="E68" s="840">
        <v>20.72</v>
      </c>
      <c r="F68" s="1554"/>
      <c r="G68" s="1555"/>
      <c r="H68" s="1556"/>
      <c r="J68" s="838">
        <v>0</v>
      </c>
      <c r="K68" s="1557"/>
      <c r="M68" s="383">
        <v>0</v>
      </c>
      <c r="O68" s="1584"/>
      <c r="P68" s="1343">
        <v>0</v>
      </c>
      <c r="Q68" s="1555"/>
      <c r="R68" s="1555"/>
      <c r="T68" s="1123">
        <v>301320</v>
      </c>
      <c r="U68" s="156" t="s">
        <v>1130</v>
      </c>
      <c r="V68" s="626" t="s">
        <v>1122</v>
      </c>
      <c r="W68" s="1553"/>
      <c r="X68" s="840">
        <v>9.01</v>
      </c>
      <c r="Y68" s="1555"/>
      <c r="Z68" s="1555"/>
      <c r="AA68" s="1556"/>
      <c r="AC68" s="838">
        <v>1</v>
      </c>
      <c r="AD68" s="1557"/>
      <c r="AO68" s="1322"/>
      <c r="AP68" s="1323"/>
    </row>
    <row r="69" spans="1:42">
      <c r="A69" s="155">
        <v>300142</v>
      </c>
      <c r="B69" s="156" t="s">
        <v>43</v>
      </c>
      <c r="C69" s="626" t="s">
        <v>1041</v>
      </c>
      <c r="D69" s="1553"/>
      <c r="E69" s="840">
        <v>3.23</v>
      </c>
      <c r="F69" s="1554"/>
      <c r="G69" s="1555"/>
      <c r="H69" s="1556"/>
      <c r="J69" s="838">
        <v>0</v>
      </c>
      <c r="K69" s="1557"/>
      <c r="M69" s="383">
        <v>0</v>
      </c>
      <c r="O69" s="1584"/>
      <c r="P69" s="1343">
        <v>0</v>
      </c>
      <c r="Q69" s="1555"/>
      <c r="R69" s="1555"/>
      <c r="T69" s="863">
        <v>301345</v>
      </c>
      <c r="U69" s="163" t="s">
        <v>211</v>
      </c>
      <c r="V69" s="626" t="s">
        <v>1121</v>
      </c>
      <c r="W69" s="1553"/>
      <c r="X69" s="840">
        <v>9.0500000000000007</v>
      </c>
      <c r="Y69" s="1555"/>
      <c r="Z69" s="1555"/>
      <c r="AA69" s="1556"/>
      <c r="AC69" s="838">
        <v>1</v>
      </c>
      <c r="AD69" s="1557"/>
      <c r="AO69" s="1322"/>
      <c r="AP69" s="1323"/>
    </row>
    <row r="70" spans="1:42">
      <c r="A70" s="155">
        <v>300143</v>
      </c>
      <c r="B70" s="156" t="s">
        <v>44</v>
      </c>
      <c r="C70" s="626" t="s">
        <v>1041</v>
      </c>
      <c r="D70" s="1553"/>
      <c r="E70" s="840">
        <v>14.37</v>
      </c>
      <c r="F70" s="1554"/>
      <c r="G70" s="1555"/>
      <c r="H70" s="1556"/>
      <c r="J70" s="838">
        <v>0</v>
      </c>
      <c r="K70" s="1557"/>
      <c r="M70" s="383">
        <v>0</v>
      </c>
      <c r="O70" s="1584"/>
      <c r="P70" s="1343">
        <v>0</v>
      </c>
      <c r="Q70" s="1555"/>
      <c r="R70" s="1555"/>
      <c r="T70" s="863">
        <v>301348</v>
      </c>
      <c r="U70" s="163" t="s">
        <v>28</v>
      </c>
      <c r="V70" s="626" t="s">
        <v>1122</v>
      </c>
      <c r="W70" s="1553"/>
      <c r="X70" s="859">
        <v>14.5</v>
      </c>
      <c r="Y70" s="1555"/>
      <c r="Z70" s="1555"/>
      <c r="AA70" s="1556"/>
      <c r="AC70" s="838">
        <v>1</v>
      </c>
      <c r="AD70" s="1557"/>
      <c r="AO70" s="1322"/>
      <c r="AP70" s="1323" t="s">
        <v>1241</v>
      </c>
    </row>
    <row r="71" spans="1:42">
      <c r="A71" s="155">
        <v>300144</v>
      </c>
      <c r="B71" s="156" t="s">
        <v>292</v>
      </c>
      <c r="C71" s="626" t="s">
        <v>1041</v>
      </c>
      <c r="D71" s="1553"/>
      <c r="E71" s="840">
        <v>5.87</v>
      </c>
      <c r="F71" s="1554"/>
      <c r="G71" s="1555"/>
      <c r="H71" s="1556"/>
      <c r="J71" s="838">
        <v>0</v>
      </c>
      <c r="K71" s="1557"/>
      <c r="M71" s="383">
        <v>0</v>
      </c>
      <c r="O71" s="1584"/>
      <c r="P71" s="1343">
        <v>0</v>
      </c>
      <c r="Q71" s="1555"/>
      <c r="R71" s="1555"/>
      <c r="T71" s="863">
        <v>301360</v>
      </c>
      <c r="U71" s="163" t="s">
        <v>212</v>
      </c>
      <c r="V71" s="626" t="s">
        <v>1122</v>
      </c>
      <c r="W71" s="1553"/>
      <c r="X71" s="840">
        <v>8.81</v>
      </c>
      <c r="Y71" s="1555"/>
      <c r="Z71" s="1555"/>
      <c r="AA71" s="1556"/>
      <c r="AC71" s="838">
        <v>1</v>
      </c>
      <c r="AD71" s="1557"/>
      <c r="AO71" s="1322"/>
      <c r="AP71" s="1323"/>
    </row>
    <row r="72" spans="1:42">
      <c r="A72" s="155">
        <v>300145</v>
      </c>
      <c r="B72" s="156" t="s">
        <v>1047</v>
      </c>
      <c r="C72" s="626" t="s">
        <v>1041</v>
      </c>
      <c r="D72" s="1553"/>
      <c r="E72" s="840">
        <v>6.54</v>
      </c>
      <c r="F72" s="1554"/>
      <c r="G72" s="1555"/>
      <c r="H72" s="1556"/>
      <c r="J72" s="838">
        <v>0</v>
      </c>
      <c r="K72" s="1557"/>
      <c r="M72" s="383">
        <v>0</v>
      </c>
      <c r="O72" s="1584"/>
      <c r="P72" s="1343">
        <v>0</v>
      </c>
      <c r="Q72" s="1555"/>
      <c r="R72" s="1555"/>
      <c r="T72" s="1123">
        <v>301361</v>
      </c>
      <c r="U72" s="156" t="s">
        <v>58</v>
      </c>
      <c r="V72" s="626" t="s">
        <v>1122</v>
      </c>
      <c r="W72" s="1553"/>
      <c r="X72" s="840">
        <v>8.36</v>
      </c>
      <c r="Y72" s="1555"/>
      <c r="Z72" s="1555"/>
      <c r="AA72" s="1556"/>
      <c r="AC72" s="838">
        <v>1</v>
      </c>
      <c r="AD72" s="1557"/>
      <c r="AO72" s="1322"/>
      <c r="AP72" s="1323"/>
    </row>
    <row r="73" spans="1:42">
      <c r="A73" s="155">
        <v>300146</v>
      </c>
      <c r="B73" s="156" t="s">
        <v>293</v>
      </c>
      <c r="C73" s="626" t="s">
        <v>1041</v>
      </c>
      <c r="D73" s="1553"/>
      <c r="E73" s="840">
        <v>6.54</v>
      </c>
      <c r="F73" s="1554"/>
      <c r="G73" s="1555"/>
      <c r="H73" s="1556"/>
      <c r="J73" s="838">
        <v>0</v>
      </c>
      <c r="K73" s="1557"/>
      <c r="M73" s="383">
        <v>0</v>
      </c>
      <c r="O73" s="1584"/>
      <c r="P73" s="1343">
        <v>0</v>
      </c>
      <c r="Q73" s="1555"/>
      <c r="R73" s="1555"/>
      <c r="T73" s="864">
        <v>301368</v>
      </c>
      <c r="U73" s="1248" t="s">
        <v>1132</v>
      </c>
      <c r="V73" s="626" t="s">
        <v>1041</v>
      </c>
      <c r="W73" s="1553"/>
      <c r="X73" s="859">
        <v>8.6</v>
      </c>
      <c r="Y73" s="1555"/>
      <c r="Z73" s="1555"/>
      <c r="AA73" s="1556"/>
      <c r="AC73" s="838">
        <v>0</v>
      </c>
      <c r="AD73" s="1557"/>
      <c r="AO73" s="1322"/>
      <c r="AP73" s="1323" t="s">
        <v>1242</v>
      </c>
    </row>
    <row r="74" spans="1:42">
      <c r="A74" s="155">
        <v>300147</v>
      </c>
      <c r="B74" s="156" t="s">
        <v>1048</v>
      </c>
      <c r="C74" s="626" t="s">
        <v>1041</v>
      </c>
      <c r="D74" s="1553"/>
      <c r="E74" s="840">
        <v>6.54</v>
      </c>
      <c r="F74" s="1554"/>
      <c r="G74" s="1555"/>
      <c r="H74" s="1556"/>
      <c r="J74" s="838">
        <v>0</v>
      </c>
      <c r="K74" s="1557"/>
      <c r="M74" s="383">
        <v>0</v>
      </c>
      <c r="O74" s="1584"/>
      <c r="P74" s="1343">
        <v>0</v>
      </c>
      <c r="Q74" s="1555"/>
      <c r="R74" s="1555"/>
      <c r="T74" s="1123">
        <v>301375</v>
      </c>
      <c r="U74" s="164" t="s">
        <v>1145</v>
      </c>
      <c r="V74" s="626" t="s">
        <v>1121</v>
      </c>
      <c r="W74" s="1553"/>
      <c r="X74" s="1128">
        <v>8.66</v>
      </c>
      <c r="Y74" s="1555"/>
      <c r="Z74" s="1555"/>
      <c r="AA74" s="1556"/>
      <c r="AC74" s="838">
        <v>1</v>
      </c>
      <c r="AD74" s="1557"/>
      <c r="AO74" s="1322"/>
      <c r="AP74" s="1323"/>
    </row>
    <row r="75" spans="1:42">
      <c r="A75" s="155">
        <v>300148</v>
      </c>
      <c r="B75" s="156" t="s">
        <v>77</v>
      </c>
      <c r="C75" s="626" t="s">
        <v>1019</v>
      </c>
      <c r="D75" s="1553"/>
      <c r="E75" s="840">
        <v>10.93</v>
      </c>
      <c r="F75" s="1554"/>
      <c r="G75" s="1555"/>
      <c r="H75" s="1556"/>
      <c r="J75" s="838">
        <v>0</v>
      </c>
      <c r="K75" s="1557"/>
      <c r="M75" s="383">
        <v>1</v>
      </c>
      <c r="O75" s="1584"/>
      <c r="P75" s="1343">
        <v>16019.21</v>
      </c>
      <c r="Q75" s="1555"/>
      <c r="R75" s="1555"/>
      <c r="T75" s="1123">
        <v>301391</v>
      </c>
      <c r="U75" s="164" t="s">
        <v>798</v>
      </c>
      <c r="V75" s="626" t="s">
        <v>1122</v>
      </c>
      <c r="W75" s="1553"/>
      <c r="X75" s="840">
        <v>8.3699999999999992</v>
      </c>
      <c r="Y75" s="1555"/>
      <c r="Z75" s="1555"/>
      <c r="AA75" s="1556"/>
      <c r="AC75" s="838">
        <v>1</v>
      </c>
      <c r="AD75" s="1557"/>
      <c r="AO75" s="1322"/>
      <c r="AP75" s="1323"/>
    </row>
    <row r="76" spans="1:42">
      <c r="A76" s="155">
        <v>300149</v>
      </c>
      <c r="B76" s="156" t="s">
        <v>78</v>
      </c>
      <c r="C76" s="626" t="s">
        <v>1019</v>
      </c>
      <c r="D76" s="1553"/>
      <c r="E76" s="840">
        <v>10.93</v>
      </c>
      <c r="F76" s="1554"/>
      <c r="G76" s="1555"/>
      <c r="H76" s="1556"/>
      <c r="J76" s="838">
        <v>0</v>
      </c>
      <c r="K76" s="1557"/>
      <c r="M76" s="383">
        <v>1</v>
      </c>
      <c r="O76" s="1584"/>
      <c r="P76" s="1343">
        <v>16019.21</v>
      </c>
      <c r="Q76" s="1555"/>
      <c r="R76" s="1555"/>
      <c r="T76" s="1124">
        <v>301392</v>
      </c>
      <c r="U76" s="163" t="s">
        <v>1146</v>
      </c>
      <c r="V76" s="626" t="s">
        <v>1121</v>
      </c>
      <c r="W76" s="1553"/>
      <c r="X76" s="840">
        <v>9.85</v>
      </c>
      <c r="Y76" s="1555"/>
      <c r="Z76" s="1555"/>
      <c r="AA76" s="1556"/>
      <c r="AC76" s="838">
        <v>1</v>
      </c>
      <c r="AD76" s="1557"/>
      <c r="AO76" s="1322"/>
      <c r="AP76" s="1323"/>
    </row>
    <row r="77" spans="1:42">
      <c r="A77" s="155">
        <v>300150</v>
      </c>
      <c r="B77" s="156" t="s">
        <v>1049</v>
      </c>
      <c r="C77" s="626" t="s">
        <v>1022</v>
      </c>
      <c r="D77" s="1553"/>
      <c r="E77" s="840">
        <v>10.210000000000001</v>
      </c>
      <c r="F77" s="1554"/>
      <c r="G77" s="1555"/>
      <c r="H77" s="1556"/>
      <c r="J77" s="838">
        <v>1</v>
      </c>
      <c r="K77" s="1557"/>
      <c r="M77" s="383">
        <v>0</v>
      </c>
      <c r="O77" s="1584"/>
      <c r="P77" s="1343">
        <v>15534.15</v>
      </c>
      <c r="Q77" s="1555"/>
      <c r="R77" s="1555"/>
      <c r="T77" s="863">
        <v>301397</v>
      </c>
      <c r="U77" s="291" t="s">
        <v>213</v>
      </c>
      <c r="V77" s="626" t="s">
        <v>1122</v>
      </c>
      <c r="W77" s="1553"/>
      <c r="X77" s="840">
        <v>11.37</v>
      </c>
      <c r="Y77" s="1555"/>
      <c r="Z77" s="1555"/>
      <c r="AA77" s="1556"/>
      <c r="AC77" s="838">
        <v>1</v>
      </c>
      <c r="AD77" s="1557"/>
      <c r="AO77" s="1322"/>
      <c r="AP77" s="1323"/>
    </row>
    <row r="78" spans="1:42">
      <c r="A78" s="155">
        <v>300151</v>
      </c>
      <c r="B78" s="156" t="s">
        <v>1050</v>
      </c>
      <c r="C78" s="626" t="s">
        <v>1022</v>
      </c>
      <c r="D78" s="1553"/>
      <c r="E78" s="840">
        <v>8.5399999999999991</v>
      </c>
      <c r="F78" s="1554"/>
      <c r="G78" s="1555"/>
      <c r="H78" s="1556"/>
      <c r="J78" s="838">
        <v>1</v>
      </c>
      <c r="K78" s="1557"/>
      <c r="M78" s="383">
        <v>0</v>
      </c>
      <c r="O78" s="1584"/>
      <c r="P78" s="1343">
        <v>32038.42</v>
      </c>
      <c r="Q78" s="1555"/>
      <c r="R78" s="1555"/>
      <c r="T78" s="1125">
        <v>301400</v>
      </c>
      <c r="U78" s="290" t="s">
        <v>214</v>
      </c>
      <c r="V78" s="626" t="s">
        <v>1122</v>
      </c>
      <c r="W78" s="1553"/>
      <c r="X78" s="840">
        <v>8.81</v>
      </c>
      <c r="Y78" s="1555"/>
      <c r="Z78" s="1555"/>
      <c r="AA78" s="1556"/>
      <c r="AC78" s="838">
        <v>1</v>
      </c>
      <c r="AD78" s="1557"/>
      <c r="AO78" s="1322"/>
      <c r="AP78" s="1323"/>
    </row>
    <row r="79" spans="1:42">
      <c r="A79" s="155">
        <v>300153</v>
      </c>
      <c r="B79" s="156" t="s">
        <v>79</v>
      </c>
      <c r="C79" s="626" t="s">
        <v>1022</v>
      </c>
      <c r="D79" s="1553"/>
      <c r="E79" s="840">
        <v>8.99</v>
      </c>
      <c r="F79" s="1554"/>
      <c r="G79" s="1555"/>
      <c r="H79" s="1556"/>
      <c r="J79" s="838">
        <v>1</v>
      </c>
      <c r="K79" s="1557"/>
      <c r="M79" s="383">
        <v>0</v>
      </c>
      <c r="O79" s="1584"/>
      <c r="P79" s="1343">
        <v>8217.3799999999992</v>
      </c>
      <c r="Q79" s="1555"/>
      <c r="R79" s="1555"/>
      <c r="T79" s="863">
        <v>301401</v>
      </c>
      <c r="U79" s="166" t="s">
        <v>627</v>
      </c>
      <c r="V79" s="626" t="s">
        <v>1122</v>
      </c>
      <c r="W79" s="1553"/>
      <c r="X79" s="1128">
        <v>8.81</v>
      </c>
      <c r="Y79" s="1586"/>
      <c r="Z79" s="1555"/>
      <c r="AA79" s="1556"/>
      <c r="AC79" s="838">
        <v>1</v>
      </c>
      <c r="AD79" s="1557"/>
      <c r="AO79" s="1322"/>
      <c r="AP79" s="1323"/>
    </row>
    <row r="80" spans="1:42">
      <c r="A80" s="155">
        <v>300161</v>
      </c>
      <c r="B80" s="156" t="s">
        <v>294</v>
      </c>
      <c r="C80" s="626" t="s">
        <v>1019</v>
      </c>
      <c r="D80" s="1553"/>
      <c r="E80" s="840">
        <v>2.27</v>
      </c>
      <c r="F80" s="1554"/>
      <c r="G80" s="1555"/>
      <c r="H80" s="1556"/>
      <c r="J80" s="838">
        <v>0</v>
      </c>
      <c r="K80" s="1557"/>
      <c r="M80" s="383">
        <v>1</v>
      </c>
      <c r="O80" s="1584"/>
      <c r="P80" s="1343">
        <v>112134.48</v>
      </c>
      <c r="Q80" s="1555"/>
      <c r="R80" s="1555"/>
      <c r="T80" s="863">
        <v>301452</v>
      </c>
      <c r="U80" s="163" t="s">
        <v>628</v>
      </c>
      <c r="V80" s="626" t="s">
        <v>1121</v>
      </c>
      <c r="W80" s="1553"/>
      <c r="X80" s="859">
        <v>14.5</v>
      </c>
      <c r="Y80" s="1555"/>
      <c r="Z80" s="1555"/>
      <c r="AA80" s="1556"/>
      <c r="AC80" s="838">
        <v>1</v>
      </c>
      <c r="AD80" s="1557"/>
      <c r="AO80" s="1322"/>
      <c r="AP80" s="1323" t="s">
        <v>1241</v>
      </c>
    </row>
    <row r="81" spans="1:42">
      <c r="A81" s="155">
        <v>300162</v>
      </c>
      <c r="B81" s="156" t="s">
        <v>295</v>
      </c>
      <c r="C81" s="626" t="s">
        <v>1019</v>
      </c>
      <c r="D81" s="1553"/>
      <c r="E81" s="840">
        <v>16.440000000000001</v>
      </c>
      <c r="F81" s="1554"/>
      <c r="G81" s="1555"/>
      <c r="H81" s="1556"/>
      <c r="J81" s="838">
        <v>0</v>
      </c>
      <c r="K81" s="1557"/>
      <c r="M81" s="383">
        <v>1</v>
      </c>
      <c r="O81" s="1584"/>
      <c r="P81" s="1343">
        <v>48057.63</v>
      </c>
      <c r="Q81" s="1555"/>
      <c r="R81" s="1555"/>
      <c r="T81" s="863">
        <v>301453</v>
      </c>
      <c r="U81" s="163" t="s">
        <v>639</v>
      </c>
      <c r="V81" s="626" t="s">
        <v>1122</v>
      </c>
      <c r="W81" s="1553"/>
      <c r="X81" s="859">
        <v>8.3699999999999992</v>
      </c>
      <c r="Y81" s="1555"/>
      <c r="Z81" s="1555"/>
      <c r="AA81" s="1556"/>
      <c r="AC81" s="838">
        <v>1</v>
      </c>
      <c r="AD81" s="1557"/>
      <c r="AO81" s="1322"/>
      <c r="AP81" s="1323" t="s">
        <v>1241</v>
      </c>
    </row>
    <row r="82" spans="1:42">
      <c r="A82" s="155">
        <v>300163</v>
      </c>
      <c r="B82" s="156" t="s">
        <v>80</v>
      </c>
      <c r="C82" s="626" t="s">
        <v>1019</v>
      </c>
      <c r="D82" s="1553"/>
      <c r="E82" s="840">
        <v>6.82</v>
      </c>
      <c r="F82" s="1554"/>
      <c r="G82" s="1555"/>
      <c r="H82" s="1556"/>
      <c r="J82" s="838">
        <v>0</v>
      </c>
      <c r="K82" s="1557"/>
      <c r="M82" s="383">
        <v>1</v>
      </c>
      <c r="O82" s="1584"/>
      <c r="P82" s="1343">
        <v>16019.21</v>
      </c>
      <c r="Q82" s="1555"/>
      <c r="R82" s="1555"/>
      <c r="T82" s="1123">
        <v>301454</v>
      </c>
      <c r="U82" s="584" t="s">
        <v>787</v>
      </c>
      <c r="V82" s="626" t="s">
        <v>1121</v>
      </c>
      <c r="W82" s="1553"/>
      <c r="X82" s="859">
        <v>9.01</v>
      </c>
      <c r="Y82" s="1555"/>
      <c r="Z82" s="1555"/>
      <c r="AA82" s="1556"/>
      <c r="AC82" s="838">
        <v>0</v>
      </c>
      <c r="AD82" s="1557"/>
      <c r="AO82" s="1322"/>
      <c r="AP82" s="1323" t="s">
        <v>1241</v>
      </c>
    </row>
    <row r="83" spans="1:42" ht="13.5" thickBot="1">
      <c r="A83" s="155">
        <v>300164</v>
      </c>
      <c r="B83" s="156" t="s">
        <v>296</v>
      </c>
      <c r="C83" s="626" t="s">
        <v>1019</v>
      </c>
      <c r="D83" s="1553"/>
      <c r="E83" s="840">
        <v>6.82</v>
      </c>
      <c r="F83" s="1554"/>
      <c r="G83" s="1555"/>
      <c r="H83" s="1556"/>
      <c r="J83" s="838">
        <v>0</v>
      </c>
      <c r="K83" s="1557"/>
      <c r="M83" s="383">
        <v>1</v>
      </c>
      <c r="O83" s="1584"/>
      <c r="P83" s="1343">
        <v>32038.42</v>
      </c>
      <c r="Q83" s="1555"/>
      <c r="R83" s="1555"/>
      <c r="T83" s="864">
        <v>301468</v>
      </c>
      <c r="U83" s="858" t="s">
        <v>1189</v>
      </c>
      <c r="V83" s="626" t="s">
        <v>1121</v>
      </c>
      <c r="W83" s="1553"/>
      <c r="X83" s="859">
        <v>0</v>
      </c>
      <c r="Y83" s="1555"/>
      <c r="Z83" s="1555"/>
      <c r="AA83" s="1556"/>
      <c r="AC83" s="860">
        <v>0</v>
      </c>
      <c r="AD83" s="1557"/>
      <c r="AO83" s="1322"/>
      <c r="AP83" s="1323" t="s">
        <v>1242</v>
      </c>
    </row>
    <row r="84" spans="1:42" ht="13.5" thickTop="1">
      <c r="A84" s="155">
        <v>300167</v>
      </c>
      <c r="B84" s="156" t="s">
        <v>81</v>
      </c>
      <c r="C84" s="626" t="s">
        <v>1022</v>
      </c>
      <c r="D84" s="1553"/>
      <c r="E84" s="840">
        <v>9.91</v>
      </c>
      <c r="F84" s="1554"/>
      <c r="G84" s="1555"/>
      <c r="H84" s="1556"/>
      <c r="J84" s="838">
        <v>1</v>
      </c>
      <c r="K84" s="1557"/>
      <c r="M84" s="383">
        <v>0</v>
      </c>
      <c r="O84" s="1584"/>
      <c r="P84" s="1343">
        <v>16019.21</v>
      </c>
      <c r="Q84" s="1555"/>
      <c r="R84" s="1555"/>
      <c r="AA84" s="1016">
        <v>346012617.11051023</v>
      </c>
      <c r="AC84" s="515"/>
      <c r="AD84" s="515"/>
      <c r="AO84" s="1322"/>
      <c r="AP84" s="1323"/>
    </row>
    <row r="85" spans="1:42">
      <c r="A85" s="155">
        <v>300168</v>
      </c>
      <c r="B85" s="156" t="s">
        <v>297</v>
      </c>
      <c r="C85" s="626" t="s">
        <v>1019</v>
      </c>
      <c r="D85" s="1553"/>
      <c r="E85" s="840">
        <v>2.92</v>
      </c>
      <c r="F85" s="1554"/>
      <c r="G85" s="1555"/>
      <c r="H85" s="1556"/>
      <c r="J85" s="838">
        <v>0</v>
      </c>
      <c r="K85" s="1557"/>
      <c r="M85" s="383">
        <v>1</v>
      </c>
      <c r="O85" s="1584"/>
      <c r="P85" s="1343">
        <v>160192.10999999999</v>
      </c>
      <c r="Q85" s="1555"/>
      <c r="R85" s="1555"/>
      <c r="AC85" s="515"/>
      <c r="AD85" s="515"/>
      <c r="AO85" s="1322"/>
      <c r="AP85" s="1323"/>
    </row>
    <row r="86" spans="1:42">
      <c r="A86" s="155">
        <v>300171</v>
      </c>
      <c r="B86" s="156" t="s">
        <v>82</v>
      </c>
      <c r="C86" s="626" t="s">
        <v>1022</v>
      </c>
      <c r="D86" s="1553"/>
      <c r="E86" s="840">
        <v>13.5</v>
      </c>
      <c r="F86" s="1554"/>
      <c r="G86" s="1555"/>
      <c r="H86" s="1556"/>
      <c r="J86" s="838">
        <v>1</v>
      </c>
      <c r="K86" s="1557"/>
      <c r="M86" s="383">
        <v>0</v>
      </c>
      <c r="O86" s="1584"/>
      <c r="P86" s="1343">
        <v>16019.21</v>
      </c>
      <c r="Q86" s="1555"/>
      <c r="R86" s="1555"/>
      <c r="T86" s="1121"/>
      <c r="U86" s="1122"/>
      <c r="V86" s="1127"/>
      <c r="AC86" s="515"/>
      <c r="AD86" s="515"/>
      <c r="AO86" s="1322"/>
      <c r="AP86" s="1323"/>
    </row>
    <row r="87" spans="1:42">
      <c r="A87" s="155">
        <v>300178</v>
      </c>
      <c r="B87" s="156" t="s">
        <v>83</v>
      </c>
      <c r="C87" s="626" t="s">
        <v>1019</v>
      </c>
      <c r="D87" s="1553"/>
      <c r="E87" s="840">
        <v>10.029999999999999</v>
      </c>
      <c r="F87" s="1554"/>
      <c r="G87" s="1555"/>
      <c r="H87" s="1556"/>
      <c r="J87" s="838">
        <v>0</v>
      </c>
      <c r="K87" s="1557"/>
      <c r="M87" s="383">
        <v>1</v>
      </c>
      <c r="O87" s="1584"/>
      <c r="P87" s="1343">
        <v>16019.21</v>
      </c>
      <c r="Q87" s="1555"/>
      <c r="R87" s="1555"/>
      <c r="T87" s="1121"/>
      <c r="U87" s="1122"/>
      <c r="V87" s="1127"/>
      <c r="AC87" s="515"/>
      <c r="AD87" s="515"/>
      <c r="AO87" s="1322"/>
      <c r="AP87" s="1323"/>
    </row>
    <row r="88" spans="1:42">
      <c r="A88" s="155">
        <v>300179</v>
      </c>
      <c r="B88" s="156" t="s">
        <v>84</v>
      </c>
      <c r="C88" s="626" t="s">
        <v>1022</v>
      </c>
      <c r="D88" s="1553"/>
      <c r="E88" s="840">
        <v>11.57</v>
      </c>
      <c r="F88" s="1554"/>
      <c r="G88" s="1555"/>
      <c r="H88" s="1556"/>
      <c r="J88" s="838">
        <v>1</v>
      </c>
      <c r="K88" s="1557"/>
      <c r="M88" s="383">
        <v>0</v>
      </c>
      <c r="O88" s="1584"/>
      <c r="P88" s="1343">
        <v>32038.42</v>
      </c>
      <c r="Q88" s="1555"/>
      <c r="R88" s="1555"/>
      <c r="T88" s="1121"/>
      <c r="U88" s="1122"/>
      <c r="V88" s="1127"/>
      <c r="W88" s="1127"/>
      <c r="AC88" s="515"/>
      <c r="AD88" s="515"/>
      <c r="AO88" s="1322"/>
      <c r="AP88" s="1323"/>
    </row>
    <row r="89" spans="1:42">
      <c r="A89" s="155">
        <v>300183</v>
      </c>
      <c r="B89" s="156" t="s">
        <v>38</v>
      </c>
      <c r="C89" s="626" t="s">
        <v>1022</v>
      </c>
      <c r="D89" s="1553"/>
      <c r="E89" s="840">
        <v>5.82</v>
      </c>
      <c r="F89" s="1554"/>
      <c r="G89" s="1555"/>
      <c r="H89" s="1556"/>
      <c r="J89" s="838">
        <v>1</v>
      </c>
      <c r="K89" s="1557"/>
      <c r="M89" s="383">
        <v>0</v>
      </c>
      <c r="O89" s="1584"/>
      <c r="P89" s="1343">
        <v>16019.21</v>
      </c>
      <c r="Q89" s="1555"/>
      <c r="R89" s="1555"/>
      <c r="T89" s="1121"/>
      <c r="U89" s="1122"/>
      <c r="V89" s="1127"/>
      <c r="W89" s="1127"/>
      <c r="AC89" s="515"/>
      <c r="AD89" s="515"/>
      <c r="AO89" s="1322"/>
      <c r="AP89" s="1323"/>
    </row>
    <row r="90" spans="1:42">
      <c r="A90" s="155">
        <v>300189</v>
      </c>
      <c r="B90" s="156" t="s">
        <v>85</v>
      </c>
      <c r="C90" s="626" t="s">
        <v>1022</v>
      </c>
      <c r="D90" s="1553"/>
      <c r="E90" s="840">
        <v>11.57</v>
      </c>
      <c r="F90" s="1554"/>
      <c r="G90" s="1555"/>
      <c r="H90" s="1556"/>
      <c r="J90" s="838">
        <v>1</v>
      </c>
      <c r="K90" s="1557"/>
      <c r="M90" s="383">
        <v>0</v>
      </c>
      <c r="O90" s="1584"/>
      <c r="P90" s="1343">
        <v>16019.21</v>
      </c>
      <c r="Q90" s="1555"/>
      <c r="R90" s="1555"/>
      <c r="T90" s="1121"/>
      <c r="U90" s="1122"/>
      <c r="V90" s="1127"/>
      <c r="W90" s="1127"/>
      <c r="AC90" s="515"/>
      <c r="AD90" s="515"/>
      <c r="AO90" s="1322"/>
      <c r="AP90" s="1323"/>
    </row>
    <row r="91" spans="1:42">
      <c r="A91" s="155">
        <v>300191</v>
      </c>
      <c r="B91" s="156" t="s">
        <v>86</v>
      </c>
      <c r="C91" s="626" t="s">
        <v>1019</v>
      </c>
      <c r="D91" s="1553"/>
      <c r="E91" s="840">
        <v>8.8800000000000008</v>
      </c>
      <c r="F91" s="1554"/>
      <c r="G91" s="1555"/>
      <c r="H91" s="1556"/>
      <c r="J91" s="838">
        <v>0</v>
      </c>
      <c r="K91" s="1557"/>
      <c r="M91" s="383">
        <v>1</v>
      </c>
      <c r="O91" s="1584"/>
      <c r="P91" s="1343">
        <v>16019.21</v>
      </c>
      <c r="Q91" s="1555"/>
      <c r="R91" s="1555"/>
      <c r="T91" s="1121"/>
      <c r="U91" s="1122"/>
      <c r="V91" s="1127"/>
      <c r="W91" s="1127"/>
      <c r="AC91" s="515"/>
      <c r="AD91" s="515"/>
      <c r="AO91" s="1322"/>
      <c r="AP91" s="1323"/>
    </row>
    <row r="92" spans="1:42">
      <c r="A92" s="155">
        <v>300192</v>
      </c>
      <c r="B92" s="156" t="s">
        <v>1051</v>
      </c>
      <c r="C92" s="626" t="s">
        <v>1022</v>
      </c>
      <c r="D92" s="1553"/>
      <c r="E92" s="840">
        <v>2.96</v>
      </c>
      <c r="F92" s="1554"/>
      <c r="G92" s="1555"/>
      <c r="H92" s="1556"/>
      <c r="J92" s="838">
        <v>1</v>
      </c>
      <c r="K92" s="1557"/>
      <c r="M92" s="383">
        <v>0</v>
      </c>
      <c r="O92" s="1584"/>
      <c r="P92" s="1343">
        <v>16019.21</v>
      </c>
      <c r="Q92" s="1555"/>
      <c r="R92" s="1555"/>
      <c r="T92" s="1121"/>
      <c r="U92" s="1122"/>
      <c r="V92" s="1127"/>
      <c r="W92" s="1127"/>
      <c r="AC92" s="515"/>
      <c r="AD92" s="515"/>
      <c r="AO92" s="1322"/>
      <c r="AP92" s="1323"/>
    </row>
    <row r="93" spans="1:42">
      <c r="A93" s="155">
        <v>300193</v>
      </c>
      <c r="B93" s="156" t="s">
        <v>87</v>
      </c>
      <c r="C93" s="626" t="s">
        <v>1019</v>
      </c>
      <c r="D93" s="1553"/>
      <c r="E93" s="840">
        <v>10.029999999999999</v>
      </c>
      <c r="F93" s="1554"/>
      <c r="G93" s="1555"/>
      <c r="H93" s="1556"/>
      <c r="J93" s="838">
        <v>0</v>
      </c>
      <c r="K93" s="1557"/>
      <c r="M93" s="383">
        <v>1</v>
      </c>
      <c r="O93" s="1584"/>
      <c r="P93" s="1343">
        <v>16019.21</v>
      </c>
      <c r="Q93" s="1555"/>
      <c r="R93" s="1555"/>
      <c r="T93" s="1121"/>
      <c r="U93" s="1122"/>
      <c r="V93" s="1127"/>
      <c r="W93" s="1127"/>
      <c r="AC93" s="515"/>
      <c r="AD93" s="515"/>
      <c r="AO93" s="1322"/>
      <c r="AP93" s="1323"/>
    </row>
    <row r="94" spans="1:42">
      <c r="A94" s="155">
        <v>300196</v>
      </c>
      <c r="B94" s="156" t="s">
        <v>1052</v>
      </c>
      <c r="C94" s="626" t="s">
        <v>1022</v>
      </c>
      <c r="D94" s="1553"/>
      <c r="E94" s="840">
        <v>10.56</v>
      </c>
      <c r="F94" s="1554"/>
      <c r="G94" s="1555"/>
      <c r="H94" s="1556"/>
      <c r="J94" s="838">
        <v>1</v>
      </c>
      <c r="K94" s="1557"/>
      <c r="M94" s="383">
        <v>0</v>
      </c>
      <c r="O94" s="1584"/>
      <c r="P94" s="1343">
        <v>16019.21</v>
      </c>
      <c r="Q94" s="1555"/>
      <c r="R94" s="1555"/>
      <c r="T94" s="1121"/>
      <c r="U94" s="1122"/>
      <c r="V94" s="1127"/>
      <c r="W94" s="1127"/>
      <c r="AC94" s="515"/>
      <c r="AD94" s="515"/>
      <c r="AO94" s="1322"/>
      <c r="AP94" s="1323"/>
    </row>
    <row r="95" spans="1:42">
      <c r="A95" s="155">
        <v>300197</v>
      </c>
      <c r="B95" s="156" t="s">
        <v>39</v>
      </c>
      <c r="C95" s="626" t="s">
        <v>1022</v>
      </c>
      <c r="D95" s="1553"/>
      <c r="E95" s="840">
        <v>8.4499999999999993</v>
      </c>
      <c r="F95" s="1554"/>
      <c r="G95" s="1555"/>
      <c r="H95" s="1556"/>
      <c r="J95" s="838">
        <v>1</v>
      </c>
      <c r="K95" s="1557"/>
      <c r="M95" s="383">
        <v>0</v>
      </c>
      <c r="O95" s="1584"/>
      <c r="P95" s="1343">
        <v>16019.21</v>
      </c>
      <c r="Q95" s="1555"/>
      <c r="R95" s="1555"/>
      <c r="T95" s="1121"/>
      <c r="U95" s="1122"/>
      <c r="V95" s="1127"/>
      <c r="W95" s="1127"/>
      <c r="AC95" s="515"/>
      <c r="AD95" s="515"/>
      <c r="AO95" s="1322"/>
      <c r="AP95" s="1323"/>
    </row>
    <row r="96" spans="1:42">
      <c r="A96" s="155">
        <v>300200</v>
      </c>
      <c r="B96" s="156" t="s">
        <v>40</v>
      </c>
      <c r="C96" s="626" t="s">
        <v>1022</v>
      </c>
      <c r="D96" s="1553"/>
      <c r="E96" s="840">
        <v>6.9</v>
      </c>
      <c r="F96" s="1554"/>
      <c r="G96" s="1555"/>
      <c r="H96" s="1556"/>
      <c r="J96" s="838">
        <v>1</v>
      </c>
      <c r="K96" s="1557"/>
      <c r="M96" s="383">
        <v>0</v>
      </c>
      <c r="O96" s="1584"/>
      <c r="P96" s="1343">
        <v>32038.42</v>
      </c>
      <c r="Q96" s="1555"/>
      <c r="R96" s="1555"/>
      <c r="T96" s="1121"/>
      <c r="U96" s="1122"/>
      <c r="V96" s="1127"/>
      <c r="W96" s="1127"/>
      <c r="AC96" s="515"/>
      <c r="AD96" s="515"/>
      <c r="AO96" s="1322"/>
      <c r="AP96" s="1323"/>
    </row>
    <row r="97" spans="1:42">
      <c r="A97" s="155">
        <v>300201</v>
      </c>
      <c r="B97" s="156" t="s">
        <v>88</v>
      </c>
      <c r="C97" s="626" t="s">
        <v>1022</v>
      </c>
      <c r="D97" s="1553"/>
      <c r="E97" s="840">
        <v>7.59</v>
      </c>
      <c r="F97" s="1554"/>
      <c r="G97" s="1555"/>
      <c r="H97" s="1556"/>
      <c r="J97" s="838">
        <v>1</v>
      </c>
      <c r="K97" s="1557"/>
      <c r="M97" s="383">
        <v>0</v>
      </c>
      <c r="O97" s="1584"/>
      <c r="P97" s="1343">
        <v>16019.21</v>
      </c>
      <c r="Q97" s="1555"/>
      <c r="R97" s="1555"/>
      <c r="T97" s="1121"/>
      <c r="U97" s="1122"/>
      <c r="V97" s="1127"/>
      <c r="W97" s="1127"/>
      <c r="AC97" s="515"/>
      <c r="AD97" s="515"/>
      <c r="AO97" s="1322"/>
      <c r="AP97" s="1323"/>
    </row>
    <row r="98" spans="1:42">
      <c r="A98" s="155">
        <v>300203</v>
      </c>
      <c r="B98" s="156" t="s">
        <v>89</v>
      </c>
      <c r="C98" s="626" t="s">
        <v>1022</v>
      </c>
      <c r="D98" s="1553"/>
      <c r="E98" s="840">
        <v>2.96</v>
      </c>
      <c r="F98" s="1554"/>
      <c r="G98" s="1555"/>
      <c r="H98" s="1556"/>
      <c r="J98" s="838">
        <v>1</v>
      </c>
      <c r="K98" s="1557"/>
      <c r="M98" s="383">
        <v>0</v>
      </c>
      <c r="O98" s="1584"/>
      <c r="P98" s="1343">
        <v>16019.21</v>
      </c>
      <c r="Q98" s="1555"/>
      <c r="R98" s="1555"/>
      <c r="T98" s="1121"/>
      <c r="U98" s="1122"/>
      <c r="V98" s="1127"/>
      <c r="W98" s="1127"/>
      <c r="AC98" s="515"/>
      <c r="AD98" s="515"/>
      <c r="AO98" s="1322"/>
      <c r="AP98" s="1323"/>
    </row>
    <row r="99" spans="1:42">
      <c r="A99" s="155">
        <v>300205</v>
      </c>
      <c r="B99" s="156" t="s">
        <v>298</v>
      </c>
      <c r="C99" s="626" t="s">
        <v>1022</v>
      </c>
      <c r="D99" s="1553"/>
      <c r="E99" s="840">
        <v>10.56</v>
      </c>
      <c r="F99" s="1554"/>
      <c r="G99" s="1555"/>
      <c r="H99" s="1556"/>
      <c r="J99" s="838">
        <v>1</v>
      </c>
      <c r="K99" s="1557"/>
      <c r="M99" s="383">
        <v>0</v>
      </c>
      <c r="O99" s="1584"/>
      <c r="P99" s="1343">
        <v>16019.21</v>
      </c>
      <c r="Q99" s="1555"/>
      <c r="R99" s="1555"/>
      <c r="T99" s="1121"/>
      <c r="U99" s="1122"/>
      <c r="V99" s="1127"/>
      <c r="W99" s="1127"/>
      <c r="AC99" s="515"/>
      <c r="AD99" s="515"/>
      <c r="AO99" s="1322"/>
      <c r="AP99" s="1323"/>
    </row>
    <row r="100" spans="1:42">
      <c r="A100" s="155">
        <v>300210</v>
      </c>
      <c r="B100" s="156" t="s">
        <v>90</v>
      </c>
      <c r="C100" s="626" t="s">
        <v>1022</v>
      </c>
      <c r="D100" s="1553"/>
      <c r="E100" s="840">
        <v>8.99</v>
      </c>
      <c r="F100" s="1554"/>
      <c r="G100" s="1555"/>
      <c r="H100" s="1556"/>
      <c r="J100" s="838">
        <v>1</v>
      </c>
      <c r="K100" s="1557"/>
      <c r="M100" s="383">
        <v>0</v>
      </c>
      <c r="O100" s="1584"/>
      <c r="P100" s="1343">
        <v>10267.950000000001</v>
      </c>
      <c r="Q100" s="1555"/>
      <c r="R100" s="1555"/>
      <c r="T100" s="1121"/>
      <c r="U100" s="1122"/>
      <c r="V100" s="1127"/>
      <c r="W100" s="1127"/>
      <c r="AC100" s="515"/>
      <c r="AD100" s="515"/>
      <c r="AO100" s="1322"/>
      <c r="AP100" s="1323"/>
    </row>
    <row r="101" spans="1:42">
      <c r="A101" s="155">
        <v>300211</v>
      </c>
      <c r="B101" s="156" t="s">
        <v>1053</v>
      </c>
      <c r="C101" s="626" t="s">
        <v>1022</v>
      </c>
      <c r="D101" s="1553"/>
      <c r="E101" s="840">
        <v>12.05</v>
      </c>
      <c r="F101" s="1554"/>
      <c r="G101" s="1555"/>
      <c r="H101" s="1556"/>
      <c r="J101" s="838">
        <v>1</v>
      </c>
      <c r="K101" s="1557"/>
      <c r="M101" s="383">
        <v>0</v>
      </c>
      <c r="O101" s="1584"/>
      <c r="P101" s="1343">
        <v>16019.21</v>
      </c>
      <c r="Q101" s="1555"/>
      <c r="R101" s="1555"/>
      <c r="T101" s="1121"/>
      <c r="U101" s="1122"/>
      <c r="V101" s="1127"/>
      <c r="W101" s="1127"/>
      <c r="AC101" s="515"/>
      <c r="AD101" s="515"/>
      <c r="AO101" s="1322"/>
      <c r="AP101" s="1323"/>
    </row>
    <row r="102" spans="1:42">
      <c r="A102" s="155">
        <v>300216</v>
      </c>
      <c r="B102" s="156" t="s">
        <v>91</v>
      </c>
      <c r="C102" s="626" t="s">
        <v>1022</v>
      </c>
      <c r="D102" s="1553"/>
      <c r="E102" s="840">
        <v>11.16</v>
      </c>
      <c r="F102" s="1554"/>
      <c r="G102" s="1555"/>
      <c r="H102" s="1556"/>
      <c r="J102" s="838">
        <v>1</v>
      </c>
      <c r="K102" s="1557"/>
      <c r="M102" s="383">
        <v>0</v>
      </c>
      <c r="O102" s="1584"/>
      <c r="P102" s="1343">
        <v>13705.71</v>
      </c>
      <c r="Q102" s="1555"/>
      <c r="R102" s="1555"/>
      <c r="T102" s="1121"/>
      <c r="U102" s="1122"/>
      <c r="V102" s="1127"/>
      <c r="W102" s="1127"/>
      <c r="AC102" s="515"/>
      <c r="AD102" s="515"/>
      <c r="AO102" s="1322"/>
      <c r="AP102" s="1323"/>
    </row>
    <row r="103" spans="1:42">
      <c r="A103" s="155">
        <v>300217</v>
      </c>
      <c r="B103" s="156" t="s">
        <v>299</v>
      </c>
      <c r="C103" s="626" t="s">
        <v>1019</v>
      </c>
      <c r="D103" s="1553"/>
      <c r="E103" s="840">
        <v>6.93</v>
      </c>
      <c r="F103" s="1554"/>
      <c r="G103" s="1555"/>
      <c r="H103" s="1556"/>
      <c r="J103" s="838">
        <v>0</v>
      </c>
      <c r="K103" s="1557"/>
      <c r="M103" s="383">
        <v>1</v>
      </c>
      <c r="O103" s="1584"/>
      <c r="P103" s="1343">
        <v>32038.42</v>
      </c>
      <c r="Q103" s="1555"/>
      <c r="R103" s="1555"/>
      <c r="T103" s="1121"/>
      <c r="U103" s="1122"/>
      <c r="V103" s="1127"/>
      <c r="W103" s="1127"/>
      <c r="AC103" s="515"/>
      <c r="AD103" s="515"/>
      <c r="AO103" s="1322"/>
      <c r="AP103" s="1323"/>
    </row>
    <row r="104" spans="1:42">
      <c r="A104" s="155">
        <v>300220</v>
      </c>
      <c r="B104" s="156" t="s">
        <v>789</v>
      </c>
      <c r="C104" s="626" t="s">
        <v>1022</v>
      </c>
      <c r="D104" s="1553"/>
      <c r="E104" s="840">
        <v>14.19</v>
      </c>
      <c r="F104" s="1554"/>
      <c r="G104" s="1555"/>
      <c r="H104" s="1556"/>
      <c r="J104" s="838">
        <v>1</v>
      </c>
      <c r="K104" s="1557"/>
      <c r="M104" s="383">
        <v>0</v>
      </c>
      <c r="O104" s="1584"/>
      <c r="P104" s="1343">
        <v>16019.21</v>
      </c>
      <c r="Q104" s="1555"/>
      <c r="R104" s="1555"/>
      <c r="T104" s="1121"/>
      <c r="U104" s="1122"/>
      <c r="V104" s="1127"/>
      <c r="W104" s="1127"/>
      <c r="AC104" s="515"/>
      <c r="AD104" s="515"/>
      <c r="AO104" s="1322"/>
      <c r="AP104" s="1323"/>
    </row>
    <row r="105" spans="1:42">
      <c r="A105" s="155">
        <v>300221</v>
      </c>
      <c r="B105" s="156" t="s">
        <v>41</v>
      </c>
      <c r="C105" s="626" t="s">
        <v>1022</v>
      </c>
      <c r="D105" s="1553"/>
      <c r="E105" s="840">
        <v>11.7</v>
      </c>
      <c r="F105" s="1554"/>
      <c r="G105" s="1555"/>
      <c r="H105" s="1556"/>
      <c r="J105" s="838">
        <v>1</v>
      </c>
      <c r="K105" s="1557"/>
      <c r="M105" s="383">
        <v>0</v>
      </c>
      <c r="O105" s="1584"/>
      <c r="P105" s="1343">
        <v>16019.21</v>
      </c>
      <c r="Q105" s="1555"/>
      <c r="R105" s="1555"/>
      <c r="T105" s="1121"/>
      <c r="U105" s="1122"/>
      <c r="V105" s="1127"/>
      <c r="W105" s="1127"/>
      <c r="AC105" s="515"/>
      <c r="AD105" s="515"/>
      <c r="AO105" s="1322"/>
      <c r="AP105" s="1323"/>
    </row>
    <row r="106" spans="1:42">
      <c r="A106" s="155">
        <v>300222</v>
      </c>
      <c r="B106" s="156" t="s">
        <v>92</v>
      </c>
      <c r="C106" s="626" t="s">
        <v>1019</v>
      </c>
      <c r="D106" s="1553"/>
      <c r="E106" s="840">
        <v>11.12</v>
      </c>
      <c r="F106" s="1554"/>
      <c r="G106" s="1555"/>
      <c r="H106" s="1556"/>
      <c r="J106" s="838">
        <v>0</v>
      </c>
      <c r="K106" s="1557"/>
      <c r="M106" s="383">
        <v>1</v>
      </c>
      <c r="O106" s="1584"/>
      <c r="P106" s="1343">
        <v>16019.21</v>
      </c>
      <c r="Q106" s="1555"/>
      <c r="R106" s="1555"/>
      <c r="T106" s="1121"/>
      <c r="U106" s="1122"/>
      <c r="V106" s="1127"/>
      <c r="W106" s="1127"/>
      <c r="AC106" s="515"/>
      <c r="AD106" s="515"/>
      <c r="AO106" s="1322"/>
      <c r="AP106" s="1323"/>
    </row>
    <row r="107" spans="1:42">
      <c r="A107" s="155">
        <v>300223</v>
      </c>
      <c r="B107" s="156" t="s">
        <v>300</v>
      </c>
      <c r="C107" s="626" t="s">
        <v>1022</v>
      </c>
      <c r="D107" s="1553"/>
      <c r="E107" s="840">
        <v>9.83</v>
      </c>
      <c r="F107" s="1554"/>
      <c r="G107" s="1555"/>
      <c r="H107" s="1556"/>
      <c r="J107" s="838">
        <v>1</v>
      </c>
      <c r="K107" s="1557"/>
      <c r="M107" s="383">
        <v>0</v>
      </c>
      <c r="O107" s="1584"/>
      <c r="P107" s="1343">
        <v>16019.21</v>
      </c>
      <c r="Q107" s="1555"/>
      <c r="R107" s="1555"/>
      <c r="T107" s="1121"/>
      <c r="U107" s="1122"/>
      <c r="V107" s="1127"/>
      <c r="W107" s="1127"/>
      <c r="AC107" s="515"/>
      <c r="AD107" s="515"/>
      <c r="AO107" s="1322"/>
      <c r="AP107" s="1323"/>
    </row>
    <row r="108" spans="1:42">
      <c r="A108" s="155">
        <v>300225</v>
      </c>
      <c r="B108" s="156" t="s">
        <v>93</v>
      </c>
      <c r="C108" s="626" t="s">
        <v>1022</v>
      </c>
      <c r="D108" s="1553"/>
      <c r="E108" s="840">
        <v>11.26</v>
      </c>
      <c r="F108" s="1554"/>
      <c r="G108" s="1555"/>
      <c r="H108" s="1556"/>
      <c r="J108" s="838">
        <v>1</v>
      </c>
      <c r="K108" s="1557"/>
      <c r="M108" s="383">
        <v>0</v>
      </c>
      <c r="O108" s="1584"/>
      <c r="P108" s="1343">
        <v>16019.21</v>
      </c>
      <c r="Q108" s="1555"/>
      <c r="R108" s="1555"/>
      <c r="T108" s="1121"/>
      <c r="U108" s="1122"/>
      <c r="V108" s="1127"/>
      <c r="W108" s="1127"/>
      <c r="AC108" s="515"/>
      <c r="AD108" s="515"/>
      <c r="AO108" s="1322"/>
      <c r="AP108" s="1323"/>
    </row>
    <row r="109" spans="1:42">
      <c r="A109" s="155">
        <v>300227</v>
      </c>
      <c r="B109" s="156" t="s">
        <v>1054</v>
      </c>
      <c r="C109" s="626" t="s">
        <v>1022</v>
      </c>
      <c r="D109" s="1553"/>
      <c r="E109" s="840">
        <v>6.9</v>
      </c>
      <c r="F109" s="1554"/>
      <c r="G109" s="1555"/>
      <c r="H109" s="1556"/>
      <c r="J109" s="838">
        <v>1</v>
      </c>
      <c r="K109" s="1557"/>
      <c r="M109" s="383">
        <v>0</v>
      </c>
      <c r="O109" s="1584"/>
      <c r="P109" s="1343">
        <v>16019.21</v>
      </c>
      <c r="Q109" s="1555"/>
      <c r="R109" s="1555"/>
      <c r="T109" s="1121"/>
      <c r="U109" s="1122"/>
      <c r="V109" s="1127"/>
      <c r="W109" s="1127"/>
      <c r="AC109" s="515"/>
      <c r="AD109" s="515"/>
      <c r="AO109" s="1322"/>
      <c r="AP109" s="1323"/>
    </row>
    <row r="110" spans="1:42">
      <c r="A110" s="155">
        <v>300228</v>
      </c>
      <c r="B110" s="156" t="s">
        <v>1055</v>
      </c>
      <c r="C110" s="626" t="s">
        <v>1022</v>
      </c>
      <c r="D110" s="1553"/>
      <c r="E110" s="840">
        <v>7.84</v>
      </c>
      <c r="F110" s="1554"/>
      <c r="G110" s="1555"/>
      <c r="H110" s="1556"/>
      <c r="J110" s="838">
        <v>1</v>
      </c>
      <c r="K110" s="1557"/>
      <c r="M110" s="383">
        <v>0</v>
      </c>
      <c r="O110" s="1584"/>
      <c r="P110" s="1343">
        <v>3679.41</v>
      </c>
      <c r="Q110" s="1555"/>
      <c r="R110" s="1555"/>
      <c r="T110" s="1121"/>
      <c r="U110" s="1122"/>
      <c r="V110" s="1127"/>
      <c r="W110" s="1127"/>
      <c r="AC110" s="515"/>
      <c r="AD110" s="515"/>
      <c r="AO110" s="1322"/>
      <c r="AP110" s="1323"/>
    </row>
    <row r="111" spans="1:42">
      <c r="A111" s="155">
        <v>300231</v>
      </c>
      <c r="B111" s="156" t="s">
        <v>1056</v>
      </c>
      <c r="C111" s="626" t="s">
        <v>1022</v>
      </c>
      <c r="D111" s="1553"/>
      <c r="E111" s="840">
        <v>7.59</v>
      </c>
      <c r="F111" s="1554"/>
      <c r="G111" s="1555"/>
      <c r="H111" s="1556"/>
      <c r="J111" s="838">
        <v>1</v>
      </c>
      <c r="K111" s="1557"/>
      <c r="M111" s="383">
        <v>0</v>
      </c>
      <c r="O111" s="1584"/>
      <c r="P111" s="1343">
        <v>16019.21</v>
      </c>
      <c r="Q111" s="1555"/>
      <c r="R111" s="1555"/>
      <c r="T111" s="1121"/>
      <c r="U111" s="1122"/>
      <c r="V111" s="1127"/>
      <c r="W111" s="1127"/>
      <c r="AC111" s="515"/>
      <c r="AD111" s="515"/>
      <c r="AO111" s="1322"/>
      <c r="AP111" s="1323"/>
    </row>
    <row r="112" spans="1:42">
      <c r="A112" s="155">
        <v>300234</v>
      </c>
      <c r="B112" s="156" t="s">
        <v>94</v>
      </c>
      <c r="C112" s="626" t="s">
        <v>1019</v>
      </c>
      <c r="D112" s="1553"/>
      <c r="E112" s="840">
        <v>7.5</v>
      </c>
      <c r="F112" s="1554"/>
      <c r="G112" s="1555"/>
      <c r="H112" s="1556"/>
      <c r="J112" s="838">
        <v>0</v>
      </c>
      <c r="K112" s="1557"/>
      <c r="M112" s="383">
        <v>1</v>
      </c>
      <c r="O112" s="1584"/>
      <c r="P112" s="1343">
        <v>16019.21</v>
      </c>
      <c r="Q112" s="1555"/>
      <c r="R112" s="1555"/>
      <c r="T112" s="1121"/>
      <c r="U112" s="1122"/>
      <c r="V112" s="1127"/>
      <c r="W112" s="1127"/>
      <c r="AC112" s="515"/>
      <c r="AD112" s="515"/>
      <c r="AO112" s="1322"/>
      <c r="AP112" s="1323"/>
    </row>
    <row r="113" spans="1:42">
      <c r="A113" s="155">
        <v>300236</v>
      </c>
      <c r="B113" s="156" t="s">
        <v>1057</v>
      </c>
      <c r="C113" s="626" t="s">
        <v>1022</v>
      </c>
      <c r="D113" s="1553"/>
      <c r="E113" s="840">
        <v>8.3800000000000008</v>
      </c>
      <c r="F113" s="1554"/>
      <c r="G113" s="1555"/>
      <c r="H113" s="1556"/>
      <c r="J113" s="838">
        <v>1</v>
      </c>
      <c r="K113" s="1557"/>
      <c r="M113" s="383">
        <v>0</v>
      </c>
      <c r="O113" s="1584"/>
      <c r="P113" s="1343">
        <v>16019.21</v>
      </c>
      <c r="Q113" s="1555"/>
      <c r="R113" s="1555"/>
      <c r="T113" s="1121"/>
      <c r="U113" s="1122"/>
      <c r="V113" s="1127"/>
      <c r="W113" s="1127"/>
      <c r="AC113" s="515"/>
      <c r="AD113" s="515"/>
      <c r="AO113" s="1322"/>
      <c r="AP113" s="1323"/>
    </row>
    <row r="114" spans="1:42">
      <c r="A114" s="155">
        <v>300237</v>
      </c>
      <c r="B114" s="156" t="s">
        <v>301</v>
      </c>
      <c r="C114" s="626" t="s">
        <v>1019</v>
      </c>
      <c r="D114" s="1553"/>
      <c r="E114" s="840">
        <v>2.92</v>
      </c>
      <c r="F114" s="1554"/>
      <c r="G114" s="1555"/>
      <c r="H114" s="1556"/>
      <c r="J114" s="838">
        <v>0</v>
      </c>
      <c r="K114" s="1557"/>
      <c r="M114" s="383">
        <v>1</v>
      </c>
      <c r="O114" s="1584"/>
      <c r="P114" s="1343">
        <v>112134.48</v>
      </c>
      <c r="Q114" s="1555"/>
      <c r="R114" s="1555"/>
      <c r="T114" s="1121"/>
      <c r="U114" s="1122"/>
      <c r="V114" s="1127"/>
      <c r="W114" s="1127"/>
      <c r="AC114" s="515"/>
      <c r="AD114" s="515"/>
      <c r="AO114" s="1322"/>
      <c r="AP114" s="1323"/>
    </row>
    <row r="115" spans="1:42">
      <c r="A115" s="155">
        <v>300241</v>
      </c>
      <c r="B115" s="156" t="s">
        <v>1058</v>
      </c>
      <c r="C115" s="626" t="s">
        <v>1022</v>
      </c>
      <c r="D115" s="1553"/>
      <c r="E115" s="840">
        <v>10.210000000000001</v>
      </c>
      <c r="F115" s="1554"/>
      <c r="G115" s="1555"/>
      <c r="H115" s="1556"/>
      <c r="J115" s="838">
        <v>1</v>
      </c>
      <c r="K115" s="1557"/>
      <c r="M115" s="383">
        <v>0</v>
      </c>
      <c r="O115" s="1584"/>
      <c r="P115" s="1343">
        <v>16019.21</v>
      </c>
      <c r="Q115" s="1555"/>
      <c r="R115" s="1555"/>
      <c r="T115" s="1121"/>
      <c r="U115" s="1122"/>
      <c r="V115" s="1127"/>
      <c r="W115" s="1127"/>
      <c r="AC115" s="515"/>
      <c r="AD115" s="515"/>
      <c r="AO115" s="1322"/>
      <c r="AP115" s="1323"/>
    </row>
    <row r="116" spans="1:42">
      <c r="A116" s="155">
        <v>300242</v>
      </c>
      <c r="B116" s="156" t="s">
        <v>95</v>
      </c>
      <c r="C116" s="626" t="s">
        <v>1022</v>
      </c>
      <c r="D116" s="1553"/>
      <c r="E116" s="840">
        <v>2.75</v>
      </c>
      <c r="F116" s="1554"/>
      <c r="G116" s="1555"/>
      <c r="H116" s="1556"/>
      <c r="J116" s="838">
        <v>1</v>
      </c>
      <c r="K116" s="1557"/>
      <c r="M116" s="383">
        <v>0</v>
      </c>
      <c r="O116" s="1584"/>
      <c r="P116" s="1343">
        <v>16019.21</v>
      </c>
      <c r="Q116" s="1555"/>
      <c r="R116" s="1555"/>
      <c r="T116" s="1121"/>
      <c r="U116" s="1122"/>
      <c r="V116" s="1127"/>
      <c r="W116" s="1127"/>
      <c r="AC116" s="515"/>
      <c r="AD116" s="515"/>
      <c r="AO116" s="1322"/>
      <c r="AP116" s="1323"/>
    </row>
    <row r="117" spans="1:42">
      <c r="A117" s="155">
        <v>300245</v>
      </c>
      <c r="B117" s="156" t="s">
        <v>1059</v>
      </c>
      <c r="C117" s="626" t="s">
        <v>1022</v>
      </c>
      <c r="D117" s="1553"/>
      <c r="E117" s="840">
        <v>10.9</v>
      </c>
      <c r="F117" s="1554"/>
      <c r="G117" s="1555"/>
      <c r="H117" s="1556"/>
      <c r="J117" s="838">
        <v>1</v>
      </c>
      <c r="K117" s="1557"/>
      <c r="M117" s="383">
        <v>0</v>
      </c>
      <c r="O117" s="1584"/>
      <c r="P117" s="1343">
        <v>16019.21</v>
      </c>
      <c r="Q117" s="1555"/>
      <c r="R117" s="1555"/>
      <c r="T117" s="1126"/>
      <c r="U117" s="1121"/>
      <c r="V117" s="1122"/>
      <c r="W117" s="1127"/>
      <c r="AC117" s="515"/>
      <c r="AD117" s="515"/>
      <c r="AO117" s="1322"/>
      <c r="AP117" s="1323"/>
    </row>
    <row r="118" spans="1:42">
      <c r="A118" s="155">
        <v>300246</v>
      </c>
      <c r="B118" s="156" t="s">
        <v>417</v>
      </c>
      <c r="C118" s="626" t="s">
        <v>1022</v>
      </c>
      <c r="D118" s="1553"/>
      <c r="E118" s="840">
        <v>13.21</v>
      </c>
      <c r="F118" s="1554"/>
      <c r="G118" s="1555"/>
      <c r="H118" s="1556"/>
      <c r="J118" s="838">
        <v>1</v>
      </c>
      <c r="K118" s="1557"/>
      <c r="M118" s="383">
        <v>0</v>
      </c>
      <c r="O118" s="1584"/>
      <c r="P118" s="1343">
        <v>16019.21</v>
      </c>
      <c r="Q118" s="1555"/>
      <c r="R118" s="1555"/>
      <c r="T118" s="1126"/>
      <c r="U118" s="1121"/>
      <c r="V118" s="1122"/>
      <c r="W118" s="1127"/>
      <c r="AC118" s="515"/>
      <c r="AD118" s="515"/>
      <c r="AO118" s="1322"/>
      <c r="AP118" s="1323"/>
    </row>
    <row r="119" spans="1:42">
      <c r="A119" s="155">
        <v>300248</v>
      </c>
      <c r="B119" s="156" t="s">
        <v>302</v>
      </c>
      <c r="C119" s="626" t="s">
        <v>1019</v>
      </c>
      <c r="D119" s="1553"/>
      <c r="E119" s="840">
        <v>9.3699999999999992</v>
      </c>
      <c r="F119" s="1554"/>
      <c r="G119" s="1555"/>
      <c r="H119" s="1556"/>
      <c r="J119" s="838">
        <v>0</v>
      </c>
      <c r="K119" s="1557"/>
      <c r="M119" s="383">
        <v>1</v>
      </c>
      <c r="O119" s="1584"/>
      <c r="P119" s="1343">
        <v>64076.84</v>
      </c>
      <c r="Q119" s="1555"/>
      <c r="R119" s="1555"/>
      <c r="T119" s="1126"/>
      <c r="U119" s="1121"/>
      <c r="V119" s="1122"/>
      <c r="W119" s="1127"/>
      <c r="AC119" s="515"/>
      <c r="AD119" s="515"/>
      <c r="AO119" s="1322"/>
      <c r="AP119" s="1323"/>
    </row>
    <row r="120" spans="1:42">
      <c r="A120" s="155">
        <v>300249</v>
      </c>
      <c r="B120" s="156" t="s">
        <v>303</v>
      </c>
      <c r="C120" s="626" t="s">
        <v>1019</v>
      </c>
      <c r="D120" s="1553"/>
      <c r="E120" s="840">
        <v>6.82</v>
      </c>
      <c r="F120" s="1554"/>
      <c r="G120" s="1555"/>
      <c r="H120" s="1556"/>
      <c r="J120" s="838">
        <v>0</v>
      </c>
      <c r="K120" s="1557"/>
      <c r="M120" s="383">
        <v>1</v>
      </c>
      <c r="O120" s="1584"/>
      <c r="P120" s="1343">
        <v>32038.42</v>
      </c>
      <c r="Q120" s="1555"/>
      <c r="R120" s="1555"/>
      <c r="T120" s="1126"/>
      <c r="U120" s="1121"/>
      <c r="V120" s="1122"/>
      <c r="W120" s="1127"/>
      <c r="AC120" s="515"/>
      <c r="AD120" s="515"/>
      <c r="AO120" s="1322"/>
      <c r="AP120" s="1323"/>
    </row>
    <row r="121" spans="1:42">
      <c r="A121" s="155">
        <v>300250</v>
      </c>
      <c r="B121" s="156" t="s">
        <v>790</v>
      </c>
      <c r="C121" s="626" t="s">
        <v>1022</v>
      </c>
      <c r="D121" s="1553"/>
      <c r="E121" s="840">
        <v>6.97</v>
      </c>
      <c r="F121" s="1554"/>
      <c r="G121" s="1555"/>
      <c r="H121" s="1556"/>
      <c r="J121" s="838">
        <v>1</v>
      </c>
      <c r="K121" s="1557"/>
      <c r="M121" s="383">
        <v>0</v>
      </c>
      <c r="O121" s="1584"/>
      <c r="P121" s="1343">
        <v>16019.21</v>
      </c>
      <c r="Q121" s="1555"/>
      <c r="R121" s="1555"/>
      <c r="T121" s="1126"/>
      <c r="U121" s="1121"/>
      <c r="V121" s="1122"/>
      <c r="W121" s="1127"/>
      <c r="AC121" s="515"/>
      <c r="AD121" s="515"/>
      <c r="AO121" s="1322"/>
      <c r="AP121" s="1323"/>
    </row>
    <row r="122" spans="1:42">
      <c r="A122" s="155">
        <v>300251</v>
      </c>
      <c r="B122" s="156" t="s">
        <v>96</v>
      </c>
      <c r="C122" s="626" t="s">
        <v>1022</v>
      </c>
      <c r="D122" s="1553"/>
      <c r="E122" s="840">
        <v>2.96</v>
      </c>
      <c r="F122" s="1554"/>
      <c r="G122" s="1555"/>
      <c r="H122" s="1556"/>
      <c r="J122" s="838">
        <v>1</v>
      </c>
      <c r="K122" s="1557"/>
      <c r="M122" s="383">
        <v>0</v>
      </c>
      <c r="O122" s="1584"/>
      <c r="P122" s="1343">
        <v>16019.21</v>
      </c>
      <c r="Q122" s="1555"/>
      <c r="R122" s="1555"/>
      <c r="T122" s="1126"/>
      <c r="U122" s="1121"/>
      <c r="V122" s="1122"/>
      <c r="W122" s="1127"/>
      <c r="AC122" s="515"/>
      <c r="AD122" s="515"/>
      <c r="AO122" s="1322"/>
      <c r="AP122" s="1323"/>
    </row>
    <row r="123" spans="1:42">
      <c r="A123" s="155">
        <v>300252</v>
      </c>
      <c r="B123" s="156" t="s">
        <v>418</v>
      </c>
      <c r="C123" s="626" t="s">
        <v>1022</v>
      </c>
      <c r="D123" s="1553"/>
      <c r="E123" s="840">
        <v>13.88</v>
      </c>
      <c r="F123" s="1554"/>
      <c r="G123" s="1555"/>
      <c r="H123" s="1556"/>
      <c r="J123" s="838">
        <v>1</v>
      </c>
      <c r="K123" s="1557"/>
      <c r="M123" s="383">
        <v>0</v>
      </c>
      <c r="O123" s="1584"/>
      <c r="P123" s="1343">
        <v>16019.21</v>
      </c>
      <c r="Q123" s="1555"/>
      <c r="R123" s="1555"/>
      <c r="T123" s="1126"/>
      <c r="U123" s="1121"/>
      <c r="V123" s="1122"/>
      <c r="W123" s="1127"/>
      <c r="AC123" s="515"/>
      <c r="AD123" s="515"/>
      <c r="AO123" s="1322"/>
      <c r="AP123" s="1323"/>
    </row>
    <row r="124" spans="1:42">
      <c r="A124" s="155">
        <v>300262</v>
      </c>
      <c r="B124" s="156" t="s">
        <v>419</v>
      </c>
      <c r="C124" s="626" t="s">
        <v>1022</v>
      </c>
      <c r="D124" s="1553"/>
      <c r="E124" s="840">
        <v>2.96</v>
      </c>
      <c r="F124" s="1554"/>
      <c r="G124" s="1555"/>
      <c r="H124" s="1556"/>
      <c r="J124" s="838">
        <v>1</v>
      </c>
      <c r="K124" s="1557"/>
      <c r="M124" s="383">
        <v>0</v>
      </c>
      <c r="O124" s="1584"/>
      <c r="P124" s="1343">
        <v>16019.21</v>
      </c>
      <c r="Q124" s="1555"/>
      <c r="R124" s="1555"/>
      <c r="T124" s="1126"/>
      <c r="U124" s="1121"/>
      <c r="V124" s="1122"/>
      <c r="W124" s="1127"/>
      <c r="AC124" s="515"/>
      <c r="AD124" s="515"/>
      <c r="AO124" s="1322"/>
      <c r="AP124" s="1323"/>
    </row>
    <row r="125" spans="1:42">
      <c r="A125" s="155">
        <v>300263</v>
      </c>
      <c r="B125" s="156" t="s">
        <v>304</v>
      </c>
      <c r="C125" s="626" t="s">
        <v>1019</v>
      </c>
      <c r="D125" s="1553"/>
      <c r="E125" s="840">
        <v>11.55</v>
      </c>
      <c r="F125" s="1554"/>
      <c r="G125" s="1555"/>
      <c r="H125" s="1556"/>
      <c r="J125" s="838">
        <v>0</v>
      </c>
      <c r="K125" s="1557"/>
      <c r="M125" s="383">
        <v>1</v>
      </c>
      <c r="O125" s="1584"/>
      <c r="P125" s="1343">
        <v>32038.42</v>
      </c>
      <c r="Q125" s="1555"/>
      <c r="R125" s="1555"/>
      <c r="T125" s="1126"/>
      <c r="U125" s="1121"/>
      <c r="V125" s="1122"/>
      <c r="W125" s="1127"/>
      <c r="AC125" s="515"/>
      <c r="AD125" s="515"/>
      <c r="AO125" s="1322"/>
      <c r="AP125" s="1323"/>
    </row>
    <row r="126" spans="1:42">
      <c r="A126" s="155">
        <v>300264</v>
      </c>
      <c r="B126" s="156" t="s">
        <v>97</v>
      </c>
      <c r="C126" s="626" t="s">
        <v>1019</v>
      </c>
      <c r="D126" s="1553"/>
      <c r="E126" s="840">
        <v>8.42</v>
      </c>
      <c r="F126" s="1554"/>
      <c r="G126" s="1555"/>
      <c r="H126" s="1556"/>
      <c r="J126" s="838">
        <v>0</v>
      </c>
      <c r="K126" s="1557"/>
      <c r="M126" s="383">
        <v>1</v>
      </c>
      <c r="O126" s="1584"/>
      <c r="P126" s="1343">
        <v>16019.21</v>
      </c>
      <c r="Q126" s="1555"/>
      <c r="R126" s="1555"/>
      <c r="AC126" s="515"/>
      <c r="AD126" s="515"/>
      <c r="AO126" s="1322"/>
      <c r="AP126" s="1323"/>
    </row>
    <row r="127" spans="1:42">
      <c r="A127" s="155">
        <v>300265</v>
      </c>
      <c r="B127" s="156" t="s">
        <v>98</v>
      </c>
      <c r="C127" s="626" t="s">
        <v>1022</v>
      </c>
      <c r="D127" s="1553"/>
      <c r="E127" s="840">
        <v>7.84</v>
      </c>
      <c r="F127" s="1554"/>
      <c r="G127" s="1555"/>
      <c r="H127" s="1556"/>
      <c r="J127" s="838">
        <v>1</v>
      </c>
      <c r="K127" s="1557"/>
      <c r="M127" s="383">
        <v>0</v>
      </c>
      <c r="O127" s="1584"/>
      <c r="P127" s="1343">
        <v>16019.21</v>
      </c>
      <c r="Q127" s="1555"/>
      <c r="R127" s="1555"/>
      <c r="AC127" s="515"/>
      <c r="AD127" s="515"/>
      <c r="AO127" s="1322"/>
      <c r="AP127" s="1323"/>
    </row>
    <row r="128" spans="1:42">
      <c r="A128" s="155">
        <v>300267</v>
      </c>
      <c r="B128" s="156" t="s">
        <v>1060</v>
      </c>
      <c r="C128" s="626" t="s">
        <v>1022</v>
      </c>
      <c r="D128" s="1553"/>
      <c r="E128" s="840">
        <v>7.04</v>
      </c>
      <c r="F128" s="1554"/>
      <c r="G128" s="1555"/>
      <c r="H128" s="1556"/>
      <c r="J128" s="838">
        <v>1</v>
      </c>
      <c r="K128" s="1557"/>
      <c r="M128" s="383">
        <v>0</v>
      </c>
      <c r="O128" s="1584"/>
      <c r="P128" s="1343">
        <v>16019.21</v>
      </c>
      <c r="Q128" s="1555"/>
      <c r="R128" s="1555"/>
      <c r="AC128" s="515"/>
      <c r="AD128" s="515"/>
      <c r="AO128" s="1322"/>
      <c r="AP128" s="1323"/>
    </row>
    <row r="129" spans="1:42">
      <c r="A129" s="155">
        <v>300269</v>
      </c>
      <c r="B129" s="156" t="s">
        <v>99</v>
      </c>
      <c r="C129" s="626" t="s">
        <v>1019</v>
      </c>
      <c r="D129" s="1553"/>
      <c r="E129" s="840">
        <v>13.33</v>
      </c>
      <c r="F129" s="1554"/>
      <c r="G129" s="1555"/>
      <c r="H129" s="1556"/>
      <c r="J129" s="838">
        <v>0</v>
      </c>
      <c r="K129" s="1557"/>
      <c r="M129" s="383">
        <v>1</v>
      </c>
      <c r="O129" s="1584"/>
      <c r="P129" s="1343">
        <v>16019.21</v>
      </c>
      <c r="Q129" s="1555"/>
      <c r="R129" s="1555"/>
      <c r="AC129" s="515"/>
      <c r="AD129" s="515"/>
      <c r="AO129" s="1322"/>
      <c r="AP129" s="1323"/>
    </row>
    <row r="130" spans="1:42">
      <c r="A130" s="155">
        <v>300274</v>
      </c>
      <c r="B130" s="156" t="s">
        <v>1061</v>
      </c>
      <c r="C130" s="626" t="s">
        <v>1022</v>
      </c>
      <c r="D130" s="1553"/>
      <c r="E130" s="840">
        <v>3.62</v>
      </c>
      <c r="F130" s="1554"/>
      <c r="G130" s="1555"/>
      <c r="H130" s="1556"/>
      <c r="J130" s="838">
        <v>1</v>
      </c>
      <c r="K130" s="1557"/>
      <c r="M130" s="383">
        <v>0</v>
      </c>
      <c r="O130" s="1584"/>
      <c r="P130" s="1343">
        <v>16019.21</v>
      </c>
      <c r="Q130" s="1555"/>
      <c r="R130" s="1555"/>
      <c r="AC130" s="515"/>
      <c r="AD130" s="515"/>
      <c r="AO130" s="1322"/>
      <c r="AP130" s="1323"/>
    </row>
    <row r="131" spans="1:42">
      <c r="A131" s="155">
        <v>300276</v>
      </c>
      <c r="B131" s="156" t="s">
        <v>100</v>
      </c>
      <c r="C131" s="626" t="s">
        <v>1019</v>
      </c>
      <c r="D131" s="1553"/>
      <c r="E131" s="840">
        <v>10.43</v>
      </c>
      <c r="F131" s="1554"/>
      <c r="G131" s="1555"/>
      <c r="H131" s="1556"/>
      <c r="J131" s="838">
        <v>0</v>
      </c>
      <c r="K131" s="1557"/>
      <c r="M131" s="383">
        <v>1</v>
      </c>
      <c r="O131" s="1584"/>
      <c r="P131" s="1343">
        <v>16019.21</v>
      </c>
      <c r="Q131" s="1555"/>
      <c r="R131" s="1555"/>
      <c r="AC131" s="515"/>
      <c r="AD131" s="515"/>
      <c r="AO131" s="1322"/>
      <c r="AP131" s="1323"/>
    </row>
    <row r="132" spans="1:42">
      <c r="A132" s="155">
        <v>300281</v>
      </c>
      <c r="B132" s="156" t="s">
        <v>420</v>
      </c>
      <c r="C132" s="626" t="s">
        <v>1019</v>
      </c>
      <c r="D132" s="1553"/>
      <c r="E132" s="840">
        <v>9.7899999999999991</v>
      </c>
      <c r="F132" s="1554"/>
      <c r="G132" s="1555"/>
      <c r="H132" s="1556"/>
      <c r="J132" s="838">
        <v>0</v>
      </c>
      <c r="K132" s="1557"/>
      <c r="M132" s="383">
        <v>1</v>
      </c>
      <c r="O132" s="1584"/>
      <c r="P132" s="1343">
        <v>16019.21</v>
      </c>
      <c r="Q132" s="1555"/>
      <c r="R132" s="1555"/>
      <c r="AC132" s="515"/>
      <c r="AD132" s="515"/>
      <c r="AO132" s="1322"/>
      <c r="AP132" s="1323"/>
    </row>
    <row r="133" spans="1:42">
      <c r="A133" s="155">
        <v>300283</v>
      </c>
      <c r="B133" s="156" t="s">
        <v>305</v>
      </c>
      <c r="C133" s="626" t="s">
        <v>1019</v>
      </c>
      <c r="D133" s="1553"/>
      <c r="E133" s="840">
        <v>11.65</v>
      </c>
      <c r="F133" s="1554"/>
      <c r="G133" s="1555"/>
      <c r="H133" s="1556"/>
      <c r="J133" s="838">
        <v>0</v>
      </c>
      <c r="K133" s="1557"/>
      <c r="M133" s="383">
        <v>1</v>
      </c>
      <c r="O133" s="1584"/>
      <c r="P133" s="1343">
        <v>48057.63</v>
      </c>
      <c r="Q133" s="1555"/>
      <c r="R133" s="1555"/>
      <c r="AC133" s="515"/>
      <c r="AD133" s="515"/>
      <c r="AO133" s="1322"/>
      <c r="AP133" s="1323"/>
    </row>
    <row r="134" spans="1:42">
      <c r="A134" s="155">
        <v>300285</v>
      </c>
      <c r="B134" s="156" t="s">
        <v>101</v>
      </c>
      <c r="C134" s="626" t="s">
        <v>1019</v>
      </c>
      <c r="D134" s="1553"/>
      <c r="E134" s="840">
        <v>6.93</v>
      </c>
      <c r="F134" s="1554"/>
      <c r="G134" s="1555"/>
      <c r="H134" s="1556"/>
      <c r="J134" s="838">
        <v>0</v>
      </c>
      <c r="K134" s="1557"/>
      <c r="M134" s="383">
        <v>1</v>
      </c>
      <c r="O134" s="1584"/>
      <c r="P134" s="1343">
        <v>16019.21</v>
      </c>
      <c r="Q134" s="1555"/>
      <c r="R134" s="1555"/>
      <c r="AC134" s="515"/>
      <c r="AD134" s="515"/>
      <c r="AO134" s="1322"/>
      <c r="AP134" s="1323"/>
    </row>
    <row r="135" spans="1:42">
      <c r="A135" s="155">
        <v>300288</v>
      </c>
      <c r="B135" s="156" t="s">
        <v>102</v>
      </c>
      <c r="C135" s="626" t="s">
        <v>1022</v>
      </c>
      <c r="D135" s="1553"/>
      <c r="E135" s="840">
        <v>7.07</v>
      </c>
      <c r="F135" s="1554"/>
      <c r="G135" s="1555"/>
      <c r="H135" s="1556"/>
      <c r="J135" s="838">
        <v>1</v>
      </c>
      <c r="K135" s="1557"/>
      <c r="M135" s="383">
        <v>0</v>
      </c>
      <c r="O135" s="1584"/>
      <c r="P135" s="1343">
        <v>16019.21</v>
      </c>
      <c r="Q135" s="1555"/>
      <c r="R135" s="1555"/>
      <c r="AC135" s="515"/>
      <c r="AD135" s="515"/>
      <c r="AO135" s="1322"/>
      <c r="AP135" s="1323"/>
    </row>
    <row r="136" spans="1:42">
      <c r="A136" s="155">
        <v>300292</v>
      </c>
      <c r="B136" s="156" t="s">
        <v>1062</v>
      </c>
      <c r="C136" s="626" t="s">
        <v>1022</v>
      </c>
      <c r="D136" s="1553"/>
      <c r="E136" s="840">
        <v>2.75</v>
      </c>
      <c r="F136" s="1554"/>
      <c r="G136" s="1555"/>
      <c r="H136" s="1556"/>
      <c r="J136" s="838">
        <v>1</v>
      </c>
      <c r="K136" s="1557"/>
      <c r="M136" s="383">
        <v>0</v>
      </c>
      <c r="O136" s="1584"/>
      <c r="P136" s="1343">
        <v>16019.21</v>
      </c>
      <c r="Q136" s="1555"/>
      <c r="R136" s="1555"/>
      <c r="AC136" s="515"/>
      <c r="AD136" s="515"/>
      <c r="AO136" s="1322"/>
      <c r="AP136" s="1323"/>
    </row>
    <row r="137" spans="1:42">
      <c r="A137" s="155">
        <v>300294</v>
      </c>
      <c r="B137" s="156" t="s">
        <v>791</v>
      </c>
      <c r="C137" s="626" t="s">
        <v>1022</v>
      </c>
      <c r="D137" s="1553"/>
      <c r="E137" s="840">
        <v>13.88</v>
      </c>
      <c r="F137" s="1554"/>
      <c r="G137" s="1555"/>
      <c r="H137" s="1556"/>
      <c r="J137" s="838">
        <v>1</v>
      </c>
      <c r="K137" s="1557"/>
      <c r="M137" s="383">
        <v>0</v>
      </c>
      <c r="O137" s="1584"/>
      <c r="P137" s="1343">
        <v>16019.21</v>
      </c>
      <c r="Q137" s="1555"/>
      <c r="R137" s="1555"/>
      <c r="AC137" s="515"/>
      <c r="AD137" s="515"/>
      <c r="AO137" s="1322"/>
      <c r="AP137" s="1323"/>
    </row>
    <row r="138" spans="1:42">
      <c r="A138" s="155">
        <v>300304</v>
      </c>
      <c r="B138" s="156" t="s">
        <v>1063</v>
      </c>
      <c r="C138" s="626" t="s">
        <v>1022</v>
      </c>
      <c r="D138" s="1553"/>
      <c r="E138" s="840">
        <v>2.75</v>
      </c>
      <c r="F138" s="1554"/>
      <c r="G138" s="1555"/>
      <c r="H138" s="1556"/>
      <c r="J138" s="838">
        <v>1</v>
      </c>
      <c r="K138" s="1557"/>
      <c r="M138" s="383">
        <v>0</v>
      </c>
      <c r="O138" s="1584"/>
      <c r="P138" s="1343">
        <v>15926.73</v>
      </c>
      <c r="Q138" s="1555"/>
      <c r="R138" s="1555"/>
      <c r="AC138" s="515"/>
      <c r="AD138" s="515"/>
      <c r="AO138" s="1322"/>
      <c r="AP138" s="1323"/>
    </row>
    <row r="139" spans="1:42">
      <c r="A139" s="155">
        <v>300306</v>
      </c>
      <c r="B139" s="156" t="s">
        <v>1064</v>
      </c>
      <c r="C139" s="626" t="s">
        <v>1022</v>
      </c>
      <c r="D139" s="1553"/>
      <c r="E139" s="840">
        <v>2.96</v>
      </c>
      <c r="F139" s="1554"/>
      <c r="G139" s="1555"/>
      <c r="H139" s="1556"/>
      <c r="J139" s="838">
        <v>1</v>
      </c>
      <c r="K139" s="1557"/>
      <c r="M139" s="383">
        <v>0</v>
      </c>
      <c r="O139" s="1584"/>
      <c r="P139" s="1343">
        <v>9663.51</v>
      </c>
      <c r="Q139" s="1555"/>
      <c r="R139" s="1555"/>
      <c r="AC139" s="515"/>
      <c r="AD139" s="515"/>
      <c r="AO139" s="1322"/>
      <c r="AP139" s="1323"/>
    </row>
    <row r="140" spans="1:42">
      <c r="A140" s="155">
        <v>300308</v>
      </c>
      <c r="B140" s="156" t="s">
        <v>103</v>
      </c>
      <c r="C140" s="626" t="s">
        <v>1022</v>
      </c>
      <c r="D140" s="1553"/>
      <c r="E140" s="840">
        <v>12.57</v>
      </c>
      <c r="F140" s="1554"/>
      <c r="G140" s="1555"/>
      <c r="H140" s="1556"/>
      <c r="J140" s="838">
        <v>1</v>
      </c>
      <c r="K140" s="1557"/>
      <c r="M140" s="383">
        <v>0</v>
      </c>
      <c r="O140" s="1584"/>
      <c r="P140" s="1343">
        <v>16019.21</v>
      </c>
      <c r="Q140" s="1555"/>
      <c r="R140" s="1555"/>
      <c r="AC140" s="515"/>
      <c r="AD140" s="515"/>
      <c r="AO140" s="1322"/>
      <c r="AP140" s="1323"/>
    </row>
    <row r="141" spans="1:42">
      <c r="A141" s="155">
        <v>300309</v>
      </c>
      <c r="B141" s="156" t="s">
        <v>104</v>
      </c>
      <c r="C141" s="626" t="s">
        <v>1022</v>
      </c>
      <c r="D141" s="1553"/>
      <c r="E141" s="840">
        <v>6.53</v>
      </c>
      <c r="F141" s="1554"/>
      <c r="G141" s="1555"/>
      <c r="H141" s="1556"/>
      <c r="J141" s="838">
        <v>1</v>
      </c>
      <c r="K141" s="1557"/>
      <c r="M141" s="383">
        <v>0</v>
      </c>
      <c r="O141" s="1584"/>
      <c r="P141" s="1343">
        <v>13670.2</v>
      </c>
      <c r="Q141" s="1555"/>
      <c r="R141" s="1555"/>
      <c r="AC141" s="515"/>
      <c r="AD141" s="515"/>
      <c r="AO141" s="1322"/>
      <c r="AP141" s="1323"/>
    </row>
    <row r="142" spans="1:42">
      <c r="A142" s="155">
        <v>300311</v>
      </c>
      <c r="B142" s="156" t="s">
        <v>105</v>
      </c>
      <c r="C142" s="626" t="s">
        <v>1022</v>
      </c>
      <c r="D142" s="1553"/>
      <c r="E142" s="840">
        <v>7.84</v>
      </c>
      <c r="F142" s="1554"/>
      <c r="G142" s="1555"/>
      <c r="H142" s="1556"/>
      <c r="J142" s="838">
        <v>1</v>
      </c>
      <c r="K142" s="1557"/>
      <c r="M142" s="383">
        <v>0</v>
      </c>
      <c r="O142" s="1584"/>
      <c r="P142" s="1343">
        <v>16019.21</v>
      </c>
      <c r="Q142" s="1555"/>
      <c r="R142" s="1555"/>
      <c r="AC142" s="515"/>
      <c r="AD142" s="515"/>
      <c r="AO142" s="1322"/>
      <c r="AP142" s="1323"/>
    </row>
    <row r="143" spans="1:42">
      <c r="A143" s="155">
        <v>300314</v>
      </c>
      <c r="B143" s="156" t="s">
        <v>106</v>
      </c>
      <c r="C143" s="626" t="s">
        <v>1022</v>
      </c>
      <c r="D143" s="1553"/>
      <c r="E143" s="840">
        <v>12.42</v>
      </c>
      <c r="F143" s="1554"/>
      <c r="G143" s="1555"/>
      <c r="H143" s="1556"/>
      <c r="J143" s="838">
        <v>1</v>
      </c>
      <c r="K143" s="1557"/>
      <c r="M143" s="383">
        <v>0</v>
      </c>
      <c r="O143" s="1584"/>
      <c r="P143" s="1343">
        <v>16019.21</v>
      </c>
      <c r="Q143" s="1555"/>
      <c r="R143" s="1555"/>
      <c r="AC143" s="515"/>
      <c r="AD143" s="515"/>
      <c r="AO143" s="1322"/>
      <c r="AP143" s="1323"/>
    </row>
    <row r="144" spans="1:42">
      <c r="A144" s="155">
        <v>300319</v>
      </c>
      <c r="B144" s="156" t="s">
        <v>306</v>
      </c>
      <c r="C144" s="626" t="s">
        <v>1019</v>
      </c>
      <c r="D144" s="1553"/>
      <c r="E144" s="840">
        <v>6.17</v>
      </c>
      <c r="F144" s="1554"/>
      <c r="G144" s="1555"/>
      <c r="H144" s="1556"/>
      <c r="J144" s="838">
        <v>0</v>
      </c>
      <c r="K144" s="1557"/>
      <c r="M144" s="383">
        <v>1</v>
      </c>
      <c r="O144" s="1584"/>
      <c r="P144" s="1343">
        <v>112134.48</v>
      </c>
      <c r="Q144" s="1555"/>
      <c r="R144" s="1555"/>
      <c r="AC144" s="515"/>
      <c r="AD144" s="515"/>
      <c r="AO144" s="1322"/>
      <c r="AP144" s="1323"/>
    </row>
    <row r="145" spans="1:42">
      <c r="A145" s="155">
        <v>300321</v>
      </c>
      <c r="B145" s="156" t="s">
        <v>107</v>
      </c>
      <c r="C145" s="626" t="s">
        <v>1019</v>
      </c>
      <c r="D145" s="1553"/>
      <c r="E145" s="840">
        <v>14.72</v>
      </c>
      <c r="F145" s="1554"/>
      <c r="G145" s="1555"/>
      <c r="H145" s="1556"/>
      <c r="J145" s="838">
        <v>0</v>
      </c>
      <c r="K145" s="1557"/>
      <c r="M145" s="383">
        <v>1</v>
      </c>
      <c r="O145" s="1584"/>
      <c r="P145" s="1343">
        <v>16019.21</v>
      </c>
      <c r="Q145" s="1555"/>
      <c r="R145" s="1555"/>
      <c r="AC145" s="515"/>
      <c r="AD145" s="515"/>
      <c r="AO145" s="1322"/>
      <c r="AP145" s="1323"/>
    </row>
    <row r="146" spans="1:42">
      <c r="A146" s="155">
        <v>300322</v>
      </c>
      <c r="B146" s="156" t="s">
        <v>307</v>
      </c>
      <c r="C146" s="626" t="s">
        <v>1019</v>
      </c>
      <c r="D146" s="1553"/>
      <c r="E146" s="840">
        <v>7.5</v>
      </c>
      <c r="F146" s="1554"/>
      <c r="G146" s="1555"/>
      <c r="H146" s="1556"/>
      <c r="J146" s="838">
        <v>0</v>
      </c>
      <c r="K146" s="1557"/>
      <c r="M146" s="383">
        <v>1</v>
      </c>
      <c r="O146" s="1584"/>
      <c r="P146" s="1343">
        <v>48057.63</v>
      </c>
      <c r="Q146" s="1555"/>
      <c r="R146" s="1555"/>
      <c r="AC146" s="515"/>
      <c r="AD146" s="515"/>
      <c r="AO146" s="1322"/>
      <c r="AP146" s="1323"/>
    </row>
    <row r="147" spans="1:42">
      <c r="A147" s="155">
        <v>300325</v>
      </c>
      <c r="B147" s="156" t="s">
        <v>308</v>
      </c>
      <c r="C147" s="626" t="s">
        <v>1019</v>
      </c>
      <c r="D147" s="1553"/>
      <c r="E147" s="840">
        <v>10.43</v>
      </c>
      <c r="F147" s="1554"/>
      <c r="G147" s="1555"/>
      <c r="H147" s="1556"/>
      <c r="J147" s="838">
        <v>0</v>
      </c>
      <c r="K147" s="1557"/>
      <c r="M147" s="383">
        <v>1</v>
      </c>
      <c r="O147" s="1584"/>
      <c r="P147" s="1343">
        <v>32038.42</v>
      </c>
      <c r="Q147" s="1555"/>
      <c r="R147" s="1555"/>
      <c r="AC147" s="515"/>
      <c r="AD147" s="515"/>
      <c r="AO147" s="1322"/>
      <c r="AP147" s="1323"/>
    </row>
    <row r="148" spans="1:42">
      <c r="A148" s="155">
        <v>300328</v>
      </c>
      <c r="B148" s="156" t="s">
        <v>108</v>
      </c>
      <c r="C148" s="626" t="s">
        <v>1022</v>
      </c>
      <c r="D148" s="1553"/>
      <c r="E148" s="840">
        <v>6.43</v>
      </c>
      <c r="F148" s="1554"/>
      <c r="G148" s="1555"/>
      <c r="H148" s="1556"/>
      <c r="J148" s="838">
        <v>1</v>
      </c>
      <c r="K148" s="1557"/>
      <c r="M148" s="383">
        <v>0</v>
      </c>
      <c r="O148" s="1584"/>
      <c r="P148" s="1343">
        <v>16019.21</v>
      </c>
      <c r="Q148" s="1555"/>
      <c r="R148" s="1555"/>
      <c r="AC148" s="515"/>
      <c r="AD148" s="515"/>
      <c r="AO148" s="1322"/>
      <c r="AP148" s="1323"/>
    </row>
    <row r="149" spans="1:42">
      <c r="A149" s="155">
        <v>300330</v>
      </c>
      <c r="B149" s="156" t="s">
        <v>109</v>
      </c>
      <c r="C149" s="626" t="s">
        <v>1019</v>
      </c>
      <c r="D149" s="1553"/>
      <c r="E149" s="840">
        <v>12.27</v>
      </c>
      <c r="F149" s="1554"/>
      <c r="G149" s="1555"/>
      <c r="H149" s="1556"/>
      <c r="J149" s="838">
        <v>0</v>
      </c>
      <c r="K149" s="1557"/>
      <c r="M149" s="383">
        <v>1</v>
      </c>
      <c r="O149" s="1584"/>
      <c r="P149" s="1343">
        <v>16019.21</v>
      </c>
      <c r="Q149" s="1555"/>
      <c r="R149" s="1555"/>
      <c r="AC149" s="515"/>
      <c r="AD149" s="515"/>
      <c r="AO149" s="1322"/>
      <c r="AP149" s="1323"/>
    </row>
    <row r="150" spans="1:42">
      <c r="A150" s="155">
        <v>300333</v>
      </c>
      <c r="B150" s="156" t="s">
        <v>1065</v>
      </c>
      <c r="C150" s="626" t="s">
        <v>1022</v>
      </c>
      <c r="D150" s="1553"/>
      <c r="E150" s="840">
        <v>11.26</v>
      </c>
      <c r="F150" s="1554"/>
      <c r="G150" s="1555"/>
      <c r="H150" s="1556"/>
      <c r="J150" s="838">
        <v>1</v>
      </c>
      <c r="K150" s="1557"/>
      <c r="M150" s="383">
        <v>0</v>
      </c>
      <c r="O150" s="1584"/>
      <c r="P150" s="1343">
        <v>16019.21</v>
      </c>
      <c r="Q150" s="1555"/>
      <c r="R150" s="1555"/>
      <c r="AC150" s="515"/>
      <c r="AD150" s="515"/>
      <c r="AO150" s="1322"/>
      <c r="AP150" s="1323"/>
    </row>
    <row r="151" spans="1:42">
      <c r="A151" s="155">
        <v>300337</v>
      </c>
      <c r="B151" s="156" t="s">
        <v>1066</v>
      </c>
      <c r="C151" s="626" t="s">
        <v>1022</v>
      </c>
      <c r="D151" s="1553"/>
      <c r="E151" s="840">
        <v>14.19</v>
      </c>
      <c r="F151" s="1554"/>
      <c r="G151" s="1555"/>
      <c r="H151" s="1556"/>
      <c r="J151" s="838">
        <v>1</v>
      </c>
      <c r="K151" s="1557"/>
      <c r="M151" s="383">
        <v>0</v>
      </c>
      <c r="O151" s="1584"/>
      <c r="P151" s="1343">
        <v>6440.33</v>
      </c>
      <c r="Q151" s="1555"/>
      <c r="R151" s="1555"/>
      <c r="AC151" s="515"/>
      <c r="AD151" s="515"/>
      <c r="AO151" s="1322"/>
      <c r="AP151" s="1323"/>
    </row>
    <row r="152" spans="1:42">
      <c r="A152" s="155">
        <v>300338</v>
      </c>
      <c r="B152" s="156" t="s">
        <v>110</v>
      </c>
      <c r="C152" s="626" t="s">
        <v>1019</v>
      </c>
      <c r="D152" s="1553"/>
      <c r="E152" s="840">
        <v>2.27</v>
      </c>
      <c r="F152" s="1554"/>
      <c r="G152" s="1555"/>
      <c r="H152" s="1556"/>
      <c r="J152" s="838">
        <v>0</v>
      </c>
      <c r="K152" s="1557"/>
      <c r="M152" s="383">
        <v>1</v>
      </c>
      <c r="O152" s="1584"/>
      <c r="P152" s="1343">
        <v>16019.21</v>
      </c>
      <c r="Q152" s="1555"/>
      <c r="R152" s="1555"/>
      <c r="AC152" s="515"/>
      <c r="AD152" s="515"/>
      <c r="AO152" s="1322"/>
      <c r="AP152" s="1323"/>
    </row>
    <row r="153" spans="1:42">
      <c r="A153" s="155">
        <v>300345</v>
      </c>
      <c r="B153" s="156" t="s">
        <v>1067</v>
      </c>
      <c r="C153" s="626" t="s">
        <v>1022</v>
      </c>
      <c r="D153" s="1553"/>
      <c r="E153" s="840">
        <v>11.66</v>
      </c>
      <c r="F153" s="1554"/>
      <c r="G153" s="1555"/>
      <c r="H153" s="1556"/>
      <c r="J153" s="838">
        <v>1</v>
      </c>
      <c r="K153" s="1557"/>
      <c r="M153" s="383">
        <v>0</v>
      </c>
      <c r="O153" s="1584"/>
      <c r="P153" s="1343">
        <v>16019.21</v>
      </c>
      <c r="Q153" s="1555"/>
      <c r="R153" s="1555"/>
      <c r="AC153" s="515"/>
      <c r="AD153" s="515"/>
      <c r="AO153" s="1322"/>
      <c r="AP153" s="1323"/>
    </row>
    <row r="154" spans="1:42">
      <c r="A154" s="155">
        <v>300348</v>
      </c>
      <c r="B154" s="156" t="s">
        <v>1068</v>
      </c>
      <c r="C154" s="626" t="s">
        <v>1022</v>
      </c>
      <c r="D154" s="1553"/>
      <c r="E154" s="840">
        <v>6.43</v>
      </c>
      <c r="F154" s="1554"/>
      <c r="G154" s="1555"/>
      <c r="H154" s="1556"/>
      <c r="J154" s="838">
        <v>1</v>
      </c>
      <c r="K154" s="1557"/>
      <c r="M154" s="383">
        <v>0</v>
      </c>
      <c r="O154" s="1584"/>
      <c r="P154" s="1343">
        <v>15851.47</v>
      </c>
      <c r="Q154" s="1555"/>
      <c r="R154" s="1555"/>
      <c r="AC154" s="515"/>
      <c r="AD154" s="515"/>
      <c r="AO154" s="1322"/>
      <c r="AP154" s="1323"/>
    </row>
    <row r="155" spans="1:42">
      <c r="A155" s="155">
        <v>300350</v>
      </c>
      <c r="B155" s="156" t="s">
        <v>1069</v>
      </c>
      <c r="C155" s="626" t="s">
        <v>1019</v>
      </c>
      <c r="D155" s="1553"/>
      <c r="E155" s="840">
        <v>11.12</v>
      </c>
      <c r="F155" s="1554"/>
      <c r="G155" s="1555"/>
      <c r="H155" s="1556"/>
      <c r="J155" s="838">
        <v>0</v>
      </c>
      <c r="K155" s="1557"/>
      <c r="M155" s="383">
        <v>1</v>
      </c>
      <c r="O155" s="1584"/>
      <c r="P155" s="1343">
        <v>16019.21</v>
      </c>
      <c r="Q155" s="1555"/>
      <c r="R155" s="1555"/>
      <c r="AC155" s="515"/>
      <c r="AD155" s="515"/>
      <c r="AO155" s="1322"/>
      <c r="AP155" s="1323"/>
    </row>
    <row r="156" spans="1:42">
      <c r="A156" s="155">
        <v>300353</v>
      </c>
      <c r="B156" s="156" t="s">
        <v>1070</v>
      </c>
      <c r="C156" s="626" t="s">
        <v>1019</v>
      </c>
      <c r="D156" s="1553"/>
      <c r="E156" s="840">
        <v>14.72</v>
      </c>
      <c r="F156" s="1554"/>
      <c r="G156" s="1555"/>
      <c r="H156" s="1556"/>
      <c r="J156" s="838">
        <v>0</v>
      </c>
      <c r="K156" s="1557"/>
      <c r="M156" s="383">
        <v>1</v>
      </c>
      <c r="O156" s="1584"/>
      <c r="P156" s="1343">
        <v>16019.21</v>
      </c>
      <c r="Q156" s="1555"/>
      <c r="R156" s="1555"/>
      <c r="AC156" s="515"/>
      <c r="AD156" s="515"/>
      <c r="AO156" s="1322"/>
      <c r="AP156" s="1323"/>
    </row>
    <row r="157" spans="1:42">
      <c r="A157" s="155">
        <v>300355</v>
      </c>
      <c r="B157" s="156" t="s">
        <v>1071</v>
      </c>
      <c r="C157" s="626" t="s">
        <v>1019</v>
      </c>
      <c r="D157" s="1553"/>
      <c r="E157" s="840">
        <v>7.5</v>
      </c>
      <c r="F157" s="1554"/>
      <c r="G157" s="1555"/>
      <c r="H157" s="1556"/>
      <c r="J157" s="838">
        <v>0</v>
      </c>
      <c r="K157" s="1557"/>
      <c r="M157" s="383">
        <v>1</v>
      </c>
      <c r="O157" s="1584"/>
      <c r="P157" s="1343">
        <v>16019.21</v>
      </c>
      <c r="Q157" s="1555"/>
      <c r="R157" s="1555"/>
      <c r="AC157" s="515"/>
      <c r="AD157" s="515"/>
      <c r="AO157" s="1322"/>
      <c r="AP157" s="1323"/>
    </row>
    <row r="158" spans="1:42">
      <c r="A158" s="155">
        <v>300360</v>
      </c>
      <c r="B158" s="156" t="s">
        <v>1072</v>
      </c>
      <c r="C158" s="626" t="s">
        <v>1019</v>
      </c>
      <c r="D158" s="1553"/>
      <c r="E158" s="840">
        <v>16.440000000000001</v>
      </c>
      <c r="F158" s="1554"/>
      <c r="G158" s="1555"/>
      <c r="H158" s="1556"/>
      <c r="J158" s="838">
        <v>0</v>
      </c>
      <c r="K158" s="1557"/>
      <c r="M158" s="383">
        <v>1</v>
      </c>
      <c r="O158" s="1584"/>
      <c r="P158" s="1343">
        <v>32038.42</v>
      </c>
      <c r="Q158" s="1555"/>
      <c r="R158" s="1555"/>
      <c r="AC158" s="515"/>
      <c r="AD158" s="515"/>
      <c r="AO158" s="1322"/>
      <c r="AP158" s="1323"/>
    </row>
    <row r="159" spans="1:42">
      <c r="A159" s="155">
        <v>300363</v>
      </c>
      <c r="B159" s="156" t="s">
        <v>1073</v>
      </c>
      <c r="C159" s="626" t="s">
        <v>1022</v>
      </c>
      <c r="D159" s="1553"/>
      <c r="E159" s="840">
        <v>12.57</v>
      </c>
      <c r="F159" s="1554"/>
      <c r="G159" s="1555"/>
      <c r="H159" s="1556"/>
      <c r="J159" s="838">
        <v>1</v>
      </c>
      <c r="K159" s="1557"/>
      <c r="M159" s="383">
        <v>0</v>
      </c>
      <c r="O159" s="1584"/>
      <c r="P159" s="1343">
        <v>16019.21</v>
      </c>
      <c r="Q159" s="1555"/>
      <c r="R159" s="1555"/>
      <c r="AC159" s="515"/>
      <c r="AD159" s="515"/>
      <c r="AO159" s="1322"/>
      <c r="AP159" s="1323"/>
    </row>
    <row r="160" spans="1:42">
      <c r="A160" s="155">
        <v>300366</v>
      </c>
      <c r="B160" s="156" t="s">
        <v>1074</v>
      </c>
      <c r="C160" s="626" t="s">
        <v>1022</v>
      </c>
      <c r="D160" s="1553"/>
      <c r="E160" s="840">
        <v>13.88</v>
      </c>
      <c r="F160" s="1554"/>
      <c r="G160" s="1555"/>
      <c r="H160" s="1556"/>
      <c r="J160" s="838">
        <v>1</v>
      </c>
      <c r="K160" s="1557"/>
      <c r="M160" s="383">
        <v>0</v>
      </c>
      <c r="O160" s="1584"/>
      <c r="P160" s="1343">
        <v>6213.66</v>
      </c>
      <c r="Q160" s="1555"/>
      <c r="R160" s="1555"/>
      <c r="AC160" s="515"/>
      <c r="AD160" s="515"/>
      <c r="AO160" s="1322"/>
      <c r="AP160" s="1323"/>
    </row>
    <row r="161" spans="1:42">
      <c r="A161" s="155">
        <v>300373</v>
      </c>
      <c r="B161" s="156" t="s">
        <v>1075</v>
      </c>
      <c r="C161" s="626" t="s">
        <v>1019</v>
      </c>
      <c r="D161" s="1553"/>
      <c r="E161" s="840">
        <v>12.27</v>
      </c>
      <c r="F161" s="1554"/>
      <c r="G161" s="1555"/>
      <c r="H161" s="1556"/>
      <c r="J161" s="838">
        <v>0</v>
      </c>
      <c r="K161" s="1557"/>
      <c r="M161" s="383">
        <v>1</v>
      </c>
      <c r="O161" s="1584"/>
      <c r="P161" s="1343">
        <v>16019.21</v>
      </c>
      <c r="Q161" s="1555"/>
      <c r="R161" s="1555"/>
      <c r="AC161" s="515"/>
      <c r="AD161" s="515"/>
      <c r="AO161" s="1322"/>
      <c r="AP161" s="1323"/>
    </row>
    <row r="162" spans="1:42">
      <c r="A162" s="155">
        <v>300375</v>
      </c>
      <c r="B162" s="156" t="s">
        <v>1076</v>
      </c>
      <c r="C162" s="626" t="s">
        <v>1022</v>
      </c>
      <c r="D162" s="1553"/>
      <c r="E162" s="840">
        <v>2.75</v>
      </c>
      <c r="F162" s="1554"/>
      <c r="G162" s="1555"/>
      <c r="H162" s="1556"/>
      <c r="J162" s="838">
        <v>1</v>
      </c>
      <c r="K162" s="1557"/>
      <c r="M162" s="383">
        <v>0</v>
      </c>
      <c r="O162" s="1584"/>
      <c r="P162" s="1343">
        <v>16019.21</v>
      </c>
      <c r="Q162" s="1555"/>
      <c r="R162" s="1555"/>
      <c r="AC162" s="515"/>
      <c r="AD162" s="515"/>
      <c r="AO162" s="1322"/>
      <c r="AP162" s="1323"/>
    </row>
    <row r="163" spans="1:42">
      <c r="A163" s="155">
        <v>300378</v>
      </c>
      <c r="B163" s="156" t="s">
        <v>1077</v>
      </c>
      <c r="C163" s="626" t="s">
        <v>1022</v>
      </c>
      <c r="D163" s="1553"/>
      <c r="E163" s="840">
        <v>6.77</v>
      </c>
      <c r="F163" s="1554"/>
      <c r="G163" s="1555"/>
      <c r="H163" s="1556"/>
      <c r="J163" s="838">
        <v>1</v>
      </c>
      <c r="K163" s="1557"/>
      <c r="M163" s="383">
        <v>0</v>
      </c>
      <c r="O163" s="1584"/>
      <c r="P163" s="1343">
        <v>32038.42</v>
      </c>
      <c r="Q163" s="1555"/>
      <c r="R163" s="1555"/>
      <c r="AC163" s="515"/>
      <c r="AD163" s="515"/>
      <c r="AO163" s="1322"/>
      <c r="AP163" s="1323"/>
    </row>
    <row r="164" spans="1:42">
      <c r="A164" s="155">
        <v>300380</v>
      </c>
      <c r="B164" s="156" t="s">
        <v>1078</v>
      </c>
      <c r="C164" s="626" t="s">
        <v>1022</v>
      </c>
      <c r="D164" s="1553"/>
      <c r="E164" s="840">
        <v>8.3800000000000008</v>
      </c>
      <c r="F164" s="1554"/>
      <c r="G164" s="1555"/>
      <c r="H164" s="1556"/>
      <c r="J164" s="838">
        <v>1</v>
      </c>
      <c r="K164" s="1557"/>
      <c r="M164" s="383">
        <v>0</v>
      </c>
      <c r="O164" s="1584"/>
      <c r="P164" s="1343">
        <v>16019.21</v>
      </c>
      <c r="Q164" s="1555"/>
      <c r="R164" s="1555"/>
      <c r="AC164" s="515"/>
      <c r="AD164" s="515"/>
      <c r="AO164" s="1322"/>
      <c r="AP164" s="1323"/>
    </row>
    <row r="165" spans="1:42">
      <c r="A165" s="155">
        <v>300382</v>
      </c>
      <c r="B165" s="156" t="s">
        <v>1079</v>
      </c>
      <c r="C165" s="626" t="s">
        <v>1022</v>
      </c>
      <c r="D165" s="1553"/>
      <c r="E165" s="840">
        <v>2.75</v>
      </c>
      <c r="F165" s="1554"/>
      <c r="G165" s="1555"/>
      <c r="H165" s="1556"/>
      <c r="J165" s="838">
        <v>1</v>
      </c>
      <c r="K165" s="1557"/>
      <c r="M165" s="383">
        <v>0</v>
      </c>
      <c r="O165" s="1584"/>
      <c r="P165" s="1343">
        <v>16019.21</v>
      </c>
      <c r="Q165" s="1555"/>
      <c r="R165" s="1555"/>
      <c r="AC165" s="515"/>
      <c r="AD165" s="515"/>
      <c r="AO165" s="1322"/>
      <c r="AP165" s="1323"/>
    </row>
    <row r="166" spans="1:42">
      <c r="A166" s="155">
        <v>300394</v>
      </c>
      <c r="B166" s="156" t="s">
        <v>111</v>
      </c>
      <c r="C166" s="626" t="s">
        <v>1022</v>
      </c>
      <c r="D166" s="1553"/>
      <c r="E166" s="840">
        <v>9.51</v>
      </c>
      <c r="F166" s="1554"/>
      <c r="G166" s="1555"/>
      <c r="H166" s="1556"/>
      <c r="J166" s="838">
        <v>1</v>
      </c>
      <c r="K166" s="1557"/>
      <c r="M166" s="383">
        <v>0</v>
      </c>
      <c r="O166" s="1584"/>
      <c r="P166" s="1343">
        <v>16019.21</v>
      </c>
      <c r="Q166" s="1555"/>
      <c r="R166" s="1555"/>
      <c r="AC166" s="515"/>
      <c r="AD166" s="515"/>
      <c r="AO166" s="1322"/>
      <c r="AP166" s="1323"/>
    </row>
    <row r="167" spans="1:42">
      <c r="A167" s="155">
        <v>300400</v>
      </c>
      <c r="B167" s="156" t="s">
        <v>121</v>
      </c>
      <c r="C167" s="626" t="s">
        <v>1022</v>
      </c>
      <c r="D167" s="1553"/>
      <c r="E167" s="840">
        <v>8.99</v>
      </c>
      <c r="F167" s="1554"/>
      <c r="G167" s="1555"/>
      <c r="H167" s="1556"/>
      <c r="J167" s="838">
        <v>1</v>
      </c>
      <c r="K167" s="1557"/>
      <c r="M167" s="383">
        <v>0</v>
      </c>
      <c r="O167" s="1584"/>
      <c r="P167" s="1343">
        <v>16019.21</v>
      </c>
      <c r="Q167" s="1555"/>
      <c r="R167" s="1555"/>
      <c r="AC167" s="515"/>
      <c r="AD167" s="515"/>
      <c r="AO167" s="1322"/>
      <c r="AP167" s="1323"/>
    </row>
    <row r="168" spans="1:42">
      <c r="A168" s="155">
        <v>300405</v>
      </c>
      <c r="B168" s="156" t="s">
        <v>122</v>
      </c>
      <c r="C168" s="626" t="s">
        <v>1022</v>
      </c>
      <c r="D168" s="1553"/>
      <c r="E168" s="840">
        <v>10.56</v>
      </c>
      <c r="F168" s="1554"/>
      <c r="G168" s="1555"/>
      <c r="H168" s="1556"/>
      <c r="J168" s="838">
        <v>1</v>
      </c>
      <c r="K168" s="1557"/>
      <c r="M168" s="383">
        <v>0</v>
      </c>
      <c r="O168" s="1584"/>
      <c r="P168" s="1343">
        <v>16019.21</v>
      </c>
      <c r="Q168" s="1555"/>
      <c r="R168" s="1555"/>
      <c r="AC168" s="515"/>
      <c r="AD168" s="515"/>
      <c r="AO168" s="1322"/>
      <c r="AP168" s="1323"/>
    </row>
    <row r="169" spans="1:42">
      <c r="A169" s="155">
        <v>300406</v>
      </c>
      <c r="B169" s="156" t="s">
        <v>123</v>
      </c>
      <c r="C169" s="626" t="s">
        <v>1019</v>
      </c>
      <c r="D169" s="1553"/>
      <c r="E169" s="840">
        <v>12.27</v>
      </c>
      <c r="F169" s="1554"/>
      <c r="G169" s="1555"/>
      <c r="H169" s="1556"/>
      <c r="J169" s="838">
        <v>0</v>
      </c>
      <c r="K169" s="1557"/>
      <c r="M169" s="383">
        <v>1</v>
      </c>
      <c r="O169" s="1584"/>
      <c r="P169" s="1343">
        <v>16019.21</v>
      </c>
      <c r="Q169" s="1555"/>
      <c r="R169" s="1555"/>
      <c r="AC169" s="515"/>
      <c r="AD169" s="515"/>
      <c r="AO169" s="1322"/>
      <c r="AP169" s="1323"/>
    </row>
    <row r="170" spans="1:42">
      <c r="A170" s="155">
        <v>300407</v>
      </c>
      <c r="B170" s="156" t="s">
        <v>124</v>
      </c>
      <c r="C170" s="626" t="s">
        <v>1019</v>
      </c>
      <c r="D170" s="1553"/>
      <c r="E170" s="840">
        <v>11.65</v>
      </c>
      <c r="F170" s="1554"/>
      <c r="G170" s="1555"/>
      <c r="H170" s="1556"/>
      <c r="J170" s="838">
        <v>0</v>
      </c>
      <c r="K170" s="1557"/>
      <c r="M170" s="383">
        <v>1</v>
      </c>
      <c r="O170" s="1584"/>
      <c r="P170" s="1343">
        <v>16019.21</v>
      </c>
      <c r="Q170" s="1555"/>
      <c r="R170" s="1555"/>
      <c r="AC170" s="515"/>
      <c r="AD170" s="515"/>
      <c r="AO170" s="1322"/>
      <c r="AP170" s="1323"/>
    </row>
    <row r="171" spans="1:42">
      <c r="A171" s="155">
        <v>300412</v>
      </c>
      <c r="B171" s="156" t="s">
        <v>125</v>
      </c>
      <c r="C171" s="626" t="s">
        <v>1019</v>
      </c>
      <c r="D171" s="1553"/>
      <c r="E171" s="840">
        <v>10.029999999999999</v>
      </c>
      <c r="F171" s="1554"/>
      <c r="G171" s="1555"/>
      <c r="H171" s="1556"/>
      <c r="J171" s="838">
        <v>0</v>
      </c>
      <c r="K171" s="1557"/>
      <c r="M171" s="383">
        <v>1</v>
      </c>
      <c r="O171" s="1584"/>
      <c r="P171" s="1343">
        <v>16019.21</v>
      </c>
      <c r="Q171" s="1555"/>
      <c r="R171" s="1555"/>
      <c r="AC171" s="515"/>
      <c r="AD171" s="515"/>
      <c r="AO171" s="1322"/>
      <c r="AP171" s="1323"/>
    </row>
    <row r="172" spans="1:42">
      <c r="A172" s="155">
        <v>300420</v>
      </c>
      <c r="B172" s="156" t="s">
        <v>126</v>
      </c>
      <c r="C172" s="626" t="s">
        <v>1019</v>
      </c>
      <c r="D172" s="1553"/>
      <c r="E172" s="840">
        <v>10.08</v>
      </c>
      <c r="F172" s="1554"/>
      <c r="G172" s="1555"/>
      <c r="H172" s="1556"/>
      <c r="J172" s="838">
        <v>0</v>
      </c>
      <c r="K172" s="1557"/>
      <c r="M172" s="383">
        <v>1</v>
      </c>
      <c r="O172" s="1584"/>
      <c r="P172" s="1343">
        <v>16019.21</v>
      </c>
      <c r="Q172" s="1555"/>
      <c r="R172" s="1555"/>
      <c r="AC172" s="515"/>
      <c r="AD172" s="515"/>
      <c r="AO172" s="1322"/>
      <c r="AP172" s="1323"/>
    </row>
    <row r="173" spans="1:42">
      <c r="A173" s="155">
        <v>300423</v>
      </c>
      <c r="B173" s="156" t="s">
        <v>1080</v>
      </c>
      <c r="C173" s="626" t="s">
        <v>1022</v>
      </c>
      <c r="D173" s="1553"/>
      <c r="E173" s="840">
        <v>11.26</v>
      </c>
      <c r="F173" s="1554"/>
      <c r="G173" s="1555"/>
      <c r="H173" s="1556"/>
      <c r="J173" s="838">
        <v>1</v>
      </c>
      <c r="K173" s="1557"/>
      <c r="M173" s="383">
        <v>0</v>
      </c>
      <c r="O173" s="1584"/>
      <c r="P173" s="1343">
        <v>16019.21</v>
      </c>
      <c r="Q173" s="1555"/>
      <c r="R173" s="1555"/>
      <c r="AC173" s="515"/>
      <c r="AD173" s="515"/>
      <c r="AO173" s="1322"/>
      <c r="AP173" s="1323"/>
    </row>
    <row r="174" spans="1:42">
      <c r="A174" s="155">
        <v>300428</v>
      </c>
      <c r="B174" s="156" t="s">
        <v>421</v>
      </c>
      <c r="C174" s="626" t="s">
        <v>1022</v>
      </c>
      <c r="D174" s="1553"/>
      <c r="E174" s="840">
        <v>9.5</v>
      </c>
      <c r="F174" s="1554"/>
      <c r="G174" s="1555"/>
      <c r="H174" s="1556"/>
      <c r="J174" s="838">
        <v>1</v>
      </c>
      <c r="K174" s="1557"/>
      <c r="M174" s="383">
        <v>0</v>
      </c>
      <c r="O174" s="1584"/>
      <c r="P174" s="1343">
        <v>5375</v>
      </c>
      <c r="Q174" s="1555"/>
      <c r="R174" s="1555"/>
      <c r="AC174" s="515"/>
      <c r="AD174" s="515"/>
      <c r="AO174" s="1322"/>
      <c r="AP174" s="1323"/>
    </row>
    <row r="175" spans="1:42">
      <c r="A175" s="155">
        <v>300436</v>
      </c>
      <c r="B175" s="156" t="s">
        <v>127</v>
      </c>
      <c r="C175" s="626" t="s">
        <v>1022</v>
      </c>
      <c r="D175" s="1553"/>
      <c r="E175" s="840">
        <v>12.42</v>
      </c>
      <c r="F175" s="1554"/>
      <c r="G175" s="1555"/>
      <c r="H175" s="1556"/>
      <c r="J175" s="838">
        <v>1</v>
      </c>
      <c r="K175" s="1557"/>
      <c r="M175" s="383">
        <v>0</v>
      </c>
      <c r="O175" s="1584"/>
      <c r="P175" s="1343">
        <v>16019.21</v>
      </c>
      <c r="Q175" s="1555"/>
      <c r="R175" s="1555"/>
      <c r="AC175" s="515"/>
      <c r="AD175" s="515"/>
      <c r="AO175" s="1322"/>
      <c r="AP175" s="1323"/>
    </row>
    <row r="176" spans="1:42">
      <c r="A176" s="155">
        <v>300437</v>
      </c>
      <c r="B176" s="156" t="s">
        <v>128</v>
      </c>
      <c r="C176" s="626" t="s">
        <v>1022</v>
      </c>
      <c r="D176" s="1553"/>
      <c r="E176" s="840">
        <v>2.96</v>
      </c>
      <c r="F176" s="1554"/>
      <c r="G176" s="1555"/>
      <c r="H176" s="1556"/>
      <c r="J176" s="838">
        <v>1</v>
      </c>
      <c r="K176" s="1557"/>
      <c r="M176" s="383">
        <v>0</v>
      </c>
      <c r="O176" s="1584"/>
      <c r="P176" s="1343">
        <v>15092.9</v>
      </c>
      <c r="Q176" s="1555"/>
      <c r="R176" s="1555"/>
      <c r="AC176" s="515"/>
      <c r="AD176" s="515"/>
      <c r="AO176" s="1322"/>
      <c r="AP176" s="1323"/>
    </row>
    <row r="177" spans="1:42">
      <c r="A177" s="155">
        <v>300438</v>
      </c>
      <c r="B177" s="156" t="s">
        <v>129</v>
      </c>
      <c r="C177" s="626" t="s">
        <v>1019</v>
      </c>
      <c r="D177" s="1553"/>
      <c r="E177" s="840">
        <v>6.17</v>
      </c>
      <c r="F177" s="1554"/>
      <c r="G177" s="1555"/>
      <c r="H177" s="1556"/>
      <c r="J177" s="838">
        <v>0</v>
      </c>
      <c r="K177" s="1557"/>
      <c r="M177" s="383">
        <v>1</v>
      </c>
      <c r="O177" s="1584"/>
      <c r="P177" s="1343">
        <v>16019.21</v>
      </c>
      <c r="Q177" s="1555"/>
      <c r="R177" s="1555"/>
      <c r="AC177" s="515"/>
      <c r="AD177" s="515"/>
      <c r="AO177" s="1322"/>
      <c r="AP177" s="1323"/>
    </row>
    <row r="178" spans="1:42">
      <c r="A178" s="155">
        <v>300443</v>
      </c>
      <c r="B178" s="156" t="s">
        <v>309</v>
      </c>
      <c r="C178" s="626" t="s">
        <v>1022</v>
      </c>
      <c r="D178" s="1553"/>
      <c r="E178" s="840">
        <v>11.26</v>
      </c>
      <c r="F178" s="1554"/>
      <c r="G178" s="1555"/>
      <c r="H178" s="1556"/>
      <c r="J178" s="838">
        <v>1</v>
      </c>
      <c r="K178" s="1557"/>
      <c r="M178" s="383">
        <v>0</v>
      </c>
      <c r="O178" s="1584"/>
      <c r="P178" s="1343">
        <v>16019.21</v>
      </c>
      <c r="Q178" s="1555"/>
      <c r="R178" s="1555"/>
      <c r="AC178" s="515"/>
      <c r="AD178" s="515"/>
      <c r="AO178" s="1322"/>
      <c r="AP178" s="1323"/>
    </row>
    <row r="179" spans="1:42">
      <c r="A179" s="155">
        <v>300444</v>
      </c>
      <c r="B179" s="156" t="s">
        <v>130</v>
      </c>
      <c r="C179" s="626" t="s">
        <v>1019</v>
      </c>
      <c r="D179" s="1553"/>
      <c r="E179" s="840">
        <v>8.8800000000000008</v>
      </c>
      <c r="F179" s="1554"/>
      <c r="G179" s="1555"/>
      <c r="H179" s="1556"/>
      <c r="J179" s="838">
        <v>0</v>
      </c>
      <c r="K179" s="1557"/>
      <c r="M179" s="383">
        <v>1</v>
      </c>
      <c r="O179" s="1584"/>
      <c r="P179" s="1343">
        <v>16019.21</v>
      </c>
      <c r="Q179" s="1555"/>
      <c r="R179" s="1555"/>
      <c r="AC179" s="515"/>
      <c r="AD179" s="515"/>
      <c r="AO179" s="1322"/>
      <c r="AP179" s="1323"/>
    </row>
    <row r="180" spans="1:42">
      <c r="A180" s="155">
        <v>300447</v>
      </c>
      <c r="B180" s="156" t="s">
        <v>422</v>
      </c>
      <c r="C180" s="626" t="s">
        <v>1022</v>
      </c>
      <c r="D180" s="1553"/>
      <c r="E180" s="840">
        <v>4.91</v>
      </c>
      <c r="F180" s="1554"/>
      <c r="G180" s="1555"/>
      <c r="H180" s="1556"/>
      <c r="J180" s="838">
        <v>1</v>
      </c>
      <c r="K180" s="1557"/>
      <c r="M180" s="383">
        <v>0</v>
      </c>
      <c r="O180" s="1584"/>
      <c r="P180" s="1343">
        <v>16019.21</v>
      </c>
      <c r="Q180" s="1555"/>
      <c r="R180" s="1555"/>
      <c r="AC180" s="515"/>
      <c r="AD180" s="515"/>
      <c r="AO180" s="1322"/>
      <c r="AP180" s="1323"/>
    </row>
    <row r="181" spans="1:42">
      <c r="A181" s="155">
        <v>300450</v>
      </c>
      <c r="B181" s="156" t="s">
        <v>423</v>
      </c>
      <c r="C181" s="626" t="s">
        <v>1022</v>
      </c>
      <c r="D181" s="1553"/>
      <c r="E181" s="840">
        <v>13.04</v>
      </c>
      <c r="F181" s="1554"/>
      <c r="G181" s="1555"/>
      <c r="H181" s="1556"/>
      <c r="J181" s="838">
        <v>1</v>
      </c>
      <c r="K181" s="1557"/>
      <c r="M181" s="383">
        <v>0</v>
      </c>
      <c r="O181" s="1584"/>
      <c r="P181" s="1343">
        <v>10333.799999999999</v>
      </c>
      <c r="Q181" s="1555"/>
      <c r="R181" s="1555"/>
      <c r="AC181" s="515"/>
      <c r="AD181" s="515"/>
      <c r="AO181" s="1322"/>
      <c r="AP181" s="1323"/>
    </row>
    <row r="182" spans="1:42">
      <c r="A182" s="155">
        <v>300451</v>
      </c>
      <c r="B182" s="156" t="s">
        <v>1081</v>
      </c>
      <c r="C182" s="626" t="s">
        <v>1022</v>
      </c>
      <c r="D182" s="1553"/>
      <c r="E182" s="840">
        <v>11.51</v>
      </c>
      <c r="F182" s="1554"/>
      <c r="G182" s="1555"/>
      <c r="H182" s="1556"/>
      <c r="J182" s="838">
        <v>1</v>
      </c>
      <c r="K182" s="1557"/>
      <c r="M182" s="383">
        <v>0</v>
      </c>
      <c r="O182" s="1584"/>
      <c r="P182" s="1343">
        <v>16019.21</v>
      </c>
      <c r="Q182" s="1555"/>
      <c r="R182" s="1555"/>
      <c r="AC182" s="515"/>
      <c r="AD182" s="515"/>
      <c r="AO182" s="1322"/>
      <c r="AP182" s="1323"/>
    </row>
    <row r="183" spans="1:42">
      <c r="A183" s="155">
        <v>300452</v>
      </c>
      <c r="B183" s="156" t="s">
        <v>424</v>
      </c>
      <c r="C183" s="626" t="s">
        <v>1022</v>
      </c>
      <c r="D183" s="1553"/>
      <c r="E183" s="840">
        <v>2.96</v>
      </c>
      <c r="F183" s="1554"/>
      <c r="G183" s="1555"/>
      <c r="H183" s="1556"/>
      <c r="J183" s="838">
        <v>1</v>
      </c>
      <c r="K183" s="1557"/>
      <c r="M183" s="383">
        <v>0</v>
      </c>
      <c r="O183" s="1584"/>
      <c r="P183" s="1343">
        <v>16019.21</v>
      </c>
      <c r="Q183" s="1555"/>
      <c r="R183" s="1555"/>
      <c r="AC183" s="515"/>
      <c r="AD183" s="515"/>
      <c r="AO183" s="1322"/>
      <c r="AP183" s="1323"/>
    </row>
    <row r="184" spans="1:42">
      <c r="A184" s="155">
        <v>300453</v>
      </c>
      <c r="B184" s="156" t="s">
        <v>131</v>
      </c>
      <c r="C184" s="626" t="s">
        <v>1022</v>
      </c>
      <c r="D184" s="1553"/>
      <c r="E184" s="840">
        <v>12.57</v>
      </c>
      <c r="F184" s="1554"/>
      <c r="G184" s="1555"/>
      <c r="H184" s="1556"/>
      <c r="J184" s="838">
        <v>1</v>
      </c>
      <c r="K184" s="1557"/>
      <c r="M184" s="383">
        <v>0</v>
      </c>
      <c r="O184" s="1584"/>
      <c r="P184" s="1343">
        <v>16019.21</v>
      </c>
      <c r="Q184" s="1555"/>
      <c r="R184" s="1555"/>
      <c r="AC184" s="515"/>
      <c r="AD184" s="515"/>
      <c r="AO184" s="1322"/>
      <c r="AP184" s="1323"/>
    </row>
    <row r="185" spans="1:42">
      <c r="A185" s="155">
        <v>300455</v>
      </c>
      <c r="B185" s="156" t="s">
        <v>132</v>
      </c>
      <c r="C185" s="626" t="s">
        <v>1019</v>
      </c>
      <c r="D185" s="1553"/>
      <c r="E185" s="840">
        <v>9.6199999999999992</v>
      </c>
      <c r="F185" s="1554"/>
      <c r="G185" s="1555"/>
      <c r="H185" s="1556"/>
      <c r="J185" s="838">
        <v>0</v>
      </c>
      <c r="K185" s="1557"/>
      <c r="M185" s="383">
        <v>1</v>
      </c>
      <c r="O185" s="1584"/>
      <c r="P185" s="1343">
        <v>12935.9</v>
      </c>
      <c r="Q185" s="1555"/>
      <c r="R185" s="1555"/>
      <c r="AC185" s="515"/>
      <c r="AD185" s="515"/>
      <c r="AO185" s="1322"/>
      <c r="AP185" s="1323"/>
    </row>
    <row r="186" spans="1:42">
      <c r="A186" s="155">
        <v>300464</v>
      </c>
      <c r="B186" s="156" t="s">
        <v>1082</v>
      </c>
      <c r="C186" s="626" t="s">
        <v>1022</v>
      </c>
      <c r="D186" s="1553"/>
      <c r="E186" s="840">
        <v>11.7</v>
      </c>
      <c r="F186" s="1554"/>
      <c r="G186" s="1555"/>
      <c r="H186" s="1556"/>
      <c r="J186" s="838">
        <v>1</v>
      </c>
      <c r="K186" s="1557"/>
      <c r="M186" s="383">
        <v>0</v>
      </c>
      <c r="O186" s="1584"/>
      <c r="P186" s="1343">
        <v>9292.5300000000007</v>
      </c>
      <c r="Q186" s="1555"/>
      <c r="R186" s="1555"/>
      <c r="AC186" s="515"/>
      <c r="AD186" s="515"/>
      <c r="AO186" s="1322"/>
      <c r="AP186" s="1323"/>
    </row>
    <row r="187" spans="1:42">
      <c r="A187" s="155">
        <v>300465</v>
      </c>
      <c r="B187" s="156" t="s">
        <v>133</v>
      </c>
      <c r="C187" s="626" t="s">
        <v>1022</v>
      </c>
      <c r="D187" s="1553"/>
      <c r="E187" s="840">
        <v>11.7</v>
      </c>
      <c r="F187" s="1554"/>
      <c r="G187" s="1555"/>
      <c r="H187" s="1556"/>
      <c r="J187" s="838">
        <v>1</v>
      </c>
      <c r="K187" s="1557"/>
      <c r="M187" s="383">
        <v>0</v>
      </c>
      <c r="O187" s="1584"/>
      <c r="P187" s="1343">
        <v>16019.21</v>
      </c>
      <c r="Q187" s="1555"/>
      <c r="R187" s="1555"/>
      <c r="AC187" s="515"/>
      <c r="AD187" s="515"/>
      <c r="AO187" s="1322"/>
      <c r="AP187" s="1323"/>
    </row>
    <row r="188" spans="1:42">
      <c r="A188" s="155">
        <v>300467</v>
      </c>
      <c r="B188" s="156" t="s">
        <v>134</v>
      </c>
      <c r="C188" s="626" t="s">
        <v>1019</v>
      </c>
      <c r="D188" s="1553"/>
      <c r="E188" s="840">
        <v>12.27</v>
      </c>
      <c r="F188" s="1554"/>
      <c r="G188" s="1555"/>
      <c r="H188" s="1556"/>
      <c r="J188" s="838">
        <v>0</v>
      </c>
      <c r="K188" s="1557"/>
      <c r="M188" s="383">
        <v>1</v>
      </c>
      <c r="O188" s="1584"/>
      <c r="P188" s="1343">
        <v>7208.78</v>
      </c>
      <c r="Q188" s="1555"/>
      <c r="R188" s="1555"/>
      <c r="AC188" s="515"/>
      <c r="AD188" s="515"/>
      <c r="AO188" s="1322"/>
      <c r="AP188" s="1323"/>
    </row>
    <row r="189" spans="1:42">
      <c r="A189" s="155">
        <v>300469</v>
      </c>
      <c r="B189" s="156" t="s">
        <v>135</v>
      </c>
      <c r="C189" s="626" t="s">
        <v>1019</v>
      </c>
      <c r="D189" s="1553"/>
      <c r="E189" s="840">
        <v>10.08</v>
      </c>
      <c r="F189" s="1554"/>
      <c r="G189" s="1555"/>
      <c r="H189" s="1556"/>
      <c r="J189" s="838">
        <v>0</v>
      </c>
      <c r="K189" s="1557"/>
      <c r="M189" s="383">
        <v>1</v>
      </c>
      <c r="O189" s="1584"/>
      <c r="P189" s="1343">
        <v>16019.21</v>
      </c>
      <c r="Q189" s="1555"/>
      <c r="R189" s="1555"/>
      <c r="AC189" s="515"/>
      <c r="AD189" s="515"/>
      <c r="AO189" s="1322"/>
      <c r="AP189" s="1323"/>
    </row>
    <row r="190" spans="1:42">
      <c r="A190" s="155">
        <v>300486</v>
      </c>
      <c r="B190" s="156" t="s">
        <v>136</v>
      </c>
      <c r="C190" s="626" t="s">
        <v>1022</v>
      </c>
      <c r="D190" s="1553"/>
      <c r="E190" s="840">
        <v>5.22</v>
      </c>
      <c r="F190" s="1554"/>
      <c r="G190" s="1555"/>
      <c r="H190" s="1556"/>
      <c r="J190" s="838">
        <v>1</v>
      </c>
      <c r="K190" s="1557"/>
      <c r="M190" s="383">
        <v>0</v>
      </c>
      <c r="O190" s="1584"/>
      <c r="P190" s="1343">
        <v>16019.21</v>
      </c>
      <c r="Q190" s="1555"/>
      <c r="R190" s="1555"/>
      <c r="AC190" s="515"/>
      <c r="AD190" s="515"/>
      <c r="AO190" s="1322"/>
      <c r="AP190" s="1323"/>
    </row>
    <row r="191" spans="1:42">
      <c r="A191" s="155">
        <v>300487</v>
      </c>
      <c r="B191" s="156" t="s">
        <v>137</v>
      </c>
      <c r="C191" s="626" t="s">
        <v>1022</v>
      </c>
      <c r="D191" s="1553"/>
      <c r="E191" s="840">
        <v>14.19</v>
      </c>
      <c r="F191" s="1554"/>
      <c r="G191" s="1555"/>
      <c r="H191" s="1556"/>
      <c r="J191" s="838">
        <v>1</v>
      </c>
      <c r="K191" s="1557"/>
      <c r="M191" s="383">
        <v>0</v>
      </c>
      <c r="O191" s="1584"/>
      <c r="P191" s="1343">
        <v>16019.21</v>
      </c>
      <c r="Q191" s="1555"/>
      <c r="R191" s="1555"/>
      <c r="AC191" s="515"/>
      <c r="AD191" s="515"/>
      <c r="AO191" s="1322"/>
      <c r="AP191" s="1323"/>
    </row>
    <row r="192" spans="1:42">
      <c r="A192" s="155">
        <v>300489</v>
      </c>
      <c r="B192" s="156" t="s">
        <v>1083</v>
      </c>
      <c r="C192" s="626" t="s">
        <v>1022</v>
      </c>
      <c r="D192" s="1553"/>
      <c r="E192" s="840">
        <v>2.75</v>
      </c>
      <c r="F192" s="1554"/>
      <c r="G192" s="1555"/>
      <c r="H192" s="1556"/>
      <c r="J192" s="838">
        <v>1</v>
      </c>
      <c r="K192" s="1557"/>
      <c r="M192" s="383">
        <v>0</v>
      </c>
      <c r="O192" s="1584"/>
      <c r="P192" s="1343">
        <v>16019.21</v>
      </c>
      <c r="Q192" s="1555"/>
      <c r="R192" s="1555"/>
      <c r="AC192" s="515"/>
      <c r="AD192" s="515"/>
      <c r="AO192" s="1322"/>
      <c r="AP192" s="1323"/>
    </row>
    <row r="193" spans="1:42">
      <c r="A193" s="155">
        <v>300491</v>
      </c>
      <c r="B193" s="156" t="s">
        <v>1084</v>
      </c>
      <c r="C193" s="626" t="s">
        <v>1022</v>
      </c>
      <c r="D193" s="1553"/>
      <c r="E193" s="840">
        <v>11.7</v>
      </c>
      <c r="F193" s="1554"/>
      <c r="G193" s="1555"/>
      <c r="H193" s="1556"/>
      <c r="J193" s="838">
        <v>1</v>
      </c>
      <c r="K193" s="1557"/>
      <c r="M193" s="383">
        <v>0</v>
      </c>
      <c r="O193" s="1584"/>
      <c r="P193" s="1343">
        <v>16019.21</v>
      </c>
      <c r="Q193" s="1555"/>
      <c r="R193" s="1555"/>
      <c r="AC193" s="515"/>
      <c r="AD193" s="515"/>
      <c r="AO193" s="1322"/>
      <c r="AP193" s="1323"/>
    </row>
    <row r="194" spans="1:42">
      <c r="A194" s="155">
        <v>300492</v>
      </c>
      <c r="B194" s="156" t="s">
        <v>1085</v>
      </c>
      <c r="C194" s="626" t="s">
        <v>1022</v>
      </c>
      <c r="D194" s="1553"/>
      <c r="E194" s="840">
        <v>13.84</v>
      </c>
      <c r="F194" s="1554"/>
      <c r="G194" s="1555"/>
      <c r="H194" s="1556"/>
      <c r="J194" s="838">
        <v>1</v>
      </c>
      <c r="K194" s="1557"/>
      <c r="M194" s="383">
        <v>0</v>
      </c>
      <c r="O194" s="1584"/>
      <c r="P194" s="1343">
        <v>16019.21</v>
      </c>
      <c r="Q194" s="1555"/>
      <c r="R194" s="1555"/>
      <c r="AC194" s="515"/>
      <c r="AD194" s="515"/>
      <c r="AO194" s="1322"/>
      <c r="AP194" s="1323"/>
    </row>
    <row r="195" spans="1:42">
      <c r="A195" s="155">
        <v>300495</v>
      </c>
      <c r="B195" s="156" t="s">
        <v>276</v>
      </c>
      <c r="C195" s="626" t="s">
        <v>1022</v>
      </c>
      <c r="D195" s="1553"/>
      <c r="E195" s="840">
        <v>12.42</v>
      </c>
      <c r="F195" s="1554"/>
      <c r="G195" s="1555"/>
      <c r="H195" s="1556"/>
      <c r="J195" s="838">
        <v>1</v>
      </c>
      <c r="K195" s="1557"/>
      <c r="M195" s="383">
        <v>0</v>
      </c>
      <c r="O195" s="1584"/>
      <c r="P195" s="1343">
        <v>16019.21</v>
      </c>
      <c r="Q195" s="1555"/>
      <c r="R195" s="1555"/>
      <c r="AC195" s="515"/>
      <c r="AD195" s="515"/>
      <c r="AO195" s="1322"/>
      <c r="AP195" s="1323"/>
    </row>
    <row r="196" spans="1:42">
      <c r="A196" s="155">
        <v>300500</v>
      </c>
      <c r="B196" s="156" t="s">
        <v>310</v>
      </c>
      <c r="C196" s="626" t="s">
        <v>1019</v>
      </c>
      <c r="D196" s="1553"/>
      <c r="E196" s="840">
        <v>8.8800000000000008</v>
      </c>
      <c r="F196" s="1554"/>
      <c r="G196" s="1555"/>
      <c r="H196" s="1556"/>
      <c r="J196" s="838">
        <v>0</v>
      </c>
      <c r="K196" s="1557"/>
      <c r="M196" s="383">
        <v>1</v>
      </c>
      <c r="O196" s="1584"/>
      <c r="P196" s="1343">
        <v>32038.42</v>
      </c>
      <c r="Q196" s="1555"/>
      <c r="R196" s="1555"/>
      <c r="AC196" s="515"/>
      <c r="AD196" s="515"/>
      <c r="AO196" s="1322"/>
      <c r="AP196" s="1323"/>
    </row>
    <row r="197" spans="1:42">
      <c r="A197" s="155">
        <v>300501</v>
      </c>
      <c r="B197" s="156" t="s">
        <v>277</v>
      </c>
      <c r="C197" s="626" t="s">
        <v>1022</v>
      </c>
      <c r="D197" s="1553"/>
      <c r="E197" s="840">
        <v>8.4499999999999993</v>
      </c>
      <c r="F197" s="1554"/>
      <c r="G197" s="1555"/>
      <c r="H197" s="1556"/>
      <c r="J197" s="838">
        <v>1</v>
      </c>
      <c r="K197" s="1557"/>
      <c r="M197" s="383">
        <v>0</v>
      </c>
      <c r="O197" s="1584"/>
      <c r="P197" s="1343">
        <v>16019.21</v>
      </c>
      <c r="Q197" s="1555"/>
      <c r="R197" s="1555"/>
      <c r="AC197" s="515"/>
      <c r="AD197" s="515"/>
      <c r="AO197" s="1322"/>
      <c r="AP197" s="1323"/>
    </row>
    <row r="198" spans="1:42">
      <c r="A198" s="155">
        <v>300507</v>
      </c>
      <c r="B198" s="156" t="s">
        <v>138</v>
      </c>
      <c r="C198" s="626" t="s">
        <v>1019</v>
      </c>
      <c r="D198" s="1553"/>
      <c r="E198" s="840">
        <v>13.33</v>
      </c>
      <c r="F198" s="1554"/>
      <c r="G198" s="1555"/>
      <c r="H198" s="1556"/>
      <c r="J198" s="838">
        <v>0</v>
      </c>
      <c r="K198" s="1557"/>
      <c r="M198" s="383">
        <v>1</v>
      </c>
      <c r="O198" s="1584"/>
      <c r="P198" s="1343">
        <v>16019.21</v>
      </c>
      <c r="Q198" s="1555"/>
      <c r="R198" s="1555"/>
      <c r="AC198" s="515"/>
      <c r="AD198" s="515"/>
      <c r="AO198" s="1322"/>
      <c r="AP198" s="1323"/>
    </row>
    <row r="199" spans="1:42">
      <c r="A199" s="155">
        <v>300516</v>
      </c>
      <c r="B199" s="156" t="s">
        <v>1086</v>
      </c>
      <c r="C199" s="626" t="s">
        <v>1022</v>
      </c>
      <c r="D199" s="1553"/>
      <c r="E199" s="840">
        <v>9.08</v>
      </c>
      <c r="F199" s="1554"/>
      <c r="G199" s="1555"/>
      <c r="H199" s="1556"/>
      <c r="J199" s="838">
        <v>1</v>
      </c>
      <c r="K199" s="1557"/>
      <c r="M199" s="383">
        <v>0</v>
      </c>
      <c r="O199" s="1584"/>
      <c r="P199" s="1343">
        <v>16019.21</v>
      </c>
      <c r="Q199" s="1555"/>
      <c r="R199" s="1555"/>
      <c r="AC199" s="515"/>
      <c r="AD199" s="515"/>
      <c r="AO199" s="1322"/>
      <c r="AP199" s="1323"/>
    </row>
    <row r="200" spans="1:42">
      <c r="A200" s="155">
        <v>300524</v>
      </c>
      <c r="B200" s="156" t="s">
        <v>139</v>
      </c>
      <c r="C200" s="626" t="s">
        <v>1022</v>
      </c>
      <c r="D200" s="1553"/>
      <c r="E200" s="840">
        <v>13.88</v>
      </c>
      <c r="F200" s="1554"/>
      <c r="G200" s="1555"/>
      <c r="H200" s="1556"/>
      <c r="J200" s="838">
        <v>1</v>
      </c>
      <c r="K200" s="1557"/>
      <c r="M200" s="383">
        <v>0</v>
      </c>
      <c r="O200" s="1584"/>
      <c r="P200" s="1343">
        <v>16019.21</v>
      </c>
      <c r="Q200" s="1555"/>
      <c r="R200" s="1555"/>
      <c r="AC200" s="515"/>
      <c r="AD200" s="515"/>
      <c r="AO200" s="1322"/>
      <c r="AP200" s="1323"/>
    </row>
    <row r="201" spans="1:42">
      <c r="A201" s="155">
        <v>300527</v>
      </c>
      <c r="B201" s="156" t="s">
        <v>278</v>
      </c>
      <c r="C201" s="626" t="s">
        <v>1022</v>
      </c>
      <c r="D201" s="1553"/>
      <c r="E201" s="840">
        <v>13.88</v>
      </c>
      <c r="F201" s="1554"/>
      <c r="G201" s="1555"/>
      <c r="H201" s="1556"/>
      <c r="J201" s="838">
        <v>1</v>
      </c>
      <c r="K201" s="1557"/>
      <c r="M201" s="383">
        <v>0</v>
      </c>
      <c r="O201" s="1584"/>
      <c r="P201" s="1343">
        <v>15534.15</v>
      </c>
      <c r="Q201" s="1555"/>
      <c r="R201" s="1555"/>
      <c r="AC201" s="515"/>
      <c r="AD201" s="515"/>
      <c r="AO201" s="1322"/>
      <c r="AP201" s="1323"/>
    </row>
    <row r="202" spans="1:42">
      <c r="A202" s="155">
        <v>300530</v>
      </c>
      <c r="B202" s="156" t="s">
        <v>140</v>
      </c>
      <c r="C202" s="626" t="s">
        <v>1022</v>
      </c>
      <c r="D202" s="1553"/>
      <c r="E202" s="840">
        <v>2.75</v>
      </c>
      <c r="F202" s="1554"/>
      <c r="G202" s="1555"/>
      <c r="H202" s="1556"/>
      <c r="J202" s="838">
        <v>1</v>
      </c>
      <c r="K202" s="1557"/>
      <c r="M202" s="383">
        <v>0</v>
      </c>
      <c r="O202" s="1584"/>
      <c r="P202" s="1343">
        <v>16019.21</v>
      </c>
      <c r="Q202" s="1555"/>
      <c r="R202" s="1555"/>
      <c r="AC202" s="515"/>
      <c r="AD202" s="515"/>
      <c r="AO202" s="1322"/>
      <c r="AP202" s="1323"/>
    </row>
    <row r="203" spans="1:42">
      <c r="A203" s="155">
        <v>300533</v>
      </c>
      <c r="B203" s="156" t="s">
        <v>141</v>
      </c>
      <c r="C203" s="626" t="s">
        <v>1022</v>
      </c>
      <c r="D203" s="1553"/>
      <c r="E203" s="840">
        <v>14.9</v>
      </c>
      <c r="F203" s="1554"/>
      <c r="G203" s="1555"/>
      <c r="H203" s="1556"/>
      <c r="J203" s="838">
        <v>1</v>
      </c>
      <c r="K203" s="1557"/>
      <c r="M203" s="383">
        <v>0</v>
      </c>
      <c r="O203" s="1584"/>
      <c r="P203" s="1343">
        <v>16019.21</v>
      </c>
      <c r="Q203" s="1555"/>
      <c r="R203" s="1555"/>
      <c r="AC203" s="515"/>
      <c r="AD203" s="515"/>
      <c r="AO203" s="1322"/>
      <c r="AP203" s="1323"/>
    </row>
    <row r="204" spans="1:42">
      <c r="A204" s="155">
        <v>300534</v>
      </c>
      <c r="B204" s="156" t="s">
        <v>1087</v>
      </c>
      <c r="C204" s="626" t="s">
        <v>1022</v>
      </c>
      <c r="D204" s="1553"/>
      <c r="E204" s="840">
        <v>11.26</v>
      </c>
      <c r="F204" s="1554"/>
      <c r="G204" s="1555"/>
      <c r="H204" s="1556"/>
      <c r="J204" s="838">
        <v>1</v>
      </c>
      <c r="K204" s="1557"/>
      <c r="M204" s="383">
        <v>0</v>
      </c>
      <c r="O204" s="1584"/>
      <c r="P204" s="1343">
        <v>16019.21</v>
      </c>
      <c r="Q204" s="1555"/>
      <c r="R204" s="1555"/>
      <c r="AC204" s="515"/>
      <c r="AD204" s="515"/>
      <c r="AO204" s="1322"/>
      <c r="AP204" s="1323"/>
    </row>
    <row r="205" spans="1:42">
      <c r="A205" s="155">
        <v>300535</v>
      </c>
      <c r="B205" s="156" t="s">
        <v>279</v>
      </c>
      <c r="C205" s="626" t="s">
        <v>1022</v>
      </c>
      <c r="D205" s="1553"/>
      <c r="E205" s="840">
        <v>11.81</v>
      </c>
      <c r="F205" s="1554"/>
      <c r="G205" s="1555"/>
      <c r="H205" s="1556"/>
      <c r="J205" s="838">
        <v>1</v>
      </c>
      <c r="K205" s="1557"/>
      <c r="M205" s="383">
        <v>0</v>
      </c>
      <c r="O205" s="1584"/>
      <c r="P205" s="1343">
        <v>16019.21</v>
      </c>
      <c r="Q205" s="1555"/>
      <c r="R205" s="1555"/>
      <c r="AC205" s="515"/>
      <c r="AD205" s="515"/>
      <c r="AO205" s="1322"/>
      <c r="AP205" s="1323"/>
    </row>
    <row r="206" spans="1:42">
      <c r="A206" s="155">
        <v>300541</v>
      </c>
      <c r="B206" s="156" t="s">
        <v>1088</v>
      </c>
      <c r="C206" s="626" t="s">
        <v>1022</v>
      </c>
      <c r="D206" s="1553"/>
      <c r="E206" s="840">
        <v>7.04</v>
      </c>
      <c r="F206" s="1554"/>
      <c r="G206" s="1555"/>
      <c r="H206" s="1556"/>
      <c r="J206" s="838">
        <v>1</v>
      </c>
      <c r="K206" s="1557"/>
      <c r="M206" s="383">
        <v>0</v>
      </c>
      <c r="O206" s="1584"/>
      <c r="P206" s="1343">
        <v>32038.42</v>
      </c>
      <c r="Q206" s="1555"/>
      <c r="R206" s="1555"/>
      <c r="AC206" s="515"/>
      <c r="AD206" s="515"/>
      <c r="AO206" s="1322"/>
      <c r="AP206" s="1323"/>
    </row>
    <row r="207" spans="1:42">
      <c r="A207" s="155">
        <v>300542</v>
      </c>
      <c r="B207" s="156" t="s">
        <v>280</v>
      </c>
      <c r="C207" s="626" t="s">
        <v>1022</v>
      </c>
      <c r="D207" s="1553"/>
      <c r="E207" s="840">
        <v>2.15</v>
      </c>
      <c r="F207" s="1554"/>
      <c r="G207" s="1555"/>
      <c r="H207" s="1556"/>
      <c r="J207" s="838">
        <v>1</v>
      </c>
      <c r="K207" s="1557"/>
      <c r="M207" s="383">
        <v>0</v>
      </c>
      <c r="O207" s="1584"/>
      <c r="P207" s="1343">
        <v>16019.21</v>
      </c>
      <c r="Q207" s="1555"/>
      <c r="R207" s="1555"/>
      <c r="AC207" s="515"/>
      <c r="AD207" s="515"/>
      <c r="AO207" s="1322"/>
      <c r="AP207" s="1323"/>
    </row>
    <row r="208" spans="1:42">
      <c r="A208" s="155">
        <v>300544</v>
      </c>
      <c r="B208" s="156" t="s">
        <v>142</v>
      </c>
      <c r="C208" s="626" t="s">
        <v>1022</v>
      </c>
      <c r="D208" s="1553"/>
      <c r="E208" s="840">
        <v>2.82</v>
      </c>
      <c r="F208" s="1554"/>
      <c r="G208" s="1555"/>
      <c r="H208" s="1556"/>
      <c r="J208" s="838">
        <v>1</v>
      </c>
      <c r="K208" s="1557"/>
      <c r="M208" s="383">
        <v>0</v>
      </c>
      <c r="O208" s="1584"/>
      <c r="P208" s="1343">
        <v>16019.21</v>
      </c>
      <c r="Q208" s="1555"/>
      <c r="R208" s="1555"/>
      <c r="AC208" s="515"/>
      <c r="AD208" s="515"/>
      <c r="AO208" s="1322"/>
      <c r="AP208" s="1323"/>
    </row>
    <row r="209" spans="1:42">
      <c r="A209" s="155">
        <v>300546</v>
      </c>
      <c r="B209" s="156" t="s">
        <v>143</v>
      </c>
      <c r="C209" s="626" t="s">
        <v>1022</v>
      </c>
      <c r="D209" s="1553"/>
      <c r="E209" s="840">
        <v>7.07</v>
      </c>
      <c r="F209" s="1554"/>
      <c r="G209" s="1555"/>
      <c r="H209" s="1556"/>
      <c r="J209" s="838">
        <v>1</v>
      </c>
      <c r="K209" s="1557"/>
      <c r="M209" s="383">
        <v>0</v>
      </c>
      <c r="O209" s="1584"/>
      <c r="P209" s="1343">
        <v>5436.95</v>
      </c>
      <c r="Q209" s="1555"/>
      <c r="R209" s="1555"/>
      <c r="AC209" s="515"/>
      <c r="AD209" s="515"/>
      <c r="AO209" s="1322"/>
      <c r="AP209" s="1323"/>
    </row>
    <row r="210" spans="1:42">
      <c r="A210" s="155">
        <v>300549</v>
      </c>
      <c r="B210" s="156" t="s">
        <v>144</v>
      </c>
      <c r="C210" s="626" t="s">
        <v>1022</v>
      </c>
      <c r="D210" s="1553"/>
      <c r="E210" s="840">
        <v>11.26</v>
      </c>
      <c r="F210" s="1554"/>
      <c r="G210" s="1555"/>
      <c r="H210" s="1556"/>
      <c r="J210" s="838">
        <v>1</v>
      </c>
      <c r="K210" s="1557"/>
      <c r="M210" s="383">
        <v>0</v>
      </c>
      <c r="O210" s="1584"/>
      <c r="P210" s="1343">
        <v>16019.21</v>
      </c>
      <c r="Q210" s="1555"/>
      <c r="R210" s="1555"/>
      <c r="AC210" s="515"/>
      <c r="AD210" s="515"/>
      <c r="AO210" s="1322"/>
      <c r="AP210" s="1323"/>
    </row>
    <row r="211" spans="1:42">
      <c r="A211" s="155">
        <v>300552</v>
      </c>
      <c r="B211" s="156" t="s">
        <v>1089</v>
      </c>
      <c r="C211" s="626" t="s">
        <v>1022</v>
      </c>
      <c r="D211" s="1553"/>
      <c r="E211" s="840">
        <v>8.9700000000000006</v>
      </c>
      <c r="F211" s="1554"/>
      <c r="G211" s="1555"/>
      <c r="H211" s="1556"/>
      <c r="J211" s="838">
        <v>1</v>
      </c>
      <c r="K211" s="1557"/>
      <c r="M211" s="383">
        <v>0</v>
      </c>
      <c r="O211" s="1584"/>
      <c r="P211" s="1343">
        <v>16019.21</v>
      </c>
      <c r="Q211" s="1555"/>
      <c r="R211" s="1555"/>
      <c r="AC211" s="515"/>
      <c r="AD211" s="515"/>
      <c r="AO211" s="1322"/>
      <c r="AP211" s="1323"/>
    </row>
    <row r="212" spans="1:42">
      <c r="A212" s="155">
        <v>300553</v>
      </c>
      <c r="B212" s="156" t="s">
        <v>145</v>
      </c>
      <c r="C212" s="626" t="s">
        <v>1022</v>
      </c>
      <c r="D212" s="1553"/>
      <c r="E212" s="840">
        <v>2.82</v>
      </c>
      <c r="F212" s="1554"/>
      <c r="G212" s="1555"/>
      <c r="H212" s="1556"/>
      <c r="J212" s="838">
        <v>1</v>
      </c>
      <c r="K212" s="1557"/>
      <c r="M212" s="383">
        <v>0</v>
      </c>
      <c r="O212" s="1584"/>
      <c r="P212" s="1343">
        <v>16019.21</v>
      </c>
      <c r="Q212" s="1555"/>
      <c r="R212" s="1555"/>
      <c r="AC212" s="515"/>
      <c r="AD212" s="515"/>
      <c r="AO212" s="1322"/>
      <c r="AP212" s="1323"/>
    </row>
    <row r="213" spans="1:42">
      <c r="A213" s="155">
        <v>300555</v>
      </c>
      <c r="B213" s="156" t="s">
        <v>168</v>
      </c>
      <c r="C213" s="626" t="s">
        <v>1019</v>
      </c>
      <c r="D213" s="1553"/>
      <c r="E213" s="840">
        <v>10.08</v>
      </c>
      <c r="F213" s="1554"/>
      <c r="G213" s="1555"/>
      <c r="H213" s="1556"/>
      <c r="J213" s="838">
        <v>0</v>
      </c>
      <c r="K213" s="1557"/>
      <c r="M213" s="383">
        <v>1</v>
      </c>
      <c r="O213" s="1584"/>
      <c r="P213" s="1343">
        <v>16019.21</v>
      </c>
      <c r="Q213" s="1555"/>
      <c r="R213" s="1555"/>
      <c r="AC213" s="515"/>
      <c r="AD213" s="515"/>
      <c r="AO213" s="1322"/>
      <c r="AP213" s="1323"/>
    </row>
    <row r="214" spans="1:42">
      <c r="A214" s="155">
        <v>300556</v>
      </c>
      <c r="B214" s="156" t="s">
        <v>169</v>
      </c>
      <c r="C214" s="626" t="s">
        <v>1022</v>
      </c>
      <c r="D214" s="1553"/>
      <c r="E214" s="840">
        <v>11.57</v>
      </c>
      <c r="F214" s="1554"/>
      <c r="G214" s="1555"/>
      <c r="H214" s="1556"/>
      <c r="J214" s="838">
        <v>1</v>
      </c>
      <c r="K214" s="1557"/>
      <c r="M214" s="383">
        <v>0</v>
      </c>
      <c r="O214" s="1584"/>
      <c r="P214" s="1343">
        <v>16019.21</v>
      </c>
      <c r="Q214" s="1555"/>
      <c r="R214" s="1555"/>
      <c r="AC214" s="515"/>
      <c r="AD214" s="515"/>
      <c r="AO214" s="1322"/>
      <c r="AP214" s="1323"/>
    </row>
    <row r="215" spans="1:42">
      <c r="A215" s="155">
        <v>300558</v>
      </c>
      <c r="B215" s="156" t="s">
        <v>170</v>
      </c>
      <c r="C215" s="626" t="s">
        <v>1022</v>
      </c>
      <c r="D215" s="1553"/>
      <c r="E215" s="840">
        <v>6.53</v>
      </c>
      <c r="F215" s="1554"/>
      <c r="G215" s="1555"/>
      <c r="H215" s="1556"/>
      <c r="J215" s="838">
        <v>1</v>
      </c>
      <c r="K215" s="1557"/>
      <c r="M215" s="383">
        <v>0</v>
      </c>
      <c r="O215" s="1584"/>
      <c r="P215" s="1343">
        <v>16019.21</v>
      </c>
      <c r="Q215" s="1555"/>
      <c r="R215" s="1555"/>
      <c r="AC215" s="515"/>
      <c r="AD215" s="515"/>
      <c r="AO215" s="1322"/>
      <c r="AP215" s="1323"/>
    </row>
    <row r="216" spans="1:42">
      <c r="A216" s="155">
        <v>300563</v>
      </c>
      <c r="B216" s="156" t="s">
        <v>311</v>
      </c>
      <c r="C216" s="626" t="s">
        <v>1019</v>
      </c>
      <c r="D216" s="1553"/>
      <c r="E216" s="840">
        <v>6.49</v>
      </c>
      <c r="F216" s="1554"/>
      <c r="G216" s="1555"/>
      <c r="H216" s="1556"/>
      <c r="J216" s="838">
        <v>0</v>
      </c>
      <c r="K216" s="1557"/>
      <c r="M216" s="383">
        <v>1</v>
      </c>
      <c r="O216" s="1584"/>
      <c r="P216" s="1343">
        <v>48057.63</v>
      </c>
      <c r="Q216" s="1555"/>
      <c r="R216" s="1555"/>
      <c r="AC216" s="515"/>
      <c r="AD216" s="515"/>
      <c r="AO216" s="1322"/>
      <c r="AP216" s="1323"/>
    </row>
    <row r="217" spans="1:42">
      <c r="A217" s="155">
        <v>300564</v>
      </c>
      <c r="B217" s="156" t="s">
        <v>312</v>
      </c>
      <c r="C217" s="626" t="s">
        <v>1019</v>
      </c>
      <c r="D217" s="1553"/>
      <c r="E217" s="840">
        <v>16.73</v>
      </c>
      <c r="F217" s="1554"/>
      <c r="G217" s="1555"/>
      <c r="H217" s="1556"/>
      <c r="J217" s="838">
        <v>0</v>
      </c>
      <c r="K217" s="1557"/>
      <c r="M217" s="383">
        <v>1</v>
      </c>
      <c r="O217" s="1584"/>
      <c r="P217" s="1343">
        <v>112134.48</v>
      </c>
      <c r="Q217" s="1555"/>
      <c r="R217" s="1555"/>
      <c r="AC217" s="515"/>
      <c r="AD217" s="515"/>
      <c r="AO217" s="1322"/>
      <c r="AP217" s="1323"/>
    </row>
    <row r="218" spans="1:42">
      <c r="A218" s="155">
        <v>300569</v>
      </c>
      <c r="B218" s="156" t="s">
        <v>313</v>
      </c>
      <c r="C218" s="626" t="s">
        <v>1019</v>
      </c>
      <c r="D218" s="1553"/>
      <c r="E218" s="840">
        <v>17.71</v>
      </c>
      <c r="F218" s="1554"/>
      <c r="G218" s="1555"/>
      <c r="H218" s="1556"/>
      <c r="J218" s="838">
        <v>0</v>
      </c>
      <c r="K218" s="1557"/>
      <c r="M218" s="383">
        <v>1</v>
      </c>
      <c r="O218" s="1584"/>
      <c r="P218" s="1343">
        <v>32038.42</v>
      </c>
      <c r="Q218" s="1555"/>
      <c r="R218" s="1555"/>
      <c r="AC218" s="515"/>
      <c r="AD218" s="515"/>
      <c r="AO218" s="1322"/>
      <c r="AP218" s="1323"/>
    </row>
    <row r="219" spans="1:42">
      <c r="A219" s="155">
        <v>300571</v>
      </c>
      <c r="B219" s="156" t="s">
        <v>314</v>
      </c>
      <c r="C219" s="626" t="s">
        <v>1019</v>
      </c>
      <c r="D219" s="1553"/>
      <c r="E219" s="840">
        <v>10.36</v>
      </c>
      <c r="F219" s="1554"/>
      <c r="G219" s="1555"/>
      <c r="H219" s="1556"/>
      <c r="J219" s="838">
        <v>0</v>
      </c>
      <c r="K219" s="1557"/>
      <c r="M219" s="383">
        <v>1</v>
      </c>
      <c r="O219" s="1584"/>
      <c r="P219" s="1343">
        <v>64076.84</v>
      </c>
      <c r="Q219" s="1555"/>
      <c r="R219" s="1555"/>
      <c r="AC219" s="515"/>
      <c r="AD219" s="515"/>
      <c r="AO219" s="1322"/>
      <c r="AP219" s="1323"/>
    </row>
    <row r="220" spans="1:42">
      <c r="A220" s="155">
        <v>300572</v>
      </c>
      <c r="B220" s="156" t="s">
        <v>172</v>
      </c>
      <c r="C220" s="626" t="s">
        <v>1022</v>
      </c>
      <c r="D220" s="1553"/>
      <c r="E220" s="840">
        <v>11.38</v>
      </c>
      <c r="F220" s="1554"/>
      <c r="G220" s="1555"/>
      <c r="H220" s="1556"/>
      <c r="J220" s="838">
        <v>1</v>
      </c>
      <c r="K220" s="1557"/>
      <c r="M220" s="383">
        <v>0</v>
      </c>
      <c r="O220" s="1584"/>
      <c r="P220" s="1343">
        <v>4660.25</v>
      </c>
      <c r="Q220" s="1555"/>
      <c r="R220" s="1555"/>
      <c r="AC220" s="515"/>
      <c r="AD220" s="515"/>
      <c r="AO220" s="1322"/>
      <c r="AP220" s="1323"/>
    </row>
    <row r="221" spans="1:42">
      <c r="A221" s="155">
        <v>300573</v>
      </c>
      <c r="B221" s="156" t="s">
        <v>173</v>
      </c>
      <c r="C221" s="626" t="s">
        <v>1022</v>
      </c>
      <c r="D221" s="1553"/>
      <c r="E221" s="840">
        <v>10.57</v>
      </c>
      <c r="F221" s="1554"/>
      <c r="G221" s="1555"/>
      <c r="H221" s="1556"/>
      <c r="J221" s="838">
        <v>1</v>
      </c>
      <c r="K221" s="1557"/>
      <c r="M221" s="383">
        <v>0</v>
      </c>
      <c r="O221" s="1584"/>
      <c r="P221" s="1343">
        <v>7568.51</v>
      </c>
      <c r="Q221" s="1555"/>
      <c r="R221" s="1555"/>
      <c r="AC221" s="515"/>
      <c r="AD221" s="515"/>
      <c r="AO221" s="1322"/>
      <c r="AP221" s="1323"/>
    </row>
    <row r="222" spans="1:42">
      <c r="A222" s="155">
        <v>300582</v>
      </c>
      <c r="B222" s="156" t="s">
        <v>174</v>
      </c>
      <c r="C222" s="626" t="s">
        <v>1019</v>
      </c>
      <c r="D222" s="1553"/>
      <c r="E222" s="840">
        <v>17.71</v>
      </c>
      <c r="F222" s="1554"/>
      <c r="G222" s="1555"/>
      <c r="H222" s="1556"/>
      <c r="J222" s="838">
        <v>0</v>
      </c>
      <c r="K222" s="1557"/>
      <c r="M222" s="383">
        <v>1</v>
      </c>
      <c r="O222" s="1584"/>
      <c r="P222" s="1343">
        <v>16019.21</v>
      </c>
      <c r="Q222" s="1555"/>
      <c r="R222" s="1555"/>
      <c r="AC222" s="515"/>
      <c r="AD222" s="515"/>
      <c r="AO222" s="1322"/>
      <c r="AP222" s="1323"/>
    </row>
    <row r="223" spans="1:42">
      <c r="A223" s="155">
        <v>300585</v>
      </c>
      <c r="B223" s="156" t="s">
        <v>315</v>
      </c>
      <c r="C223" s="626" t="s">
        <v>1019</v>
      </c>
      <c r="D223" s="1553"/>
      <c r="E223" s="840">
        <v>17.600000000000001</v>
      </c>
      <c r="F223" s="1554"/>
      <c r="G223" s="1555"/>
      <c r="H223" s="1556"/>
      <c r="J223" s="838">
        <v>0</v>
      </c>
      <c r="K223" s="1557"/>
      <c r="M223" s="383">
        <v>1</v>
      </c>
      <c r="O223" s="1584"/>
      <c r="P223" s="1343">
        <v>32038.42</v>
      </c>
      <c r="Q223" s="1555"/>
      <c r="R223" s="1555"/>
      <c r="AC223" s="515"/>
      <c r="AD223" s="515"/>
      <c r="AO223" s="1322"/>
      <c r="AP223" s="1323"/>
    </row>
    <row r="224" spans="1:42">
      <c r="A224" s="155">
        <v>300587</v>
      </c>
      <c r="B224" s="156" t="s">
        <v>175</v>
      </c>
      <c r="C224" s="626" t="s">
        <v>1022</v>
      </c>
      <c r="D224" s="1553"/>
      <c r="E224" s="840">
        <v>9.99</v>
      </c>
      <c r="F224" s="1554"/>
      <c r="G224" s="1555"/>
      <c r="H224" s="1556"/>
      <c r="J224" s="838">
        <v>1</v>
      </c>
      <c r="K224" s="1557"/>
      <c r="M224" s="383">
        <v>0</v>
      </c>
      <c r="O224" s="1584"/>
      <c r="P224" s="1343">
        <v>16019.21</v>
      </c>
      <c r="Q224" s="1555"/>
      <c r="R224" s="1555"/>
      <c r="AC224" s="515"/>
      <c r="AD224" s="515"/>
      <c r="AO224" s="1322"/>
      <c r="AP224" s="1323"/>
    </row>
    <row r="225" spans="1:42">
      <c r="A225" s="155">
        <v>300591</v>
      </c>
      <c r="B225" s="156" t="s">
        <v>316</v>
      </c>
      <c r="C225" s="626" t="s">
        <v>1019</v>
      </c>
      <c r="D225" s="1553"/>
      <c r="E225" s="840">
        <v>10.52</v>
      </c>
      <c r="F225" s="1554"/>
      <c r="G225" s="1555"/>
      <c r="H225" s="1556"/>
      <c r="J225" s="838">
        <v>0</v>
      </c>
      <c r="K225" s="1557"/>
      <c r="M225" s="383">
        <v>1</v>
      </c>
      <c r="O225" s="1584"/>
      <c r="P225" s="1343">
        <v>48057.63</v>
      </c>
      <c r="Q225" s="1555"/>
      <c r="R225" s="1555"/>
      <c r="AC225" s="515"/>
      <c r="AD225" s="515"/>
      <c r="AO225" s="1322"/>
      <c r="AP225" s="1323"/>
    </row>
    <row r="226" spans="1:42">
      <c r="A226" s="155">
        <v>300592</v>
      </c>
      <c r="B226" s="156" t="s">
        <v>317</v>
      </c>
      <c r="C226" s="626" t="s">
        <v>1019</v>
      </c>
      <c r="D226" s="1553"/>
      <c r="E226" s="840">
        <v>14.67</v>
      </c>
      <c r="F226" s="1554"/>
      <c r="G226" s="1555"/>
      <c r="H226" s="1556"/>
      <c r="J226" s="838">
        <v>0</v>
      </c>
      <c r="K226" s="1557"/>
      <c r="M226" s="383">
        <v>1</v>
      </c>
      <c r="O226" s="1584"/>
      <c r="P226" s="1343">
        <v>80096.05</v>
      </c>
      <c r="Q226" s="1555"/>
      <c r="R226" s="1555"/>
      <c r="AC226" s="515"/>
      <c r="AD226" s="515"/>
      <c r="AO226" s="1322"/>
      <c r="AP226" s="1323"/>
    </row>
    <row r="227" spans="1:42">
      <c r="A227" s="155">
        <v>300595</v>
      </c>
      <c r="B227" s="156" t="s">
        <v>1090</v>
      </c>
      <c r="C227" s="626" t="s">
        <v>1019</v>
      </c>
      <c r="D227" s="1553"/>
      <c r="E227" s="840">
        <v>15.09</v>
      </c>
      <c r="F227" s="1554"/>
      <c r="G227" s="1555"/>
      <c r="H227" s="1556"/>
      <c r="J227" s="838">
        <v>0</v>
      </c>
      <c r="K227" s="1557"/>
      <c r="M227" s="383">
        <v>1</v>
      </c>
      <c r="O227" s="1584"/>
      <c r="P227" s="1343">
        <v>16019.21</v>
      </c>
      <c r="Q227" s="1555"/>
      <c r="R227" s="1555"/>
      <c r="AC227" s="515"/>
      <c r="AD227" s="515"/>
      <c r="AO227" s="1322"/>
      <c r="AP227" s="1323"/>
    </row>
    <row r="228" spans="1:42">
      <c r="A228" s="155">
        <v>300596</v>
      </c>
      <c r="B228" s="156" t="s">
        <v>318</v>
      </c>
      <c r="C228" s="626" t="s">
        <v>1019</v>
      </c>
      <c r="D228" s="1553"/>
      <c r="E228" s="840">
        <v>16.73</v>
      </c>
      <c r="F228" s="1554"/>
      <c r="G228" s="1555"/>
      <c r="H228" s="1556"/>
      <c r="J228" s="838">
        <v>0</v>
      </c>
      <c r="K228" s="1557"/>
      <c r="M228" s="383">
        <v>1</v>
      </c>
      <c r="O228" s="1584"/>
      <c r="P228" s="1343">
        <v>32038.42</v>
      </c>
      <c r="Q228" s="1555"/>
      <c r="R228" s="1555"/>
      <c r="AC228" s="515"/>
      <c r="AD228" s="515"/>
      <c r="AO228" s="1322"/>
      <c r="AP228" s="1323"/>
    </row>
    <row r="229" spans="1:42">
      <c r="A229" s="155">
        <v>300599</v>
      </c>
      <c r="B229" s="156" t="s">
        <v>176</v>
      </c>
      <c r="C229" s="626" t="s">
        <v>1022</v>
      </c>
      <c r="D229" s="1553"/>
      <c r="E229" s="840">
        <v>15.78</v>
      </c>
      <c r="F229" s="1554"/>
      <c r="G229" s="1555"/>
      <c r="H229" s="1556"/>
      <c r="J229" s="838">
        <v>1</v>
      </c>
      <c r="K229" s="1557"/>
      <c r="M229" s="383">
        <v>0</v>
      </c>
      <c r="O229" s="1584"/>
      <c r="P229" s="1343">
        <v>16019.21</v>
      </c>
      <c r="Q229" s="1555"/>
      <c r="R229" s="1555"/>
      <c r="AC229" s="515"/>
      <c r="AD229" s="515"/>
      <c r="AO229" s="1322"/>
      <c r="AP229" s="1323"/>
    </row>
    <row r="230" spans="1:42">
      <c r="A230" s="155">
        <v>300600</v>
      </c>
      <c r="B230" s="156" t="s">
        <v>319</v>
      </c>
      <c r="C230" s="626" t="s">
        <v>1019</v>
      </c>
      <c r="D230" s="1553"/>
      <c r="E230" s="840">
        <v>18.27</v>
      </c>
      <c r="F230" s="1554"/>
      <c r="G230" s="1555"/>
      <c r="H230" s="1556"/>
      <c r="J230" s="838">
        <v>0</v>
      </c>
      <c r="K230" s="1557"/>
      <c r="M230" s="383">
        <v>1</v>
      </c>
      <c r="O230" s="1584"/>
      <c r="P230" s="1343">
        <v>144172.9</v>
      </c>
      <c r="Q230" s="1555"/>
      <c r="R230" s="1555"/>
      <c r="AC230" s="515"/>
      <c r="AD230" s="515"/>
      <c r="AO230" s="1322"/>
      <c r="AP230" s="1323"/>
    </row>
    <row r="231" spans="1:42">
      <c r="A231" s="155">
        <v>300601</v>
      </c>
      <c r="B231" s="156" t="s">
        <v>320</v>
      </c>
      <c r="C231" s="626" t="s">
        <v>1019</v>
      </c>
      <c r="D231" s="1553"/>
      <c r="E231" s="840">
        <v>17.71</v>
      </c>
      <c r="F231" s="1554"/>
      <c r="G231" s="1555"/>
      <c r="H231" s="1556"/>
      <c r="J231" s="838">
        <v>0</v>
      </c>
      <c r="K231" s="1557"/>
      <c r="M231" s="383">
        <v>1</v>
      </c>
      <c r="O231" s="1584"/>
      <c r="P231" s="1343">
        <v>32038.42</v>
      </c>
      <c r="Q231" s="1555"/>
      <c r="R231" s="1555"/>
      <c r="AC231" s="515"/>
      <c r="AD231" s="515"/>
      <c r="AO231" s="1322"/>
      <c r="AP231" s="1323"/>
    </row>
    <row r="232" spans="1:42">
      <c r="A232" s="155">
        <v>300603</v>
      </c>
      <c r="B232" s="156" t="s">
        <v>177</v>
      </c>
      <c r="C232" s="626" t="s">
        <v>1019</v>
      </c>
      <c r="D232" s="1553"/>
      <c r="E232" s="840">
        <v>18.27</v>
      </c>
      <c r="F232" s="1554"/>
      <c r="G232" s="1555"/>
      <c r="H232" s="1556"/>
      <c r="J232" s="838">
        <v>0</v>
      </c>
      <c r="K232" s="1557"/>
      <c r="M232" s="383">
        <v>1</v>
      </c>
      <c r="O232" s="1584"/>
      <c r="P232" s="1343">
        <v>16019.21</v>
      </c>
      <c r="Q232" s="1555"/>
      <c r="R232" s="1555"/>
      <c r="AC232" s="515"/>
      <c r="AD232" s="515"/>
      <c r="AO232" s="1322"/>
      <c r="AP232" s="1323"/>
    </row>
    <row r="233" spans="1:42">
      <c r="A233" s="155">
        <v>300606</v>
      </c>
      <c r="B233" s="156" t="s">
        <v>178</v>
      </c>
      <c r="C233" s="626" t="s">
        <v>1022</v>
      </c>
      <c r="D233" s="1553"/>
      <c r="E233" s="840">
        <v>12.24</v>
      </c>
      <c r="F233" s="1554"/>
      <c r="G233" s="1555"/>
      <c r="H233" s="1556"/>
      <c r="J233" s="838">
        <v>1</v>
      </c>
      <c r="K233" s="1557"/>
      <c r="M233" s="383">
        <v>0</v>
      </c>
      <c r="O233" s="1584"/>
      <c r="P233" s="1343">
        <v>16019.21</v>
      </c>
      <c r="Q233" s="1555"/>
      <c r="R233" s="1555"/>
      <c r="AC233" s="515"/>
      <c r="AD233" s="515"/>
      <c r="AO233" s="1322"/>
      <c r="AP233" s="1323"/>
    </row>
    <row r="234" spans="1:42">
      <c r="A234" s="155">
        <v>300611</v>
      </c>
      <c r="B234" s="156" t="s">
        <v>425</v>
      </c>
      <c r="C234" s="626" t="s">
        <v>1022</v>
      </c>
      <c r="D234" s="1553"/>
      <c r="E234" s="840">
        <v>9.77</v>
      </c>
      <c r="F234" s="1554"/>
      <c r="G234" s="1555"/>
      <c r="H234" s="1556"/>
      <c r="J234" s="838">
        <v>1</v>
      </c>
      <c r="K234" s="1557"/>
      <c r="M234" s="383">
        <v>0</v>
      </c>
      <c r="O234" s="1584"/>
      <c r="P234" s="1343">
        <v>16019.21</v>
      </c>
      <c r="Q234" s="1555"/>
      <c r="R234" s="1555"/>
      <c r="AC234" s="515"/>
      <c r="AD234" s="515"/>
      <c r="AO234" s="1322"/>
      <c r="AP234" s="1323"/>
    </row>
    <row r="235" spans="1:42">
      <c r="A235" s="155">
        <v>300617</v>
      </c>
      <c r="B235" s="156" t="s">
        <v>1091</v>
      </c>
      <c r="C235" s="626" t="s">
        <v>1022</v>
      </c>
      <c r="D235" s="1553"/>
      <c r="E235" s="840">
        <v>16.75</v>
      </c>
      <c r="F235" s="1554"/>
      <c r="G235" s="1555"/>
      <c r="H235" s="1556"/>
      <c r="J235" s="838">
        <v>1</v>
      </c>
      <c r="K235" s="1557"/>
      <c r="M235" s="383">
        <v>0</v>
      </c>
      <c r="O235" s="1584"/>
      <c r="P235" s="1343">
        <v>16019.21</v>
      </c>
      <c r="Q235" s="1555"/>
      <c r="R235" s="1555"/>
      <c r="AC235" s="515"/>
      <c r="AD235" s="515"/>
      <c r="AO235" s="1322"/>
      <c r="AP235" s="1323"/>
    </row>
    <row r="236" spans="1:42">
      <c r="A236" s="155">
        <v>300620</v>
      </c>
      <c r="B236" s="156" t="s">
        <v>321</v>
      </c>
      <c r="C236" s="626" t="s">
        <v>1022</v>
      </c>
      <c r="D236" s="1553"/>
      <c r="E236" s="840">
        <v>12.97</v>
      </c>
      <c r="F236" s="1554"/>
      <c r="G236" s="1555"/>
      <c r="H236" s="1556"/>
      <c r="J236" s="838">
        <v>1</v>
      </c>
      <c r="K236" s="1557"/>
      <c r="M236" s="383">
        <v>0</v>
      </c>
      <c r="O236" s="1584"/>
      <c r="P236" s="1343">
        <v>48057.63</v>
      </c>
      <c r="Q236" s="1555"/>
      <c r="R236" s="1555"/>
      <c r="AC236" s="515"/>
      <c r="AD236" s="515"/>
      <c r="AO236" s="1322"/>
      <c r="AP236" s="1323"/>
    </row>
    <row r="237" spans="1:42">
      <c r="A237" s="155">
        <v>300622</v>
      </c>
      <c r="B237" s="156" t="s">
        <v>179</v>
      </c>
      <c r="C237" s="626" t="s">
        <v>1022</v>
      </c>
      <c r="D237" s="1553"/>
      <c r="E237" s="840">
        <v>17.23</v>
      </c>
      <c r="F237" s="1554"/>
      <c r="G237" s="1555"/>
      <c r="H237" s="1556"/>
      <c r="J237" s="838">
        <v>1</v>
      </c>
      <c r="K237" s="1557"/>
      <c r="M237" s="383">
        <v>0</v>
      </c>
      <c r="O237" s="1584"/>
      <c r="P237" s="1343">
        <v>16019.21</v>
      </c>
      <c r="Q237" s="1555"/>
      <c r="R237" s="1555"/>
      <c r="AC237" s="515"/>
      <c r="AD237" s="515"/>
      <c r="AO237" s="1322"/>
      <c r="AP237" s="1323"/>
    </row>
    <row r="238" spans="1:42">
      <c r="A238" s="155">
        <v>300634</v>
      </c>
      <c r="B238" s="156" t="s">
        <v>180</v>
      </c>
      <c r="C238" s="626" t="s">
        <v>1019</v>
      </c>
      <c r="D238" s="1553"/>
      <c r="E238" s="840">
        <v>16.54</v>
      </c>
      <c r="F238" s="1554"/>
      <c r="G238" s="1555"/>
      <c r="H238" s="1556"/>
      <c r="J238" s="838">
        <v>0</v>
      </c>
      <c r="K238" s="1557"/>
      <c r="M238" s="383">
        <v>1</v>
      </c>
      <c r="O238" s="1584"/>
      <c r="P238" s="1343">
        <v>16019.21</v>
      </c>
      <c r="Q238" s="1555"/>
      <c r="R238" s="1555"/>
      <c r="AC238" s="515"/>
      <c r="AD238" s="515"/>
      <c r="AO238" s="1322"/>
      <c r="AP238" s="1323"/>
    </row>
    <row r="239" spans="1:42">
      <c r="A239" s="155">
        <v>300637</v>
      </c>
      <c r="B239" s="156" t="s">
        <v>181</v>
      </c>
      <c r="C239" s="626" t="s">
        <v>1019</v>
      </c>
      <c r="D239" s="1553"/>
      <c r="E239" s="840">
        <v>16.440000000000001</v>
      </c>
      <c r="F239" s="1554"/>
      <c r="G239" s="1555"/>
      <c r="H239" s="1556"/>
      <c r="J239" s="838">
        <v>0</v>
      </c>
      <c r="K239" s="1557"/>
      <c r="M239" s="383">
        <v>1</v>
      </c>
      <c r="O239" s="1584"/>
      <c r="P239" s="1343">
        <v>16019.21</v>
      </c>
      <c r="Q239" s="1555"/>
      <c r="R239" s="1555"/>
      <c r="AC239" s="515"/>
      <c r="AD239" s="515"/>
      <c r="AO239" s="1322"/>
      <c r="AP239" s="1323"/>
    </row>
    <row r="240" spans="1:42">
      <c r="A240" s="155">
        <v>300638</v>
      </c>
      <c r="B240" s="156" t="s">
        <v>426</v>
      </c>
      <c r="C240" s="626" t="s">
        <v>1022</v>
      </c>
      <c r="D240" s="1553"/>
      <c r="E240" s="840">
        <v>11.38</v>
      </c>
      <c r="F240" s="1554"/>
      <c r="G240" s="1555"/>
      <c r="H240" s="1556"/>
      <c r="J240" s="838">
        <v>1</v>
      </c>
      <c r="K240" s="1557"/>
      <c r="M240" s="383">
        <v>0</v>
      </c>
      <c r="O240" s="1584"/>
      <c r="P240" s="1343">
        <v>16019.21</v>
      </c>
      <c r="Q240" s="1555"/>
      <c r="R240" s="1555"/>
      <c r="AC240" s="515"/>
      <c r="AD240" s="515"/>
      <c r="AO240" s="1322"/>
      <c r="AP240" s="1323"/>
    </row>
    <row r="241" spans="1:42">
      <c r="A241" s="155">
        <v>300639</v>
      </c>
      <c r="B241" s="156" t="s">
        <v>182</v>
      </c>
      <c r="C241" s="626" t="s">
        <v>1019</v>
      </c>
      <c r="D241" s="1553"/>
      <c r="E241" s="840">
        <v>17.16</v>
      </c>
      <c r="F241" s="1554"/>
      <c r="G241" s="1555"/>
      <c r="H241" s="1556"/>
      <c r="J241" s="838">
        <v>0</v>
      </c>
      <c r="K241" s="1557"/>
      <c r="M241" s="383">
        <v>1</v>
      </c>
      <c r="O241" s="1584"/>
      <c r="P241" s="1343">
        <v>16019.21</v>
      </c>
      <c r="Q241" s="1555"/>
      <c r="R241" s="1555"/>
      <c r="AC241" s="515"/>
      <c r="AD241" s="515"/>
      <c r="AO241" s="1322"/>
      <c r="AP241" s="1323"/>
    </row>
    <row r="242" spans="1:42">
      <c r="A242" s="155">
        <v>300640</v>
      </c>
      <c r="B242" s="156" t="s">
        <v>183</v>
      </c>
      <c r="C242" s="626" t="s">
        <v>1022</v>
      </c>
      <c r="D242" s="1553"/>
      <c r="E242" s="840">
        <v>17.23</v>
      </c>
      <c r="F242" s="1554"/>
      <c r="G242" s="1555"/>
      <c r="H242" s="1556"/>
      <c r="J242" s="838">
        <v>1</v>
      </c>
      <c r="K242" s="1557"/>
      <c r="M242" s="383">
        <v>0</v>
      </c>
      <c r="O242" s="1584"/>
      <c r="P242" s="1343">
        <v>16019.21</v>
      </c>
      <c r="Q242" s="1555"/>
      <c r="R242" s="1555"/>
      <c r="AC242" s="515"/>
      <c r="AD242" s="515"/>
      <c r="AO242" s="1322"/>
      <c r="AP242" s="1323"/>
    </row>
    <row r="243" spans="1:42">
      <c r="A243" s="155">
        <v>300642</v>
      </c>
      <c r="B243" s="156" t="s">
        <v>184</v>
      </c>
      <c r="C243" s="626" t="s">
        <v>1019</v>
      </c>
      <c r="D243" s="1553"/>
      <c r="E243" s="840">
        <v>10.36</v>
      </c>
      <c r="F243" s="1554"/>
      <c r="G243" s="1555"/>
      <c r="H243" s="1556"/>
      <c r="J243" s="838">
        <v>0</v>
      </c>
      <c r="K243" s="1557"/>
      <c r="M243" s="383">
        <v>1</v>
      </c>
      <c r="O243" s="1584"/>
      <c r="P243" s="1343">
        <v>16019.21</v>
      </c>
      <c r="Q243" s="1555"/>
      <c r="R243" s="1555"/>
      <c r="AC243" s="515"/>
      <c r="AD243" s="515"/>
      <c r="AO243" s="1322"/>
      <c r="AP243" s="1323"/>
    </row>
    <row r="244" spans="1:42">
      <c r="A244" s="155">
        <v>300644</v>
      </c>
      <c r="B244" s="156" t="s">
        <v>427</v>
      </c>
      <c r="C244" s="626" t="s">
        <v>1022</v>
      </c>
      <c r="D244" s="1553"/>
      <c r="E244" s="840">
        <v>16.420000000000002</v>
      </c>
      <c r="F244" s="1554"/>
      <c r="G244" s="1555"/>
      <c r="H244" s="1556"/>
      <c r="J244" s="838">
        <v>1</v>
      </c>
      <c r="K244" s="1557"/>
      <c r="M244" s="383">
        <v>0</v>
      </c>
      <c r="O244" s="1584"/>
      <c r="P244" s="1343">
        <v>16019.21</v>
      </c>
      <c r="Q244" s="1555"/>
      <c r="R244" s="1555"/>
      <c r="AC244" s="515"/>
      <c r="AD244" s="515"/>
      <c r="AO244" s="1322"/>
      <c r="AP244" s="1323"/>
    </row>
    <row r="245" spans="1:42">
      <c r="A245" s="155">
        <v>300645</v>
      </c>
      <c r="B245" s="156" t="s">
        <v>185</v>
      </c>
      <c r="C245" s="626" t="s">
        <v>1022</v>
      </c>
      <c r="D245" s="1553"/>
      <c r="E245" s="840">
        <v>16.809999999999999</v>
      </c>
      <c r="F245" s="1554"/>
      <c r="G245" s="1555"/>
      <c r="H245" s="1556"/>
      <c r="J245" s="838">
        <v>1</v>
      </c>
      <c r="K245" s="1557"/>
      <c r="M245" s="383">
        <v>0</v>
      </c>
      <c r="O245" s="1584"/>
      <c r="P245" s="1343">
        <v>16019.21</v>
      </c>
      <c r="Q245" s="1555"/>
      <c r="R245" s="1555"/>
      <c r="AC245" s="515"/>
      <c r="AD245" s="515"/>
      <c r="AO245" s="1322"/>
      <c r="AP245" s="1323"/>
    </row>
    <row r="246" spans="1:42">
      <c r="A246" s="155">
        <v>300648</v>
      </c>
      <c r="B246" s="156" t="s">
        <v>186</v>
      </c>
      <c r="C246" s="626" t="s">
        <v>1022</v>
      </c>
      <c r="D246" s="1553"/>
      <c r="E246" s="840">
        <v>17.23</v>
      </c>
      <c r="F246" s="1554"/>
      <c r="G246" s="1555"/>
      <c r="H246" s="1556"/>
      <c r="J246" s="838">
        <v>1</v>
      </c>
      <c r="K246" s="1557"/>
      <c r="M246" s="383">
        <v>0</v>
      </c>
      <c r="O246" s="1584"/>
      <c r="P246" s="1343">
        <v>16019.21</v>
      </c>
      <c r="Q246" s="1555"/>
      <c r="R246" s="1555"/>
      <c r="AC246" s="515"/>
      <c r="AD246" s="515"/>
      <c r="AO246" s="1322"/>
      <c r="AP246" s="1323"/>
    </row>
    <row r="247" spans="1:42">
      <c r="A247" s="155">
        <v>300649</v>
      </c>
      <c r="B247" s="156" t="s">
        <v>187</v>
      </c>
      <c r="C247" s="626" t="s">
        <v>1022</v>
      </c>
      <c r="D247" s="1553"/>
      <c r="E247" s="840">
        <v>11.38</v>
      </c>
      <c r="F247" s="1554"/>
      <c r="G247" s="1555"/>
      <c r="H247" s="1556"/>
      <c r="J247" s="838">
        <v>1</v>
      </c>
      <c r="K247" s="1557"/>
      <c r="M247" s="383">
        <v>0</v>
      </c>
      <c r="O247" s="1584"/>
      <c r="P247" s="1343">
        <v>16019.21</v>
      </c>
      <c r="Q247" s="1555"/>
      <c r="R247" s="1555"/>
      <c r="AC247" s="515"/>
      <c r="AD247" s="515"/>
      <c r="AO247" s="1322"/>
      <c r="AP247" s="1323"/>
    </row>
    <row r="248" spans="1:42">
      <c r="A248" s="155">
        <v>300650</v>
      </c>
      <c r="B248" s="156" t="s">
        <v>188</v>
      </c>
      <c r="C248" s="626" t="s">
        <v>1019</v>
      </c>
      <c r="D248" s="1553"/>
      <c r="E248" s="840">
        <v>14.72</v>
      </c>
      <c r="F248" s="1554"/>
      <c r="G248" s="1555"/>
      <c r="H248" s="1556"/>
      <c r="J248" s="838">
        <v>0</v>
      </c>
      <c r="K248" s="1557"/>
      <c r="M248" s="383">
        <v>1</v>
      </c>
      <c r="O248" s="1584"/>
      <c r="P248" s="1343">
        <v>16019.21</v>
      </c>
      <c r="Q248" s="1555"/>
      <c r="R248" s="1555"/>
      <c r="AC248" s="515"/>
      <c r="AD248" s="515"/>
      <c r="AO248" s="1322"/>
      <c r="AP248" s="1323"/>
    </row>
    <row r="249" spans="1:42">
      <c r="A249" s="155">
        <v>300651</v>
      </c>
      <c r="B249" s="156" t="s">
        <v>189</v>
      </c>
      <c r="C249" s="626" t="s">
        <v>1019</v>
      </c>
      <c r="D249" s="1553"/>
      <c r="E249" s="840">
        <v>16.54</v>
      </c>
      <c r="F249" s="1554"/>
      <c r="G249" s="1555"/>
      <c r="H249" s="1556"/>
      <c r="J249" s="838">
        <v>0</v>
      </c>
      <c r="K249" s="1557"/>
      <c r="M249" s="383">
        <v>1</v>
      </c>
      <c r="O249" s="1584"/>
      <c r="P249" s="1343">
        <v>16019.21</v>
      </c>
      <c r="Q249" s="1555"/>
      <c r="R249" s="1555"/>
      <c r="AC249" s="515"/>
      <c r="AD249" s="515"/>
      <c r="AO249" s="1322"/>
      <c r="AP249" s="1323"/>
    </row>
    <row r="250" spans="1:42">
      <c r="A250" s="155">
        <v>300652</v>
      </c>
      <c r="B250" s="156" t="s">
        <v>190</v>
      </c>
      <c r="C250" s="626" t="s">
        <v>1019</v>
      </c>
      <c r="D250" s="1553"/>
      <c r="E250" s="840">
        <v>14.67</v>
      </c>
      <c r="F250" s="1554"/>
      <c r="G250" s="1555"/>
      <c r="H250" s="1556"/>
      <c r="J250" s="838">
        <v>0</v>
      </c>
      <c r="K250" s="1557"/>
      <c r="M250" s="383">
        <v>1</v>
      </c>
      <c r="O250" s="1584"/>
      <c r="P250" s="1343">
        <v>16019.21</v>
      </c>
      <c r="Q250" s="1555"/>
      <c r="R250" s="1555"/>
      <c r="AC250" s="515"/>
      <c r="AD250" s="515"/>
      <c r="AO250" s="1322"/>
      <c r="AP250" s="1323"/>
    </row>
    <row r="251" spans="1:42">
      <c r="A251" s="155">
        <v>300655</v>
      </c>
      <c r="B251" s="156" t="s">
        <v>322</v>
      </c>
      <c r="C251" s="626" t="s">
        <v>1019</v>
      </c>
      <c r="D251" s="1553"/>
      <c r="E251" s="840">
        <v>10.52</v>
      </c>
      <c r="F251" s="1554"/>
      <c r="G251" s="1555"/>
      <c r="H251" s="1556"/>
      <c r="J251" s="838">
        <v>0</v>
      </c>
      <c r="K251" s="1557"/>
      <c r="M251" s="383">
        <v>1</v>
      </c>
      <c r="O251" s="1584"/>
      <c r="P251" s="1343">
        <v>32038.42</v>
      </c>
      <c r="Q251" s="1555"/>
      <c r="R251" s="1555"/>
      <c r="AC251" s="515"/>
      <c r="AD251" s="515"/>
      <c r="AO251" s="1322"/>
      <c r="AP251" s="1323"/>
    </row>
    <row r="252" spans="1:42">
      <c r="A252" s="155">
        <v>300662</v>
      </c>
      <c r="B252" s="156" t="s">
        <v>323</v>
      </c>
      <c r="C252" s="626" t="s">
        <v>1019</v>
      </c>
      <c r="D252" s="1553"/>
      <c r="E252" s="840">
        <v>10.36</v>
      </c>
      <c r="F252" s="1554"/>
      <c r="G252" s="1555"/>
      <c r="H252" s="1556"/>
      <c r="J252" s="838">
        <v>0</v>
      </c>
      <c r="K252" s="1557"/>
      <c r="M252" s="383">
        <v>1</v>
      </c>
      <c r="O252" s="1584"/>
      <c r="P252" s="1343">
        <v>32038.42</v>
      </c>
      <c r="Q252" s="1555"/>
      <c r="R252" s="1555"/>
      <c r="AC252" s="515"/>
      <c r="AD252" s="515"/>
      <c r="AO252" s="1322"/>
      <c r="AP252" s="1323"/>
    </row>
    <row r="253" spans="1:42">
      <c r="A253" s="155">
        <v>300663</v>
      </c>
      <c r="B253" s="156" t="s">
        <v>1092</v>
      </c>
      <c r="C253" s="626" t="s">
        <v>1022</v>
      </c>
      <c r="D253" s="1553"/>
      <c r="E253" s="840">
        <v>9.99</v>
      </c>
      <c r="F253" s="1554"/>
      <c r="G253" s="1555"/>
      <c r="H253" s="1556"/>
      <c r="J253" s="838">
        <v>1</v>
      </c>
      <c r="K253" s="1557"/>
      <c r="M253" s="383">
        <v>0</v>
      </c>
      <c r="O253" s="1584"/>
      <c r="P253" s="1343">
        <v>16019.21</v>
      </c>
      <c r="Q253" s="1555"/>
      <c r="R253" s="1555"/>
      <c r="AC253" s="515"/>
      <c r="AD253" s="515"/>
      <c r="AO253" s="1322"/>
      <c r="AP253" s="1323"/>
    </row>
    <row r="254" spans="1:42">
      <c r="A254" s="155">
        <v>300664</v>
      </c>
      <c r="B254" s="156" t="s">
        <v>191</v>
      </c>
      <c r="C254" s="626" t="s">
        <v>1022</v>
      </c>
      <c r="D254" s="1553"/>
      <c r="E254" s="840">
        <v>16.05</v>
      </c>
      <c r="F254" s="1554"/>
      <c r="G254" s="1555"/>
      <c r="H254" s="1556"/>
      <c r="J254" s="838">
        <v>1</v>
      </c>
      <c r="K254" s="1557"/>
      <c r="M254" s="383">
        <v>0</v>
      </c>
      <c r="O254" s="1584"/>
      <c r="P254" s="1343">
        <v>16019.21</v>
      </c>
      <c r="Q254" s="1555"/>
      <c r="R254" s="1555"/>
      <c r="AC254" s="515"/>
      <c r="AD254" s="515"/>
      <c r="AO254" s="1322"/>
      <c r="AP254" s="1323"/>
    </row>
    <row r="255" spans="1:42">
      <c r="A255" s="155">
        <v>300665</v>
      </c>
      <c r="B255" s="156" t="s">
        <v>1093</v>
      </c>
      <c r="C255" s="626" t="s">
        <v>1022</v>
      </c>
      <c r="D255" s="1553"/>
      <c r="E255" s="840">
        <v>10.73</v>
      </c>
      <c r="F255" s="1554"/>
      <c r="G255" s="1555"/>
      <c r="H255" s="1556"/>
      <c r="J255" s="838">
        <v>1</v>
      </c>
      <c r="K255" s="1557"/>
      <c r="M255" s="383">
        <v>0</v>
      </c>
      <c r="O255" s="1584"/>
      <c r="P255" s="1343">
        <v>16019.21</v>
      </c>
      <c r="Q255" s="1555"/>
      <c r="R255" s="1555"/>
      <c r="AC255" s="515"/>
      <c r="AD255" s="515"/>
      <c r="AO255" s="1322"/>
      <c r="AP255" s="1323"/>
    </row>
    <row r="256" spans="1:42">
      <c r="A256" s="155">
        <v>300669</v>
      </c>
      <c r="B256" s="156" t="s">
        <v>324</v>
      </c>
      <c r="C256" s="626" t="s">
        <v>1019</v>
      </c>
      <c r="D256" s="1553"/>
      <c r="E256" s="840">
        <v>17.16</v>
      </c>
      <c r="F256" s="1554"/>
      <c r="G256" s="1555"/>
      <c r="H256" s="1556"/>
      <c r="J256" s="838">
        <v>0</v>
      </c>
      <c r="K256" s="1557"/>
      <c r="M256" s="383">
        <v>1</v>
      </c>
      <c r="O256" s="1584"/>
      <c r="P256" s="1343">
        <v>112134.48</v>
      </c>
      <c r="Q256" s="1555"/>
      <c r="R256" s="1555"/>
      <c r="AC256" s="515"/>
      <c r="AD256" s="515"/>
      <c r="AO256" s="1322"/>
      <c r="AP256" s="1323"/>
    </row>
    <row r="257" spans="1:42">
      <c r="A257" s="155">
        <v>300670</v>
      </c>
      <c r="B257" s="156" t="s">
        <v>192</v>
      </c>
      <c r="C257" s="626" t="s">
        <v>1019</v>
      </c>
      <c r="D257" s="1553"/>
      <c r="E257" s="840">
        <v>11.2</v>
      </c>
      <c r="F257" s="1554"/>
      <c r="G257" s="1555"/>
      <c r="H257" s="1556"/>
      <c r="J257" s="838">
        <v>0</v>
      </c>
      <c r="K257" s="1557"/>
      <c r="M257" s="383">
        <v>1</v>
      </c>
      <c r="O257" s="1584"/>
      <c r="P257" s="1343">
        <v>14875.57</v>
      </c>
      <c r="Q257" s="1555"/>
      <c r="R257" s="1555"/>
      <c r="AC257" s="515"/>
      <c r="AD257" s="515"/>
      <c r="AO257" s="1322"/>
      <c r="AP257" s="1323"/>
    </row>
    <row r="258" spans="1:42">
      <c r="A258" s="155">
        <v>300674</v>
      </c>
      <c r="B258" s="156" t="s">
        <v>193</v>
      </c>
      <c r="C258" s="626" t="s">
        <v>1022</v>
      </c>
      <c r="D258" s="1553"/>
      <c r="E258" s="840">
        <v>12.24</v>
      </c>
      <c r="F258" s="1554"/>
      <c r="G258" s="1555"/>
      <c r="H258" s="1556"/>
      <c r="J258" s="838">
        <v>1</v>
      </c>
      <c r="K258" s="1557"/>
      <c r="M258" s="383">
        <v>0</v>
      </c>
      <c r="O258" s="1584"/>
      <c r="P258" s="1343">
        <v>16019.21</v>
      </c>
      <c r="Q258" s="1555"/>
      <c r="R258" s="1555"/>
      <c r="AC258" s="515"/>
      <c r="AD258" s="515"/>
      <c r="AO258" s="1322"/>
      <c r="AP258" s="1323"/>
    </row>
    <row r="259" spans="1:42">
      <c r="A259" s="155">
        <v>300675</v>
      </c>
      <c r="B259" s="156" t="s">
        <v>194</v>
      </c>
      <c r="C259" s="626" t="s">
        <v>1022</v>
      </c>
      <c r="D259" s="1553"/>
      <c r="E259" s="840">
        <v>12.24</v>
      </c>
      <c r="F259" s="1554"/>
      <c r="G259" s="1555"/>
      <c r="H259" s="1556"/>
      <c r="J259" s="838">
        <v>1</v>
      </c>
      <c r="K259" s="1557"/>
      <c r="M259" s="383">
        <v>0</v>
      </c>
      <c r="O259" s="1584"/>
      <c r="P259" s="1343">
        <v>16019.21</v>
      </c>
      <c r="Q259" s="1555"/>
      <c r="R259" s="1555"/>
      <c r="AC259" s="515"/>
      <c r="AD259" s="515"/>
      <c r="AO259" s="1322"/>
      <c r="AP259" s="1323"/>
    </row>
    <row r="260" spans="1:42">
      <c r="A260" s="155">
        <v>300678</v>
      </c>
      <c r="B260" s="156" t="s">
        <v>325</v>
      </c>
      <c r="C260" s="626" t="s">
        <v>1019</v>
      </c>
      <c r="D260" s="1553"/>
      <c r="E260" s="840">
        <v>10.36</v>
      </c>
      <c r="F260" s="1554"/>
      <c r="G260" s="1555"/>
      <c r="H260" s="1556"/>
      <c r="J260" s="838">
        <v>0</v>
      </c>
      <c r="K260" s="1557"/>
      <c r="M260" s="383">
        <v>1</v>
      </c>
      <c r="O260" s="1584"/>
      <c r="P260" s="1343">
        <v>7884.48</v>
      </c>
      <c r="Q260" s="1555"/>
      <c r="R260" s="1555"/>
      <c r="AC260" s="515"/>
      <c r="AD260" s="515"/>
      <c r="AO260" s="1322"/>
      <c r="AP260" s="1323"/>
    </row>
    <row r="261" spans="1:42">
      <c r="A261" s="155">
        <v>300680</v>
      </c>
      <c r="B261" s="156" t="s">
        <v>195</v>
      </c>
      <c r="C261" s="626" t="s">
        <v>1022</v>
      </c>
      <c r="D261" s="1553"/>
      <c r="E261" s="840">
        <v>10.46</v>
      </c>
      <c r="F261" s="1554"/>
      <c r="G261" s="1555"/>
      <c r="H261" s="1556"/>
      <c r="J261" s="838">
        <v>1</v>
      </c>
      <c r="K261" s="1557"/>
      <c r="M261" s="383">
        <v>0</v>
      </c>
      <c r="O261" s="1584"/>
      <c r="P261" s="1343">
        <v>7906.85</v>
      </c>
      <c r="Q261" s="1555"/>
      <c r="R261" s="1555"/>
      <c r="AC261" s="515"/>
      <c r="AD261" s="515"/>
      <c r="AO261" s="1322"/>
      <c r="AP261" s="1323"/>
    </row>
    <row r="262" spans="1:42">
      <c r="A262" s="155">
        <v>300681</v>
      </c>
      <c r="B262" s="156" t="s">
        <v>196</v>
      </c>
      <c r="C262" s="626" t="s">
        <v>1022</v>
      </c>
      <c r="D262" s="1553"/>
      <c r="E262" s="840">
        <v>11.38</v>
      </c>
      <c r="F262" s="1554"/>
      <c r="G262" s="1555"/>
      <c r="H262" s="1556"/>
      <c r="J262" s="838">
        <v>1</v>
      </c>
      <c r="K262" s="1557"/>
      <c r="M262" s="383">
        <v>0</v>
      </c>
      <c r="O262" s="1584"/>
      <c r="P262" s="1343">
        <v>16019.21</v>
      </c>
      <c r="Q262" s="1555"/>
      <c r="R262" s="1555"/>
      <c r="AC262" s="515"/>
      <c r="AD262" s="515"/>
      <c r="AO262" s="1322"/>
      <c r="AP262" s="1323"/>
    </row>
    <row r="263" spans="1:42">
      <c r="A263" s="155">
        <v>300683</v>
      </c>
      <c r="B263" s="156" t="s">
        <v>281</v>
      </c>
      <c r="C263" s="626" t="s">
        <v>1022</v>
      </c>
      <c r="D263" s="1553"/>
      <c r="E263" s="840">
        <v>17.23</v>
      </c>
      <c r="F263" s="1554"/>
      <c r="G263" s="1555"/>
      <c r="H263" s="1556"/>
      <c r="J263" s="838">
        <v>1</v>
      </c>
      <c r="K263" s="1557"/>
      <c r="M263" s="383">
        <v>0</v>
      </c>
      <c r="O263" s="1584"/>
      <c r="P263" s="1343">
        <v>16019.21</v>
      </c>
      <c r="Q263" s="1555"/>
      <c r="R263" s="1555"/>
      <c r="AC263" s="515"/>
      <c r="AD263" s="515"/>
      <c r="AO263" s="1322"/>
      <c r="AP263" s="1323"/>
    </row>
    <row r="264" spans="1:42">
      <c r="A264" s="155">
        <v>300684</v>
      </c>
      <c r="B264" s="156" t="s">
        <v>282</v>
      </c>
      <c r="C264" s="626" t="s">
        <v>1022</v>
      </c>
      <c r="D264" s="1553"/>
      <c r="E264" s="840">
        <v>10.77</v>
      </c>
      <c r="F264" s="1554"/>
      <c r="G264" s="1555"/>
      <c r="H264" s="1556"/>
      <c r="J264" s="838">
        <v>1</v>
      </c>
      <c r="K264" s="1557"/>
      <c r="M264" s="383">
        <v>0</v>
      </c>
      <c r="O264" s="1584"/>
      <c r="P264" s="1343">
        <v>16019.21</v>
      </c>
      <c r="Q264" s="1555"/>
      <c r="R264" s="1555"/>
      <c r="AC264" s="515"/>
      <c r="AD264" s="515"/>
      <c r="AO264" s="1322"/>
      <c r="AP264" s="1323"/>
    </row>
    <row r="265" spans="1:42">
      <c r="A265" s="155">
        <v>300685</v>
      </c>
      <c r="B265" s="156" t="s">
        <v>326</v>
      </c>
      <c r="C265" s="626" t="s">
        <v>1022</v>
      </c>
      <c r="D265" s="1553"/>
      <c r="E265" s="840">
        <v>12.24</v>
      </c>
      <c r="F265" s="1554"/>
      <c r="G265" s="1555"/>
      <c r="H265" s="1556"/>
      <c r="J265" s="838">
        <v>1</v>
      </c>
      <c r="K265" s="1557"/>
      <c r="M265" s="383">
        <v>0</v>
      </c>
      <c r="O265" s="1584"/>
      <c r="P265" s="1343">
        <v>48057.63</v>
      </c>
      <c r="Q265" s="1555"/>
      <c r="R265" s="1555"/>
      <c r="AC265" s="515"/>
      <c r="AD265" s="515"/>
      <c r="AO265" s="1322"/>
      <c r="AP265" s="1323"/>
    </row>
    <row r="266" spans="1:42">
      <c r="A266" s="155">
        <v>300686</v>
      </c>
      <c r="B266" s="156" t="s">
        <v>283</v>
      </c>
      <c r="C266" s="626" t="s">
        <v>1022</v>
      </c>
      <c r="D266" s="1553"/>
      <c r="E266" s="840">
        <v>10.73</v>
      </c>
      <c r="F266" s="1554"/>
      <c r="G266" s="1555"/>
      <c r="H266" s="1556"/>
      <c r="J266" s="838">
        <v>1</v>
      </c>
      <c r="K266" s="1557"/>
      <c r="M266" s="383">
        <v>0</v>
      </c>
      <c r="O266" s="1584"/>
      <c r="P266" s="1343">
        <v>16019.21</v>
      </c>
      <c r="Q266" s="1555"/>
      <c r="R266" s="1555"/>
      <c r="AC266" s="515"/>
      <c r="AD266" s="515"/>
      <c r="AO266" s="1322"/>
      <c r="AP266" s="1323"/>
    </row>
    <row r="267" spans="1:42">
      <c r="A267" s="155">
        <v>300687</v>
      </c>
      <c r="B267" s="156" t="s">
        <v>1094</v>
      </c>
      <c r="C267" s="626" t="s">
        <v>1022</v>
      </c>
      <c r="D267" s="1553"/>
      <c r="E267" s="840">
        <v>9.99</v>
      </c>
      <c r="F267" s="1554"/>
      <c r="G267" s="1555"/>
      <c r="H267" s="1556"/>
      <c r="J267" s="838">
        <v>1</v>
      </c>
      <c r="K267" s="1557"/>
      <c r="M267" s="383">
        <v>0</v>
      </c>
      <c r="O267" s="1584"/>
      <c r="P267" s="1343">
        <v>16019.21</v>
      </c>
      <c r="Q267" s="1555"/>
      <c r="R267" s="1555"/>
      <c r="AC267" s="515"/>
      <c r="AD267" s="515"/>
      <c r="AO267" s="1322"/>
      <c r="AP267" s="1323"/>
    </row>
    <row r="268" spans="1:42">
      <c r="A268" s="155">
        <v>300691</v>
      </c>
      <c r="B268" s="156" t="s">
        <v>327</v>
      </c>
      <c r="C268" s="626" t="s">
        <v>1019</v>
      </c>
      <c r="D268" s="1553"/>
      <c r="E268" s="840">
        <v>17.71</v>
      </c>
      <c r="F268" s="1554"/>
      <c r="G268" s="1555"/>
      <c r="H268" s="1556"/>
      <c r="J268" s="838">
        <v>0</v>
      </c>
      <c r="K268" s="1557"/>
      <c r="M268" s="383">
        <v>1</v>
      </c>
      <c r="O268" s="1584"/>
      <c r="P268" s="1343">
        <v>32038.42</v>
      </c>
      <c r="Q268" s="1555"/>
      <c r="R268" s="1555"/>
      <c r="AC268" s="515"/>
      <c r="AD268" s="515"/>
      <c r="AO268" s="1322"/>
      <c r="AP268" s="1323"/>
    </row>
    <row r="269" spans="1:42">
      <c r="A269" s="155">
        <v>300692</v>
      </c>
      <c r="B269" s="156" t="s">
        <v>328</v>
      </c>
      <c r="C269" s="626" t="s">
        <v>1022</v>
      </c>
      <c r="D269" s="1553"/>
      <c r="E269" s="840">
        <v>17.73</v>
      </c>
      <c r="F269" s="1554"/>
      <c r="G269" s="1555"/>
      <c r="H269" s="1556"/>
      <c r="J269" s="838">
        <v>1</v>
      </c>
      <c r="K269" s="1557"/>
      <c r="M269" s="383">
        <v>0</v>
      </c>
      <c r="O269" s="1584"/>
      <c r="P269" s="1343">
        <v>16019.21</v>
      </c>
      <c r="Q269" s="1555"/>
      <c r="R269" s="1555"/>
      <c r="AC269" s="515"/>
      <c r="AD269" s="515"/>
      <c r="AO269" s="1322"/>
      <c r="AP269" s="1323"/>
    </row>
    <row r="270" spans="1:42">
      <c r="A270" s="155">
        <v>300693</v>
      </c>
      <c r="B270" s="156" t="s">
        <v>198</v>
      </c>
      <c r="C270" s="626" t="s">
        <v>1022</v>
      </c>
      <c r="D270" s="1553"/>
      <c r="E270" s="840">
        <v>10.73</v>
      </c>
      <c r="F270" s="1554"/>
      <c r="G270" s="1555"/>
      <c r="H270" s="1556"/>
      <c r="J270" s="838">
        <v>1</v>
      </c>
      <c r="K270" s="1557"/>
      <c r="M270" s="383">
        <v>0</v>
      </c>
      <c r="O270" s="1584"/>
      <c r="P270" s="1343">
        <v>13742.37</v>
      </c>
      <c r="Q270" s="1555"/>
      <c r="R270" s="1555"/>
      <c r="AC270" s="515"/>
      <c r="AD270" s="515"/>
      <c r="AO270" s="1322"/>
      <c r="AP270" s="1323"/>
    </row>
    <row r="271" spans="1:42">
      <c r="A271" s="155">
        <v>300694</v>
      </c>
      <c r="B271" s="156" t="s">
        <v>199</v>
      </c>
      <c r="C271" s="626" t="s">
        <v>1022</v>
      </c>
      <c r="D271" s="1553"/>
      <c r="E271" s="840">
        <v>10.46</v>
      </c>
      <c r="F271" s="1554"/>
      <c r="G271" s="1555"/>
      <c r="H271" s="1556"/>
      <c r="J271" s="838">
        <v>1</v>
      </c>
      <c r="K271" s="1557"/>
      <c r="M271" s="383">
        <v>0</v>
      </c>
      <c r="O271" s="1584"/>
      <c r="P271" s="1343">
        <v>16019.21</v>
      </c>
      <c r="Q271" s="1555"/>
      <c r="R271" s="1555"/>
      <c r="AC271" s="515"/>
      <c r="AD271" s="515"/>
      <c r="AO271" s="1322"/>
      <c r="AP271" s="1323"/>
    </row>
    <row r="272" spans="1:42">
      <c r="A272" s="155">
        <v>300696</v>
      </c>
      <c r="B272" s="156" t="s">
        <v>200</v>
      </c>
      <c r="C272" s="626" t="s">
        <v>1022</v>
      </c>
      <c r="D272" s="1553"/>
      <c r="E272" s="840">
        <v>17.13</v>
      </c>
      <c r="F272" s="1554"/>
      <c r="G272" s="1555"/>
      <c r="H272" s="1556"/>
      <c r="J272" s="838">
        <v>1</v>
      </c>
      <c r="K272" s="1557"/>
      <c r="M272" s="383">
        <v>0</v>
      </c>
      <c r="O272" s="1584"/>
      <c r="P272" s="1343">
        <v>16019.21</v>
      </c>
      <c r="Q272" s="1555"/>
      <c r="R272" s="1555"/>
      <c r="AC272" s="515"/>
      <c r="AD272" s="515"/>
      <c r="AO272" s="1322"/>
      <c r="AP272" s="1323"/>
    </row>
    <row r="273" spans="1:42">
      <c r="A273" s="155">
        <v>300703</v>
      </c>
      <c r="B273" s="156" t="s">
        <v>201</v>
      </c>
      <c r="C273" s="626" t="s">
        <v>1022</v>
      </c>
      <c r="D273" s="1553"/>
      <c r="E273" s="840">
        <v>16.649999999999999</v>
      </c>
      <c r="F273" s="1554"/>
      <c r="G273" s="1555"/>
      <c r="H273" s="1556"/>
      <c r="J273" s="838">
        <v>1</v>
      </c>
      <c r="K273" s="1557"/>
      <c r="M273" s="383">
        <v>0</v>
      </c>
      <c r="O273" s="1584"/>
      <c r="P273" s="1343">
        <v>16019.21</v>
      </c>
      <c r="Q273" s="1555"/>
      <c r="R273" s="1555"/>
      <c r="AC273" s="515"/>
      <c r="AD273" s="515"/>
      <c r="AO273" s="1322"/>
      <c r="AP273" s="1323"/>
    </row>
    <row r="274" spans="1:42">
      <c r="A274" s="155">
        <v>300705</v>
      </c>
      <c r="B274" s="156" t="s">
        <v>1095</v>
      </c>
      <c r="C274" s="626" t="s">
        <v>1022</v>
      </c>
      <c r="D274" s="1553"/>
      <c r="E274" s="840">
        <v>10.49</v>
      </c>
      <c r="F274" s="1554"/>
      <c r="G274" s="1555"/>
      <c r="H274" s="1556"/>
      <c r="J274" s="838">
        <v>1</v>
      </c>
      <c r="K274" s="1557"/>
      <c r="M274" s="383">
        <v>0</v>
      </c>
      <c r="O274" s="1584"/>
      <c r="P274" s="1343">
        <v>16019.21</v>
      </c>
      <c r="Q274" s="1555"/>
      <c r="R274" s="1555"/>
      <c r="AC274" s="515"/>
      <c r="AD274" s="515"/>
      <c r="AO274" s="1322"/>
      <c r="AP274" s="1323"/>
    </row>
    <row r="275" spans="1:42">
      <c r="A275" s="155">
        <v>300706</v>
      </c>
      <c r="B275" s="156" t="s">
        <v>202</v>
      </c>
      <c r="C275" s="626" t="s">
        <v>1022</v>
      </c>
      <c r="D275" s="1553"/>
      <c r="E275" s="840">
        <v>10.49</v>
      </c>
      <c r="F275" s="1554"/>
      <c r="G275" s="1555"/>
      <c r="H275" s="1556"/>
      <c r="J275" s="838">
        <v>1</v>
      </c>
      <c r="K275" s="1557"/>
      <c r="M275" s="383">
        <v>0</v>
      </c>
      <c r="O275" s="1584"/>
      <c r="P275" s="1343">
        <v>16019.21</v>
      </c>
      <c r="Q275" s="1555"/>
      <c r="R275" s="1555"/>
      <c r="AC275" s="515"/>
      <c r="AD275" s="515"/>
      <c r="AO275" s="1322"/>
      <c r="AP275" s="1323"/>
    </row>
    <row r="276" spans="1:42">
      <c r="A276" s="155">
        <v>300710</v>
      </c>
      <c r="B276" s="156" t="s">
        <v>203</v>
      </c>
      <c r="C276" s="626" t="s">
        <v>1019</v>
      </c>
      <c r="D276" s="1553"/>
      <c r="E276" s="840">
        <v>8.77</v>
      </c>
      <c r="F276" s="1554"/>
      <c r="G276" s="1555"/>
      <c r="H276" s="1556"/>
      <c r="J276" s="838">
        <v>0</v>
      </c>
      <c r="K276" s="1557"/>
      <c r="M276" s="383">
        <v>1</v>
      </c>
      <c r="O276" s="1584"/>
      <c r="P276" s="1343">
        <v>16019.21</v>
      </c>
      <c r="Q276" s="1555"/>
      <c r="R276" s="1555"/>
      <c r="AC276" s="515"/>
      <c r="AD276" s="515"/>
      <c r="AO276" s="1322"/>
      <c r="AP276" s="1323"/>
    </row>
    <row r="277" spans="1:42">
      <c r="A277" s="155">
        <v>300711</v>
      </c>
      <c r="B277" s="156" t="s">
        <v>204</v>
      </c>
      <c r="C277" s="626" t="s">
        <v>1022</v>
      </c>
      <c r="D277" s="1553"/>
      <c r="E277" s="840">
        <v>10.73</v>
      </c>
      <c r="F277" s="1554"/>
      <c r="G277" s="1555"/>
      <c r="H277" s="1556"/>
      <c r="J277" s="838">
        <v>1</v>
      </c>
      <c r="K277" s="1557"/>
      <c r="M277" s="383">
        <v>0</v>
      </c>
      <c r="O277" s="1584"/>
      <c r="P277" s="1343">
        <v>16019.21</v>
      </c>
      <c r="Q277" s="1555"/>
      <c r="R277" s="1555"/>
      <c r="AC277" s="515"/>
      <c r="AD277" s="515"/>
      <c r="AO277" s="1322"/>
      <c r="AP277" s="1323"/>
    </row>
    <row r="278" spans="1:42">
      <c r="A278" s="155">
        <v>300712</v>
      </c>
      <c r="B278" s="156" t="s">
        <v>205</v>
      </c>
      <c r="C278" s="626" t="s">
        <v>1022</v>
      </c>
      <c r="D278" s="1553"/>
      <c r="E278" s="840">
        <v>13.92</v>
      </c>
      <c r="F278" s="1554"/>
      <c r="G278" s="1555"/>
      <c r="H278" s="1556"/>
      <c r="J278" s="838">
        <v>1</v>
      </c>
      <c r="K278" s="1557"/>
      <c r="M278" s="383">
        <v>0</v>
      </c>
      <c r="O278" s="1584"/>
      <c r="P278" s="1343">
        <v>16019.21</v>
      </c>
      <c r="Q278" s="1555"/>
      <c r="R278" s="1555"/>
      <c r="AC278" s="515"/>
      <c r="AD278" s="515"/>
      <c r="AO278" s="1322"/>
      <c r="AP278" s="1323"/>
    </row>
    <row r="279" spans="1:42">
      <c r="A279" s="155">
        <v>300713</v>
      </c>
      <c r="B279" s="156" t="s">
        <v>206</v>
      </c>
      <c r="C279" s="626" t="s">
        <v>1022</v>
      </c>
      <c r="D279" s="1553"/>
      <c r="E279" s="840">
        <v>10.77</v>
      </c>
      <c r="F279" s="1554"/>
      <c r="G279" s="1555"/>
      <c r="H279" s="1556"/>
      <c r="J279" s="838">
        <v>1</v>
      </c>
      <c r="K279" s="1557"/>
      <c r="M279" s="383">
        <v>0</v>
      </c>
      <c r="O279" s="1584"/>
      <c r="P279" s="1343">
        <v>16019.21</v>
      </c>
      <c r="Q279" s="1555"/>
      <c r="R279" s="1555"/>
      <c r="AC279" s="515"/>
      <c r="AD279" s="515"/>
      <c r="AO279" s="1322"/>
      <c r="AP279" s="1323"/>
    </row>
    <row r="280" spans="1:42">
      <c r="A280" s="155">
        <v>300716</v>
      </c>
      <c r="B280" s="156" t="s">
        <v>1096</v>
      </c>
      <c r="C280" s="626" t="s">
        <v>1022</v>
      </c>
      <c r="D280" s="1553"/>
      <c r="E280" s="840">
        <v>10.6</v>
      </c>
      <c r="F280" s="1554"/>
      <c r="G280" s="1555"/>
      <c r="H280" s="1556"/>
      <c r="J280" s="838">
        <v>1</v>
      </c>
      <c r="K280" s="1557"/>
      <c r="M280" s="383">
        <v>0</v>
      </c>
      <c r="O280" s="1584"/>
      <c r="P280" s="1343">
        <v>16019.21</v>
      </c>
      <c r="Q280" s="1555"/>
      <c r="R280" s="1555"/>
      <c r="AC280" s="515"/>
      <c r="AD280" s="515"/>
      <c r="AO280" s="1322"/>
      <c r="AP280" s="1323"/>
    </row>
    <row r="281" spans="1:42">
      <c r="A281" s="155">
        <v>300719</v>
      </c>
      <c r="B281" s="156" t="s">
        <v>207</v>
      </c>
      <c r="C281" s="626" t="s">
        <v>1019</v>
      </c>
      <c r="D281" s="1553"/>
      <c r="E281" s="840">
        <v>8.77</v>
      </c>
      <c r="F281" s="1554"/>
      <c r="G281" s="1555"/>
      <c r="H281" s="1556"/>
      <c r="J281" s="838">
        <v>0</v>
      </c>
      <c r="K281" s="1557"/>
      <c r="M281" s="383">
        <v>1</v>
      </c>
      <c r="O281" s="1584"/>
      <c r="P281" s="1343">
        <v>16019.21</v>
      </c>
      <c r="Q281" s="1555"/>
      <c r="R281" s="1555"/>
      <c r="AC281" s="515"/>
      <c r="AD281" s="515"/>
      <c r="AO281" s="1322"/>
      <c r="AP281" s="1323"/>
    </row>
    <row r="282" spans="1:42">
      <c r="A282" s="155">
        <v>300720</v>
      </c>
      <c r="B282" s="156" t="s">
        <v>208</v>
      </c>
      <c r="C282" s="626" t="s">
        <v>1022</v>
      </c>
      <c r="D282" s="1553"/>
      <c r="E282" s="840">
        <v>16.75</v>
      </c>
      <c r="F282" s="1554"/>
      <c r="G282" s="1555"/>
      <c r="H282" s="1556"/>
      <c r="J282" s="838">
        <v>1</v>
      </c>
      <c r="K282" s="1557"/>
      <c r="M282" s="383">
        <v>0</v>
      </c>
      <c r="O282" s="1584"/>
      <c r="P282" s="1343">
        <v>15223.61</v>
      </c>
      <c r="Q282" s="1555"/>
      <c r="R282" s="1555"/>
      <c r="AC282" s="515"/>
      <c r="AD282" s="515"/>
      <c r="AO282" s="1322"/>
      <c r="AP282" s="1323"/>
    </row>
    <row r="283" spans="1:42">
      <c r="A283" s="155">
        <v>300722</v>
      </c>
      <c r="B283" s="156" t="s">
        <v>209</v>
      </c>
      <c r="C283" s="626" t="s">
        <v>1022</v>
      </c>
      <c r="D283" s="1553"/>
      <c r="E283" s="840">
        <v>17.23</v>
      </c>
      <c r="F283" s="1554"/>
      <c r="G283" s="1555"/>
      <c r="H283" s="1556"/>
      <c r="J283" s="838">
        <v>1</v>
      </c>
      <c r="K283" s="1557"/>
      <c r="M283" s="383">
        <v>0</v>
      </c>
      <c r="O283" s="1584"/>
      <c r="P283" s="1343">
        <v>16019.21</v>
      </c>
      <c r="Q283" s="1555"/>
      <c r="R283" s="1555"/>
      <c r="AC283" s="515"/>
      <c r="AD283" s="515"/>
      <c r="AO283" s="1322"/>
      <c r="AP283" s="1323"/>
    </row>
    <row r="284" spans="1:42">
      <c r="A284" s="155">
        <v>300725</v>
      </c>
      <c r="B284" s="156" t="s">
        <v>415</v>
      </c>
      <c r="C284" s="626" t="s">
        <v>1022</v>
      </c>
      <c r="D284" s="1553"/>
      <c r="E284" s="840">
        <v>17.23</v>
      </c>
      <c r="F284" s="1554"/>
      <c r="G284" s="1555"/>
      <c r="H284" s="1556"/>
      <c r="J284" s="838">
        <v>1</v>
      </c>
      <c r="K284" s="1557"/>
      <c r="M284" s="383">
        <v>0</v>
      </c>
      <c r="O284" s="1584"/>
      <c r="P284" s="1343">
        <v>16019.21</v>
      </c>
      <c r="Q284" s="1555"/>
      <c r="R284" s="1555"/>
      <c r="AC284" s="515"/>
      <c r="AD284" s="515"/>
      <c r="AO284" s="1322"/>
      <c r="AP284" s="1323"/>
    </row>
    <row r="285" spans="1:42">
      <c r="A285" s="155">
        <v>300727</v>
      </c>
      <c r="B285" s="156" t="s">
        <v>329</v>
      </c>
      <c r="C285" s="626" t="s">
        <v>1019</v>
      </c>
      <c r="D285" s="1553"/>
      <c r="E285" s="840">
        <v>14.19</v>
      </c>
      <c r="F285" s="1554"/>
      <c r="G285" s="1555"/>
      <c r="H285" s="1556"/>
      <c r="J285" s="838">
        <v>0</v>
      </c>
      <c r="K285" s="1557"/>
      <c r="M285" s="383">
        <v>1</v>
      </c>
      <c r="O285" s="1584"/>
      <c r="P285" s="1343">
        <v>48057.63</v>
      </c>
      <c r="Q285" s="1555"/>
      <c r="R285" s="1555"/>
      <c r="AC285" s="515"/>
      <c r="AD285" s="515"/>
      <c r="AO285" s="1322"/>
      <c r="AP285" s="1323"/>
    </row>
    <row r="286" spans="1:42">
      <c r="A286" s="155">
        <v>300728</v>
      </c>
      <c r="B286" s="156" t="s">
        <v>210</v>
      </c>
      <c r="C286" s="626" t="s">
        <v>1019</v>
      </c>
      <c r="D286" s="1553"/>
      <c r="E286" s="840">
        <v>8.35</v>
      </c>
      <c r="F286" s="1554"/>
      <c r="G286" s="1555"/>
      <c r="H286" s="1556"/>
      <c r="J286" s="838">
        <v>0</v>
      </c>
      <c r="K286" s="1557"/>
      <c r="M286" s="383">
        <v>1</v>
      </c>
      <c r="O286" s="1584"/>
      <c r="P286" s="1343">
        <v>16019.21</v>
      </c>
      <c r="Q286" s="1555"/>
      <c r="R286" s="1555"/>
      <c r="AC286" s="515"/>
      <c r="AD286" s="515"/>
      <c r="AO286" s="1322"/>
      <c r="AP286" s="1323"/>
    </row>
    <row r="287" spans="1:42">
      <c r="A287" s="155">
        <v>300729</v>
      </c>
      <c r="B287" s="156" t="s">
        <v>1097</v>
      </c>
      <c r="C287" s="626" t="s">
        <v>1022</v>
      </c>
      <c r="D287" s="1553"/>
      <c r="E287" s="840">
        <v>9.99</v>
      </c>
      <c r="F287" s="1554"/>
      <c r="G287" s="1555"/>
      <c r="H287" s="1556"/>
      <c r="J287" s="838">
        <v>1</v>
      </c>
      <c r="K287" s="1557"/>
      <c r="M287" s="383">
        <v>0</v>
      </c>
      <c r="O287" s="1584"/>
      <c r="P287" s="1343">
        <v>16019.21</v>
      </c>
      <c r="Q287" s="1555"/>
      <c r="R287" s="1555"/>
      <c r="AC287" s="515"/>
      <c r="AD287" s="515"/>
      <c r="AO287" s="1322"/>
      <c r="AP287" s="1323"/>
    </row>
    <row r="288" spans="1:42">
      <c r="A288" s="155">
        <v>300734</v>
      </c>
      <c r="B288" s="156" t="s">
        <v>1098</v>
      </c>
      <c r="C288" s="626" t="s">
        <v>1022</v>
      </c>
      <c r="D288" s="1553"/>
      <c r="E288" s="840">
        <v>18.489999999999998</v>
      </c>
      <c r="F288" s="1554"/>
      <c r="G288" s="1555"/>
      <c r="H288" s="1556"/>
      <c r="J288" s="838">
        <v>1</v>
      </c>
      <c r="K288" s="1557"/>
      <c r="M288" s="383">
        <v>0</v>
      </c>
      <c r="O288" s="1584"/>
      <c r="P288" s="1343">
        <v>16019.21</v>
      </c>
      <c r="Q288" s="1555"/>
      <c r="R288" s="1555"/>
      <c r="AC288" s="515"/>
      <c r="AD288" s="515"/>
      <c r="AO288" s="1322"/>
      <c r="AP288" s="1323"/>
    </row>
    <row r="289" spans="1:42">
      <c r="A289" s="155">
        <v>300736</v>
      </c>
      <c r="B289" s="156" t="s">
        <v>1099</v>
      </c>
      <c r="C289" s="626" t="s">
        <v>1022</v>
      </c>
      <c r="D289" s="1553"/>
      <c r="E289" s="840">
        <v>10.73</v>
      </c>
      <c r="F289" s="1554"/>
      <c r="G289" s="1555"/>
      <c r="H289" s="1556"/>
      <c r="J289" s="838">
        <v>1</v>
      </c>
      <c r="K289" s="1557"/>
      <c r="M289" s="383">
        <v>0</v>
      </c>
      <c r="O289" s="1584"/>
      <c r="P289" s="1343">
        <v>16019.21</v>
      </c>
      <c r="Q289" s="1555"/>
      <c r="R289" s="1555"/>
      <c r="AC289" s="515"/>
      <c r="AD289" s="515"/>
      <c r="AO289" s="1322"/>
      <c r="AP289" s="1323"/>
    </row>
    <row r="290" spans="1:42">
      <c r="A290" s="155">
        <v>300737</v>
      </c>
      <c r="B290" s="156" t="s">
        <v>330</v>
      </c>
      <c r="C290" s="626" t="s">
        <v>1022</v>
      </c>
      <c r="D290" s="1553"/>
      <c r="E290" s="840">
        <v>9.99</v>
      </c>
      <c r="F290" s="1554"/>
      <c r="G290" s="1555"/>
      <c r="H290" s="1556"/>
      <c r="J290" s="838">
        <v>1</v>
      </c>
      <c r="K290" s="1557"/>
      <c r="M290" s="383">
        <v>0</v>
      </c>
      <c r="O290" s="1584"/>
      <c r="P290" s="1343">
        <v>9569.82</v>
      </c>
      <c r="Q290" s="1555"/>
      <c r="R290" s="1555"/>
      <c r="AC290" s="515"/>
      <c r="AD290" s="515"/>
      <c r="AO290" s="1322"/>
      <c r="AP290" s="1323"/>
    </row>
    <row r="291" spans="1:42">
      <c r="A291" s="155">
        <v>300740</v>
      </c>
      <c r="B291" s="156" t="s">
        <v>1100</v>
      </c>
      <c r="C291" s="626" t="s">
        <v>1022</v>
      </c>
      <c r="D291" s="1553"/>
      <c r="E291" s="840">
        <v>10.73</v>
      </c>
      <c r="F291" s="1554"/>
      <c r="G291" s="1555"/>
      <c r="H291" s="1556"/>
      <c r="J291" s="838">
        <v>1</v>
      </c>
      <c r="K291" s="1557"/>
      <c r="M291" s="383">
        <v>0</v>
      </c>
      <c r="O291" s="1584"/>
      <c r="P291" s="1343">
        <v>16019.21</v>
      </c>
      <c r="Q291" s="1555"/>
      <c r="R291" s="1555"/>
      <c r="AC291" s="515"/>
      <c r="AD291" s="515"/>
      <c r="AO291" s="1322"/>
      <c r="AP291" s="1323"/>
    </row>
    <row r="292" spans="1:42">
      <c r="A292" s="155">
        <v>300747</v>
      </c>
      <c r="B292" s="156" t="s">
        <v>430</v>
      </c>
      <c r="C292" s="626" t="s">
        <v>1022</v>
      </c>
      <c r="D292" s="1553"/>
      <c r="E292" s="840">
        <v>10.73</v>
      </c>
      <c r="F292" s="1554"/>
      <c r="G292" s="1555"/>
      <c r="H292" s="1556"/>
      <c r="J292" s="838">
        <v>1</v>
      </c>
      <c r="K292" s="1557"/>
      <c r="M292" s="383">
        <v>0</v>
      </c>
      <c r="O292" s="1584"/>
      <c r="P292" s="1343">
        <v>16019.21</v>
      </c>
      <c r="Q292" s="1555"/>
      <c r="R292" s="1555"/>
      <c r="AC292" s="515"/>
      <c r="AD292" s="515"/>
      <c r="AO292" s="1322"/>
      <c r="AP292" s="1323"/>
    </row>
    <row r="293" spans="1:42">
      <c r="A293" s="155">
        <v>300748</v>
      </c>
      <c r="B293" s="156" t="s">
        <v>431</v>
      </c>
      <c r="C293" s="626" t="s">
        <v>1022</v>
      </c>
      <c r="D293" s="1553"/>
      <c r="E293" s="840">
        <v>18.489999999999998</v>
      </c>
      <c r="F293" s="1554"/>
      <c r="G293" s="1555"/>
      <c r="H293" s="1556"/>
      <c r="J293" s="838">
        <v>1</v>
      </c>
      <c r="K293" s="1557"/>
      <c r="M293" s="383">
        <v>0</v>
      </c>
      <c r="O293" s="1584"/>
      <c r="P293" s="1343">
        <v>16019.21</v>
      </c>
      <c r="Q293" s="1555"/>
      <c r="R293" s="1555"/>
      <c r="AC293" s="515"/>
      <c r="AD293" s="515"/>
      <c r="AO293" s="1322"/>
      <c r="AP293" s="1323"/>
    </row>
    <row r="294" spans="1:42">
      <c r="A294" s="155">
        <v>300754</v>
      </c>
      <c r="B294" s="156" t="s">
        <v>432</v>
      </c>
      <c r="C294" s="626" t="s">
        <v>1019</v>
      </c>
      <c r="D294" s="1553"/>
      <c r="E294" s="840">
        <v>10.38</v>
      </c>
      <c r="F294" s="1554"/>
      <c r="G294" s="1555"/>
      <c r="H294" s="1556"/>
      <c r="J294" s="838">
        <v>0</v>
      </c>
      <c r="K294" s="1557"/>
      <c r="M294" s="383">
        <v>1</v>
      </c>
      <c r="O294" s="1584"/>
      <c r="P294" s="1343">
        <v>16019.21</v>
      </c>
      <c r="Q294" s="1555"/>
      <c r="R294" s="1555"/>
      <c r="AC294" s="515"/>
      <c r="AD294" s="515"/>
      <c r="AO294" s="1322"/>
      <c r="AP294" s="1323"/>
    </row>
    <row r="295" spans="1:42">
      <c r="A295" s="155">
        <v>300755</v>
      </c>
      <c r="B295" s="156" t="s">
        <v>433</v>
      </c>
      <c r="C295" s="626" t="s">
        <v>1019</v>
      </c>
      <c r="D295" s="1553"/>
      <c r="E295" s="840">
        <v>10.36</v>
      </c>
      <c r="F295" s="1554"/>
      <c r="G295" s="1555"/>
      <c r="H295" s="1556"/>
      <c r="J295" s="838">
        <v>0</v>
      </c>
      <c r="K295" s="1557"/>
      <c r="M295" s="383">
        <v>1</v>
      </c>
      <c r="O295" s="1584"/>
      <c r="P295" s="1343">
        <v>16019.21</v>
      </c>
      <c r="Q295" s="1555"/>
      <c r="R295" s="1555"/>
      <c r="AC295" s="515"/>
      <c r="AD295" s="515"/>
      <c r="AO295" s="1322"/>
      <c r="AP295" s="1323"/>
    </row>
    <row r="296" spans="1:42">
      <c r="A296" s="155">
        <v>300758</v>
      </c>
      <c r="B296" s="156" t="s">
        <v>434</v>
      </c>
      <c r="C296" s="626" t="s">
        <v>1019</v>
      </c>
      <c r="D296" s="1553"/>
      <c r="E296" s="840">
        <v>10.36</v>
      </c>
      <c r="F296" s="1554"/>
      <c r="G296" s="1555"/>
      <c r="H296" s="1556"/>
      <c r="J296" s="838">
        <v>0</v>
      </c>
      <c r="K296" s="1557"/>
      <c r="M296" s="383">
        <v>1</v>
      </c>
      <c r="O296" s="1584"/>
      <c r="P296" s="1343">
        <v>16019.21</v>
      </c>
      <c r="Q296" s="1555"/>
      <c r="R296" s="1555"/>
      <c r="AC296" s="515"/>
      <c r="AD296" s="515"/>
      <c r="AO296" s="1322"/>
      <c r="AP296" s="1323"/>
    </row>
    <row r="297" spans="1:42">
      <c r="A297" s="155">
        <v>300767</v>
      </c>
      <c r="B297" s="156" t="s">
        <v>435</v>
      </c>
      <c r="C297" s="626" t="s">
        <v>1022</v>
      </c>
      <c r="D297" s="1553"/>
      <c r="E297" s="840">
        <v>10.49</v>
      </c>
      <c r="F297" s="1554"/>
      <c r="G297" s="1555"/>
      <c r="H297" s="1556"/>
      <c r="J297" s="838">
        <v>1</v>
      </c>
      <c r="K297" s="1557"/>
      <c r="M297" s="383">
        <v>0</v>
      </c>
      <c r="O297" s="1584"/>
      <c r="P297" s="1343">
        <v>15534.15</v>
      </c>
      <c r="Q297" s="1555"/>
      <c r="R297" s="1555"/>
      <c r="AC297" s="515"/>
      <c r="AD297" s="515"/>
      <c r="AO297" s="1322"/>
      <c r="AP297" s="1323"/>
    </row>
    <row r="298" spans="1:42">
      <c r="A298" s="155">
        <v>300768</v>
      </c>
      <c r="B298" s="156" t="s">
        <v>436</v>
      </c>
      <c r="C298" s="626" t="s">
        <v>1022</v>
      </c>
      <c r="D298" s="1553"/>
      <c r="E298" s="840">
        <v>9.99</v>
      </c>
      <c r="F298" s="1554"/>
      <c r="G298" s="1555"/>
      <c r="H298" s="1556"/>
      <c r="J298" s="838">
        <v>1</v>
      </c>
      <c r="K298" s="1557"/>
      <c r="M298" s="383">
        <v>0</v>
      </c>
      <c r="O298" s="1584"/>
      <c r="P298" s="1343">
        <v>16019.21</v>
      </c>
      <c r="Q298" s="1555"/>
      <c r="R298" s="1555"/>
      <c r="AC298" s="515"/>
      <c r="AD298" s="515"/>
      <c r="AO298" s="1322"/>
      <c r="AP298" s="1323"/>
    </row>
    <row r="299" spans="1:42">
      <c r="A299" s="155">
        <v>300771</v>
      </c>
      <c r="B299" s="156" t="s">
        <v>416</v>
      </c>
      <c r="C299" s="626" t="s">
        <v>1022</v>
      </c>
      <c r="D299" s="1553"/>
      <c r="E299" s="840">
        <v>9.99</v>
      </c>
      <c r="F299" s="1554"/>
      <c r="G299" s="1555"/>
      <c r="H299" s="1556"/>
      <c r="J299" s="838">
        <v>1</v>
      </c>
      <c r="K299" s="1557"/>
      <c r="M299" s="383">
        <v>0</v>
      </c>
      <c r="O299" s="1584"/>
      <c r="P299" s="1343">
        <v>7946.97</v>
      </c>
      <c r="Q299" s="1555"/>
      <c r="R299" s="1555"/>
      <c r="AC299" s="515"/>
      <c r="AD299" s="515"/>
      <c r="AO299" s="1322"/>
      <c r="AP299" s="1323"/>
    </row>
    <row r="300" spans="1:42">
      <c r="A300" s="155">
        <v>300772</v>
      </c>
      <c r="B300" s="156" t="s">
        <v>1101</v>
      </c>
      <c r="C300" s="626" t="s">
        <v>1022</v>
      </c>
      <c r="D300" s="1553"/>
      <c r="E300" s="840">
        <v>9.77</v>
      </c>
      <c r="F300" s="1554"/>
      <c r="G300" s="1555"/>
      <c r="H300" s="1556"/>
      <c r="J300" s="838">
        <v>1</v>
      </c>
      <c r="K300" s="1557"/>
      <c r="M300" s="383">
        <v>0</v>
      </c>
      <c r="O300" s="1584"/>
      <c r="P300" s="1343">
        <v>16019.21</v>
      </c>
      <c r="Q300" s="1555"/>
      <c r="R300" s="1555"/>
      <c r="AC300" s="515"/>
      <c r="AD300" s="515"/>
      <c r="AO300" s="1322"/>
      <c r="AP300" s="1323"/>
    </row>
    <row r="301" spans="1:42">
      <c r="A301" s="155">
        <v>300773</v>
      </c>
      <c r="B301" s="156" t="s">
        <v>171</v>
      </c>
      <c r="C301" s="626" t="s">
        <v>1022</v>
      </c>
      <c r="D301" s="1553"/>
      <c r="E301" s="840">
        <v>16.809999999999999</v>
      </c>
      <c r="F301" s="1554"/>
      <c r="G301" s="1555"/>
      <c r="H301" s="1556"/>
      <c r="J301" s="838">
        <v>1</v>
      </c>
      <c r="K301" s="1557"/>
      <c r="M301" s="383">
        <v>0</v>
      </c>
      <c r="O301" s="1584"/>
      <c r="P301" s="1343">
        <v>16019.21</v>
      </c>
      <c r="Q301" s="1555"/>
      <c r="R301" s="1555"/>
      <c r="AC301" s="515"/>
      <c r="AD301" s="515"/>
      <c r="AO301" s="1322"/>
      <c r="AP301" s="1323"/>
    </row>
    <row r="302" spans="1:42">
      <c r="A302" s="155">
        <v>300779</v>
      </c>
      <c r="B302" s="156" t="s">
        <v>1102</v>
      </c>
      <c r="C302" s="626" t="s">
        <v>1022</v>
      </c>
      <c r="D302" s="1553"/>
      <c r="E302" s="840">
        <v>12.8</v>
      </c>
      <c r="F302" s="1554"/>
      <c r="G302" s="1555"/>
      <c r="H302" s="1556"/>
      <c r="J302" s="838">
        <v>1</v>
      </c>
      <c r="K302" s="1557"/>
      <c r="M302" s="383">
        <v>0</v>
      </c>
      <c r="O302" s="1584"/>
      <c r="P302" s="1343">
        <v>32038.42</v>
      </c>
      <c r="Q302" s="1555"/>
      <c r="R302" s="1555"/>
      <c r="AC302" s="515"/>
      <c r="AD302" s="515"/>
      <c r="AO302" s="1322"/>
      <c r="AP302" s="1323"/>
    </row>
    <row r="303" spans="1:42">
      <c r="A303" s="155">
        <v>300784</v>
      </c>
      <c r="B303" s="156" t="s">
        <v>437</v>
      </c>
      <c r="C303" s="626" t="s">
        <v>1022</v>
      </c>
      <c r="D303" s="1553"/>
      <c r="E303" s="840">
        <v>14.23</v>
      </c>
      <c r="F303" s="1554"/>
      <c r="G303" s="1555"/>
      <c r="H303" s="1556"/>
      <c r="J303" s="838">
        <v>1</v>
      </c>
      <c r="K303" s="1557"/>
      <c r="M303" s="383">
        <v>0</v>
      </c>
      <c r="O303" s="1584"/>
      <c r="P303" s="1343">
        <v>16019.21</v>
      </c>
      <c r="Q303" s="1555"/>
      <c r="R303" s="1555"/>
      <c r="AC303" s="515"/>
      <c r="AD303" s="515"/>
      <c r="AO303" s="1322"/>
      <c r="AP303" s="1323"/>
    </row>
    <row r="304" spans="1:42">
      <c r="A304" s="155">
        <v>300785</v>
      </c>
      <c r="B304" s="156" t="s">
        <v>629</v>
      </c>
      <c r="C304" s="626" t="s">
        <v>1022</v>
      </c>
      <c r="D304" s="1553"/>
      <c r="E304" s="840">
        <v>10.49</v>
      </c>
      <c r="F304" s="1554"/>
      <c r="G304" s="1555"/>
      <c r="H304" s="1556"/>
      <c r="J304" s="838">
        <v>1</v>
      </c>
      <c r="K304" s="1557"/>
      <c r="M304" s="383">
        <v>0</v>
      </c>
      <c r="O304" s="1584"/>
      <c r="P304" s="1343">
        <v>16019.21</v>
      </c>
      <c r="Q304" s="1555"/>
      <c r="R304" s="1555"/>
      <c r="AC304" s="515"/>
      <c r="AD304" s="515"/>
      <c r="AO304" s="1322"/>
      <c r="AP304" s="1323"/>
    </row>
    <row r="305" spans="1:42">
      <c r="A305" s="155">
        <v>300786</v>
      </c>
      <c r="B305" s="156" t="s">
        <v>438</v>
      </c>
      <c r="C305" s="626" t="s">
        <v>1022</v>
      </c>
      <c r="D305" s="1553"/>
      <c r="E305" s="840">
        <v>10.73</v>
      </c>
      <c r="F305" s="1554"/>
      <c r="G305" s="1555"/>
      <c r="H305" s="1556"/>
      <c r="J305" s="838">
        <v>1</v>
      </c>
      <c r="K305" s="1557"/>
      <c r="M305" s="383">
        <v>0</v>
      </c>
      <c r="O305" s="1584"/>
      <c r="P305" s="1343">
        <v>16019.21</v>
      </c>
      <c r="Q305" s="1555"/>
      <c r="R305" s="1555"/>
      <c r="AC305" s="515"/>
      <c r="AD305" s="515"/>
      <c r="AO305" s="1322"/>
      <c r="AP305" s="1323"/>
    </row>
    <row r="306" spans="1:42">
      <c r="A306" s="155">
        <v>300788</v>
      </c>
      <c r="B306" s="156" t="s">
        <v>1103</v>
      </c>
      <c r="C306" s="626" t="s">
        <v>1022</v>
      </c>
      <c r="D306" s="1553"/>
      <c r="E306" s="840">
        <v>13.84</v>
      </c>
      <c r="F306" s="1554"/>
      <c r="G306" s="1555"/>
      <c r="H306" s="1556"/>
      <c r="J306" s="838">
        <v>1</v>
      </c>
      <c r="K306" s="1557"/>
      <c r="M306" s="383">
        <v>0</v>
      </c>
      <c r="O306" s="1584"/>
      <c r="P306" s="1343">
        <v>16019.21</v>
      </c>
      <c r="Q306" s="1555"/>
      <c r="R306" s="1555"/>
      <c r="AC306" s="515"/>
      <c r="AD306" s="515"/>
      <c r="AO306" s="1322"/>
      <c r="AP306" s="1323"/>
    </row>
    <row r="307" spans="1:42">
      <c r="A307" s="155">
        <v>300790</v>
      </c>
      <c r="B307" s="156" t="s">
        <v>439</v>
      </c>
      <c r="C307" s="626" t="s">
        <v>1019</v>
      </c>
      <c r="D307" s="1553"/>
      <c r="E307" s="840">
        <v>18.8</v>
      </c>
      <c r="F307" s="1554"/>
      <c r="G307" s="1555"/>
      <c r="H307" s="1556"/>
      <c r="J307" s="838">
        <v>0</v>
      </c>
      <c r="K307" s="1557"/>
      <c r="M307" s="383">
        <v>1</v>
      </c>
      <c r="O307" s="1584"/>
      <c r="P307" s="1343">
        <v>16019.21</v>
      </c>
      <c r="Q307" s="1555"/>
      <c r="R307" s="1555"/>
      <c r="AC307" s="515"/>
      <c r="AD307" s="515"/>
      <c r="AO307" s="1322"/>
      <c r="AP307" s="1323"/>
    </row>
    <row r="308" spans="1:42">
      <c r="A308" s="155">
        <v>300791</v>
      </c>
      <c r="B308" s="156" t="s">
        <v>331</v>
      </c>
      <c r="C308" s="626" t="s">
        <v>1022</v>
      </c>
      <c r="D308" s="1553"/>
      <c r="E308" s="840">
        <v>9.99</v>
      </c>
      <c r="F308" s="1554"/>
      <c r="G308" s="1555"/>
      <c r="H308" s="1556"/>
      <c r="J308" s="838">
        <v>1</v>
      </c>
      <c r="K308" s="1557"/>
      <c r="M308" s="383">
        <v>0</v>
      </c>
      <c r="O308" s="1584"/>
      <c r="P308" s="1343">
        <v>16019.21</v>
      </c>
      <c r="Q308" s="1555"/>
      <c r="R308" s="1555"/>
      <c r="AC308" s="515"/>
      <c r="AD308" s="515"/>
      <c r="AO308" s="1322"/>
      <c r="AP308" s="1323"/>
    </row>
    <row r="309" spans="1:42">
      <c r="A309" s="155">
        <v>300792</v>
      </c>
      <c r="B309" s="156" t="s">
        <v>440</v>
      </c>
      <c r="C309" s="626" t="s">
        <v>1019</v>
      </c>
      <c r="D309" s="1553"/>
      <c r="E309" s="840">
        <v>17.600000000000001</v>
      </c>
      <c r="F309" s="1554"/>
      <c r="G309" s="1555"/>
      <c r="H309" s="1556"/>
      <c r="J309" s="838">
        <v>0</v>
      </c>
      <c r="K309" s="1557"/>
      <c r="M309" s="383">
        <v>1</v>
      </c>
      <c r="O309" s="1584"/>
      <c r="P309" s="1343">
        <v>16019.21</v>
      </c>
      <c r="Q309" s="1555"/>
      <c r="R309" s="1555"/>
      <c r="AC309" s="515"/>
      <c r="AD309" s="515"/>
      <c r="AO309" s="1322"/>
      <c r="AP309" s="1323"/>
    </row>
    <row r="310" spans="1:42">
      <c r="A310" s="155">
        <v>300794</v>
      </c>
      <c r="B310" s="156" t="s">
        <v>441</v>
      </c>
      <c r="C310" s="626" t="s">
        <v>1019</v>
      </c>
      <c r="D310" s="1553"/>
      <c r="E310" s="840">
        <v>17.600000000000001</v>
      </c>
      <c r="F310" s="1554"/>
      <c r="G310" s="1555"/>
      <c r="H310" s="1556"/>
      <c r="J310" s="838">
        <v>0</v>
      </c>
      <c r="K310" s="1557"/>
      <c r="M310" s="383">
        <v>1</v>
      </c>
      <c r="O310" s="1584"/>
      <c r="P310" s="1343">
        <v>16019.21</v>
      </c>
      <c r="Q310" s="1555"/>
      <c r="R310" s="1555"/>
      <c r="AC310" s="515"/>
      <c r="AD310" s="515"/>
      <c r="AO310" s="1322"/>
      <c r="AP310" s="1323"/>
    </row>
    <row r="311" spans="1:42">
      <c r="A311" s="155">
        <v>300795</v>
      </c>
      <c r="B311" s="156" t="s">
        <v>442</v>
      </c>
      <c r="C311" s="626" t="s">
        <v>1022</v>
      </c>
      <c r="D311" s="1553"/>
      <c r="E311" s="840">
        <v>15.25</v>
      </c>
      <c r="F311" s="1554"/>
      <c r="G311" s="1555"/>
      <c r="H311" s="1556"/>
      <c r="J311" s="838">
        <v>1</v>
      </c>
      <c r="K311" s="1557"/>
      <c r="M311" s="383">
        <v>0</v>
      </c>
      <c r="O311" s="1584"/>
      <c r="P311" s="1343">
        <v>16019.21</v>
      </c>
      <c r="Q311" s="1555"/>
      <c r="R311" s="1555"/>
      <c r="AC311" s="515"/>
      <c r="AD311" s="515"/>
      <c r="AO311" s="1322"/>
      <c r="AP311" s="1323"/>
    </row>
    <row r="312" spans="1:42">
      <c r="A312" s="155">
        <v>300798</v>
      </c>
      <c r="B312" s="156" t="s">
        <v>332</v>
      </c>
      <c r="C312" s="626" t="s">
        <v>1022</v>
      </c>
      <c r="D312" s="1553"/>
      <c r="E312" s="840">
        <v>11.4</v>
      </c>
      <c r="F312" s="1554"/>
      <c r="G312" s="1555"/>
      <c r="H312" s="1556"/>
      <c r="J312" s="838">
        <v>1</v>
      </c>
      <c r="K312" s="1557"/>
      <c r="M312" s="383">
        <v>0</v>
      </c>
      <c r="O312" s="1584"/>
      <c r="P312" s="1343">
        <v>11650.61</v>
      </c>
      <c r="Q312" s="1555"/>
      <c r="R312" s="1555"/>
      <c r="AC312" s="515"/>
      <c r="AD312" s="515"/>
      <c r="AO312" s="1322"/>
      <c r="AP312" s="1323"/>
    </row>
    <row r="313" spans="1:42">
      <c r="A313" s="155">
        <v>300800</v>
      </c>
      <c r="B313" s="156" t="s">
        <v>443</v>
      </c>
      <c r="C313" s="626" t="s">
        <v>1022</v>
      </c>
      <c r="D313" s="1553"/>
      <c r="E313" s="840">
        <v>10.73</v>
      </c>
      <c r="F313" s="1554"/>
      <c r="G313" s="1555"/>
      <c r="H313" s="1556"/>
      <c r="J313" s="838">
        <v>1</v>
      </c>
      <c r="K313" s="1557"/>
      <c r="M313" s="383">
        <v>0</v>
      </c>
      <c r="O313" s="1584"/>
      <c r="P313" s="1343">
        <v>16019.21</v>
      </c>
      <c r="Q313" s="1555"/>
      <c r="R313" s="1555"/>
      <c r="AC313" s="515"/>
      <c r="AD313" s="515"/>
      <c r="AO313" s="1322"/>
      <c r="AP313" s="1323"/>
    </row>
    <row r="314" spans="1:42">
      <c r="A314" s="155">
        <v>300801</v>
      </c>
      <c r="B314" s="156" t="s">
        <v>1104</v>
      </c>
      <c r="C314" s="626" t="s">
        <v>1022</v>
      </c>
      <c r="D314" s="1553"/>
      <c r="E314" s="840">
        <v>9.99</v>
      </c>
      <c r="F314" s="1554"/>
      <c r="G314" s="1555"/>
      <c r="H314" s="1556"/>
      <c r="J314" s="838">
        <v>1</v>
      </c>
      <c r="K314" s="1557"/>
      <c r="M314" s="383">
        <v>0</v>
      </c>
      <c r="O314" s="1584"/>
      <c r="P314" s="1343">
        <v>1335.82</v>
      </c>
      <c r="Q314" s="1555"/>
      <c r="R314" s="1555"/>
      <c r="AC314" s="515"/>
      <c r="AD314" s="515"/>
      <c r="AO314" s="1322"/>
      <c r="AP314" s="1323"/>
    </row>
    <row r="315" spans="1:42">
      <c r="A315" s="155">
        <v>300802</v>
      </c>
      <c r="B315" s="156" t="s">
        <v>444</v>
      </c>
      <c r="C315" s="626" t="s">
        <v>1019</v>
      </c>
      <c r="D315" s="1553"/>
      <c r="E315" s="840">
        <v>14.67</v>
      </c>
      <c r="F315" s="1554"/>
      <c r="G315" s="1555"/>
      <c r="H315" s="1556"/>
      <c r="J315" s="838">
        <v>0</v>
      </c>
      <c r="K315" s="1557"/>
      <c r="M315" s="383">
        <v>1</v>
      </c>
      <c r="O315" s="1584"/>
      <c r="P315" s="1343">
        <v>16019.21</v>
      </c>
      <c r="Q315" s="1555"/>
      <c r="R315" s="1555"/>
      <c r="AC315" s="515"/>
      <c r="AD315" s="515"/>
      <c r="AO315" s="1322"/>
      <c r="AP315" s="1323"/>
    </row>
    <row r="316" spans="1:42">
      <c r="A316" s="155">
        <v>300803</v>
      </c>
      <c r="B316" s="156" t="s">
        <v>445</v>
      </c>
      <c r="C316" s="626" t="s">
        <v>1022</v>
      </c>
      <c r="D316" s="1553"/>
      <c r="E316" s="840">
        <v>10.73</v>
      </c>
      <c r="F316" s="1554"/>
      <c r="G316" s="1555"/>
      <c r="H316" s="1556"/>
      <c r="J316" s="838">
        <v>1</v>
      </c>
      <c r="K316" s="1557"/>
      <c r="M316" s="383">
        <v>0</v>
      </c>
      <c r="O316" s="1584"/>
      <c r="P316" s="1343">
        <v>16019.21</v>
      </c>
      <c r="Q316" s="1555"/>
      <c r="R316" s="1555"/>
      <c r="AC316" s="515"/>
      <c r="AD316" s="515"/>
      <c r="AO316" s="1322"/>
      <c r="AP316" s="1323"/>
    </row>
    <row r="317" spans="1:42">
      <c r="A317" s="155">
        <v>300804</v>
      </c>
      <c r="B317" s="156" t="s">
        <v>446</v>
      </c>
      <c r="C317" s="626" t="s">
        <v>1022</v>
      </c>
      <c r="D317" s="1553"/>
      <c r="E317" s="840">
        <v>9.99</v>
      </c>
      <c r="F317" s="1554"/>
      <c r="G317" s="1555"/>
      <c r="H317" s="1556"/>
      <c r="J317" s="838">
        <v>1</v>
      </c>
      <c r="K317" s="1557"/>
      <c r="M317" s="383">
        <v>0</v>
      </c>
      <c r="O317" s="1584"/>
      <c r="P317" s="1343">
        <v>13204.03</v>
      </c>
      <c r="Q317" s="1555"/>
      <c r="R317" s="1555"/>
      <c r="AC317" s="515"/>
      <c r="AD317" s="515"/>
      <c r="AO317" s="1322"/>
      <c r="AP317" s="1323"/>
    </row>
    <row r="318" spans="1:42">
      <c r="A318" s="155">
        <v>300807</v>
      </c>
      <c r="B318" s="156" t="s">
        <v>447</v>
      </c>
      <c r="C318" s="626" t="s">
        <v>1022</v>
      </c>
      <c r="D318" s="1553"/>
      <c r="E318" s="840">
        <v>10.220000000000001</v>
      </c>
      <c r="F318" s="1554"/>
      <c r="G318" s="1555"/>
      <c r="H318" s="1556"/>
      <c r="J318" s="838">
        <v>1</v>
      </c>
      <c r="K318" s="1557"/>
      <c r="M318" s="383">
        <v>0</v>
      </c>
      <c r="O318" s="1584"/>
      <c r="P318" s="1343">
        <v>16019.21</v>
      </c>
      <c r="Q318" s="1555"/>
      <c r="R318" s="1555"/>
      <c r="AC318" s="515"/>
      <c r="AD318" s="515"/>
      <c r="AO318" s="1322"/>
      <c r="AP318" s="1323"/>
    </row>
    <row r="319" spans="1:42">
      <c r="A319" s="155">
        <v>300808</v>
      </c>
      <c r="B319" s="156" t="s">
        <v>448</v>
      </c>
      <c r="C319" s="626" t="s">
        <v>1022</v>
      </c>
      <c r="D319" s="1553"/>
      <c r="E319" s="840">
        <v>10.73</v>
      </c>
      <c r="F319" s="1554"/>
      <c r="G319" s="1555"/>
      <c r="H319" s="1556"/>
      <c r="J319" s="838">
        <v>1</v>
      </c>
      <c r="K319" s="1557"/>
      <c r="M319" s="383">
        <v>0</v>
      </c>
      <c r="O319" s="1584"/>
      <c r="P319" s="1343">
        <v>16019.21</v>
      </c>
      <c r="Q319" s="1555"/>
      <c r="R319" s="1555"/>
      <c r="AC319" s="515"/>
      <c r="AD319" s="515"/>
      <c r="AO319" s="1322"/>
      <c r="AP319" s="1323"/>
    </row>
    <row r="320" spans="1:42">
      <c r="A320" s="155">
        <v>300809</v>
      </c>
      <c r="B320" s="156" t="s">
        <v>449</v>
      </c>
      <c r="C320" s="626" t="s">
        <v>1019</v>
      </c>
      <c r="D320" s="1553"/>
      <c r="E320" s="840">
        <v>10.52</v>
      </c>
      <c r="F320" s="1554"/>
      <c r="G320" s="1555"/>
      <c r="H320" s="1556"/>
      <c r="J320" s="838">
        <v>0</v>
      </c>
      <c r="K320" s="1557"/>
      <c r="M320" s="383">
        <v>1</v>
      </c>
      <c r="O320" s="1584"/>
      <c r="P320" s="1343">
        <v>16019.21</v>
      </c>
      <c r="Q320" s="1555"/>
      <c r="R320" s="1555"/>
      <c r="AC320" s="515"/>
      <c r="AD320" s="515"/>
      <c r="AO320" s="1322"/>
      <c r="AP320" s="1323"/>
    </row>
    <row r="321" spans="1:42">
      <c r="A321" s="155">
        <v>300812</v>
      </c>
      <c r="B321" s="156" t="s">
        <v>450</v>
      </c>
      <c r="C321" s="626" t="s">
        <v>1019</v>
      </c>
      <c r="D321" s="1553"/>
      <c r="E321" s="840">
        <v>18.8</v>
      </c>
      <c r="F321" s="1554"/>
      <c r="G321" s="1555"/>
      <c r="H321" s="1556"/>
      <c r="J321" s="838">
        <v>0</v>
      </c>
      <c r="K321" s="1557"/>
      <c r="M321" s="383">
        <v>1</v>
      </c>
      <c r="O321" s="1584"/>
      <c r="P321" s="1343">
        <v>16019.21</v>
      </c>
      <c r="Q321" s="1555"/>
      <c r="R321" s="1555"/>
      <c r="AC321" s="515"/>
      <c r="AD321" s="515"/>
      <c r="AO321" s="1322"/>
      <c r="AP321" s="1323"/>
    </row>
    <row r="322" spans="1:42">
      <c r="A322" s="155">
        <v>300813</v>
      </c>
      <c r="B322" s="156" t="s">
        <v>451</v>
      </c>
      <c r="C322" s="626" t="s">
        <v>1019</v>
      </c>
      <c r="D322" s="1553"/>
      <c r="E322" s="840">
        <v>18.8</v>
      </c>
      <c r="F322" s="1554"/>
      <c r="G322" s="1555"/>
      <c r="H322" s="1556"/>
      <c r="J322" s="838">
        <v>0</v>
      </c>
      <c r="K322" s="1557"/>
      <c r="M322" s="383">
        <v>1</v>
      </c>
      <c r="O322" s="1584"/>
      <c r="P322" s="1343">
        <v>16019.21</v>
      </c>
      <c r="Q322" s="1555"/>
      <c r="R322" s="1555"/>
      <c r="AC322" s="515"/>
      <c r="AD322" s="515"/>
      <c r="AO322" s="1322"/>
      <c r="AP322" s="1323"/>
    </row>
    <row r="323" spans="1:42">
      <c r="A323" s="155">
        <v>300814</v>
      </c>
      <c r="B323" s="156" t="s">
        <v>333</v>
      </c>
      <c r="C323" s="626" t="s">
        <v>1022</v>
      </c>
      <c r="D323" s="1553"/>
      <c r="E323" s="840">
        <v>10.73</v>
      </c>
      <c r="F323" s="1554"/>
      <c r="G323" s="1555"/>
      <c r="H323" s="1556"/>
      <c r="J323" s="838">
        <v>1</v>
      </c>
      <c r="K323" s="1557"/>
      <c r="M323" s="383">
        <v>0</v>
      </c>
      <c r="O323" s="1584"/>
      <c r="P323" s="1343">
        <v>16019.21</v>
      </c>
      <c r="Q323" s="1555"/>
      <c r="R323" s="1555"/>
      <c r="AC323" s="515"/>
      <c r="AD323" s="515"/>
      <c r="AO323" s="1322"/>
      <c r="AP323" s="1323"/>
    </row>
    <row r="324" spans="1:42">
      <c r="A324" s="155">
        <v>300816</v>
      </c>
      <c r="B324" s="156" t="s">
        <v>452</v>
      </c>
      <c r="C324" s="626" t="s">
        <v>1022</v>
      </c>
      <c r="D324" s="1553"/>
      <c r="E324" s="840">
        <v>10.73</v>
      </c>
      <c r="F324" s="1554"/>
      <c r="G324" s="1555"/>
      <c r="H324" s="1556"/>
      <c r="J324" s="838">
        <v>1</v>
      </c>
      <c r="K324" s="1557"/>
      <c r="M324" s="383">
        <v>0</v>
      </c>
      <c r="O324" s="1584"/>
      <c r="P324" s="1343">
        <v>8924.58</v>
      </c>
      <c r="Q324" s="1555"/>
      <c r="R324" s="1555"/>
      <c r="AC324" s="515"/>
      <c r="AD324" s="515"/>
      <c r="AO324" s="1322"/>
      <c r="AP324" s="1323"/>
    </row>
    <row r="325" spans="1:42">
      <c r="A325" s="155">
        <v>300822</v>
      </c>
      <c r="B325" s="156" t="s">
        <v>334</v>
      </c>
      <c r="C325" s="626" t="s">
        <v>1019</v>
      </c>
      <c r="D325" s="1553"/>
      <c r="E325" s="840">
        <v>16.91</v>
      </c>
      <c r="F325" s="1554"/>
      <c r="G325" s="1555"/>
      <c r="H325" s="1556"/>
      <c r="J325" s="838">
        <v>0</v>
      </c>
      <c r="K325" s="1557"/>
      <c r="M325" s="383">
        <v>1</v>
      </c>
      <c r="O325" s="1584"/>
      <c r="P325" s="1343">
        <v>32038.42</v>
      </c>
      <c r="Q325" s="1555"/>
      <c r="R325" s="1555"/>
      <c r="AC325" s="515"/>
      <c r="AD325" s="515"/>
      <c r="AO325" s="1322"/>
      <c r="AP325" s="1323"/>
    </row>
    <row r="326" spans="1:42">
      <c r="A326" s="155">
        <v>300823</v>
      </c>
      <c r="B326" s="156" t="s">
        <v>453</v>
      </c>
      <c r="C326" s="626" t="s">
        <v>1019</v>
      </c>
      <c r="D326" s="1553"/>
      <c r="E326" s="840">
        <v>16.91</v>
      </c>
      <c r="F326" s="1554"/>
      <c r="G326" s="1555"/>
      <c r="H326" s="1556"/>
      <c r="J326" s="838">
        <v>0</v>
      </c>
      <c r="K326" s="1557"/>
      <c r="M326" s="383">
        <v>1</v>
      </c>
      <c r="O326" s="1584"/>
      <c r="P326" s="1343">
        <v>16019.21</v>
      </c>
      <c r="Q326" s="1555"/>
      <c r="R326" s="1555"/>
      <c r="AC326" s="515"/>
      <c r="AD326" s="515"/>
      <c r="AO326" s="1322"/>
      <c r="AP326" s="1323"/>
    </row>
    <row r="327" spans="1:42">
      <c r="A327" s="155">
        <v>300825</v>
      </c>
      <c r="B327" s="156" t="s">
        <v>454</v>
      </c>
      <c r="C327" s="626" t="s">
        <v>1022</v>
      </c>
      <c r="D327" s="1553"/>
      <c r="E327" s="840">
        <v>9.92</v>
      </c>
      <c r="F327" s="1554"/>
      <c r="G327" s="1555"/>
      <c r="H327" s="1556"/>
      <c r="J327" s="838">
        <v>1</v>
      </c>
      <c r="K327" s="1557"/>
      <c r="M327" s="383">
        <v>0</v>
      </c>
      <c r="O327" s="1584"/>
      <c r="P327" s="1343">
        <v>16019.21</v>
      </c>
      <c r="Q327" s="1555"/>
      <c r="R327" s="1555"/>
      <c r="AC327" s="515"/>
      <c r="AD327" s="515"/>
      <c r="AO327" s="1322"/>
      <c r="AP327" s="1323"/>
    </row>
    <row r="328" spans="1:42">
      <c r="A328" s="155">
        <v>300826</v>
      </c>
      <c r="B328" s="156" t="s">
        <v>455</v>
      </c>
      <c r="C328" s="626" t="s">
        <v>1022</v>
      </c>
      <c r="D328" s="1553"/>
      <c r="E328" s="840">
        <v>10.73</v>
      </c>
      <c r="F328" s="1554"/>
      <c r="G328" s="1555"/>
      <c r="H328" s="1556"/>
      <c r="J328" s="838">
        <v>1</v>
      </c>
      <c r="K328" s="1557"/>
      <c r="M328" s="383">
        <v>0</v>
      </c>
      <c r="O328" s="1584"/>
      <c r="P328" s="1343">
        <v>16019.21</v>
      </c>
      <c r="Q328" s="1555"/>
      <c r="R328" s="1555"/>
      <c r="AC328" s="515"/>
      <c r="AD328" s="515"/>
      <c r="AO328" s="1322"/>
      <c r="AP328" s="1323"/>
    </row>
    <row r="329" spans="1:42">
      <c r="A329" s="155">
        <v>300827</v>
      </c>
      <c r="B329" s="156" t="s">
        <v>335</v>
      </c>
      <c r="C329" s="626" t="s">
        <v>1022</v>
      </c>
      <c r="D329" s="1553"/>
      <c r="E329" s="840">
        <v>9.99</v>
      </c>
      <c r="F329" s="1554"/>
      <c r="G329" s="1555"/>
      <c r="H329" s="1556"/>
      <c r="J329" s="838">
        <v>1</v>
      </c>
      <c r="K329" s="1557"/>
      <c r="M329" s="383">
        <v>0</v>
      </c>
      <c r="O329" s="1584"/>
      <c r="P329" s="1343">
        <v>16019.21</v>
      </c>
      <c r="Q329" s="1555"/>
      <c r="R329" s="1555"/>
      <c r="AC329" s="515"/>
      <c r="AD329" s="515"/>
      <c r="AO329" s="1322"/>
      <c r="AP329" s="1323"/>
    </row>
    <row r="330" spans="1:42">
      <c r="A330" s="155">
        <v>300829</v>
      </c>
      <c r="B330" s="156" t="s">
        <v>456</v>
      </c>
      <c r="C330" s="626" t="s">
        <v>1022</v>
      </c>
      <c r="D330" s="1553"/>
      <c r="E330" s="840">
        <v>16.600000000000001</v>
      </c>
      <c r="F330" s="1554"/>
      <c r="G330" s="1555"/>
      <c r="H330" s="1556"/>
      <c r="J330" s="838">
        <v>1</v>
      </c>
      <c r="K330" s="1557"/>
      <c r="M330" s="383">
        <v>0</v>
      </c>
      <c r="O330" s="1584"/>
      <c r="P330" s="1343">
        <v>16019.21</v>
      </c>
      <c r="Q330" s="1555"/>
      <c r="R330" s="1555"/>
      <c r="AC330" s="515"/>
      <c r="AD330" s="515"/>
      <c r="AO330" s="1322"/>
      <c r="AP330" s="1323"/>
    </row>
    <row r="331" spans="1:42">
      <c r="A331" s="155">
        <v>300830</v>
      </c>
      <c r="B331" s="156" t="s">
        <v>457</v>
      </c>
      <c r="C331" s="626" t="s">
        <v>1022</v>
      </c>
      <c r="D331" s="1553"/>
      <c r="E331" s="840">
        <v>11.92</v>
      </c>
      <c r="F331" s="1554"/>
      <c r="G331" s="1555"/>
      <c r="H331" s="1556"/>
      <c r="J331" s="838">
        <v>1</v>
      </c>
      <c r="K331" s="1557"/>
      <c r="M331" s="383">
        <v>0</v>
      </c>
      <c r="O331" s="1584"/>
      <c r="P331" s="1343">
        <v>16019.21</v>
      </c>
      <c r="Q331" s="1555"/>
      <c r="R331" s="1555"/>
      <c r="AC331" s="515"/>
      <c r="AD331" s="515"/>
      <c r="AO331" s="1322"/>
      <c r="AP331" s="1323"/>
    </row>
    <row r="332" spans="1:42">
      <c r="A332" s="155">
        <v>300840</v>
      </c>
      <c r="B332" s="156" t="s">
        <v>792</v>
      </c>
      <c r="C332" s="626" t="s">
        <v>1022</v>
      </c>
      <c r="D332" s="1553"/>
      <c r="E332" s="840">
        <v>16.600000000000001</v>
      </c>
      <c r="F332" s="1554"/>
      <c r="G332" s="1555"/>
      <c r="H332" s="1556"/>
      <c r="J332" s="838">
        <v>1</v>
      </c>
      <c r="K332" s="1557"/>
      <c r="M332" s="383">
        <v>0</v>
      </c>
      <c r="O332" s="1584"/>
      <c r="P332" s="1343">
        <v>16019.21</v>
      </c>
      <c r="Q332" s="1555"/>
      <c r="R332" s="1555"/>
      <c r="AC332" s="515"/>
      <c r="AD332" s="515"/>
      <c r="AO332" s="1322"/>
      <c r="AP332" s="1323"/>
    </row>
    <row r="333" spans="1:42">
      <c r="A333" s="155">
        <v>300843</v>
      </c>
      <c r="B333" s="156" t="s">
        <v>458</v>
      </c>
      <c r="C333" s="626" t="s">
        <v>1022</v>
      </c>
      <c r="D333" s="1553"/>
      <c r="E333" s="840">
        <v>10.73</v>
      </c>
      <c r="F333" s="1554"/>
      <c r="G333" s="1555"/>
      <c r="H333" s="1556"/>
      <c r="J333" s="838">
        <v>1</v>
      </c>
      <c r="K333" s="1557"/>
      <c r="M333" s="383">
        <v>0</v>
      </c>
      <c r="O333" s="1584"/>
      <c r="P333" s="1343">
        <v>15602.6</v>
      </c>
      <c r="Q333" s="1555"/>
      <c r="R333" s="1555"/>
      <c r="AC333" s="515"/>
      <c r="AD333" s="515"/>
      <c r="AO333" s="1322"/>
      <c r="AP333" s="1323"/>
    </row>
    <row r="334" spans="1:42">
      <c r="A334" s="155">
        <v>300844</v>
      </c>
      <c r="B334" s="156" t="s">
        <v>459</v>
      </c>
      <c r="C334" s="626" t="s">
        <v>1022</v>
      </c>
      <c r="D334" s="1553"/>
      <c r="E334" s="840">
        <v>17.23</v>
      </c>
      <c r="F334" s="1554"/>
      <c r="G334" s="1555"/>
      <c r="H334" s="1556"/>
      <c r="J334" s="838">
        <v>1</v>
      </c>
      <c r="K334" s="1557"/>
      <c r="M334" s="383">
        <v>0</v>
      </c>
      <c r="O334" s="1584"/>
      <c r="P334" s="1343">
        <v>16019.21</v>
      </c>
      <c r="Q334" s="1555"/>
      <c r="R334" s="1555"/>
      <c r="AC334" s="515"/>
      <c r="AD334" s="515"/>
      <c r="AO334" s="1322"/>
      <c r="AP334" s="1323"/>
    </row>
    <row r="335" spans="1:42">
      <c r="A335" s="155">
        <v>300846</v>
      </c>
      <c r="B335" s="156" t="s">
        <v>460</v>
      </c>
      <c r="C335" s="626" t="s">
        <v>1022</v>
      </c>
      <c r="D335" s="1553"/>
      <c r="E335" s="840">
        <v>9.77</v>
      </c>
      <c r="F335" s="1554"/>
      <c r="G335" s="1555"/>
      <c r="H335" s="1556"/>
      <c r="J335" s="838">
        <v>1</v>
      </c>
      <c r="K335" s="1557"/>
      <c r="M335" s="383">
        <v>0</v>
      </c>
      <c r="O335" s="1584"/>
      <c r="P335" s="1343">
        <v>4660.25</v>
      </c>
      <c r="Q335" s="1555"/>
      <c r="R335" s="1555"/>
      <c r="AC335" s="515"/>
      <c r="AD335" s="515"/>
      <c r="AO335" s="1322"/>
      <c r="AP335" s="1323"/>
    </row>
    <row r="336" spans="1:42">
      <c r="A336" s="155">
        <v>300847</v>
      </c>
      <c r="B336" s="156" t="s">
        <v>461</v>
      </c>
      <c r="C336" s="626" t="s">
        <v>1022</v>
      </c>
      <c r="D336" s="1553"/>
      <c r="E336" s="840">
        <v>11.92</v>
      </c>
      <c r="F336" s="1554"/>
      <c r="G336" s="1555"/>
      <c r="H336" s="1556"/>
      <c r="J336" s="838">
        <v>1</v>
      </c>
      <c r="K336" s="1557"/>
      <c r="M336" s="383">
        <v>0</v>
      </c>
      <c r="O336" s="1584"/>
      <c r="P336" s="1343">
        <v>32038.42</v>
      </c>
      <c r="Q336" s="1555"/>
      <c r="R336" s="1555"/>
      <c r="AC336" s="515"/>
      <c r="AD336" s="515"/>
      <c r="AO336" s="1322"/>
      <c r="AP336" s="1323"/>
    </row>
    <row r="337" spans="1:42">
      <c r="A337" s="155">
        <v>300851</v>
      </c>
      <c r="B337" s="156" t="s">
        <v>463</v>
      </c>
      <c r="C337" s="626" t="s">
        <v>1022</v>
      </c>
      <c r="D337" s="1553"/>
      <c r="E337" s="840">
        <v>10.65</v>
      </c>
      <c r="F337" s="1554"/>
      <c r="G337" s="1555"/>
      <c r="H337" s="1556"/>
      <c r="J337" s="838">
        <v>1</v>
      </c>
      <c r="K337" s="1557"/>
      <c r="M337" s="383">
        <v>0</v>
      </c>
      <c r="O337" s="1584"/>
      <c r="P337" s="1343">
        <v>16019.21</v>
      </c>
      <c r="Q337" s="1555"/>
      <c r="R337" s="1555"/>
      <c r="AC337" s="515"/>
      <c r="AD337" s="515"/>
      <c r="AO337" s="1322"/>
      <c r="AP337" s="1323"/>
    </row>
    <row r="338" spans="1:42">
      <c r="A338" s="155">
        <v>300852</v>
      </c>
      <c r="B338" s="156" t="s">
        <v>464</v>
      </c>
      <c r="C338" s="626" t="s">
        <v>1022</v>
      </c>
      <c r="D338" s="1553"/>
      <c r="E338" s="840">
        <v>11.4</v>
      </c>
      <c r="F338" s="1554"/>
      <c r="G338" s="1555"/>
      <c r="H338" s="1556"/>
      <c r="J338" s="838">
        <v>1</v>
      </c>
      <c r="K338" s="1557"/>
      <c r="M338" s="383">
        <v>0</v>
      </c>
      <c r="O338" s="1584"/>
      <c r="P338" s="1343">
        <v>16019.21</v>
      </c>
      <c r="Q338" s="1555"/>
      <c r="R338" s="1555"/>
      <c r="AC338" s="515"/>
      <c r="AD338" s="515"/>
      <c r="AO338" s="1322"/>
      <c r="AP338" s="1323"/>
    </row>
    <row r="339" spans="1:42">
      <c r="A339" s="155">
        <v>300854</v>
      </c>
      <c r="B339" s="156" t="s">
        <v>465</v>
      </c>
      <c r="C339" s="626" t="s">
        <v>1022</v>
      </c>
      <c r="D339" s="1553"/>
      <c r="E339" s="840">
        <v>6.12</v>
      </c>
      <c r="F339" s="1554"/>
      <c r="G339" s="1555"/>
      <c r="H339" s="1556"/>
      <c r="J339" s="838">
        <v>1</v>
      </c>
      <c r="K339" s="1557"/>
      <c r="M339" s="383">
        <v>0</v>
      </c>
      <c r="O339" s="1584"/>
      <c r="P339" s="1343">
        <v>16019.21</v>
      </c>
      <c r="Q339" s="1555"/>
      <c r="R339" s="1555"/>
      <c r="AC339" s="515"/>
      <c r="AD339" s="515"/>
      <c r="AO339" s="1322"/>
      <c r="AP339" s="1323"/>
    </row>
    <row r="340" spans="1:42">
      <c r="A340" s="155">
        <v>300855</v>
      </c>
      <c r="B340" s="156" t="s">
        <v>336</v>
      </c>
      <c r="C340" s="626" t="s">
        <v>1022</v>
      </c>
      <c r="D340" s="1553"/>
      <c r="E340" s="840">
        <v>9.99</v>
      </c>
      <c r="F340" s="1554"/>
      <c r="G340" s="1555"/>
      <c r="H340" s="1556"/>
      <c r="J340" s="838">
        <v>1</v>
      </c>
      <c r="K340" s="1557"/>
      <c r="M340" s="383">
        <v>0</v>
      </c>
      <c r="O340" s="1584"/>
      <c r="P340" s="1343">
        <v>9983.89</v>
      </c>
      <c r="Q340" s="1555"/>
      <c r="R340" s="1555"/>
      <c r="AC340" s="515"/>
      <c r="AD340" s="515"/>
      <c r="AO340" s="1322"/>
      <c r="AP340" s="1323"/>
    </row>
    <row r="341" spans="1:42">
      <c r="A341" s="155">
        <v>300856</v>
      </c>
      <c r="B341" s="156" t="s">
        <v>1105</v>
      </c>
      <c r="C341" s="626" t="s">
        <v>1022</v>
      </c>
      <c r="D341" s="1553"/>
      <c r="E341" s="840">
        <v>8.27</v>
      </c>
      <c r="F341" s="1554"/>
      <c r="G341" s="1555"/>
      <c r="H341" s="1556"/>
      <c r="J341" s="838">
        <v>1</v>
      </c>
      <c r="K341" s="1557"/>
      <c r="M341" s="383">
        <v>0</v>
      </c>
      <c r="O341" s="1584"/>
      <c r="P341" s="1343">
        <v>16019.21</v>
      </c>
      <c r="Q341" s="1555"/>
      <c r="R341" s="1555"/>
      <c r="AC341" s="515"/>
      <c r="AD341" s="515"/>
      <c r="AO341" s="1322"/>
      <c r="AP341" s="1323"/>
    </row>
    <row r="342" spans="1:42">
      <c r="A342" s="155">
        <v>300857</v>
      </c>
      <c r="B342" s="156" t="s">
        <v>466</v>
      </c>
      <c r="C342" s="626" t="s">
        <v>1022</v>
      </c>
      <c r="D342" s="1553"/>
      <c r="E342" s="840">
        <v>11.38</v>
      </c>
      <c r="F342" s="1554"/>
      <c r="G342" s="1555"/>
      <c r="H342" s="1556"/>
      <c r="J342" s="838">
        <v>1</v>
      </c>
      <c r="K342" s="1557"/>
      <c r="M342" s="383">
        <v>0</v>
      </c>
      <c r="O342" s="1584"/>
      <c r="P342" s="1343">
        <v>16019.21</v>
      </c>
      <c r="Q342" s="1555"/>
      <c r="R342" s="1555"/>
      <c r="AC342" s="515"/>
      <c r="AD342" s="515"/>
      <c r="AO342" s="1322"/>
      <c r="AP342" s="1323"/>
    </row>
    <row r="343" spans="1:42">
      <c r="A343" s="155">
        <v>300858</v>
      </c>
      <c r="B343" s="156" t="s">
        <v>337</v>
      </c>
      <c r="C343" s="626" t="s">
        <v>1022</v>
      </c>
      <c r="D343" s="1553"/>
      <c r="E343" s="840">
        <v>9.99</v>
      </c>
      <c r="F343" s="1554"/>
      <c r="G343" s="1555"/>
      <c r="H343" s="1556"/>
      <c r="J343" s="838">
        <v>1</v>
      </c>
      <c r="K343" s="1557"/>
      <c r="M343" s="383">
        <v>0</v>
      </c>
      <c r="O343" s="1584"/>
      <c r="P343" s="1343">
        <v>32038.42</v>
      </c>
      <c r="Q343" s="1555"/>
      <c r="R343" s="1555"/>
      <c r="AC343" s="515"/>
      <c r="AD343" s="515"/>
      <c r="AO343" s="1322"/>
      <c r="AP343" s="1323"/>
    </row>
    <row r="344" spans="1:42">
      <c r="A344" s="155">
        <v>300885</v>
      </c>
      <c r="B344" s="156" t="s">
        <v>793</v>
      </c>
      <c r="C344" s="626" t="s">
        <v>1022</v>
      </c>
      <c r="D344" s="1553"/>
      <c r="E344" s="840">
        <v>24.95</v>
      </c>
      <c r="F344" s="1554"/>
      <c r="G344" s="1555"/>
      <c r="H344" s="1556"/>
      <c r="J344" s="838">
        <v>1</v>
      </c>
      <c r="K344" s="1557"/>
      <c r="M344" s="383">
        <v>0</v>
      </c>
      <c r="O344" s="1584"/>
      <c r="P344" s="1343">
        <v>16019.21</v>
      </c>
      <c r="Q344" s="1555"/>
      <c r="R344" s="1555"/>
      <c r="AC344" s="515"/>
      <c r="AD344" s="515"/>
      <c r="AO344" s="1322"/>
      <c r="AP344" s="1323"/>
    </row>
    <row r="345" spans="1:42">
      <c r="A345" s="155">
        <v>300887</v>
      </c>
      <c r="B345" s="156" t="s">
        <v>1106</v>
      </c>
      <c r="C345" s="626" t="s">
        <v>1019</v>
      </c>
      <c r="D345" s="1553"/>
      <c r="E345" s="840">
        <v>25.97</v>
      </c>
      <c r="F345" s="1554"/>
      <c r="G345" s="1555"/>
      <c r="H345" s="1556"/>
      <c r="J345" s="838">
        <v>0</v>
      </c>
      <c r="K345" s="1557"/>
      <c r="M345" s="383">
        <v>1</v>
      </c>
      <c r="O345" s="1584"/>
      <c r="P345" s="1343">
        <v>48057.63</v>
      </c>
      <c r="Q345" s="1555"/>
      <c r="R345" s="1555"/>
      <c r="AC345" s="515"/>
      <c r="AD345" s="515"/>
      <c r="AO345" s="1322"/>
      <c r="AP345" s="1323"/>
    </row>
    <row r="346" spans="1:42">
      <c r="A346" s="155">
        <v>300888</v>
      </c>
      <c r="B346" s="156" t="s">
        <v>428</v>
      </c>
      <c r="C346" s="626" t="s">
        <v>1022</v>
      </c>
      <c r="D346" s="1553"/>
      <c r="E346" s="840">
        <v>16.28</v>
      </c>
      <c r="F346" s="1554"/>
      <c r="G346" s="1555"/>
      <c r="H346" s="1556"/>
      <c r="J346" s="838">
        <v>1</v>
      </c>
      <c r="K346" s="1557"/>
      <c r="M346" s="383">
        <v>0</v>
      </c>
      <c r="O346" s="1584"/>
      <c r="P346" s="1343">
        <v>0</v>
      </c>
      <c r="Q346" s="1555"/>
      <c r="R346" s="1555"/>
      <c r="AC346" s="515"/>
      <c r="AD346" s="515"/>
      <c r="AO346" s="1322"/>
      <c r="AP346" s="1323"/>
    </row>
    <row r="347" spans="1:42">
      <c r="A347" s="155">
        <v>300889</v>
      </c>
      <c r="B347" s="156" t="s">
        <v>1107</v>
      </c>
      <c r="C347" s="626" t="s">
        <v>1022</v>
      </c>
      <c r="D347" s="1553"/>
      <c r="E347" s="840">
        <v>17.41</v>
      </c>
      <c r="F347" s="1554"/>
      <c r="G347" s="1555"/>
      <c r="H347" s="1556"/>
      <c r="J347" s="838">
        <v>1</v>
      </c>
      <c r="K347" s="1557"/>
      <c r="M347" s="383">
        <v>0</v>
      </c>
      <c r="O347" s="1584"/>
      <c r="P347" s="1343">
        <v>16019.21</v>
      </c>
      <c r="Q347" s="1555"/>
      <c r="R347" s="1555"/>
      <c r="AC347" s="515"/>
      <c r="AD347" s="515"/>
      <c r="AO347" s="1322"/>
      <c r="AP347" s="1323"/>
    </row>
    <row r="348" spans="1:42">
      <c r="A348" s="155">
        <v>300892</v>
      </c>
      <c r="B348" s="156" t="s">
        <v>467</v>
      </c>
      <c r="C348" s="626" t="s">
        <v>1022</v>
      </c>
      <c r="D348" s="1553"/>
      <c r="E348" s="840">
        <v>24.87</v>
      </c>
      <c r="F348" s="1554"/>
      <c r="G348" s="1555"/>
      <c r="H348" s="1556"/>
      <c r="J348" s="838">
        <v>1</v>
      </c>
      <c r="K348" s="1557"/>
      <c r="M348" s="383">
        <v>0</v>
      </c>
      <c r="O348" s="1584"/>
      <c r="P348" s="1343">
        <v>16019.21</v>
      </c>
      <c r="Q348" s="1555"/>
      <c r="R348" s="1555"/>
      <c r="AC348" s="515"/>
      <c r="AD348" s="515"/>
      <c r="AO348" s="1322"/>
      <c r="AP348" s="1323"/>
    </row>
    <row r="349" spans="1:42">
      <c r="A349" s="155">
        <v>300893</v>
      </c>
      <c r="B349" s="156" t="s">
        <v>468</v>
      </c>
      <c r="C349" s="626" t="s">
        <v>1022</v>
      </c>
      <c r="D349" s="1553"/>
      <c r="E349" s="840">
        <v>11.47</v>
      </c>
      <c r="F349" s="1554"/>
      <c r="G349" s="1555"/>
      <c r="H349" s="1556"/>
      <c r="J349" s="838">
        <v>1</v>
      </c>
      <c r="K349" s="1557"/>
      <c r="M349" s="383">
        <v>0</v>
      </c>
      <c r="O349" s="1584"/>
      <c r="P349" s="1343">
        <v>16019.21</v>
      </c>
      <c r="Q349" s="1555"/>
      <c r="R349" s="1555"/>
      <c r="AC349" s="515"/>
      <c r="AD349" s="515"/>
      <c r="AO349" s="1322"/>
      <c r="AP349" s="1323"/>
    </row>
    <row r="350" spans="1:42">
      <c r="A350" s="155">
        <v>300895</v>
      </c>
      <c r="B350" s="156" t="s">
        <v>469</v>
      </c>
      <c r="C350" s="626" t="s">
        <v>1022</v>
      </c>
      <c r="D350" s="1553"/>
      <c r="E350" s="840">
        <v>17.34</v>
      </c>
      <c r="F350" s="1554"/>
      <c r="G350" s="1555"/>
      <c r="H350" s="1556"/>
      <c r="J350" s="838">
        <v>1</v>
      </c>
      <c r="K350" s="1557"/>
      <c r="M350" s="383">
        <v>0</v>
      </c>
      <c r="O350" s="1584"/>
      <c r="P350" s="1343">
        <v>16019.21</v>
      </c>
      <c r="Q350" s="1555"/>
      <c r="R350" s="1555"/>
      <c r="AC350" s="515"/>
      <c r="AD350" s="515"/>
      <c r="AO350" s="1322"/>
      <c r="AP350" s="1323"/>
    </row>
    <row r="351" spans="1:42">
      <c r="A351" s="155">
        <v>300896</v>
      </c>
      <c r="B351" s="156" t="s">
        <v>470</v>
      </c>
      <c r="C351" s="626" t="s">
        <v>1022</v>
      </c>
      <c r="D351" s="1553"/>
      <c r="E351" s="840">
        <v>18.100000000000001</v>
      </c>
      <c r="F351" s="1554"/>
      <c r="G351" s="1555"/>
      <c r="H351" s="1556"/>
      <c r="J351" s="838">
        <v>1</v>
      </c>
      <c r="K351" s="1557"/>
      <c r="M351" s="383">
        <v>0</v>
      </c>
      <c r="O351" s="1584"/>
      <c r="P351" s="1343">
        <v>16019.21</v>
      </c>
      <c r="Q351" s="1555"/>
      <c r="R351" s="1555"/>
      <c r="AC351" s="515"/>
      <c r="AD351" s="515"/>
      <c r="AO351" s="1322"/>
      <c r="AP351" s="1323"/>
    </row>
    <row r="352" spans="1:42">
      <c r="A352" s="155">
        <v>300899</v>
      </c>
      <c r="B352" s="156" t="s">
        <v>794</v>
      </c>
      <c r="C352" s="626" t="s">
        <v>1022</v>
      </c>
      <c r="D352" s="1553"/>
      <c r="E352" s="840">
        <v>14.84</v>
      </c>
      <c r="F352" s="1554"/>
      <c r="G352" s="1555"/>
      <c r="H352" s="1556"/>
      <c r="J352" s="838">
        <v>1</v>
      </c>
      <c r="K352" s="1557"/>
      <c r="M352" s="383">
        <v>0</v>
      </c>
      <c r="O352" s="1584"/>
      <c r="P352" s="1343">
        <v>16019.21</v>
      </c>
      <c r="Q352" s="1555"/>
      <c r="R352" s="1555"/>
      <c r="AC352" s="515"/>
      <c r="AD352" s="515"/>
      <c r="AO352" s="1322"/>
      <c r="AP352" s="1323"/>
    </row>
    <row r="353" spans="1:42">
      <c r="A353" s="155">
        <v>300903</v>
      </c>
      <c r="B353" s="156" t="s">
        <v>471</v>
      </c>
      <c r="C353" s="626" t="s">
        <v>1022</v>
      </c>
      <c r="D353" s="1553"/>
      <c r="E353" s="840">
        <v>16.97</v>
      </c>
      <c r="F353" s="1554"/>
      <c r="G353" s="1555"/>
      <c r="H353" s="1556"/>
      <c r="J353" s="838">
        <v>1</v>
      </c>
      <c r="K353" s="1557"/>
      <c r="M353" s="383">
        <v>0</v>
      </c>
      <c r="O353" s="1584"/>
      <c r="P353" s="1343">
        <v>16019.21</v>
      </c>
      <c r="Q353" s="1555"/>
      <c r="R353" s="1555"/>
      <c r="AC353" s="515"/>
      <c r="AD353" s="515"/>
      <c r="AO353" s="1322"/>
      <c r="AP353" s="1323"/>
    </row>
    <row r="354" spans="1:42">
      <c r="A354" s="155">
        <v>300905</v>
      </c>
      <c r="B354" s="156" t="s">
        <v>472</v>
      </c>
      <c r="C354" s="626" t="s">
        <v>1022</v>
      </c>
      <c r="D354" s="1553"/>
      <c r="E354" s="840">
        <v>20.28</v>
      </c>
      <c r="F354" s="1554"/>
      <c r="G354" s="1555"/>
      <c r="H354" s="1556"/>
      <c r="J354" s="838">
        <v>1</v>
      </c>
      <c r="K354" s="1557"/>
      <c r="M354" s="383">
        <v>0</v>
      </c>
      <c r="O354" s="1584"/>
      <c r="P354" s="1343">
        <v>16019.21</v>
      </c>
      <c r="Q354" s="1555"/>
      <c r="R354" s="1555"/>
      <c r="AC354" s="515"/>
      <c r="AD354" s="515"/>
      <c r="AO354" s="1322"/>
      <c r="AP354" s="1323"/>
    </row>
    <row r="355" spans="1:42">
      <c r="A355" s="155">
        <v>300906</v>
      </c>
      <c r="B355" s="156" t="s">
        <v>1108</v>
      </c>
      <c r="C355" s="626" t="s">
        <v>1022</v>
      </c>
      <c r="D355" s="1553"/>
      <c r="E355" s="840">
        <v>23.11</v>
      </c>
      <c r="F355" s="1554"/>
      <c r="G355" s="1555"/>
      <c r="H355" s="1556"/>
      <c r="J355" s="838">
        <v>1</v>
      </c>
      <c r="K355" s="1557"/>
      <c r="M355" s="383">
        <v>0</v>
      </c>
      <c r="O355" s="1584"/>
      <c r="P355" s="1343">
        <v>16019.21</v>
      </c>
      <c r="Q355" s="1555"/>
      <c r="R355" s="1555"/>
      <c r="AC355" s="515"/>
      <c r="AD355" s="515"/>
      <c r="AO355" s="1322"/>
      <c r="AP355" s="1323"/>
    </row>
    <row r="356" spans="1:42">
      <c r="A356" s="155">
        <v>300907</v>
      </c>
      <c r="B356" s="156" t="s">
        <v>473</v>
      </c>
      <c r="C356" s="626" t="s">
        <v>1022</v>
      </c>
      <c r="D356" s="1553"/>
      <c r="E356" s="840">
        <v>17.34</v>
      </c>
      <c r="F356" s="1554"/>
      <c r="G356" s="1555"/>
      <c r="H356" s="1556"/>
      <c r="J356" s="838">
        <v>1</v>
      </c>
      <c r="K356" s="1557"/>
      <c r="M356" s="383">
        <v>0</v>
      </c>
      <c r="O356" s="1584"/>
      <c r="P356" s="1343">
        <v>10873.91</v>
      </c>
      <c r="Q356" s="1555"/>
      <c r="R356" s="1555"/>
      <c r="AC356" s="515"/>
      <c r="AD356" s="515"/>
      <c r="AO356" s="1322"/>
      <c r="AP356" s="1323"/>
    </row>
    <row r="357" spans="1:42">
      <c r="A357" s="155">
        <v>300908</v>
      </c>
      <c r="B357" s="156" t="s">
        <v>474</v>
      </c>
      <c r="C357" s="626" t="s">
        <v>1022</v>
      </c>
      <c r="D357" s="1553"/>
      <c r="E357" s="840">
        <v>23.11</v>
      </c>
      <c r="F357" s="1554"/>
      <c r="G357" s="1555"/>
      <c r="H357" s="1556"/>
      <c r="J357" s="838">
        <v>1</v>
      </c>
      <c r="K357" s="1557"/>
      <c r="M357" s="383">
        <v>0</v>
      </c>
      <c r="O357" s="1584"/>
      <c r="P357" s="1343">
        <v>32038.42</v>
      </c>
      <c r="Q357" s="1555"/>
      <c r="R357" s="1555"/>
      <c r="AC357" s="515"/>
      <c r="AD357" s="515"/>
      <c r="AO357" s="1322"/>
      <c r="AP357" s="1323"/>
    </row>
    <row r="358" spans="1:42">
      <c r="A358" s="155">
        <v>300909</v>
      </c>
      <c r="B358" s="156" t="s">
        <v>1109</v>
      </c>
      <c r="C358" s="626" t="s">
        <v>1022</v>
      </c>
      <c r="D358" s="1553"/>
      <c r="E358" s="840">
        <v>28.51</v>
      </c>
      <c r="F358" s="1554"/>
      <c r="G358" s="1555"/>
      <c r="H358" s="1556"/>
      <c r="J358" s="838">
        <v>1</v>
      </c>
      <c r="K358" s="1557"/>
      <c r="M358" s="383">
        <v>0</v>
      </c>
      <c r="O358" s="1584"/>
      <c r="P358" s="1343">
        <v>32038.42</v>
      </c>
      <c r="Q358" s="1555"/>
      <c r="R358" s="1555"/>
      <c r="AC358" s="515"/>
      <c r="AD358" s="515"/>
      <c r="AO358" s="1322"/>
      <c r="AP358" s="1323"/>
    </row>
    <row r="359" spans="1:42">
      <c r="A359" s="155">
        <v>300910</v>
      </c>
      <c r="B359" s="156" t="s">
        <v>338</v>
      </c>
      <c r="C359" s="626" t="s">
        <v>1022</v>
      </c>
      <c r="D359" s="1553"/>
      <c r="E359" s="840">
        <v>17.27</v>
      </c>
      <c r="F359" s="1554"/>
      <c r="G359" s="1555"/>
      <c r="H359" s="1556"/>
      <c r="J359" s="838">
        <v>1</v>
      </c>
      <c r="K359" s="1557"/>
      <c r="M359" s="383">
        <v>0</v>
      </c>
      <c r="O359" s="1584"/>
      <c r="P359" s="1343">
        <v>16019.21</v>
      </c>
      <c r="Q359" s="1555"/>
      <c r="R359" s="1555"/>
      <c r="AC359" s="515"/>
      <c r="AD359" s="515"/>
      <c r="AO359" s="1322"/>
      <c r="AP359" s="1323"/>
    </row>
    <row r="360" spans="1:42">
      <c r="A360" s="155">
        <v>300911</v>
      </c>
      <c r="B360" s="156" t="s">
        <v>1110</v>
      </c>
      <c r="C360" s="626" t="s">
        <v>1022</v>
      </c>
      <c r="D360" s="1553"/>
      <c r="E360" s="840">
        <v>17.34</v>
      </c>
      <c r="F360" s="1554"/>
      <c r="G360" s="1555"/>
      <c r="H360" s="1556"/>
      <c r="J360" s="838">
        <v>1</v>
      </c>
      <c r="K360" s="1557"/>
      <c r="M360" s="383">
        <v>0</v>
      </c>
      <c r="O360" s="1584"/>
      <c r="P360" s="1343">
        <v>16019.21</v>
      </c>
      <c r="Q360" s="1555"/>
      <c r="R360" s="1555"/>
      <c r="AC360" s="515"/>
      <c r="AD360" s="515"/>
      <c r="AO360" s="1322"/>
      <c r="AP360" s="1323"/>
    </row>
    <row r="361" spans="1:42">
      <c r="A361" s="155">
        <v>300912</v>
      </c>
      <c r="B361" s="156" t="s">
        <v>1111</v>
      </c>
      <c r="C361" s="626" t="s">
        <v>1022</v>
      </c>
      <c r="D361" s="1553"/>
      <c r="E361" s="840">
        <v>20.28</v>
      </c>
      <c r="F361" s="1554"/>
      <c r="G361" s="1555"/>
      <c r="H361" s="1556"/>
      <c r="J361" s="838">
        <v>1</v>
      </c>
      <c r="K361" s="1557"/>
      <c r="M361" s="383">
        <v>0</v>
      </c>
      <c r="O361" s="1584"/>
      <c r="P361" s="1343">
        <v>12342.69</v>
      </c>
      <c r="Q361" s="1555"/>
      <c r="R361" s="1555"/>
      <c r="AC361" s="515"/>
      <c r="AD361" s="515"/>
      <c r="AO361" s="1322"/>
      <c r="AP361" s="1323"/>
    </row>
    <row r="362" spans="1:42">
      <c r="A362" s="155">
        <v>300916</v>
      </c>
      <c r="B362" s="156" t="s">
        <v>339</v>
      </c>
      <c r="C362" s="626" t="s">
        <v>1019</v>
      </c>
      <c r="D362" s="1553"/>
      <c r="E362" s="840">
        <v>22.7</v>
      </c>
      <c r="F362" s="1554"/>
      <c r="G362" s="1555"/>
      <c r="H362" s="1556"/>
      <c r="J362" s="838">
        <v>0</v>
      </c>
      <c r="K362" s="1557"/>
      <c r="M362" s="383">
        <v>1</v>
      </c>
      <c r="O362" s="1584"/>
      <c r="P362" s="1343">
        <v>32038.42</v>
      </c>
      <c r="Q362" s="1555"/>
      <c r="R362" s="1555"/>
      <c r="AC362" s="515"/>
      <c r="AD362" s="515"/>
      <c r="AO362" s="1322"/>
      <c r="AP362" s="1323"/>
    </row>
    <row r="363" spans="1:42">
      <c r="A363" s="155">
        <v>300923</v>
      </c>
      <c r="B363" s="156" t="s">
        <v>340</v>
      </c>
      <c r="C363" s="626" t="s">
        <v>1019</v>
      </c>
      <c r="D363" s="1553"/>
      <c r="E363" s="840">
        <v>22.7</v>
      </c>
      <c r="F363" s="1554"/>
      <c r="G363" s="1555"/>
      <c r="H363" s="1556"/>
      <c r="J363" s="838">
        <v>0</v>
      </c>
      <c r="K363" s="1557"/>
      <c r="M363" s="383">
        <v>1</v>
      </c>
      <c r="O363" s="1584"/>
      <c r="P363" s="1343">
        <v>48057.63</v>
      </c>
      <c r="Q363" s="1555"/>
      <c r="R363" s="1555"/>
      <c r="AC363" s="515"/>
      <c r="AD363" s="515"/>
      <c r="AO363" s="1322"/>
      <c r="AP363" s="1323"/>
    </row>
    <row r="364" spans="1:42">
      <c r="A364" s="155">
        <v>300927</v>
      </c>
      <c r="B364" s="156" t="s">
        <v>226</v>
      </c>
      <c r="C364" s="626" t="s">
        <v>1019</v>
      </c>
      <c r="D364" s="1553"/>
      <c r="E364" s="840">
        <v>21.51</v>
      </c>
      <c r="F364" s="1554"/>
      <c r="G364" s="1555"/>
      <c r="H364" s="1556"/>
      <c r="J364" s="838">
        <v>0</v>
      </c>
      <c r="K364" s="1557"/>
      <c r="M364" s="383">
        <v>1</v>
      </c>
      <c r="O364" s="1584"/>
      <c r="P364" s="1343">
        <v>16019.21</v>
      </c>
      <c r="Q364" s="1555"/>
      <c r="R364" s="1555"/>
      <c r="AC364" s="515"/>
      <c r="AD364" s="515"/>
      <c r="AO364" s="1322"/>
      <c r="AP364" s="1323"/>
    </row>
    <row r="365" spans="1:42">
      <c r="A365" s="155">
        <v>300940</v>
      </c>
      <c r="B365" s="156" t="s">
        <v>227</v>
      </c>
      <c r="C365" s="626" t="s">
        <v>1022</v>
      </c>
      <c r="D365" s="1553"/>
      <c r="E365" s="840">
        <v>18.100000000000001</v>
      </c>
      <c r="F365" s="1554"/>
      <c r="G365" s="1555"/>
      <c r="H365" s="1556"/>
      <c r="J365" s="838">
        <v>1</v>
      </c>
      <c r="K365" s="1557"/>
      <c r="M365" s="383">
        <v>0</v>
      </c>
      <c r="O365" s="1584"/>
      <c r="P365" s="1343">
        <v>16019.21</v>
      </c>
      <c r="Q365" s="1555"/>
      <c r="R365" s="1555"/>
      <c r="AC365" s="515"/>
      <c r="AD365" s="515"/>
      <c r="AO365" s="1322"/>
      <c r="AP365" s="1323"/>
    </row>
    <row r="366" spans="1:42">
      <c r="A366" s="155">
        <v>300942</v>
      </c>
      <c r="B366" s="156" t="s">
        <v>228</v>
      </c>
      <c r="C366" s="626" t="s">
        <v>1019</v>
      </c>
      <c r="D366" s="1553"/>
      <c r="E366" s="840">
        <v>22.21</v>
      </c>
      <c r="F366" s="1554"/>
      <c r="G366" s="1555"/>
      <c r="H366" s="1556"/>
      <c r="J366" s="838">
        <v>0</v>
      </c>
      <c r="K366" s="1557"/>
      <c r="M366" s="383">
        <v>1</v>
      </c>
      <c r="O366" s="1584"/>
      <c r="P366" s="1343">
        <v>16019.21</v>
      </c>
      <c r="Q366" s="1555"/>
      <c r="R366" s="1555"/>
      <c r="AC366" s="515"/>
      <c r="AD366" s="515"/>
      <c r="AO366" s="1322"/>
      <c r="AP366" s="1323"/>
    </row>
    <row r="367" spans="1:42">
      <c r="A367" s="155">
        <v>300952</v>
      </c>
      <c r="B367" s="156" t="s">
        <v>229</v>
      </c>
      <c r="C367" s="626" t="s">
        <v>1019</v>
      </c>
      <c r="D367" s="1553"/>
      <c r="E367" s="840">
        <v>21.51</v>
      </c>
      <c r="F367" s="1554"/>
      <c r="G367" s="1555"/>
      <c r="H367" s="1556"/>
      <c r="J367" s="838">
        <v>0</v>
      </c>
      <c r="K367" s="1557"/>
      <c r="M367" s="383">
        <v>1</v>
      </c>
      <c r="O367" s="1584"/>
      <c r="P367" s="1343">
        <v>16019.21</v>
      </c>
      <c r="Q367" s="1555"/>
      <c r="R367" s="1555"/>
      <c r="AC367" s="515"/>
      <c r="AD367" s="515"/>
      <c r="AO367" s="1322"/>
      <c r="AP367" s="1323"/>
    </row>
    <row r="368" spans="1:42">
      <c r="A368" s="155">
        <v>300954</v>
      </c>
      <c r="B368" s="156" t="s">
        <v>341</v>
      </c>
      <c r="C368" s="626" t="s">
        <v>1019</v>
      </c>
      <c r="D368" s="1553"/>
      <c r="E368" s="840">
        <v>19.079999999999998</v>
      </c>
      <c r="F368" s="1554"/>
      <c r="G368" s="1555"/>
      <c r="H368" s="1556"/>
      <c r="J368" s="838">
        <v>0</v>
      </c>
      <c r="K368" s="1557"/>
      <c r="M368" s="383">
        <v>1</v>
      </c>
      <c r="O368" s="1584"/>
      <c r="P368" s="1343">
        <v>16019.21</v>
      </c>
      <c r="Q368" s="1555"/>
      <c r="R368" s="1555"/>
      <c r="AC368" s="515"/>
      <c r="AD368" s="515"/>
      <c r="AO368" s="1322"/>
      <c r="AP368" s="1323"/>
    </row>
    <row r="369" spans="1:42">
      <c r="A369" s="155">
        <v>300958</v>
      </c>
      <c r="B369" s="156" t="s">
        <v>230</v>
      </c>
      <c r="C369" s="626" t="s">
        <v>1019</v>
      </c>
      <c r="D369" s="1553"/>
      <c r="E369" s="840">
        <v>18.39</v>
      </c>
      <c r="F369" s="1554"/>
      <c r="G369" s="1555"/>
      <c r="H369" s="1556"/>
      <c r="J369" s="838">
        <v>0</v>
      </c>
      <c r="K369" s="1557"/>
      <c r="M369" s="383">
        <v>1</v>
      </c>
      <c r="O369" s="1584"/>
      <c r="P369" s="1343">
        <v>16019.21</v>
      </c>
      <c r="Q369" s="1555"/>
      <c r="R369" s="1555"/>
      <c r="AC369" s="515"/>
      <c r="AD369" s="515"/>
      <c r="AO369" s="1322"/>
      <c r="AP369" s="1323"/>
    </row>
    <row r="370" spans="1:42">
      <c r="A370" s="155">
        <v>300965</v>
      </c>
      <c r="B370" s="156" t="s">
        <v>231</v>
      </c>
      <c r="C370" s="626" t="s">
        <v>1019</v>
      </c>
      <c r="D370" s="1553"/>
      <c r="E370" s="840">
        <v>24.5</v>
      </c>
      <c r="F370" s="1554"/>
      <c r="G370" s="1555"/>
      <c r="H370" s="1556"/>
      <c r="J370" s="838">
        <v>0</v>
      </c>
      <c r="K370" s="1557"/>
      <c r="M370" s="383">
        <v>1</v>
      </c>
      <c r="O370" s="1584"/>
      <c r="P370" s="1343">
        <v>16019.21</v>
      </c>
      <c r="Q370" s="1555"/>
      <c r="R370" s="1555"/>
      <c r="AC370" s="515"/>
      <c r="AD370" s="515"/>
      <c r="AO370" s="1322"/>
      <c r="AP370" s="1323"/>
    </row>
    <row r="371" spans="1:42">
      <c r="A371" s="155">
        <v>300968</v>
      </c>
      <c r="B371" s="156" t="s">
        <v>232</v>
      </c>
      <c r="C371" s="626" t="s">
        <v>1022</v>
      </c>
      <c r="D371" s="1553"/>
      <c r="E371" s="840">
        <v>16.97</v>
      </c>
      <c r="F371" s="1554"/>
      <c r="G371" s="1555"/>
      <c r="H371" s="1556"/>
      <c r="J371" s="838">
        <v>1</v>
      </c>
      <c r="K371" s="1557"/>
      <c r="M371" s="383">
        <v>0</v>
      </c>
      <c r="O371" s="1584"/>
      <c r="P371" s="1343">
        <v>16019.21</v>
      </c>
      <c r="Q371" s="1555"/>
      <c r="R371" s="1555"/>
      <c r="AC371" s="515"/>
      <c r="AD371" s="515"/>
      <c r="AO371" s="1322"/>
      <c r="AP371" s="1323"/>
    </row>
    <row r="372" spans="1:42">
      <c r="A372" s="155">
        <v>300975</v>
      </c>
      <c r="B372" s="156" t="s">
        <v>1112</v>
      </c>
      <c r="C372" s="626" t="s">
        <v>1022</v>
      </c>
      <c r="D372" s="1553"/>
      <c r="E372" s="840">
        <v>18.100000000000001</v>
      </c>
      <c r="F372" s="1554"/>
      <c r="G372" s="1555"/>
      <c r="H372" s="1556"/>
      <c r="J372" s="838">
        <v>1</v>
      </c>
      <c r="K372" s="1557"/>
      <c r="M372" s="383">
        <v>0</v>
      </c>
      <c r="O372" s="1584"/>
      <c r="P372" s="1343">
        <v>16019.21</v>
      </c>
      <c r="Q372" s="1555"/>
      <c r="R372" s="1555"/>
      <c r="AC372" s="515"/>
      <c r="AD372" s="515"/>
      <c r="AO372" s="1322"/>
      <c r="AP372" s="1323"/>
    </row>
    <row r="373" spans="1:42">
      <c r="A373" s="155">
        <v>300982</v>
      </c>
      <c r="B373" s="156" t="s">
        <v>233</v>
      </c>
      <c r="C373" s="626" t="s">
        <v>1022</v>
      </c>
      <c r="D373" s="1553"/>
      <c r="E373" s="840">
        <v>28.51</v>
      </c>
      <c r="F373" s="1554"/>
      <c r="G373" s="1555"/>
      <c r="H373" s="1556"/>
      <c r="J373" s="838">
        <v>1</v>
      </c>
      <c r="K373" s="1557"/>
      <c r="M373" s="383">
        <v>0</v>
      </c>
      <c r="O373" s="1584"/>
      <c r="P373" s="1343">
        <v>16019.21</v>
      </c>
      <c r="Q373" s="1555"/>
      <c r="R373" s="1555"/>
      <c r="AC373" s="515"/>
      <c r="AD373" s="515"/>
      <c r="AO373" s="1322"/>
      <c r="AP373" s="1323"/>
    </row>
    <row r="374" spans="1:42">
      <c r="A374" s="155">
        <v>300983</v>
      </c>
      <c r="B374" s="156" t="s">
        <v>342</v>
      </c>
      <c r="C374" s="626" t="s">
        <v>1022</v>
      </c>
      <c r="D374" s="1553"/>
      <c r="E374" s="840">
        <v>16.97</v>
      </c>
      <c r="F374" s="1554"/>
      <c r="G374" s="1555"/>
      <c r="H374" s="1556"/>
      <c r="J374" s="838">
        <v>1</v>
      </c>
      <c r="K374" s="1557"/>
      <c r="M374" s="383">
        <v>0</v>
      </c>
      <c r="O374" s="1584"/>
      <c r="P374" s="1343">
        <v>16019.21</v>
      </c>
      <c r="Q374" s="1555"/>
      <c r="R374" s="1555"/>
      <c r="AC374" s="515"/>
      <c r="AD374" s="515"/>
      <c r="AO374" s="1322"/>
      <c r="AP374" s="1323"/>
    </row>
    <row r="375" spans="1:42">
      <c r="A375" s="155">
        <v>300989</v>
      </c>
      <c r="B375" s="156" t="s">
        <v>117</v>
      </c>
      <c r="C375" s="626" t="s">
        <v>1022</v>
      </c>
      <c r="D375" s="1553"/>
      <c r="E375" s="840">
        <v>18.66</v>
      </c>
      <c r="F375" s="1554"/>
      <c r="G375" s="1555"/>
      <c r="H375" s="1556"/>
      <c r="J375" s="838">
        <v>1</v>
      </c>
      <c r="K375" s="1557"/>
      <c r="M375" s="383">
        <v>0</v>
      </c>
      <c r="O375" s="1584"/>
      <c r="P375" s="1343">
        <v>5919.55</v>
      </c>
      <c r="Q375" s="1555"/>
      <c r="R375" s="1555"/>
      <c r="AC375" s="515"/>
      <c r="AD375" s="515"/>
      <c r="AO375" s="1322"/>
      <c r="AP375" s="1323"/>
    </row>
    <row r="376" spans="1:42">
      <c r="A376" s="155">
        <v>300991</v>
      </c>
      <c r="B376" s="156" t="s">
        <v>234</v>
      </c>
      <c r="C376" s="626" t="s">
        <v>1022</v>
      </c>
      <c r="D376" s="1553"/>
      <c r="E376" s="840">
        <v>16.41</v>
      </c>
      <c r="F376" s="1554"/>
      <c r="G376" s="1555"/>
      <c r="H376" s="1556"/>
      <c r="J376" s="838">
        <v>1</v>
      </c>
      <c r="K376" s="1557"/>
      <c r="M376" s="383">
        <v>0</v>
      </c>
      <c r="O376" s="1584"/>
      <c r="P376" s="1343">
        <v>16019.21</v>
      </c>
      <c r="Q376" s="1555"/>
      <c r="R376" s="1555"/>
      <c r="AC376" s="515"/>
      <c r="AD376" s="515"/>
      <c r="AO376" s="1322"/>
      <c r="AP376" s="1323"/>
    </row>
    <row r="377" spans="1:42">
      <c r="A377" s="155">
        <v>300997</v>
      </c>
      <c r="B377" s="156" t="s">
        <v>118</v>
      </c>
      <c r="C377" s="626" t="s">
        <v>1022</v>
      </c>
      <c r="D377" s="1553"/>
      <c r="E377" s="840">
        <v>14.69</v>
      </c>
      <c r="F377" s="1554"/>
      <c r="G377" s="1555"/>
      <c r="H377" s="1556"/>
      <c r="J377" s="838">
        <v>1</v>
      </c>
      <c r="K377" s="1557"/>
      <c r="M377" s="383">
        <v>0</v>
      </c>
      <c r="O377" s="1584"/>
      <c r="P377" s="1343">
        <v>16019.21</v>
      </c>
      <c r="Q377" s="1555"/>
      <c r="R377" s="1555"/>
      <c r="AC377" s="515"/>
      <c r="AD377" s="515"/>
      <c r="AO377" s="1322"/>
      <c r="AP377" s="1323"/>
    </row>
    <row r="378" spans="1:42">
      <c r="A378" s="155">
        <v>300998</v>
      </c>
      <c r="B378" s="156" t="s">
        <v>1113</v>
      </c>
      <c r="C378" s="626" t="s">
        <v>1022</v>
      </c>
      <c r="D378" s="1553"/>
      <c r="E378" s="840">
        <v>12.67</v>
      </c>
      <c r="F378" s="1554"/>
      <c r="G378" s="1555"/>
      <c r="H378" s="1556"/>
      <c r="J378" s="838">
        <v>1</v>
      </c>
      <c r="K378" s="1557"/>
      <c r="M378" s="383">
        <v>0</v>
      </c>
      <c r="O378" s="1584"/>
      <c r="P378" s="1343">
        <v>16019.21</v>
      </c>
      <c r="Q378" s="1555"/>
      <c r="R378" s="1555"/>
      <c r="AC378" s="515"/>
      <c r="AD378" s="515"/>
      <c r="AO378" s="1322"/>
      <c r="AP378" s="1323"/>
    </row>
    <row r="379" spans="1:42">
      <c r="A379" s="155">
        <v>301001</v>
      </c>
      <c r="B379" s="156" t="s">
        <v>1114</v>
      </c>
      <c r="C379" s="626" t="s">
        <v>1019</v>
      </c>
      <c r="D379" s="1553"/>
      <c r="E379" s="840">
        <v>17.399999999999999</v>
      </c>
      <c r="F379" s="1554"/>
      <c r="G379" s="1555"/>
      <c r="H379" s="1556"/>
      <c r="J379" s="838">
        <v>0</v>
      </c>
      <c r="K379" s="1557"/>
      <c r="M379" s="383">
        <v>1</v>
      </c>
      <c r="O379" s="1584"/>
      <c r="P379" s="1343">
        <v>16019.21</v>
      </c>
      <c r="Q379" s="1555"/>
      <c r="R379" s="1555"/>
      <c r="AC379" s="515"/>
      <c r="AD379" s="515"/>
      <c r="AO379" s="1322"/>
      <c r="AP379" s="1323"/>
    </row>
    <row r="380" spans="1:42">
      <c r="A380" s="155">
        <v>301002</v>
      </c>
      <c r="B380" s="156" t="s">
        <v>343</v>
      </c>
      <c r="C380" s="626" t="s">
        <v>1022</v>
      </c>
      <c r="D380" s="1553"/>
      <c r="E380" s="840">
        <v>21.65</v>
      </c>
      <c r="F380" s="1554"/>
      <c r="G380" s="1555"/>
      <c r="H380" s="1556"/>
      <c r="J380" s="838">
        <v>1</v>
      </c>
      <c r="K380" s="1557"/>
      <c r="M380" s="383">
        <v>0</v>
      </c>
      <c r="O380" s="1584"/>
      <c r="P380" s="1343">
        <v>16019.21</v>
      </c>
      <c r="Q380" s="1555"/>
      <c r="R380" s="1555"/>
      <c r="AC380" s="515"/>
      <c r="AD380" s="515"/>
      <c r="AO380" s="1322"/>
      <c r="AP380" s="1323"/>
    </row>
    <row r="381" spans="1:42">
      <c r="A381" s="155">
        <v>301006</v>
      </c>
      <c r="B381" s="156" t="s">
        <v>235</v>
      </c>
      <c r="C381" s="626" t="s">
        <v>1022</v>
      </c>
      <c r="D381" s="1553"/>
      <c r="E381" s="840">
        <v>23.11</v>
      </c>
      <c r="F381" s="1554"/>
      <c r="G381" s="1555"/>
      <c r="H381" s="1556"/>
      <c r="J381" s="838">
        <v>1</v>
      </c>
      <c r="K381" s="1557"/>
      <c r="M381" s="383">
        <v>0</v>
      </c>
      <c r="O381" s="1584"/>
      <c r="P381" s="1343">
        <v>16019.21</v>
      </c>
      <c r="Q381" s="1555"/>
      <c r="R381" s="1555"/>
      <c r="AC381" s="515"/>
      <c r="AD381" s="515"/>
      <c r="AO381" s="1322"/>
      <c r="AP381" s="1323"/>
    </row>
    <row r="382" spans="1:42">
      <c r="A382" s="155">
        <v>301009</v>
      </c>
      <c r="B382" s="156" t="s">
        <v>119</v>
      </c>
      <c r="C382" s="626" t="s">
        <v>1022</v>
      </c>
      <c r="D382" s="1553"/>
      <c r="E382" s="840">
        <v>17.34</v>
      </c>
      <c r="F382" s="1554"/>
      <c r="G382" s="1555"/>
      <c r="H382" s="1556"/>
      <c r="J382" s="838">
        <v>1</v>
      </c>
      <c r="K382" s="1557"/>
      <c r="M382" s="383">
        <v>0</v>
      </c>
      <c r="O382" s="1584"/>
      <c r="P382" s="1343">
        <v>16019.21</v>
      </c>
      <c r="Q382" s="1555"/>
      <c r="R382" s="1555"/>
      <c r="AC382" s="515"/>
      <c r="AD382" s="515"/>
      <c r="AO382" s="1322"/>
      <c r="AP382" s="1323"/>
    </row>
    <row r="383" spans="1:42">
      <c r="A383" s="155">
        <v>301013</v>
      </c>
      <c r="B383" s="156" t="s">
        <v>236</v>
      </c>
      <c r="C383" s="626" t="s">
        <v>1022</v>
      </c>
      <c r="D383" s="1553"/>
      <c r="E383" s="840">
        <v>17.41</v>
      </c>
      <c r="F383" s="1554"/>
      <c r="G383" s="1555"/>
      <c r="H383" s="1556"/>
      <c r="J383" s="838">
        <v>1</v>
      </c>
      <c r="K383" s="1557"/>
      <c r="M383" s="383">
        <v>0</v>
      </c>
      <c r="O383" s="1584"/>
      <c r="P383" s="1343">
        <v>16019.21</v>
      </c>
      <c r="Q383" s="1555"/>
      <c r="R383" s="1555"/>
      <c r="AC383" s="515"/>
      <c r="AD383" s="515"/>
      <c r="AO383" s="1322"/>
      <c r="AP383" s="1323"/>
    </row>
    <row r="384" spans="1:42">
      <c r="A384" s="155">
        <v>301014</v>
      </c>
      <c r="B384" s="156" t="s">
        <v>237</v>
      </c>
      <c r="C384" s="626" t="s">
        <v>1022</v>
      </c>
      <c r="D384" s="1553"/>
      <c r="E384" s="840">
        <v>23.11</v>
      </c>
      <c r="F384" s="1554"/>
      <c r="G384" s="1555"/>
      <c r="H384" s="1556"/>
      <c r="J384" s="838">
        <v>1</v>
      </c>
      <c r="K384" s="1557"/>
      <c r="M384" s="383">
        <v>0</v>
      </c>
      <c r="O384" s="1584"/>
      <c r="P384" s="1343">
        <v>3557.14</v>
      </c>
      <c r="Q384" s="1555"/>
      <c r="R384" s="1555"/>
      <c r="AC384" s="515"/>
      <c r="AD384" s="515"/>
      <c r="AO384" s="1322"/>
      <c r="AP384" s="1323"/>
    </row>
    <row r="385" spans="1:42">
      <c r="A385" s="155">
        <v>301015</v>
      </c>
      <c r="B385" s="156" t="s">
        <v>238</v>
      </c>
      <c r="C385" s="626" t="s">
        <v>1022</v>
      </c>
      <c r="D385" s="1553"/>
      <c r="E385" s="840">
        <v>14.69</v>
      </c>
      <c r="F385" s="1554"/>
      <c r="G385" s="1555"/>
      <c r="H385" s="1556"/>
      <c r="J385" s="838">
        <v>1</v>
      </c>
      <c r="K385" s="1557"/>
      <c r="M385" s="383">
        <v>0</v>
      </c>
      <c r="O385" s="1584"/>
      <c r="P385" s="1343">
        <v>16019.21</v>
      </c>
      <c r="Q385" s="1555"/>
      <c r="R385" s="1555"/>
      <c r="AC385" s="515"/>
      <c r="AD385" s="515"/>
      <c r="AO385" s="1322"/>
      <c r="AP385" s="1323"/>
    </row>
    <row r="386" spans="1:42">
      <c r="A386" s="155">
        <v>301016</v>
      </c>
      <c r="B386" s="156" t="s">
        <v>344</v>
      </c>
      <c r="C386" s="626" t="s">
        <v>1022</v>
      </c>
      <c r="D386" s="1553"/>
      <c r="E386" s="840">
        <v>17.27</v>
      </c>
      <c r="F386" s="1554"/>
      <c r="G386" s="1555"/>
      <c r="H386" s="1556"/>
      <c r="J386" s="838">
        <v>1</v>
      </c>
      <c r="K386" s="1557"/>
      <c r="M386" s="383">
        <v>0</v>
      </c>
      <c r="O386" s="1584"/>
      <c r="P386" s="1343">
        <v>16019.21</v>
      </c>
      <c r="Q386" s="1555"/>
      <c r="R386" s="1555"/>
      <c r="AC386" s="515"/>
      <c r="AD386" s="515"/>
      <c r="AO386" s="1322"/>
      <c r="AP386" s="1323"/>
    </row>
    <row r="387" spans="1:42">
      <c r="A387" s="155">
        <v>301017</v>
      </c>
      <c r="B387" s="156" t="s">
        <v>345</v>
      </c>
      <c r="C387" s="626" t="s">
        <v>1022</v>
      </c>
      <c r="D387" s="1553"/>
      <c r="E387" s="840">
        <v>17.27</v>
      </c>
      <c r="F387" s="1554"/>
      <c r="G387" s="1555"/>
      <c r="H387" s="1556"/>
      <c r="J387" s="838">
        <v>1</v>
      </c>
      <c r="K387" s="1557"/>
      <c r="M387" s="383">
        <v>0</v>
      </c>
      <c r="O387" s="1584"/>
      <c r="P387" s="1343">
        <v>16019.21</v>
      </c>
      <c r="Q387" s="1555"/>
      <c r="R387" s="1555"/>
      <c r="AC387" s="515"/>
      <c r="AD387" s="515"/>
      <c r="AO387" s="1322"/>
      <c r="AP387" s="1323"/>
    </row>
    <row r="388" spans="1:42">
      <c r="A388" s="155">
        <v>301021</v>
      </c>
      <c r="B388" s="156" t="s">
        <v>239</v>
      </c>
      <c r="C388" s="626" t="s">
        <v>1022</v>
      </c>
      <c r="D388" s="1553"/>
      <c r="E388" s="840">
        <v>17.27</v>
      </c>
      <c r="F388" s="1554"/>
      <c r="G388" s="1555"/>
      <c r="H388" s="1556"/>
      <c r="J388" s="838">
        <v>1</v>
      </c>
      <c r="K388" s="1557"/>
      <c r="M388" s="383">
        <v>0</v>
      </c>
      <c r="O388" s="1584"/>
      <c r="P388" s="1343">
        <v>16019.21</v>
      </c>
      <c r="Q388" s="1555"/>
      <c r="R388" s="1555"/>
      <c r="AC388" s="515"/>
      <c r="AD388" s="515"/>
      <c r="AO388" s="1322"/>
      <c r="AP388" s="1323"/>
    </row>
    <row r="389" spans="1:42">
      <c r="A389" s="155">
        <v>301022</v>
      </c>
      <c r="B389" s="156" t="s">
        <v>120</v>
      </c>
      <c r="C389" s="626" t="s">
        <v>1022</v>
      </c>
      <c r="D389" s="1553"/>
      <c r="E389" s="840">
        <v>17.41</v>
      </c>
      <c r="F389" s="1554"/>
      <c r="G389" s="1555"/>
      <c r="H389" s="1556"/>
      <c r="J389" s="838">
        <v>1</v>
      </c>
      <c r="K389" s="1557"/>
      <c r="M389" s="383">
        <v>0</v>
      </c>
      <c r="O389" s="1584"/>
      <c r="P389" s="1343">
        <v>16019.21</v>
      </c>
      <c r="Q389" s="1555"/>
      <c r="R389" s="1555"/>
      <c r="AC389" s="515"/>
      <c r="AD389" s="515"/>
      <c r="AO389" s="1322"/>
      <c r="AP389" s="1323"/>
    </row>
    <row r="390" spans="1:42">
      <c r="A390" s="155">
        <v>301024</v>
      </c>
      <c r="B390" s="156" t="s">
        <v>240</v>
      </c>
      <c r="C390" s="626" t="s">
        <v>1022</v>
      </c>
      <c r="D390" s="1553"/>
      <c r="E390" s="840">
        <v>24.25</v>
      </c>
      <c r="F390" s="1554"/>
      <c r="G390" s="1555"/>
      <c r="H390" s="1556"/>
      <c r="J390" s="838">
        <v>1</v>
      </c>
      <c r="K390" s="1557"/>
      <c r="M390" s="383">
        <v>0</v>
      </c>
      <c r="O390" s="1584"/>
      <c r="P390" s="1343">
        <v>16019.21</v>
      </c>
      <c r="Q390" s="1555"/>
      <c r="R390" s="1555"/>
      <c r="AC390" s="515"/>
      <c r="AD390" s="515"/>
      <c r="AO390" s="1322"/>
      <c r="AP390" s="1323"/>
    </row>
    <row r="391" spans="1:42">
      <c r="A391" s="155">
        <v>301025</v>
      </c>
      <c r="B391" s="156" t="s">
        <v>241</v>
      </c>
      <c r="C391" s="626" t="s">
        <v>1022</v>
      </c>
      <c r="D391" s="1553"/>
      <c r="E391" s="840">
        <v>23.11</v>
      </c>
      <c r="F391" s="1554"/>
      <c r="G391" s="1555"/>
      <c r="H391" s="1556"/>
      <c r="J391" s="838">
        <v>1</v>
      </c>
      <c r="K391" s="1557"/>
      <c r="M391" s="383">
        <v>0</v>
      </c>
      <c r="O391" s="1584"/>
      <c r="P391" s="1343">
        <v>16019.21</v>
      </c>
      <c r="Q391" s="1555"/>
      <c r="R391" s="1555"/>
      <c r="AC391" s="515"/>
      <c r="AD391" s="515"/>
      <c r="AO391" s="1322"/>
      <c r="AP391" s="1323"/>
    </row>
    <row r="392" spans="1:42">
      <c r="A392" s="155">
        <v>301027</v>
      </c>
      <c r="B392" s="156" t="s">
        <v>1115</v>
      </c>
      <c r="C392" s="626" t="s">
        <v>1022</v>
      </c>
      <c r="D392" s="1553"/>
      <c r="E392" s="840">
        <v>23.11</v>
      </c>
      <c r="F392" s="1554"/>
      <c r="G392" s="1555"/>
      <c r="H392" s="1556"/>
      <c r="J392" s="838">
        <v>1</v>
      </c>
      <c r="K392" s="1557"/>
      <c r="M392" s="383">
        <v>0</v>
      </c>
      <c r="O392" s="1584"/>
      <c r="P392" s="1343">
        <v>16019.21</v>
      </c>
      <c r="Q392" s="1555"/>
      <c r="R392" s="1555"/>
      <c r="AC392" s="515"/>
      <c r="AD392" s="515"/>
      <c r="AO392" s="1322"/>
      <c r="AP392" s="1323"/>
    </row>
    <row r="393" spans="1:42">
      <c r="A393" s="155">
        <v>301028</v>
      </c>
      <c r="B393" s="156" t="s">
        <v>242</v>
      </c>
      <c r="C393" s="626" t="s">
        <v>1022</v>
      </c>
      <c r="D393" s="1553"/>
      <c r="E393" s="840">
        <v>16.97</v>
      </c>
      <c r="F393" s="1554"/>
      <c r="G393" s="1555"/>
      <c r="H393" s="1556"/>
      <c r="J393" s="838">
        <v>1</v>
      </c>
      <c r="K393" s="1557"/>
      <c r="M393" s="383">
        <v>0</v>
      </c>
      <c r="O393" s="1584"/>
      <c r="P393" s="1343">
        <v>16019.21</v>
      </c>
      <c r="Q393" s="1555"/>
      <c r="R393" s="1555"/>
      <c r="AC393" s="515"/>
      <c r="AD393" s="515"/>
      <c r="AO393" s="1322"/>
      <c r="AP393" s="1323"/>
    </row>
    <row r="394" spans="1:42">
      <c r="A394" s="155">
        <v>301029</v>
      </c>
      <c r="B394" s="156" t="s">
        <v>243</v>
      </c>
      <c r="C394" s="626" t="s">
        <v>1022</v>
      </c>
      <c r="D394" s="1553"/>
      <c r="E394" s="840">
        <v>16.97</v>
      </c>
      <c r="F394" s="1554"/>
      <c r="G394" s="1555"/>
      <c r="H394" s="1556"/>
      <c r="J394" s="838">
        <v>1</v>
      </c>
      <c r="K394" s="1557"/>
      <c r="M394" s="383">
        <v>0</v>
      </c>
      <c r="O394" s="1584"/>
      <c r="P394" s="1343">
        <v>13237.43</v>
      </c>
      <c r="Q394" s="1555"/>
      <c r="R394" s="1555"/>
      <c r="AC394" s="515"/>
      <c r="AD394" s="515"/>
      <c r="AO394" s="1322"/>
      <c r="AP394" s="1323"/>
    </row>
    <row r="395" spans="1:42">
      <c r="A395" s="155">
        <v>301031</v>
      </c>
      <c r="B395" s="156" t="s">
        <v>244</v>
      </c>
      <c r="C395" s="626" t="s">
        <v>1022</v>
      </c>
      <c r="D395" s="1553"/>
      <c r="E395" s="840">
        <v>20.64</v>
      </c>
      <c r="F395" s="1554"/>
      <c r="G395" s="1555"/>
      <c r="H395" s="1556"/>
      <c r="J395" s="838">
        <v>1</v>
      </c>
      <c r="K395" s="1557"/>
      <c r="M395" s="383">
        <v>0</v>
      </c>
      <c r="O395" s="1584"/>
      <c r="P395" s="1343">
        <v>16019.21</v>
      </c>
      <c r="Q395" s="1555"/>
      <c r="R395" s="1555"/>
      <c r="AC395" s="515"/>
      <c r="AD395" s="515"/>
      <c r="AO395" s="1322"/>
      <c r="AP395" s="1323"/>
    </row>
    <row r="396" spans="1:42">
      <c r="A396" s="155">
        <v>301033</v>
      </c>
      <c r="B396" s="156" t="s">
        <v>245</v>
      </c>
      <c r="C396" s="626" t="s">
        <v>1022</v>
      </c>
      <c r="D396" s="1553"/>
      <c r="E396" s="840">
        <v>14.84</v>
      </c>
      <c r="F396" s="1554"/>
      <c r="G396" s="1555"/>
      <c r="H396" s="1556"/>
      <c r="J396" s="838">
        <v>1</v>
      </c>
      <c r="K396" s="1557"/>
      <c r="M396" s="383">
        <v>0</v>
      </c>
      <c r="O396" s="1584"/>
      <c r="P396" s="1343">
        <v>16019.21</v>
      </c>
      <c r="Q396" s="1555"/>
      <c r="R396" s="1555"/>
      <c r="AC396" s="515"/>
      <c r="AD396" s="515"/>
      <c r="AO396" s="1322"/>
      <c r="AP396" s="1323"/>
    </row>
    <row r="397" spans="1:42">
      <c r="A397" s="155">
        <v>301034</v>
      </c>
      <c r="B397" s="156" t="s">
        <v>246</v>
      </c>
      <c r="C397" s="626" t="s">
        <v>1022</v>
      </c>
      <c r="D397" s="1553"/>
      <c r="E397" s="840">
        <v>24.25</v>
      </c>
      <c r="F397" s="1554"/>
      <c r="G397" s="1555"/>
      <c r="H397" s="1556"/>
      <c r="J397" s="838">
        <v>1</v>
      </c>
      <c r="K397" s="1557"/>
      <c r="M397" s="383">
        <v>0</v>
      </c>
      <c r="O397" s="1584"/>
      <c r="P397" s="1343">
        <v>16019.21</v>
      </c>
      <c r="Q397" s="1555"/>
      <c r="R397" s="1555"/>
      <c r="AC397" s="515"/>
      <c r="AD397" s="515"/>
      <c r="AO397" s="1322"/>
      <c r="AP397" s="1323"/>
    </row>
    <row r="398" spans="1:42">
      <c r="A398" s="155">
        <v>301037</v>
      </c>
      <c r="B398" s="156" t="s">
        <v>346</v>
      </c>
      <c r="C398" s="626" t="s">
        <v>1019</v>
      </c>
      <c r="D398" s="1553"/>
      <c r="E398" s="840">
        <v>30.23</v>
      </c>
      <c r="F398" s="1554"/>
      <c r="G398" s="1555"/>
      <c r="H398" s="1556"/>
      <c r="J398" s="838">
        <v>0</v>
      </c>
      <c r="K398" s="1557"/>
      <c r="M398" s="383">
        <v>1</v>
      </c>
      <c r="O398" s="1584"/>
      <c r="P398" s="1343">
        <v>112134.48</v>
      </c>
      <c r="Q398" s="1555"/>
      <c r="R398" s="1555"/>
      <c r="AC398" s="515"/>
      <c r="AD398" s="515"/>
      <c r="AO398" s="1322"/>
      <c r="AP398" s="1323"/>
    </row>
    <row r="399" spans="1:42">
      <c r="A399" s="155">
        <v>301038</v>
      </c>
      <c r="B399" s="156" t="s">
        <v>1116</v>
      </c>
      <c r="C399" s="626" t="s">
        <v>1022</v>
      </c>
      <c r="D399" s="1553"/>
      <c r="E399" s="840">
        <v>18.100000000000001</v>
      </c>
      <c r="F399" s="1554"/>
      <c r="G399" s="1555"/>
      <c r="H399" s="1556"/>
      <c r="J399" s="838">
        <v>1</v>
      </c>
      <c r="K399" s="1557"/>
      <c r="M399" s="383">
        <v>0</v>
      </c>
      <c r="O399" s="1584"/>
      <c r="P399" s="1343">
        <v>16019.21</v>
      </c>
      <c r="Q399" s="1555"/>
      <c r="R399" s="1555"/>
      <c r="AC399" s="515"/>
      <c r="AD399" s="515"/>
      <c r="AO399" s="1322"/>
      <c r="AP399" s="1323"/>
    </row>
    <row r="400" spans="1:42">
      <c r="A400" s="155">
        <v>301039</v>
      </c>
      <c r="B400" s="156" t="s">
        <v>247</v>
      </c>
      <c r="C400" s="626" t="s">
        <v>1022</v>
      </c>
      <c r="D400" s="1553"/>
      <c r="E400" s="840">
        <v>16.97</v>
      </c>
      <c r="F400" s="1554"/>
      <c r="G400" s="1555"/>
      <c r="H400" s="1556"/>
      <c r="J400" s="838">
        <v>1</v>
      </c>
      <c r="K400" s="1557"/>
      <c r="M400" s="383">
        <v>0</v>
      </c>
      <c r="O400" s="1584"/>
      <c r="P400" s="1343">
        <v>10097.200000000001</v>
      </c>
      <c r="Q400" s="1555"/>
      <c r="R400" s="1555"/>
      <c r="AC400" s="515"/>
      <c r="AD400" s="515"/>
      <c r="AO400" s="1322"/>
      <c r="AP400" s="1323"/>
    </row>
    <row r="401" spans="1:42">
      <c r="A401" s="155">
        <v>301040</v>
      </c>
      <c r="B401" s="156" t="s">
        <v>248</v>
      </c>
      <c r="C401" s="626" t="s">
        <v>1022</v>
      </c>
      <c r="D401" s="1553"/>
      <c r="E401" s="840">
        <v>16.97</v>
      </c>
      <c r="F401" s="1554"/>
      <c r="G401" s="1555"/>
      <c r="H401" s="1556"/>
      <c r="J401" s="838">
        <v>1</v>
      </c>
      <c r="K401" s="1557"/>
      <c r="M401" s="383">
        <v>0</v>
      </c>
      <c r="O401" s="1584"/>
      <c r="P401" s="1343">
        <v>16019.21</v>
      </c>
      <c r="Q401" s="1555"/>
      <c r="R401" s="1555"/>
      <c r="AC401" s="515"/>
      <c r="AD401" s="515"/>
      <c r="AO401" s="1322"/>
      <c r="AP401" s="1323"/>
    </row>
    <row r="402" spans="1:42">
      <c r="A402" s="155">
        <v>301042</v>
      </c>
      <c r="B402" s="156" t="s">
        <v>1117</v>
      </c>
      <c r="C402" s="626" t="s">
        <v>1022</v>
      </c>
      <c r="D402" s="1553"/>
      <c r="E402" s="840">
        <v>27.64</v>
      </c>
      <c r="F402" s="1554"/>
      <c r="G402" s="1555"/>
      <c r="H402" s="1556"/>
      <c r="J402" s="838">
        <v>1</v>
      </c>
      <c r="K402" s="1557"/>
      <c r="M402" s="383">
        <v>0</v>
      </c>
      <c r="O402" s="1584"/>
      <c r="P402" s="1343">
        <v>16019.21</v>
      </c>
      <c r="Q402" s="1555"/>
      <c r="R402" s="1555"/>
      <c r="AC402" s="515"/>
      <c r="AD402" s="515"/>
      <c r="AO402" s="1322"/>
      <c r="AP402" s="1323"/>
    </row>
    <row r="403" spans="1:42">
      <c r="A403" s="155">
        <v>301043</v>
      </c>
      <c r="B403" s="156" t="s">
        <v>475</v>
      </c>
      <c r="C403" s="626" t="s">
        <v>1022</v>
      </c>
      <c r="D403" s="1553"/>
      <c r="E403" s="840">
        <v>18</v>
      </c>
      <c r="F403" s="1554"/>
      <c r="G403" s="1555"/>
      <c r="H403" s="1556"/>
      <c r="J403" s="838">
        <v>1</v>
      </c>
      <c r="K403" s="1557"/>
      <c r="M403" s="383">
        <v>0</v>
      </c>
      <c r="O403" s="1584"/>
      <c r="P403" s="1343">
        <v>16019.21</v>
      </c>
      <c r="Q403" s="1555"/>
      <c r="R403" s="1555"/>
      <c r="AC403" s="515"/>
      <c r="AD403" s="515"/>
      <c r="AO403" s="1322"/>
      <c r="AP403" s="1323"/>
    </row>
    <row r="404" spans="1:42">
      <c r="A404" s="155">
        <v>301045</v>
      </c>
      <c r="B404" s="156" t="s">
        <v>1118</v>
      </c>
      <c r="C404" s="626" t="s">
        <v>1022</v>
      </c>
      <c r="D404" s="1553"/>
      <c r="E404" s="840">
        <v>20.28</v>
      </c>
      <c r="F404" s="1554"/>
      <c r="G404" s="1555"/>
      <c r="H404" s="1556"/>
      <c r="J404" s="838">
        <v>1</v>
      </c>
      <c r="K404" s="1557"/>
      <c r="M404" s="383">
        <v>0</v>
      </c>
      <c r="O404" s="1584"/>
      <c r="P404" s="1343">
        <v>9470.09</v>
      </c>
      <c r="Q404" s="1555"/>
      <c r="R404" s="1555"/>
      <c r="AC404" s="515"/>
      <c r="AD404" s="515"/>
      <c r="AO404" s="1322"/>
      <c r="AP404" s="1323"/>
    </row>
    <row r="405" spans="1:42">
      <c r="A405" s="155">
        <v>301046</v>
      </c>
      <c r="B405" s="156" t="s">
        <v>347</v>
      </c>
      <c r="C405" s="626" t="s">
        <v>1019</v>
      </c>
      <c r="D405" s="1553"/>
      <c r="E405" s="840">
        <v>29.31</v>
      </c>
      <c r="F405" s="1554"/>
      <c r="G405" s="1555"/>
      <c r="H405" s="1556"/>
      <c r="J405" s="838">
        <v>0</v>
      </c>
      <c r="K405" s="1557"/>
      <c r="M405" s="383">
        <v>1</v>
      </c>
      <c r="O405" s="1584"/>
      <c r="P405" s="1343">
        <v>48057.63</v>
      </c>
      <c r="Q405" s="1555"/>
      <c r="R405" s="1555"/>
      <c r="AC405" s="515"/>
      <c r="AD405" s="515"/>
      <c r="AO405" s="1322"/>
      <c r="AP405" s="1323"/>
    </row>
    <row r="406" spans="1:42">
      <c r="A406" s="155">
        <v>301049</v>
      </c>
      <c r="B406" s="156" t="s">
        <v>348</v>
      </c>
      <c r="C406" s="626" t="s">
        <v>1019</v>
      </c>
      <c r="D406" s="1553"/>
      <c r="E406" s="840">
        <v>29.31</v>
      </c>
      <c r="F406" s="1554"/>
      <c r="G406" s="1555"/>
      <c r="H406" s="1556"/>
      <c r="J406" s="838">
        <v>0</v>
      </c>
      <c r="K406" s="1557"/>
      <c r="M406" s="383">
        <v>1</v>
      </c>
      <c r="O406" s="1584"/>
      <c r="P406" s="1343">
        <v>32038.42</v>
      </c>
      <c r="Q406" s="1555"/>
      <c r="R406" s="1555"/>
      <c r="AC406" s="515"/>
      <c r="AD406" s="515"/>
      <c r="AO406" s="1322"/>
      <c r="AP406" s="1323"/>
    </row>
    <row r="407" spans="1:42">
      <c r="A407" s="155">
        <v>301050</v>
      </c>
      <c r="B407" s="156" t="s">
        <v>249</v>
      </c>
      <c r="C407" s="626" t="s">
        <v>1022</v>
      </c>
      <c r="D407" s="1553"/>
      <c r="E407" s="840">
        <v>27.64</v>
      </c>
      <c r="F407" s="1554"/>
      <c r="G407" s="1555"/>
      <c r="H407" s="1556"/>
      <c r="J407" s="838">
        <v>1</v>
      </c>
      <c r="K407" s="1557"/>
      <c r="M407" s="383">
        <v>0</v>
      </c>
      <c r="O407" s="1584"/>
      <c r="P407" s="1343">
        <v>16019.21</v>
      </c>
      <c r="Q407" s="1555"/>
      <c r="R407" s="1555"/>
      <c r="AC407" s="515"/>
      <c r="AD407" s="515"/>
      <c r="AO407" s="1322"/>
      <c r="AP407" s="1323"/>
    </row>
    <row r="408" spans="1:42">
      <c r="A408" s="155">
        <v>301051</v>
      </c>
      <c r="B408" s="156" t="s">
        <v>250</v>
      </c>
      <c r="C408" s="626" t="s">
        <v>1022</v>
      </c>
      <c r="D408" s="1553"/>
      <c r="E408" s="840">
        <v>28.51</v>
      </c>
      <c r="F408" s="1554"/>
      <c r="G408" s="1555"/>
      <c r="H408" s="1556"/>
      <c r="J408" s="838">
        <v>1</v>
      </c>
      <c r="K408" s="1557"/>
      <c r="M408" s="383">
        <v>0</v>
      </c>
      <c r="O408" s="1584"/>
      <c r="P408" s="1343">
        <v>16019.21</v>
      </c>
      <c r="Q408" s="1555"/>
      <c r="R408" s="1555"/>
      <c r="AC408" s="515"/>
      <c r="AD408" s="515"/>
      <c r="AO408" s="1322"/>
      <c r="AP408" s="1323"/>
    </row>
    <row r="409" spans="1:42">
      <c r="A409" s="155">
        <v>301052</v>
      </c>
      <c r="B409" s="156" t="s">
        <v>349</v>
      </c>
      <c r="C409" s="626" t="s">
        <v>1019</v>
      </c>
      <c r="D409" s="1553"/>
      <c r="E409" s="840">
        <v>28.26</v>
      </c>
      <c r="F409" s="1554"/>
      <c r="G409" s="1555"/>
      <c r="H409" s="1556"/>
      <c r="J409" s="838">
        <v>0</v>
      </c>
      <c r="K409" s="1557"/>
      <c r="M409" s="383">
        <v>1</v>
      </c>
      <c r="O409" s="1584"/>
      <c r="P409" s="1343">
        <v>32038.42</v>
      </c>
      <c r="Q409" s="1555"/>
      <c r="R409" s="1555"/>
      <c r="AC409" s="515"/>
      <c r="AD409" s="515"/>
      <c r="AO409" s="1322"/>
      <c r="AP409" s="1323"/>
    </row>
    <row r="410" spans="1:42">
      <c r="A410" s="155">
        <v>301054</v>
      </c>
      <c r="B410" s="156" t="s">
        <v>350</v>
      </c>
      <c r="C410" s="626" t="s">
        <v>1019</v>
      </c>
      <c r="D410" s="1553"/>
      <c r="E410" s="840">
        <v>29.31</v>
      </c>
      <c r="F410" s="1554"/>
      <c r="G410" s="1555"/>
      <c r="H410" s="1556"/>
      <c r="J410" s="838">
        <v>0</v>
      </c>
      <c r="K410" s="1557"/>
      <c r="M410" s="383">
        <v>1</v>
      </c>
      <c r="O410" s="1584"/>
      <c r="P410" s="1343">
        <v>32038.42</v>
      </c>
      <c r="Q410" s="1555"/>
      <c r="R410" s="1555"/>
      <c r="AC410" s="515"/>
      <c r="AD410" s="515"/>
      <c r="AO410" s="1322"/>
      <c r="AP410" s="1323"/>
    </row>
    <row r="411" spans="1:42">
      <c r="A411" s="155">
        <v>301055</v>
      </c>
      <c r="B411" s="156" t="s">
        <v>251</v>
      </c>
      <c r="C411" s="626" t="s">
        <v>1022</v>
      </c>
      <c r="D411" s="1553"/>
      <c r="E411" s="840">
        <v>27.64</v>
      </c>
      <c r="F411" s="1554"/>
      <c r="G411" s="1555"/>
      <c r="H411" s="1556"/>
      <c r="J411" s="838">
        <v>1</v>
      </c>
      <c r="K411" s="1557"/>
      <c r="M411" s="383">
        <v>0</v>
      </c>
      <c r="O411" s="1584"/>
      <c r="P411" s="1343">
        <v>3479.32</v>
      </c>
      <c r="Q411" s="1555"/>
      <c r="R411" s="1555"/>
      <c r="AC411" s="515"/>
      <c r="AD411" s="515"/>
      <c r="AO411" s="1322"/>
      <c r="AP411" s="1323"/>
    </row>
    <row r="412" spans="1:42">
      <c r="A412" s="155">
        <v>301056</v>
      </c>
      <c r="B412" s="156" t="s">
        <v>252</v>
      </c>
      <c r="C412" s="626" t="s">
        <v>1019</v>
      </c>
      <c r="D412" s="1553"/>
      <c r="E412" s="840">
        <v>18.8</v>
      </c>
      <c r="F412" s="1554"/>
      <c r="G412" s="1555"/>
      <c r="H412" s="1556"/>
      <c r="J412" s="838">
        <v>0</v>
      </c>
      <c r="K412" s="1557"/>
      <c r="M412" s="383">
        <v>1</v>
      </c>
      <c r="O412" s="1584"/>
      <c r="P412" s="1343">
        <v>16019.21</v>
      </c>
      <c r="Q412" s="1555"/>
      <c r="R412" s="1555"/>
      <c r="AC412" s="515"/>
      <c r="AD412" s="515"/>
      <c r="AO412" s="1322"/>
      <c r="AP412" s="1323"/>
    </row>
    <row r="413" spans="1:42">
      <c r="A413" s="155">
        <v>301059</v>
      </c>
      <c r="B413" s="156" t="s">
        <v>253</v>
      </c>
      <c r="C413" s="626" t="s">
        <v>1019</v>
      </c>
      <c r="D413" s="1553"/>
      <c r="E413" s="840">
        <v>19.079999999999998</v>
      </c>
      <c r="F413" s="1554"/>
      <c r="G413" s="1555"/>
      <c r="H413" s="1556"/>
      <c r="J413" s="838">
        <v>0</v>
      </c>
      <c r="K413" s="1557"/>
      <c r="M413" s="383">
        <v>1</v>
      </c>
      <c r="O413" s="1584"/>
      <c r="P413" s="1343">
        <v>16019.21</v>
      </c>
      <c r="Q413" s="1555"/>
      <c r="R413" s="1555"/>
      <c r="AC413" s="515"/>
      <c r="AD413" s="515"/>
      <c r="AO413" s="1322"/>
      <c r="AP413" s="1323"/>
    </row>
    <row r="414" spans="1:42">
      <c r="A414" s="155">
        <v>301060</v>
      </c>
      <c r="B414" s="156" t="s">
        <v>1119</v>
      </c>
      <c r="C414" s="626" t="s">
        <v>1022</v>
      </c>
      <c r="D414" s="1553"/>
      <c r="E414" s="840">
        <v>20.28</v>
      </c>
      <c r="F414" s="1554"/>
      <c r="G414" s="1555"/>
      <c r="H414" s="1556"/>
      <c r="J414" s="838">
        <v>1</v>
      </c>
      <c r="K414" s="1557"/>
      <c r="M414" s="383">
        <v>0</v>
      </c>
      <c r="O414" s="1584"/>
      <c r="P414" s="1343">
        <v>16019.21</v>
      </c>
      <c r="Q414" s="1555"/>
      <c r="R414" s="1555"/>
      <c r="AC414" s="515"/>
      <c r="AD414" s="515"/>
      <c r="AO414" s="1322"/>
      <c r="AP414" s="1323"/>
    </row>
    <row r="415" spans="1:42">
      <c r="A415" s="155">
        <v>301063</v>
      </c>
      <c r="B415" s="156" t="s">
        <v>254</v>
      </c>
      <c r="C415" s="626" t="s">
        <v>1022</v>
      </c>
      <c r="D415" s="1553"/>
      <c r="E415" s="840">
        <v>15.59</v>
      </c>
      <c r="F415" s="1554"/>
      <c r="G415" s="1555"/>
      <c r="H415" s="1556"/>
      <c r="J415" s="838">
        <v>1</v>
      </c>
      <c r="K415" s="1557"/>
      <c r="M415" s="383">
        <v>0</v>
      </c>
      <c r="O415" s="1584"/>
      <c r="P415" s="1343">
        <v>16019.21</v>
      </c>
      <c r="Q415" s="1555"/>
      <c r="R415" s="1555"/>
      <c r="AC415" s="515"/>
      <c r="AD415" s="515"/>
      <c r="AO415" s="1322"/>
      <c r="AP415" s="1323"/>
    </row>
    <row r="416" spans="1:42">
      <c r="A416" s="155">
        <v>301064</v>
      </c>
      <c r="B416" s="156" t="s">
        <v>255</v>
      </c>
      <c r="C416" s="626" t="s">
        <v>1022</v>
      </c>
      <c r="D416" s="1553"/>
      <c r="E416" s="840">
        <v>20.95</v>
      </c>
      <c r="F416" s="1554"/>
      <c r="G416" s="1555"/>
      <c r="H416" s="1556"/>
      <c r="J416" s="838">
        <v>1</v>
      </c>
      <c r="K416" s="1557"/>
      <c r="M416" s="383">
        <v>0</v>
      </c>
      <c r="O416" s="1584"/>
      <c r="P416" s="1343">
        <v>16019.21</v>
      </c>
      <c r="Q416" s="1555"/>
      <c r="R416" s="1555"/>
      <c r="AC416" s="515"/>
      <c r="AD416" s="515"/>
      <c r="AO416" s="1322"/>
      <c r="AP416" s="1323"/>
    </row>
    <row r="417" spans="1:42">
      <c r="A417" s="155">
        <v>301065</v>
      </c>
      <c r="B417" s="156" t="s">
        <v>1120</v>
      </c>
      <c r="C417" s="626" t="s">
        <v>1022</v>
      </c>
      <c r="D417" s="1553"/>
      <c r="E417" s="840">
        <v>20.28</v>
      </c>
      <c r="F417" s="1554"/>
      <c r="G417" s="1555"/>
      <c r="H417" s="1556"/>
      <c r="J417" s="838">
        <v>1</v>
      </c>
      <c r="K417" s="1557"/>
      <c r="M417" s="383">
        <v>0</v>
      </c>
      <c r="O417" s="1584"/>
      <c r="P417" s="1344">
        <v>16019.21</v>
      </c>
      <c r="Q417" s="1555"/>
      <c r="R417" s="1555"/>
      <c r="AC417" s="515"/>
      <c r="AD417" s="515"/>
      <c r="AO417" s="1322"/>
      <c r="AP417" s="1323"/>
    </row>
    <row r="418" spans="1:42">
      <c r="A418" s="155">
        <v>301080</v>
      </c>
      <c r="B418" s="156" t="s">
        <v>480</v>
      </c>
      <c r="C418" s="626" t="s">
        <v>1121</v>
      </c>
      <c r="D418" s="1553"/>
      <c r="E418" s="859"/>
      <c r="F418" s="1554"/>
      <c r="G418" s="1555"/>
      <c r="H418" s="1556"/>
      <c r="J418" s="838">
        <v>0</v>
      </c>
      <c r="K418" s="1557"/>
      <c r="M418" s="383">
        <v>0</v>
      </c>
      <c r="O418" s="1584"/>
      <c r="P418" s="1345">
        <v>0</v>
      </c>
      <c r="Q418" s="1555"/>
      <c r="R418" s="1555"/>
      <c r="AC418" s="515"/>
      <c r="AD418" s="515"/>
      <c r="AO418" s="1322"/>
      <c r="AP418" s="1323"/>
    </row>
    <row r="419" spans="1:42">
      <c r="A419" s="155">
        <v>301111</v>
      </c>
      <c r="B419" s="156" t="s">
        <v>54</v>
      </c>
      <c r="C419" s="626" t="s">
        <v>1041</v>
      </c>
      <c r="D419" s="1553"/>
      <c r="E419" s="1128">
        <v>17.27</v>
      </c>
      <c r="F419" s="1554"/>
      <c r="G419" s="1555"/>
      <c r="H419" s="1556"/>
      <c r="J419" s="838">
        <v>0</v>
      </c>
      <c r="K419" s="1557"/>
      <c r="M419" s="383">
        <v>0</v>
      </c>
      <c r="O419" s="1584"/>
      <c r="P419" s="1344">
        <v>0</v>
      </c>
      <c r="Q419" s="1555"/>
      <c r="R419" s="1555"/>
      <c r="AC419" s="515"/>
      <c r="AD419" s="515"/>
      <c r="AO419" s="1322"/>
      <c r="AP419" s="1323"/>
    </row>
    <row r="420" spans="1:42">
      <c r="A420" s="155">
        <v>301112</v>
      </c>
      <c r="B420" s="156" t="s">
        <v>492</v>
      </c>
      <c r="C420" s="626" t="s">
        <v>1041</v>
      </c>
      <c r="D420" s="1553"/>
      <c r="E420" s="859">
        <v>7.74</v>
      </c>
      <c r="F420" s="1554"/>
      <c r="G420" s="1555"/>
      <c r="H420" s="1556"/>
      <c r="J420" s="838">
        <v>0</v>
      </c>
      <c r="K420" s="1557"/>
      <c r="M420" s="383">
        <v>0</v>
      </c>
      <c r="O420" s="1584"/>
      <c r="P420" s="1345">
        <v>0</v>
      </c>
      <c r="Q420" s="1555"/>
      <c r="R420" s="1555"/>
      <c r="AC420" s="515"/>
      <c r="AD420" s="515"/>
      <c r="AO420" s="1322"/>
      <c r="AP420" s="1323" t="s">
        <v>1239</v>
      </c>
    </row>
    <row r="421" spans="1:42">
      <c r="A421" s="155">
        <v>301113</v>
      </c>
      <c r="B421" s="156" t="s">
        <v>493</v>
      </c>
      <c r="C421" s="626" t="s">
        <v>1041</v>
      </c>
      <c r="D421" s="1553"/>
      <c r="E421" s="1128">
        <v>7.74</v>
      </c>
      <c r="F421" s="1554"/>
      <c r="G421" s="1555"/>
      <c r="H421" s="1556"/>
      <c r="J421" s="838">
        <v>0</v>
      </c>
      <c r="K421" s="1557"/>
      <c r="M421" s="383">
        <v>0</v>
      </c>
      <c r="O421" s="1584"/>
      <c r="P421" s="1344">
        <v>0</v>
      </c>
      <c r="Q421" s="1555"/>
      <c r="R421" s="1555"/>
      <c r="AC421" s="515"/>
      <c r="AD421" s="515"/>
      <c r="AO421" s="1322"/>
      <c r="AP421" s="1323"/>
    </row>
    <row r="422" spans="1:42">
      <c r="A422" s="155">
        <v>301114</v>
      </c>
      <c r="B422" s="156" t="s">
        <v>351</v>
      </c>
      <c r="C422" s="626" t="s">
        <v>1122</v>
      </c>
      <c r="D422" s="1553"/>
      <c r="E422" s="1128">
        <v>9.6199999999999992</v>
      </c>
      <c r="F422" s="1554"/>
      <c r="G422" s="1555"/>
      <c r="H422" s="1556"/>
      <c r="J422" s="838">
        <v>0</v>
      </c>
      <c r="K422" s="1557"/>
      <c r="M422" s="383">
        <v>0</v>
      </c>
      <c r="O422" s="1584"/>
      <c r="P422" s="1344">
        <v>0</v>
      </c>
      <c r="Q422" s="1555"/>
      <c r="R422" s="1555"/>
      <c r="AC422" s="515"/>
      <c r="AD422" s="515"/>
      <c r="AO422" s="1322"/>
      <c r="AP422" s="1323"/>
    </row>
    <row r="423" spans="1:42">
      <c r="A423" s="155">
        <v>301116</v>
      </c>
      <c r="B423" s="156" t="s">
        <v>352</v>
      </c>
      <c r="C423" s="626" t="s">
        <v>1122</v>
      </c>
      <c r="D423" s="1553"/>
      <c r="E423" s="1128">
        <v>7.59</v>
      </c>
      <c r="F423" s="1554"/>
      <c r="G423" s="1555"/>
      <c r="H423" s="1556"/>
      <c r="J423" s="838">
        <v>0</v>
      </c>
      <c r="K423" s="1557"/>
      <c r="M423" s="383">
        <v>0</v>
      </c>
      <c r="O423" s="1584"/>
      <c r="P423" s="1344">
        <v>0</v>
      </c>
      <c r="Q423" s="1555"/>
      <c r="R423" s="1555"/>
      <c r="AC423" s="515"/>
      <c r="AD423" s="515"/>
      <c r="AO423" s="1322"/>
      <c r="AP423" s="1323"/>
    </row>
    <row r="424" spans="1:42">
      <c r="A424" s="155">
        <v>301118</v>
      </c>
      <c r="B424" s="156" t="s">
        <v>256</v>
      </c>
      <c r="C424" s="626" t="s">
        <v>1122</v>
      </c>
      <c r="D424" s="1553"/>
      <c r="E424" s="1128">
        <v>11.23</v>
      </c>
      <c r="F424" s="1554"/>
      <c r="G424" s="1555"/>
      <c r="H424" s="1556"/>
      <c r="J424" s="838">
        <v>0</v>
      </c>
      <c r="K424" s="1557"/>
      <c r="M424" s="383">
        <v>0</v>
      </c>
      <c r="O424" s="1584"/>
      <c r="P424" s="1344">
        <v>0</v>
      </c>
      <c r="Q424" s="1555"/>
      <c r="R424" s="1555"/>
      <c r="AC424" s="515"/>
      <c r="AD424" s="515"/>
      <c r="AO424" s="1322"/>
      <c r="AP424" s="1323"/>
    </row>
    <row r="425" spans="1:42">
      <c r="A425" s="155">
        <v>301120</v>
      </c>
      <c r="B425" s="156" t="s">
        <v>55</v>
      </c>
      <c r="C425" s="626" t="s">
        <v>1022</v>
      </c>
      <c r="D425" s="1553"/>
      <c r="E425" s="1128">
        <v>10.56</v>
      </c>
      <c r="F425" s="1554"/>
      <c r="G425" s="1555"/>
      <c r="H425" s="1556"/>
      <c r="J425" s="838">
        <v>1</v>
      </c>
      <c r="K425" s="1557"/>
      <c r="M425" s="383">
        <v>0</v>
      </c>
      <c r="O425" s="1584"/>
      <c r="P425" s="1344">
        <v>16019.21</v>
      </c>
      <c r="Q425" s="1555"/>
      <c r="R425" s="1555"/>
      <c r="AC425" s="515"/>
      <c r="AD425" s="515"/>
      <c r="AO425" s="1322"/>
      <c r="AP425" s="1323"/>
    </row>
    <row r="426" spans="1:42">
      <c r="A426" s="155">
        <v>301122</v>
      </c>
      <c r="B426" s="156" t="s">
        <v>353</v>
      </c>
      <c r="C426" s="626" t="s">
        <v>1022</v>
      </c>
      <c r="D426" s="1553"/>
      <c r="E426" s="1128">
        <v>7.84</v>
      </c>
      <c r="F426" s="1554"/>
      <c r="G426" s="1555"/>
      <c r="H426" s="1556"/>
      <c r="J426" s="838">
        <v>1</v>
      </c>
      <c r="K426" s="1557"/>
      <c r="M426" s="383">
        <v>0</v>
      </c>
      <c r="O426" s="1584"/>
      <c r="P426" s="1344">
        <v>3952.29</v>
      </c>
      <c r="Q426" s="1555"/>
      <c r="R426" s="1555"/>
      <c r="AC426" s="515"/>
      <c r="AD426" s="515"/>
      <c r="AO426" s="1322"/>
      <c r="AP426" s="1323"/>
    </row>
    <row r="427" spans="1:42">
      <c r="A427" s="155">
        <v>301129</v>
      </c>
      <c r="B427" s="156" t="s">
        <v>354</v>
      </c>
      <c r="C427" s="626" t="s">
        <v>1019</v>
      </c>
      <c r="D427" s="1553"/>
      <c r="E427" s="1128">
        <v>28.69</v>
      </c>
      <c r="F427" s="1554"/>
      <c r="G427" s="1555"/>
      <c r="H427" s="1556"/>
      <c r="J427" s="838">
        <v>0</v>
      </c>
      <c r="K427" s="1557"/>
      <c r="M427" s="383">
        <v>1</v>
      </c>
      <c r="O427" s="1584"/>
      <c r="P427" s="1344">
        <v>32038.42</v>
      </c>
      <c r="Q427" s="1555"/>
      <c r="R427" s="1555"/>
      <c r="AC427" s="515"/>
      <c r="AD427" s="515"/>
      <c r="AO427" s="1322"/>
      <c r="AP427" s="1323"/>
    </row>
    <row r="428" spans="1:42">
      <c r="A428" s="155">
        <v>301144</v>
      </c>
      <c r="B428" s="156" t="s">
        <v>355</v>
      </c>
      <c r="C428" s="626" t="s">
        <v>1022</v>
      </c>
      <c r="D428" s="1553"/>
      <c r="E428" s="1128">
        <v>27.73</v>
      </c>
      <c r="F428" s="1554"/>
      <c r="G428" s="1555"/>
      <c r="H428" s="1556"/>
      <c r="J428" s="838">
        <v>1</v>
      </c>
      <c r="K428" s="1557"/>
      <c r="M428" s="383">
        <v>0</v>
      </c>
      <c r="O428" s="1584"/>
      <c r="P428" s="1344">
        <v>16019.21</v>
      </c>
      <c r="Q428" s="1555"/>
      <c r="R428" s="1555"/>
      <c r="AC428" s="515"/>
      <c r="AD428" s="515"/>
      <c r="AO428" s="1322"/>
      <c r="AP428" s="1323"/>
    </row>
    <row r="429" spans="1:42">
      <c r="A429" s="155">
        <v>301148</v>
      </c>
      <c r="B429" s="156" t="s">
        <v>356</v>
      </c>
      <c r="C429" s="626" t="s">
        <v>1022</v>
      </c>
      <c r="D429" s="1553"/>
      <c r="E429" s="1128">
        <v>11.65</v>
      </c>
      <c r="F429" s="1554"/>
      <c r="G429" s="1555"/>
      <c r="H429" s="1556"/>
      <c r="J429" s="838">
        <v>1</v>
      </c>
      <c r="K429" s="1557"/>
      <c r="M429" s="383">
        <v>0</v>
      </c>
      <c r="O429" s="1584"/>
      <c r="P429" s="1344">
        <v>80096.05</v>
      </c>
      <c r="Q429" s="1555"/>
      <c r="R429" s="1555"/>
      <c r="AC429" s="515"/>
      <c r="AD429" s="515"/>
      <c r="AO429" s="1322"/>
      <c r="AP429" s="1323"/>
    </row>
    <row r="430" spans="1:42">
      <c r="A430" s="155">
        <v>301152</v>
      </c>
      <c r="B430" s="156" t="s">
        <v>258</v>
      </c>
      <c r="C430" s="626" t="s">
        <v>1022</v>
      </c>
      <c r="D430" s="1553"/>
      <c r="E430" s="1128">
        <v>10.57</v>
      </c>
      <c r="F430" s="1554"/>
      <c r="G430" s="1555"/>
      <c r="H430" s="1556"/>
      <c r="J430" s="838">
        <v>1</v>
      </c>
      <c r="K430" s="1557"/>
      <c r="M430" s="383">
        <v>0</v>
      </c>
      <c r="O430" s="1584"/>
      <c r="P430" s="1344">
        <v>16019.21</v>
      </c>
      <c r="Q430" s="1555"/>
      <c r="R430" s="1555"/>
      <c r="AC430" s="515"/>
      <c r="AD430" s="515"/>
      <c r="AO430" s="1322"/>
      <c r="AP430" s="1323"/>
    </row>
    <row r="431" spans="1:42">
      <c r="A431" s="155">
        <v>301153</v>
      </c>
      <c r="B431" s="156" t="s">
        <v>259</v>
      </c>
      <c r="C431" s="626" t="s">
        <v>1022</v>
      </c>
      <c r="D431" s="1553"/>
      <c r="E431" s="1128">
        <v>11.38</v>
      </c>
      <c r="F431" s="1554"/>
      <c r="G431" s="1555"/>
      <c r="H431" s="1556"/>
      <c r="J431" s="838">
        <v>1</v>
      </c>
      <c r="K431" s="1557"/>
      <c r="M431" s="383">
        <v>0</v>
      </c>
      <c r="O431" s="1584"/>
      <c r="P431" s="1344">
        <v>16019.21</v>
      </c>
      <c r="Q431" s="1555"/>
      <c r="R431" s="1555"/>
      <c r="AC431" s="515"/>
      <c r="AD431" s="515"/>
      <c r="AO431" s="1322"/>
      <c r="AP431" s="1323"/>
    </row>
    <row r="432" spans="1:42">
      <c r="A432" s="155">
        <v>301159</v>
      </c>
      <c r="B432" s="156" t="s">
        <v>260</v>
      </c>
      <c r="C432" s="626" t="s">
        <v>1022</v>
      </c>
      <c r="D432" s="1553"/>
      <c r="E432" s="1128">
        <v>11.26</v>
      </c>
      <c r="F432" s="1554"/>
      <c r="G432" s="1555"/>
      <c r="H432" s="1556"/>
      <c r="J432" s="838">
        <v>1</v>
      </c>
      <c r="K432" s="1557"/>
      <c r="M432" s="383">
        <v>0</v>
      </c>
      <c r="O432" s="1584"/>
      <c r="P432" s="1344">
        <v>16019.21</v>
      </c>
      <c r="Q432" s="1555"/>
      <c r="R432" s="1555"/>
      <c r="AC432" s="515"/>
      <c r="AD432" s="515"/>
      <c r="AO432" s="1322"/>
      <c r="AP432" s="1323"/>
    </row>
    <row r="433" spans="1:42">
      <c r="A433" s="155">
        <v>301164</v>
      </c>
      <c r="B433" s="156" t="s">
        <v>261</v>
      </c>
      <c r="C433" s="626" t="s">
        <v>1022</v>
      </c>
      <c r="D433" s="1553"/>
      <c r="E433" s="1128">
        <v>9.92</v>
      </c>
      <c r="F433" s="1554"/>
      <c r="G433" s="1555"/>
      <c r="H433" s="1556"/>
      <c r="J433" s="838">
        <v>1</v>
      </c>
      <c r="K433" s="1557"/>
      <c r="M433" s="383">
        <v>0</v>
      </c>
      <c r="O433" s="1584"/>
      <c r="P433" s="1344">
        <v>16019.21</v>
      </c>
      <c r="Q433" s="1555"/>
      <c r="R433" s="1555"/>
      <c r="AC433" s="515"/>
      <c r="AD433" s="515"/>
      <c r="AO433" s="1322"/>
      <c r="AP433" s="1323"/>
    </row>
    <row r="434" spans="1:42">
      <c r="A434" s="155">
        <v>301177</v>
      </c>
      <c r="B434" s="156" t="s">
        <v>262</v>
      </c>
      <c r="C434" s="626" t="s">
        <v>1022</v>
      </c>
      <c r="D434" s="1553"/>
      <c r="E434" s="1128">
        <v>7.59</v>
      </c>
      <c r="F434" s="1554"/>
      <c r="G434" s="1555"/>
      <c r="H434" s="1556"/>
      <c r="J434" s="838">
        <v>1</v>
      </c>
      <c r="K434" s="1557"/>
      <c r="M434" s="383">
        <v>0</v>
      </c>
      <c r="O434" s="1584"/>
      <c r="P434" s="1344">
        <v>16019.21</v>
      </c>
      <c r="Q434" s="1555"/>
      <c r="R434" s="1555"/>
      <c r="AC434" s="515"/>
      <c r="AD434" s="515"/>
      <c r="AO434" s="1322"/>
      <c r="AP434" s="1323"/>
    </row>
    <row r="435" spans="1:42">
      <c r="A435" s="155">
        <v>301178</v>
      </c>
      <c r="B435" s="156" t="s">
        <v>263</v>
      </c>
      <c r="C435" s="626" t="s">
        <v>1022</v>
      </c>
      <c r="D435" s="1553"/>
      <c r="E435" s="1128">
        <v>10.73</v>
      </c>
      <c r="F435" s="1554"/>
      <c r="G435" s="1555"/>
      <c r="H435" s="1556"/>
      <c r="J435" s="838">
        <v>1</v>
      </c>
      <c r="K435" s="1557"/>
      <c r="M435" s="383">
        <v>0</v>
      </c>
      <c r="O435" s="1584"/>
      <c r="P435" s="1344">
        <v>16019.21</v>
      </c>
      <c r="Q435" s="1555"/>
      <c r="R435" s="1555"/>
      <c r="AC435" s="515"/>
      <c r="AD435" s="515"/>
      <c r="AO435" s="1322"/>
      <c r="AP435" s="1323"/>
    </row>
    <row r="436" spans="1:42">
      <c r="A436" s="155">
        <v>301180</v>
      </c>
      <c r="B436" s="156" t="s">
        <v>357</v>
      </c>
      <c r="C436" s="626" t="s">
        <v>1022</v>
      </c>
      <c r="D436" s="1553"/>
      <c r="E436" s="1128">
        <v>13.5</v>
      </c>
      <c r="F436" s="1554"/>
      <c r="G436" s="1555"/>
      <c r="H436" s="1556"/>
      <c r="J436" s="838">
        <v>1</v>
      </c>
      <c r="K436" s="1557"/>
      <c r="M436" s="383">
        <v>0</v>
      </c>
      <c r="O436" s="1584"/>
      <c r="P436" s="1344">
        <v>16019.21</v>
      </c>
      <c r="Q436" s="1555"/>
      <c r="R436" s="1555"/>
      <c r="AC436" s="515"/>
      <c r="AD436" s="515"/>
      <c r="AO436" s="1322"/>
      <c r="AP436" s="1323"/>
    </row>
    <row r="437" spans="1:42">
      <c r="A437" s="155">
        <v>301182</v>
      </c>
      <c r="B437" s="156" t="s">
        <v>264</v>
      </c>
      <c r="C437" s="626" t="s">
        <v>1022</v>
      </c>
      <c r="D437" s="1553"/>
      <c r="E437" s="1128">
        <v>10.9</v>
      </c>
      <c r="F437" s="1554"/>
      <c r="G437" s="1555"/>
      <c r="H437" s="1556"/>
      <c r="J437" s="838">
        <v>1</v>
      </c>
      <c r="K437" s="1557"/>
      <c r="M437" s="383">
        <v>0</v>
      </c>
      <c r="O437" s="1584"/>
      <c r="P437" s="1344">
        <v>7627.29</v>
      </c>
      <c r="Q437" s="1555"/>
      <c r="R437" s="1555"/>
      <c r="AC437" s="515"/>
      <c r="AD437" s="515"/>
      <c r="AO437" s="1322"/>
      <c r="AP437" s="1323"/>
    </row>
    <row r="438" spans="1:42">
      <c r="A438" s="155">
        <v>301183</v>
      </c>
      <c r="B438" s="156" t="s">
        <v>225</v>
      </c>
      <c r="C438" s="626" t="s">
        <v>1022</v>
      </c>
      <c r="D438" s="1553"/>
      <c r="E438" s="1128">
        <v>10.9</v>
      </c>
      <c r="F438" s="1554"/>
      <c r="G438" s="1555"/>
      <c r="H438" s="1556"/>
      <c r="J438" s="838">
        <v>1</v>
      </c>
      <c r="K438" s="1557"/>
      <c r="M438" s="383">
        <v>0</v>
      </c>
      <c r="O438" s="1584"/>
      <c r="P438" s="1344">
        <v>16019.21</v>
      </c>
      <c r="Q438" s="1555"/>
      <c r="R438" s="1555"/>
      <c r="AC438" s="515"/>
      <c r="AD438" s="515"/>
      <c r="AO438" s="1322"/>
      <c r="AP438" s="1323"/>
    </row>
    <row r="439" spans="1:42">
      <c r="A439" s="155">
        <v>301184</v>
      </c>
      <c r="B439" s="156" t="s">
        <v>494</v>
      </c>
      <c r="C439" s="626" t="s">
        <v>1041</v>
      </c>
      <c r="D439" s="1553"/>
      <c r="E439" s="1128">
        <v>19.350000000000001</v>
      </c>
      <c r="F439" s="1554"/>
      <c r="G439" s="1555"/>
      <c r="H439" s="1556"/>
      <c r="J439" s="838">
        <v>0</v>
      </c>
      <c r="K439" s="1557"/>
      <c r="M439" s="383">
        <v>0</v>
      </c>
      <c r="O439" s="1584"/>
      <c r="P439" s="1344">
        <v>0</v>
      </c>
      <c r="Q439" s="1555"/>
      <c r="R439" s="1555"/>
      <c r="AC439" s="515"/>
      <c r="AD439" s="515"/>
      <c r="AO439" s="1322"/>
      <c r="AP439" s="1323"/>
    </row>
    <row r="440" spans="1:42">
      <c r="A440" s="155">
        <v>301185</v>
      </c>
      <c r="B440" s="156" t="s">
        <v>1123</v>
      </c>
      <c r="C440" s="626" t="s">
        <v>1122</v>
      </c>
      <c r="D440" s="1553"/>
      <c r="E440" s="1128">
        <v>6.54</v>
      </c>
      <c r="F440" s="1554"/>
      <c r="G440" s="1555"/>
      <c r="H440" s="1556"/>
      <c r="J440" s="838">
        <v>0</v>
      </c>
      <c r="K440" s="1557"/>
      <c r="M440" s="383">
        <v>0</v>
      </c>
      <c r="O440" s="1584"/>
      <c r="P440" s="1344">
        <v>0</v>
      </c>
      <c r="Q440" s="1555"/>
      <c r="R440" s="1555"/>
      <c r="AC440" s="515"/>
      <c r="AD440" s="515"/>
      <c r="AO440" s="1322"/>
      <c r="AP440" s="1323"/>
    </row>
    <row r="441" spans="1:42">
      <c r="A441" s="155">
        <v>301186</v>
      </c>
      <c r="B441" s="156" t="s">
        <v>358</v>
      </c>
      <c r="C441" s="626" t="s">
        <v>1019</v>
      </c>
      <c r="D441" s="1553"/>
      <c r="E441" s="1128">
        <v>7.73</v>
      </c>
      <c r="F441" s="1554"/>
      <c r="G441" s="1555"/>
      <c r="H441" s="1556"/>
      <c r="J441" s="838">
        <v>0</v>
      </c>
      <c r="K441" s="1557"/>
      <c r="M441" s="383">
        <v>1</v>
      </c>
      <c r="O441" s="1584"/>
      <c r="P441" s="1344">
        <v>80096.05</v>
      </c>
      <c r="Q441" s="1555"/>
      <c r="R441" s="1555"/>
      <c r="AC441" s="515"/>
      <c r="AD441" s="515"/>
      <c r="AO441" s="1322"/>
      <c r="AP441" s="1323"/>
    </row>
    <row r="442" spans="1:42">
      <c r="A442" s="155">
        <v>301187</v>
      </c>
      <c r="B442" s="156" t="s">
        <v>359</v>
      </c>
      <c r="C442" s="626" t="s">
        <v>1019</v>
      </c>
      <c r="D442" s="1553"/>
      <c r="E442" s="1128">
        <v>9.31</v>
      </c>
      <c r="F442" s="1554"/>
      <c r="G442" s="1555"/>
      <c r="H442" s="1556"/>
      <c r="J442" s="838">
        <v>0</v>
      </c>
      <c r="K442" s="1557"/>
      <c r="M442" s="383">
        <v>1</v>
      </c>
      <c r="O442" s="1584"/>
      <c r="P442" s="1344">
        <v>128153.69</v>
      </c>
      <c r="Q442" s="1555"/>
      <c r="R442" s="1555"/>
      <c r="AC442" s="515"/>
      <c r="AD442" s="515"/>
      <c r="AO442" s="1322"/>
      <c r="AP442" s="1323"/>
    </row>
    <row r="443" spans="1:42">
      <c r="A443" s="155">
        <v>301188</v>
      </c>
      <c r="B443" s="156" t="s">
        <v>360</v>
      </c>
      <c r="C443" s="626" t="s">
        <v>1019</v>
      </c>
      <c r="D443" s="1553"/>
      <c r="E443" s="1128">
        <v>9.99</v>
      </c>
      <c r="F443" s="1554"/>
      <c r="G443" s="1555"/>
      <c r="H443" s="1556"/>
      <c r="J443" s="838">
        <v>0</v>
      </c>
      <c r="K443" s="1557"/>
      <c r="M443" s="383">
        <v>1</v>
      </c>
      <c r="O443" s="1584"/>
      <c r="P443" s="1344">
        <v>256307.37</v>
      </c>
      <c r="Q443" s="1555"/>
      <c r="R443" s="1555"/>
      <c r="AC443" s="515"/>
      <c r="AD443" s="515"/>
      <c r="AO443" s="1322"/>
      <c r="AP443" s="1323"/>
    </row>
    <row r="444" spans="1:42">
      <c r="A444" s="155">
        <v>301189</v>
      </c>
      <c r="B444" s="156" t="s">
        <v>361</v>
      </c>
      <c r="C444" s="626" t="s">
        <v>1019</v>
      </c>
      <c r="D444" s="1553"/>
      <c r="E444" s="1128">
        <v>9.7899999999999991</v>
      </c>
      <c r="F444" s="1554"/>
      <c r="G444" s="1555"/>
      <c r="H444" s="1556"/>
      <c r="J444" s="838">
        <v>0</v>
      </c>
      <c r="K444" s="1557"/>
      <c r="M444" s="383">
        <v>1</v>
      </c>
      <c r="O444" s="1584"/>
      <c r="P444" s="1344">
        <v>48057.63</v>
      </c>
      <c r="Q444" s="1555"/>
      <c r="R444" s="1555"/>
      <c r="AC444" s="515"/>
      <c r="AD444" s="515"/>
      <c r="AO444" s="1322"/>
      <c r="AP444" s="1323"/>
    </row>
    <row r="445" spans="1:42">
      <c r="A445" s="168">
        <v>301190</v>
      </c>
      <c r="B445" s="163" t="s">
        <v>362</v>
      </c>
      <c r="C445" s="626" t="s">
        <v>1019</v>
      </c>
      <c r="D445" s="1553"/>
      <c r="E445" s="1128">
        <v>8.5500000000000007</v>
      </c>
      <c r="F445" s="1554"/>
      <c r="G445" s="1555"/>
      <c r="H445" s="1556"/>
      <c r="J445" s="838">
        <v>0</v>
      </c>
      <c r="K445" s="1557"/>
      <c r="M445" s="383">
        <v>1</v>
      </c>
      <c r="O445" s="1584"/>
      <c r="P445" s="1344">
        <v>32038.42</v>
      </c>
      <c r="Q445" s="1555"/>
      <c r="R445" s="1555"/>
      <c r="AC445" s="515"/>
      <c r="AD445" s="515"/>
      <c r="AO445" s="1322"/>
      <c r="AP445" s="1323"/>
    </row>
    <row r="446" spans="1:42">
      <c r="A446" s="168">
        <v>301191</v>
      </c>
      <c r="B446" s="163" t="s">
        <v>1124</v>
      </c>
      <c r="C446" s="626" t="s">
        <v>1019</v>
      </c>
      <c r="D446" s="1553"/>
      <c r="E446" s="1128">
        <v>17.920000000000002</v>
      </c>
      <c r="F446" s="1554"/>
      <c r="G446" s="1555"/>
      <c r="H446" s="1556"/>
      <c r="J446" s="838">
        <v>0</v>
      </c>
      <c r="K446" s="1557"/>
      <c r="M446" s="383">
        <v>1</v>
      </c>
      <c r="O446" s="1584"/>
      <c r="P446" s="1344">
        <v>32038.42</v>
      </c>
      <c r="Q446" s="1555"/>
      <c r="R446" s="1555"/>
      <c r="AC446" s="515"/>
      <c r="AD446" s="515"/>
      <c r="AO446" s="1322"/>
      <c r="AP446" s="1323"/>
    </row>
    <row r="447" spans="1:42">
      <c r="A447" s="168">
        <v>301193</v>
      </c>
      <c r="B447" s="163" t="s">
        <v>363</v>
      </c>
      <c r="C447" s="626" t="s">
        <v>1019</v>
      </c>
      <c r="D447" s="1553"/>
      <c r="E447" s="1128">
        <v>17.71</v>
      </c>
      <c r="F447" s="1554"/>
      <c r="G447" s="1555"/>
      <c r="H447" s="1556"/>
      <c r="J447" s="838">
        <v>0</v>
      </c>
      <c r="K447" s="1557"/>
      <c r="M447" s="383">
        <v>1</v>
      </c>
      <c r="O447" s="1584"/>
      <c r="P447" s="1344">
        <v>16019.21</v>
      </c>
      <c r="Q447" s="1555"/>
      <c r="R447" s="1555"/>
      <c r="AC447" s="515"/>
      <c r="AD447" s="515"/>
      <c r="AO447" s="1322"/>
      <c r="AP447" s="1323"/>
    </row>
    <row r="448" spans="1:42">
      <c r="A448" s="168">
        <v>301194</v>
      </c>
      <c r="B448" s="163" t="s">
        <v>364</v>
      </c>
      <c r="C448" s="626" t="s">
        <v>1019</v>
      </c>
      <c r="D448" s="1553"/>
      <c r="E448" s="1128">
        <v>13.85</v>
      </c>
      <c r="F448" s="1554"/>
      <c r="G448" s="1555"/>
      <c r="H448" s="1556"/>
      <c r="J448" s="838">
        <v>0</v>
      </c>
      <c r="K448" s="1557"/>
      <c r="M448" s="383">
        <v>1</v>
      </c>
      <c r="O448" s="1584"/>
      <c r="P448" s="1344">
        <v>192230.52</v>
      </c>
      <c r="Q448" s="1555"/>
      <c r="R448" s="1555"/>
      <c r="AC448" s="515"/>
      <c r="AD448" s="515"/>
      <c r="AO448" s="1322"/>
      <c r="AP448" s="1323"/>
    </row>
    <row r="449" spans="1:42">
      <c r="A449" s="168">
        <v>301195</v>
      </c>
      <c r="B449" s="163" t="s">
        <v>365</v>
      </c>
      <c r="C449" s="626" t="s">
        <v>1019</v>
      </c>
      <c r="D449" s="1553"/>
      <c r="E449" s="1128">
        <v>15.77</v>
      </c>
      <c r="F449" s="1554"/>
      <c r="G449" s="1555"/>
      <c r="H449" s="1556"/>
      <c r="J449" s="838">
        <v>0</v>
      </c>
      <c r="K449" s="1557"/>
      <c r="M449" s="383">
        <v>1</v>
      </c>
      <c r="O449" s="1584"/>
      <c r="P449" s="1344">
        <v>64076.84</v>
      </c>
      <c r="Q449" s="1555"/>
      <c r="R449" s="1555"/>
      <c r="AC449" s="515"/>
      <c r="AD449" s="515"/>
      <c r="AO449" s="1322"/>
      <c r="AP449" s="1323"/>
    </row>
    <row r="450" spans="1:42">
      <c r="A450" s="168">
        <v>301196</v>
      </c>
      <c r="B450" s="163" t="s">
        <v>366</v>
      </c>
      <c r="C450" s="626" t="s">
        <v>1019</v>
      </c>
      <c r="D450" s="1553"/>
      <c r="E450" s="1128">
        <v>15.61</v>
      </c>
      <c r="F450" s="1554"/>
      <c r="G450" s="1555"/>
      <c r="H450" s="1556"/>
      <c r="J450" s="838">
        <v>0</v>
      </c>
      <c r="K450" s="1557"/>
      <c r="M450" s="383">
        <v>1</v>
      </c>
      <c r="O450" s="1584"/>
      <c r="P450" s="1344">
        <v>112134.48</v>
      </c>
      <c r="Q450" s="1555"/>
      <c r="R450" s="1555"/>
      <c r="AC450" s="515"/>
      <c r="AD450" s="515"/>
      <c r="AO450" s="1322"/>
      <c r="AP450" s="1323"/>
    </row>
    <row r="451" spans="1:42">
      <c r="A451" s="168">
        <v>301197</v>
      </c>
      <c r="B451" s="163" t="s">
        <v>1125</v>
      </c>
      <c r="C451" s="626" t="s">
        <v>1019</v>
      </c>
      <c r="D451" s="1553"/>
      <c r="E451" s="1128">
        <v>18.52</v>
      </c>
      <c r="F451" s="1554"/>
      <c r="G451" s="1555"/>
      <c r="H451" s="1556"/>
      <c r="J451" s="838">
        <v>0</v>
      </c>
      <c r="K451" s="1557"/>
      <c r="M451" s="383">
        <v>1</v>
      </c>
      <c r="O451" s="1584"/>
      <c r="P451" s="1344">
        <v>160192.10999999999</v>
      </c>
      <c r="Q451" s="1555"/>
      <c r="R451" s="1555"/>
      <c r="AC451" s="515"/>
      <c r="AD451" s="515"/>
      <c r="AO451" s="1322"/>
      <c r="AP451" s="1323"/>
    </row>
    <row r="452" spans="1:42">
      <c r="A452" s="168">
        <v>301198</v>
      </c>
      <c r="B452" s="163" t="s">
        <v>1126</v>
      </c>
      <c r="C452" s="626" t="s">
        <v>1122</v>
      </c>
      <c r="D452" s="1553"/>
      <c r="E452" s="1128">
        <v>11.67</v>
      </c>
      <c r="F452" s="1554"/>
      <c r="G452" s="1555"/>
      <c r="H452" s="1556"/>
      <c r="J452" s="838">
        <v>0</v>
      </c>
      <c r="K452" s="1557"/>
      <c r="M452" s="383">
        <v>0</v>
      </c>
      <c r="O452" s="1584"/>
      <c r="P452" s="1344">
        <v>0</v>
      </c>
      <c r="Q452" s="1555"/>
      <c r="R452" s="1555"/>
      <c r="AC452" s="515"/>
      <c r="AD452" s="515"/>
      <c r="AO452" s="1322"/>
      <c r="AP452" s="1323"/>
    </row>
    <row r="453" spans="1:42">
      <c r="A453" s="168">
        <v>301199</v>
      </c>
      <c r="B453" s="163" t="s">
        <v>1127</v>
      </c>
      <c r="C453" s="626" t="s">
        <v>1022</v>
      </c>
      <c r="D453" s="1553"/>
      <c r="E453" s="1128">
        <v>11.93</v>
      </c>
      <c r="F453" s="1554"/>
      <c r="G453" s="1555"/>
      <c r="H453" s="1556"/>
      <c r="J453" s="838">
        <v>1</v>
      </c>
      <c r="K453" s="1557"/>
      <c r="M453" s="383">
        <v>0</v>
      </c>
      <c r="O453" s="1584"/>
      <c r="P453" s="1344">
        <v>16019.21</v>
      </c>
      <c r="Q453" s="1555"/>
      <c r="R453" s="1555"/>
      <c r="AC453" s="515"/>
      <c r="AD453" s="515"/>
      <c r="AO453" s="1322"/>
      <c r="AP453" s="1323"/>
    </row>
    <row r="454" spans="1:42">
      <c r="A454" s="155">
        <v>301203</v>
      </c>
      <c r="B454" s="156" t="s">
        <v>367</v>
      </c>
      <c r="C454" s="626" t="s">
        <v>1019</v>
      </c>
      <c r="D454" s="1553"/>
      <c r="E454" s="1128">
        <v>17.82</v>
      </c>
      <c r="F454" s="1554"/>
      <c r="G454" s="1555"/>
      <c r="H454" s="1556"/>
      <c r="J454" s="838">
        <v>0</v>
      </c>
      <c r="K454" s="1557"/>
      <c r="M454" s="383">
        <v>1</v>
      </c>
      <c r="O454" s="1584"/>
      <c r="P454" s="1344">
        <v>64076.84</v>
      </c>
      <c r="Q454" s="1555"/>
      <c r="R454" s="1555"/>
      <c r="AC454" s="515"/>
      <c r="AD454" s="515"/>
      <c r="AO454" s="1322"/>
      <c r="AP454" s="1323"/>
    </row>
    <row r="455" spans="1:42">
      <c r="A455" s="155">
        <v>301206</v>
      </c>
      <c r="B455" s="156" t="s">
        <v>368</v>
      </c>
      <c r="C455" s="626" t="s">
        <v>1019</v>
      </c>
      <c r="D455" s="1553"/>
      <c r="E455" s="1128">
        <v>7.5</v>
      </c>
      <c r="F455" s="1554"/>
      <c r="G455" s="1555"/>
      <c r="H455" s="1556"/>
      <c r="J455" s="838">
        <v>0</v>
      </c>
      <c r="K455" s="1557"/>
      <c r="M455" s="383">
        <v>1</v>
      </c>
      <c r="O455" s="1584"/>
      <c r="P455" s="1344">
        <v>64076.84</v>
      </c>
      <c r="Q455" s="1555"/>
      <c r="R455" s="1555"/>
      <c r="AC455" s="515"/>
      <c r="AD455" s="515"/>
      <c r="AO455" s="1322"/>
      <c r="AP455" s="1323"/>
    </row>
    <row r="456" spans="1:42">
      <c r="A456" s="155">
        <v>301207</v>
      </c>
      <c r="B456" s="156" t="s">
        <v>369</v>
      </c>
      <c r="C456" s="626" t="s">
        <v>1019</v>
      </c>
      <c r="D456" s="1553"/>
      <c r="E456" s="1128">
        <v>8.25</v>
      </c>
      <c r="F456" s="1554"/>
      <c r="G456" s="1555"/>
      <c r="H456" s="1556"/>
      <c r="J456" s="838">
        <v>0</v>
      </c>
      <c r="K456" s="1557"/>
      <c r="M456" s="383">
        <v>1</v>
      </c>
      <c r="O456" s="1584"/>
      <c r="P456" s="1344">
        <v>160192.10999999999</v>
      </c>
      <c r="Q456" s="1555"/>
      <c r="R456" s="1555"/>
      <c r="AC456" s="515"/>
      <c r="AD456" s="515"/>
      <c r="AO456" s="1322"/>
      <c r="AP456" s="1323"/>
    </row>
    <row r="457" spans="1:42">
      <c r="A457" s="155">
        <v>301210</v>
      </c>
      <c r="B457" s="156" t="s">
        <v>1128</v>
      </c>
      <c r="C457" s="626" t="s">
        <v>1019</v>
      </c>
      <c r="D457" s="1553"/>
      <c r="E457" s="1128">
        <v>16.36</v>
      </c>
      <c r="F457" s="1554"/>
      <c r="G457" s="1555"/>
      <c r="H457" s="1556"/>
      <c r="J457" s="838">
        <v>0</v>
      </c>
      <c r="K457" s="1557"/>
      <c r="M457" s="383">
        <v>1</v>
      </c>
      <c r="O457" s="1584"/>
      <c r="P457" s="1344">
        <v>32038.42</v>
      </c>
      <c r="Q457" s="1555"/>
      <c r="R457" s="1555"/>
      <c r="AC457" s="515"/>
      <c r="AD457" s="515"/>
      <c r="AO457" s="1322"/>
      <c r="AP457" s="1323"/>
    </row>
    <row r="458" spans="1:42">
      <c r="A458" s="155">
        <v>301214</v>
      </c>
      <c r="B458" s="156" t="s">
        <v>495</v>
      </c>
      <c r="C458" s="626" t="s">
        <v>1041</v>
      </c>
      <c r="D458" s="1553"/>
      <c r="E458" s="1128">
        <v>10.57</v>
      </c>
      <c r="F458" s="1554"/>
      <c r="G458" s="1555"/>
      <c r="H458" s="1556"/>
      <c r="J458" s="838">
        <v>0</v>
      </c>
      <c r="K458" s="1557"/>
      <c r="M458" s="383">
        <v>0</v>
      </c>
      <c r="O458" s="1584"/>
      <c r="P458" s="1344">
        <v>0</v>
      </c>
      <c r="Q458" s="1555"/>
      <c r="R458" s="1555"/>
      <c r="AC458" s="515"/>
      <c r="AD458" s="515"/>
      <c r="AO458" s="1322"/>
      <c r="AP458" s="1323"/>
    </row>
    <row r="459" spans="1:42">
      <c r="A459" s="155">
        <v>301220</v>
      </c>
      <c r="B459" s="156" t="s">
        <v>370</v>
      </c>
      <c r="C459" s="626" t="s">
        <v>1019</v>
      </c>
      <c r="D459" s="1553"/>
      <c r="E459" s="1128">
        <v>10.029999999999999</v>
      </c>
      <c r="F459" s="1554"/>
      <c r="G459" s="1555"/>
      <c r="H459" s="1556"/>
      <c r="J459" s="838">
        <v>0</v>
      </c>
      <c r="K459" s="1557"/>
      <c r="M459" s="383">
        <v>1</v>
      </c>
      <c r="O459" s="1584"/>
      <c r="P459" s="1344">
        <v>160192.10999999999</v>
      </c>
      <c r="Q459" s="1555"/>
      <c r="R459" s="1555"/>
      <c r="AC459" s="515"/>
      <c r="AD459" s="515"/>
      <c r="AO459" s="1322"/>
      <c r="AP459" s="1323"/>
    </row>
    <row r="460" spans="1:42">
      <c r="A460" s="155">
        <v>301222</v>
      </c>
      <c r="B460" s="156" t="s">
        <v>371</v>
      </c>
      <c r="C460" s="626" t="s">
        <v>1019</v>
      </c>
      <c r="D460" s="1553"/>
      <c r="E460" s="1128">
        <v>16.57</v>
      </c>
      <c r="F460" s="1554"/>
      <c r="G460" s="1555"/>
      <c r="H460" s="1556"/>
      <c r="J460" s="838">
        <v>0</v>
      </c>
      <c r="K460" s="1557"/>
      <c r="M460" s="383">
        <v>1</v>
      </c>
      <c r="O460" s="1584"/>
      <c r="P460" s="1344">
        <v>160192.10999999999</v>
      </c>
      <c r="Q460" s="1555"/>
      <c r="R460" s="1555"/>
      <c r="AC460" s="515"/>
      <c r="AD460" s="515"/>
      <c r="AO460" s="1322"/>
      <c r="AP460" s="1323"/>
    </row>
    <row r="461" spans="1:42">
      <c r="A461" s="155">
        <v>301229</v>
      </c>
      <c r="B461" s="156" t="s">
        <v>373</v>
      </c>
      <c r="C461" s="626" t="s">
        <v>1019</v>
      </c>
      <c r="D461" s="1553"/>
      <c r="E461" s="1128">
        <v>18.39</v>
      </c>
      <c r="F461" s="1554"/>
      <c r="G461" s="1555"/>
      <c r="H461" s="1556"/>
      <c r="J461" s="838">
        <v>0</v>
      </c>
      <c r="K461" s="1557"/>
      <c r="M461" s="383">
        <v>1</v>
      </c>
      <c r="O461" s="1584"/>
      <c r="P461" s="1344">
        <v>32038.42</v>
      </c>
      <c r="Q461" s="1555"/>
      <c r="R461" s="1555"/>
      <c r="AC461" s="515"/>
      <c r="AD461" s="515"/>
      <c r="AO461" s="1322"/>
      <c r="AP461" s="1323"/>
    </row>
    <row r="462" spans="1:42">
      <c r="A462" s="155">
        <v>301230</v>
      </c>
      <c r="B462" s="156" t="s">
        <v>374</v>
      </c>
      <c r="C462" s="626" t="s">
        <v>1019</v>
      </c>
      <c r="D462" s="1553"/>
      <c r="E462" s="1128">
        <v>25.71</v>
      </c>
      <c r="F462" s="1554"/>
      <c r="G462" s="1555"/>
      <c r="H462" s="1556"/>
      <c r="J462" s="838">
        <v>0</v>
      </c>
      <c r="K462" s="1557"/>
      <c r="M462" s="383">
        <v>1</v>
      </c>
      <c r="O462" s="1584"/>
      <c r="P462" s="1344">
        <v>48057.63</v>
      </c>
      <c r="Q462" s="1555"/>
      <c r="R462" s="1555"/>
      <c r="AC462" s="515"/>
      <c r="AD462" s="515"/>
      <c r="AO462" s="1322"/>
      <c r="AP462" s="1323"/>
    </row>
    <row r="463" spans="1:42">
      <c r="A463" s="155">
        <v>301232</v>
      </c>
      <c r="B463" s="156" t="s">
        <v>375</v>
      </c>
      <c r="C463" s="626" t="s">
        <v>1019</v>
      </c>
      <c r="D463" s="1553"/>
      <c r="E463" s="1128">
        <v>21.88</v>
      </c>
      <c r="F463" s="1554"/>
      <c r="G463" s="1555"/>
      <c r="H463" s="1556"/>
      <c r="J463" s="838">
        <v>0</v>
      </c>
      <c r="K463" s="1557"/>
      <c r="M463" s="383">
        <v>1</v>
      </c>
      <c r="O463" s="1584"/>
      <c r="P463" s="1344">
        <v>64076.84</v>
      </c>
      <c r="Q463" s="1555"/>
      <c r="R463" s="1555"/>
      <c r="AC463" s="515"/>
      <c r="AD463" s="515"/>
      <c r="AO463" s="1322"/>
      <c r="AP463" s="1323"/>
    </row>
    <row r="464" spans="1:42">
      <c r="A464" s="155">
        <v>301233</v>
      </c>
      <c r="B464" s="156" t="s">
        <v>376</v>
      </c>
      <c r="C464" s="626" t="s">
        <v>1019</v>
      </c>
      <c r="D464" s="1553"/>
      <c r="E464" s="1128">
        <v>19.989999999999998</v>
      </c>
      <c r="F464" s="1554"/>
      <c r="G464" s="1555"/>
      <c r="H464" s="1556"/>
      <c r="J464" s="838">
        <v>0</v>
      </c>
      <c r="K464" s="1557"/>
      <c r="M464" s="383">
        <v>1</v>
      </c>
      <c r="O464" s="1584"/>
      <c r="P464" s="1344">
        <v>48057.63</v>
      </c>
      <c r="Q464" s="1555"/>
      <c r="R464" s="1555"/>
      <c r="AC464" s="515"/>
      <c r="AD464" s="515"/>
      <c r="AO464" s="1322"/>
      <c r="AP464" s="1323"/>
    </row>
    <row r="465" spans="1:42">
      <c r="A465" s="155">
        <v>301234</v>
      </c>
      <c r="B465" s="156" t="s">
        <v>377</v>
      </c>
      <c r="C465" s="626" t="s">
        <v>1019</v>
      </c>
      <c r="D465" s="1553"/>
      <c r="E465" s="1128">
        <v>23.88</v>
      </c>
      <c r="F465" s="1554"/>
      <c r="G465" s="1555"/>
      <c r="H465" s="1556"/>
      <c r="J465" s="838">
        <v>0</v>
      </c>
      <c r="K465" s="1557"/>
      <c r="M465" s="383">
        <v>1</v>
      </c>
      <c r="O465" s="1584"/>
      <c r="P465" s="1344">
        <v>32038.42</v>
      </c>
      <c r="Q465" s="1555"/>
      <c r="R465" s="1555"/>
      <c r="AC465" s="515"/>
      <c r="AD465" s="515"/>
      <c r="AO465" s="1322"/>
      <c r="AP465" s="1323"/>
    </row>
    <row r="466" spans="1:42">
      <c r="A466" s="155">
        <v>301235</v>
      </c>
      <c r="B466" s="156" t="s">
        <v>378</v>
      </c>
      <c r="C466" s="626" t="s">
        <v>1019</v>
      </c>
      <c r="D466" s="1553"/>
      <c r="E466" s="1128">
        <v>18.670000000000002</v>
      </c>
      <c r="F466" s="1554"/>
      <c r="G466" s="1555"/>
      <c r="H466" s="1556"/>
      <c r="J466" s="838">
        <v>0</v>
      </c>
      <c r="K466" s="1557"/>
      <c r="M466" s="383">
        <v>1</v>
      </c>
      <c r="O466" s="1584"/>
      <c r="P466" s="1344">
        <v>32038.42</v>
      </c>
      <c r="Q466" s="1555"/>
      <c r="R466" s="1555"/>
      <c r="AC466" s="515"/>
      <c r="AD466" s="515"/>
      <c r="AO466" s="1322"/>
      <c r="AP466" s="1323"/>
    </row>
    <row r="467" spans="1:42">
      <c r="A467" s="155">
        <v>301238</v>
      </c>
      <c r="B467" s="156" t="s">
        <v>379</v>
      </c>
      <c r="C467" s="626" t="s">
        <v>1019</v>
      </c>
      <c r="D467" s="1553"/>
      <c r="E467" s="1128">
        <v>18</v>
      </c>
      <c r="F467" s="1554"/>
      <c r="G467" s="1555"/>
      <c r="H467" s="1556"/>
      <c r="J467" s="838">
        <v>0</v>
      </c>
      <c r="K467" s="1557"/>
      <c r="M467" s="383">
        <v>1</v>
      </c>
      <c r="O467" s="1584"/>
      <c r="P467" s="1344">
        <v>48057.63</v>
      </c>
      <c r="Q467" s="1555"/>
      <c r="R467" s="1555"/>
      <c r="AC467" s="515"/>
      <c r="AD467" s="515"/>
      <c r="AO467" s="1322"/>
      <c r="AP467" s="1323"/>
    </row>
    <row r="468" spans="1:42">
      <c r="A468" s="155">
        <v>301239</v>
      </c>
      <c r="B468" s="156" t="s">
        <v>380</v>
      </c>
      <c r="C468" s="626" t="s">
        <v>1019</v>
      </c>
      <c r="D468" s="1553"/>
      <c r="E468" s="1128">
        <v>18.23</v>
      </c>
      <c r="F468" s="1554"/>
      <c r="G468" s="1555"/>
      <c r="H468" s="1556"/>
      <c r="J468" s="838">
        <v>0</v>
      </c>
      <c r="K468" s="1557"/>
      <c r="M468" s="383">
        <v>1</v>
      </c>
      <c r="O468" s="1584"/>
      <c r="P468" s="1344">
        <v>48057.63</v>
      </c>
      <c r="Q468" s="1555"/>
      <c r="R468" s="1555"/>
      <c r="AC468" s="515"/>
      <c r="AD468" s="515"/>
      <c r="AO468" s="1322"/>
      <c r="AP468" s="1323"/>
    </row>
    <row r="469" spans="1:42">
      <c r="A469" s="155">
        <v>301240</v>
      </c>
      <c r="B469" s="156" t="s">
        <v>381</v>
      </c>
      <c r="C469" s="626" t="s">
        <v>1019</v>
      </c>
      <c r="D469" s="1553"/>
      <c r="E469" s="1128">
        <v>21.89</v>
      </c>
      <c r="F469" s="1554"/>
      <c r="G469" s="1555"/>
      <c r="H469" s="1556"/>
      <c r="J469" s="838">
        <v>0</v>
      </c>
      <c r="K469" s="1557"/>
      <c r="M469" s="383">
        <v>1</v>
      </c>
      <c r="O469" s="1584"/>
      <c r="P469" s="1344">
        <v>160192.10999999999</v>
      </c>
      <c r="Q469" s="1555"/>
      <c r="R469" s="1555"/>
      <c r="AC469" s="515"/>
      <c r="AD469" s="515"/>
      <c r="AO469" s="1322"/>
      <c r="AP469" s="1323"/>
    </row>
    <row r="470" spans="1:42">
      <c r="A470" s="155">
        <v>301241</v>
      </c>
      <c r="B470" s="156" t="s">
        <v>382</v>
      </c>
      <c r="C470" s="626" t="s">
        <v>1019</v>
      </c>
      <c r="D470" s="1553"/>
      <c r="E470" s="1128">
        <v>22.01</v>
      </c>
      <c r="F470" s="1554"/>
      <c r="G470" s="1555"/>
      <c r="H470" s="1556"/>
      <c r="J470" s="838">
        <v>0</v>
      </c>
      <c r="K470" s="1557"/>
      <c r="M470" s="383">
        <v>1</v>
      </c>
      <c r="O470" s="1584"/>
      <c r="P470" s="1344">
        <v>64076.84</v>
      </c>
      <c r="Q470" s="1555"/>
      <c r="R470" s="1555"/>
      <c r="AC470" s="515"/>
      <c r="AD470" s="515"/>
      <c r="AO470" s="1322"/>
      <c r="AP470" s="1323"/>
    </row>
    <row r="471" spans="1:42">
      <c r="A471" s="155">
        <v>301242</v>
      </c>
      <c r="B471" s="156" t="s">
        <v>383</v>
      </c>
      <c r="C471" s="626" t="s">
        <v>1019</v>
      </c>
      <c r="D471" s="1553"/>
      <c r="E471" s="1128">
        <v>20.76</v>
      </c>
      <c r="F471" s="1554"/>
      <c r="G471" s="1555"/>
      <c r="H471" s="1556"/>
      <c r="J471" s="838">
        <v>0</v>
      </c>
      <c r="K471" s="1557"/>
      <c r="M471" s="383">
        <v>1</v>
      </c>
      <c r="O471" s="1584"/>
      <c r="P471" s="1344">
        <v>96115.27</v>
      </c>
      <c r="Q471" s="1555"/>
      <c r="R471" s="1555"/>
      <c r="AC471" s="515"/>
      <c r="AD471" s="515"/>
      <c r="AO471" s="1322"/>
      <c r="AP471" s="1323"/>
    </row>
    <row r="472" spans="1:42">
      <c r="A472" s="155">
        <v>301243</v>
      </c>
      <c r="B472" s="156" t="s">
        <v>384</v>
      </c>
      <c r="C472" s="626" t="s">
        <v>1019</v>
      </c>
      <c r="D472" s="1553"/>
      <c r="E472" s="1128">
        <v>22.04</v>
      </c>
      <c r="F472" s="1554"/>
      <c r="G472" s="1555"/>
      <c r="H472" s="1556"/>
      <c r="J472" s="838">
        <v>0</v>
      </c>
      <c r="K472" s="1557"/>
      <c r="M472" s="383">
        <v>1</v>
      </c>
      <c r="O472" s="1584"/>
      <c r="P472" s="1344">
        <v>80096.05</v>
      </c>
      <c r="Q472" s="1555"/>
      <c r="R472" s="1555"/>
      <c r="AC472" s="515"/>
      <c r="AD472" s="515"/>
      <c r="AO472" s="1322"/>
      <c r="AP472" s="1323"/>
    </row>
    <row r="473" spans="1:42">
      <c r="A473" s="155">
        <v>301244</v>
      </c>
      <c r="B473" s="156" t="s">
        <v>385</v>
      </c>
      <c r="C473" s="626" t="s">
        <v>1019</v>
      </c>
      <c r="D473" s="1553"/>
      <c r="E473" s="1128">
        <v>19.2</v>
      </c>
      <c r="F473" s="1554"/>
      <c r="G473" s="1555"/>
      <c r="H473" s="1556"/>
      <c r="J473" s="838">
        <v>0</v>
      </c>
      <c r="K473" s="1557"/>
      <c r="M473" s="383">
        <v>1</v>
      </c>
      <c r="O473" s="1584"/>
      <c r="P473" s="1344">
        <v>32038.42</v>
      </c>
      <c r="Q473" s="1555"/>
      <c r="R473" s="1555"/>
      <c r="AC473" s="515"/>
      <c r="AD473" s="515"/>
      <c r="AO473" s="1322"/>
      <c r="AP473" s="1323"/>
    </row>
    <row r="474" spans="1:42">
      <c r="A474" s="155">
        <v>301245</v>
      </c>
      <c r="B474" s="156" t="s">
        <v>386</v>
      </c>
      <c r="C474" s="626" t="s">
        <v>1019</v>
      </c>
      <c r="D474" s="1553"/>
      <c r="E474" s="1128">
        <v>19.190000000000001</v>
      </c>
      <c r="F474" s="1554"/>
      <c r="G474" s="1555"/>
      <c r="H474" s="1556"/>
      <c r="J474" s="838">
        <v>0</v>
      </c>
      <c r="K474" s="1557"/>
      <c r="M474" s="383">
        <v>1</v>
      </c>
      <c r="O474" s="1584"/>
      <c r="P474" s="1344">
        <v>128153.69</v>
      </c>
      <c r="Q474" s="1555"/>
      <c r="R474" s="1555"/>
      <c r="AC474" s="515"/>
      <c r="AD474" s="515"/>
      <c r="AO474" s="1322"/>
      <c r="AP474" s="1323"/>
    </row>
    <row r="475" spans="1:42">
      <c r="A475" s="155">
        <v>301246</v>
      </c>
      <c r="B475" s="156" t="s">
        <v>387</v>
      </c>
      <c r="C475" s="626" t="s">
        <v>1019</v>
      </c>
      <c r="D475" s="1553"/>
      <c r="E475" s="1128">
        <v>2.27</v>
      </c>
      <c r="F475" s="1554"/>
      <c r="G475" s="1555"/>
      <c r="H475" s="1556"/>
      <c r="J475" s="838">
        <v>0</v>
      </c>
      <c r="K475" s="1557"/>
      <c r="M475" s="383">
        <v>1</v>
      </c>
      <c r="O475" s="1584"/>
      <c r="P475" s="1344">
        <v>128153.69</v>
      </c>
      <c r="Q475" s="1555"/>
      <c r="R475" s="1555"/>
      <c r="AC475" s="515"/>
      <c r="AD475" s="515"/>
      <c r="AO475" s="1322"/>
      <c r="AP475" s="1323"/>
    </row>
    <row r="476" spans="1:42">
      <c r="A476" s="155">
        <v>301247</v>
      </c>
      <c r="B476" s="156" t="s">
        <v>388</v>
      </c>
      <c r="C476" s="626" t="s">
        <v>1019</v>
      </c>
      <c r="D476" s="1553"/>
      <c r="E476" s="1128">
        <v>2.92</v>
      </c>
      <c r="F476" s="1554"/>
      <c r="G476" s="1555"/>
      <c r="H476" s="1556"/>
      <c r="J476" s="838">
        <v>0</v>
      </c>
      <c r="K476" s="1557"/>
      <c r="M476" s="383">
        <v>1</v>
      </c>
      <c r="O476" s="1584"/>
      <c r="P476" s="1344">
        <v>32038.42</v>
      </c>
      <c r="Q476" s="1555"/>
      <c r="R476" s="1555"/>
      <c r="AC476" s="515"/>
      <c r="AD476" s="515"/>
      <c r="AO476" s="1322"/>
      <c r="AP476" s="1323"/>
    </row>
    <row r="477" spans="1:42">
      <c r="A477" s="155">
        <v>301248</v>
      </c>
      <c r="B477" s="156" t="s">
        <v>389</v>
      </c>
      <c r="C477" s="626" t="s">
        <v>1019</v>
      </c>
      <c r="D477" s="1553"/>
      <c r="E477" s="1128">
        <v>6.98</v>
      </c>
      <c r="F477" s="1554"/>
      <c r="G477" s="1555"/>
      <c r="H477" s="1556"/>
      <c r="J477" s="838">
        <v>0</v>
      </c>
      <c r="K477" s="1557"/>
      <c r="M477" s="383">
        <v>1</v>
      </c>
      <c r="O477" s="1584"/>
      <c r="P477" s="1344">
        <v>176211.31</v>
      </c>
      <c r="Q477" s="1555"/>
      <c r="R477" s="1555"/>
      <c r="AC477" s="515"/>
      <c r="AD477" s="515"/>
      <c r="AO477" s="1322"/>
      <c r="AP477" s="1323"/>
    </row>
    <row r="478" spans="1:42">
      <c r="A478" s="155">
        <v>301249</v>
      </c>
      <c r="B478" s="156" t="s">
        <v>390</v>
      </c>
      <c r="C478" s="626" t="s">
        <v>1019</v>
      </c>
      <c r="D478" s="1553"/>
      <c r="E478" s="1128">
        <v>11.12</v>
      </c>
      <c r="F478" s="1554"/>
      <c r="G478" s="1555"/>
      <c r="H478" s="1556"/>
      <c r="J478" s="838">
        <v>0</v>
      </c>
      <c r="K478" s="1557"/>
      <c r="M478" s="383">
        <v>1</v>
      </c>
      <c r="O478" s="1584"/>
      <c r="P478" s="1344">
        <v>64076.84</v>
      </c>
      <c r="Q478" s="1555"/>
      <c r="R478" s="1555"/>
      <c r="AC478" s="515"/>
      <c r="AD478" s="515"/>
      <c r="AO478" s="1322"/>
      <c r="AP478" s="1323"/>
    </row>
    <row r="479" spans="1:42">
      <c r="A479" s="155">
        <v>301250</v>
      </c>
      <c r="B479" s="156" t="s">
        <v>391</v>
      </c>
      <c r="C479" s="626" t="s">
        <v>1019</v>
      </c>
      <c r="D479" s="1553"/>
      <c r="E479" s="1128">
        <v>2.92</v>
      </c>
      <c r="F479" s="1554"/>
      <c r="G479" s="1555"/>
      <c r="H479" s="1556"/>
      <c r="J479" s="838">
        <v>0</v>
      </c>
      <c r="K479" s="1557"/>
      <c r="M479" s="383">
        <v>1</v>
      </c>
      <c r="O479" s="1584"/>
      <c r="P479" s="1344">
        <v>80096.05</v>
      </c>
      <c r="Q479" s="1555"/>
      <c r="R479" s="1555"/>
      <c r="AC479" s="515"/>
      <c r="AD479" s="515"/>
      <c r="AO479" s="1322"/>
      <c r="AP479" s="1323"/>
    </row>
    <row r="480" spans="1:42">
      <c r="A480" s="155">
        <v>301251</v>
      </c>
      <c r="B480" s="156" t="s">
        <v>392</v>
      </c>
      <c r="C480" s="626" t="s">
        <v>1019</v>
      </c>
      <c r="D480" s="1553"/>
      <c r="E480" s="1128">
        <v>8.17</v>
      </c>
      <c r="F480" s="1554"/>
      <c r="G480" s="1555"/>
      <c r="H480" s="1556"/>
      <c r="J480" s="838">
        <v>0</v>
      </c>
      <c r="K480" s="1557"/>
      <c r="M480" s="383">
        <v>1</v>
      </c>
      <c r="O480" s="1584"/>
      <c r="P480" s="1344">
        <v>80096.05</v>
      </c>
      <c r="Q480" s="1555"/>
      <c r="R480" s="1555"/>
      <c r="AC480" s="515"/>
      <c r="AD480" s="515"/>
      <c r="AO480" s="1322"/>
      <c r="AP480" s="1323"/>
    </row>
    <row r="481" spans="1:42">
      <c r="A481" s="155">
        <v>301252</v>
      </c>
      <c r="B481" s="156" t="s">
        <v>393</v>
      </c>
      <c r="C481" s="626" t="s">
        <v>1019</v>
      </c>
      <c r="D481" s="1553"/>
      <c r="E481" s="1128">
        <v>8.8800000000000008</v>
      </c>
      <c r="F481" s="1554"/>
      <c r="G481" s="1555"/>
      <c r="H481" s="1556"/>
      <c r="J481" s="838">
        <v>0</v>
      </c>
      <c r="K481" s="1557"/>
      <c r="M481" s="383">
        <v>1</v>
      </c>
      <c r="O481" s="1584"/>
      <c r="P481" s="1344">
        <v>128153.69</v>
      </c>
      <c r="Q481" s="1555"/>
      <c r="R481" s="1555"/>
      <c r="AC481" s="515"/>
      <c r="AD481" s="515"/>
      <c r="AO481" s="1322"/>
      <c r="AP481" s="1323"/>
    </row>
    <row r="482" spans="1:42">
      <c r="A482" s="155">
        <v>301253</v>
      </c>
      <c r="B482" s="156" t="s">
        <v>394</v>
      </c>
      <c r="C482" s="626" t="s">
        <v>1019</v>
      </c>
      <c r="D482" s="1553"/>
      <c r="E482" s="1128">
        <v>2.92</v>
      </c>
      <c r="F482" s="1554"/>
      <c r="G482" s="1555"/>
      <c r="H482" s="1556"/>
      <c r="J482" s="838">
        <v>0</v>
      </c>
      <c r="K482" s="1557"/>
      <c r="M482" s="383">
        <v>1</v>
      </c>
      <c r="O482" s="1584"/>
      <c r="P482" s="1344">
        <v>96115.27</v>
      </c>
      <c r="Q482" s="1555"/>
      <c r="R482" s="1555"/>
      <c r="AC482" s="515"/>
      <c r="AD482" s="515"/>
      <c r="AO482" s="1322"/>
      <c r="AP482" s="1323"/>
    </row>
    <row r="483" spans="1:42">
      <c r="A483" s="155">
        <v>301254</v>
      </c>
      <c r="B483" s="156" t="s">
        <v>395</v>
      </c>
      <c r="C483" s="626" t="s">
        <v>1019</v>
      </c>
      <c r="D483" s="1553"/>
      <c r="E483" s="1128">
        <v>10.3</v>
      </c>
      <c r="F483" s="1554"/>
      <c r="G483" s="1555"/>
      <c r="H483" s="1556"/>
      <c r="J483" s="838">
        <v>0</v>
      </c>
      <c r="K483" s="1557"/>
      <c r="M483" s="383">
        <v>1</v>
      </c>
      <c r="O483" s="1584"/>
      <c r="P483" s="1344">
        <v>80096.05</v>
      </c>
      <c r="Q483" s="1555"/>
      <c r="R483" s="1555"/>
      <c r="AC483" s="515"/>
      <c r="AD483" s="515"/>
      <c r="AO483" s="1322"/>
      <c r="AP483" s="1323"/>
    </row>
    <row r="484" spans="1:42">
      <c r="A484" s="155">
        <v>301255</v>
      </c>
      <c r="B484" s="156" t="s">
        <v>396</v>
      </c>
      <c r="C484" s="626" t="s">
        <v>1019</v>
      </c>
      <c r="D484" s="1553"/>
      <c r="E484" s="1128">
        <v>8.36</v>
      </c>
      <c r="F484" s="1554"/>
      <c r="G484" s="1555"/>
      <c r="H484" s="1556"/>
      <c r="J484" s="838">
        <v>0</v>
      </c>
      <c r="K484" s="1557"/>
      <c r="M484" s="383">
        <v>1</v>
      </c>
      <c r="O484" s="1584"/>
      <c r="P484" s="1344">
        <v>96115.27</v>
      </c>
      <c r="Q484" s="1555"/>
      <c r="R484" s="1555"/>
      <c r="AC484" s="515"/>
      <c r="AD484" s="515"/>
      <c r="AO484" s="1322"/>
      <c r="AP484" s="1323"/>
    </row>
    <row r="485" spans="1:42">
      <c r="A485" s="155">
        <v>301256</v>
      </c>
      <c r="B485" s="156" t="s">
        <v>397</v>
      </c>
      <c r="C485" s="626" t="s">
        <v>1019</v>
      </c>
      <c r="D485" s="1553"/>
      <c r="E485" s="1128">
        <v>14.98</v>
      </c>
      <c r="F485" s="1554"/>
      <c r="G485" s="1555"/>
      <c r="H485" s="1556"/>
      <c r="J485" s="838">
        <v>0</v>
      </c>
      <c r="K485" s="1557"/>
      <c r="M485" s="383">
        <v>1</v>
      </c>
      <c r="O485" s="1584"/>
      <c r="P485" s="1344">
        <v>48057.63</v>
      </c>
      <c r="Q485" s="1555"/>
      <c r="R485" s="1555"/>
      <c r="AC485" s="515"/>
      <c r="AD485" s="515"/>
      <c r="AO485" s="1322"/>
      <c r="AP485" s="1323"/>
    </row>
    <row r="486" spans="1:42">
      <c r="A486" s="155">
        <v>301257</v>
      </c>
      <c r="B486" s="156" t="s">
        <v>398</v>
      </c>
      <c r="C486" s="626" t="s">
        <v>1019</v>
      </c>
      <c r="D486" s="1553"/>
      <c r="E486" s="1128">
        <v>12.05</v>
      </c>
      <c r="F486" s="1554"/>
      <c r="G486" s="1555"/>
      <c r="H486" s="1556"/>
      <c r="J486" s="838">
        <v>0</v>
      </c>
      <c r="K486" s="1557"/>
      <c r="M486" s="383">
        <v>1</v>
      </c>
      <c r="O486" s="1584"/>
      <c r="P486" s="1344">
        <v>128153.69</v>
      </c>
      <c r="Q486" s="1555"/>
      <c r="R486" s="1555"/>
      <c r="AC486" s="515"/>
      <c r="AD486" s="515"/>
      <c r="AO486" s="1322"/>
      <c r="AP486" s="1323"/>
    </row>
    <row r="487" spans="1:42">
      <c r="A487" s="155">
        <v>301259</v>
      </c>
      <c r="B487" s="156" t="s">
        <v>399</v>
      </c>
      <c r="C487" s="626" t="s">
        <v>1019</v>
      </c>
      <c r="D487" s="1553"/>
      <c r="E487" s="1128">
        <v>12.29</v>
      </c>
      <c r="F487" s="1554"/>
      <c r="G487" s="1555"/>
      <c r="H487" s="1556"/>
      <c r="J487" s="838">
        <v>0</v>
      </c>
      <c r="K487" s="1557"/>
      <c r="M487" s="383">
        <v>1</v>
      </c>
      <c r="O487" s="1584"/>
      <c r="P487" s="1344">
        <v>64076.84</v>
      </c>
      <c r="Q487" s="1555"/>
      <c r="R487" s="1555"/>
      <c r="AC487" s="515"/>
      <c r="AD487" s="515"/>
      <c r="AO487" s="1322"/>
      <c r="AP487" s="1323"/>
    </row>
    <row r="488" spans="1:42">
      <c r="A488" s="155">
        <v>301260</v>
      </c>
      <c r="B488" s="156" t="s">
        <v>400</v>
      </c>
      <c r="C488" s="626" t="s">
        <v>1019</v>
      </c>
      <c r="D488" s="1553"/>
      <c r="E488" s="1128">
        <v>16.440000000000001</v>
      </c>
      <c r="F488" s="1554"/>
      <c r="G488" s="1555"/>
      <c r="H488" s="1556"/>
      <c r="J488" s="838">
        <v>0</v>
      </c>
      <c r="K488" s="1557"/>
      <c r="M488" s="383">
        <v>1</v>
      </c>
      <c r="O488" s="1584"/>
      <c r="P488" s="1344">
        <v>48057.63</v>
      </c>
      <c r="Q488" s="1555"/>
      <c r="R488" s="1555"/>
      <c r="AC488" s="515"/>
      <c r="AD488" s="515"/>
      <c r="AO488" s="1322"/>
      <c r="AP488" s="1323"/>
    </row>
    <row r="489" spans="1:42">
      <c r="A489" s="155">
        <v>301263</v>
      </c>
      <c r="B489" s="156" t="s">
        <v>401</v>
      </c>
      <c r="C489" s="626" t="s">
        <v>1019</v>
      </c>
      <c r="D489" s="1553"/>
      <c r="E489" s="1128">
        <v>14.72</v>
      </c>
      <c r="F489" s="1554"/>
      <c r="G489" s="1555"/>
      <c r="H489" s="1556"/>
      <c r="J489" s="838">
        <v>0</v>
      </c>
      <c r="K489" s="1557"/>
      <c r="M489" s="383">
        <v>1</v>
      </c>
      <c r="N489" s="301"/>
      <c r="O489" s="1584"/>
      <c r="P489" s="1344">
        <v>80096.05</v>
      </c>
      <c r="Q489" s="1555"/>
      <c r="R489" s="1555"/>
      <c r="AC489" s="515"/>
      <c r="AD489" s="515"/>
      <c r="AO489" s="1322"/>
      <c r="AP489" s="1323"/>
    </row>
    <row r="490" spans="1:42">
      <c r="A490" s="155">
        <v>301264</v>
      </c>
      <c r="B490" s="156" t="s">
        <v>402</v>
      </c>
      <c r="C490" s="626" t="s">
        <v>1019</v>
      </c>
      <c r="D490" s="1553"/>
      <c r="E490" s="1128">
        <v>10.08</v>
      </c>
      <c r="F490" s="1554"/>
      <c r="G490" s="1555"/>
      <c r="H490" s="1556"/>
      <c r="I490" s="301"/>
      <c r="J490" s="838">
        <v>0</v>
      </c>
      <c r="K490" s="1557"/>
      <c r="L490" s="310"/>
      <c r="M490" s="383">
        <v>1</v>
      </c>
      <c r="O490" s="1584"/>
      <c r="P490" s="1344">
        <v>64076.84</v>
      </c>
      <c r="Q490" s="1555"/>
      <c r="R490" s="1555"/>
      <c r="AC490" s="515"/>
      <c r="AD490" s="515"/>
      <c r="AO490" s="1322"/>
      <c r="AP490" s="1323"/>
    </row>
    <row r="491" spans="1:42">
      <c r="A491" s="155">
        <v>301265</v>
      </c>
      <c r="B491" s="156" t="s">
        <v>403</v>
      </c>
      <c r="C491" s="626" t="s">
        <v>1019</v>
      </c>
      <c r="D491" s="1553"/>
      <c r="E491" s="1128">
        <v>13.78</v>
      </c>
      <c r="F491" s="1554"/>
      <c r="G491" s="1555"/>
      <c r="H491" s="1556"/>
      <c r="J491" s="838">
        <v>0</v>
      </c>
      <c r="K491" s="1557"/>
      <c r="M491" s="383">
        <v>1</v>
      </c>
      <c r="O491" s="1584"/>
      <c r="P491" s="1344">
        <v>80096.05</v>
      </c>
      <c r="Q491" s="1555"/>
      <c r="R491" s="1555"/>
      <c r="AC491" s="515"/>
      <c r="AD491" s="515"/>
      <c r="AO491" s="1322"/>
      <c r="AP491" s="1323"/>
    </row>
    <row r="492" spans="1:42">
      <c r="A492" s="155">
        <v>301266</v>
      </c>
      <c r="B492" s="156" t="s">
        <v>404</v>
      </c>
      <c r="C492" s="626" t="s">
        <v>1019</v>
      </c>
      <c r="D492" s="1553"/>
      <c r="E492" s="1128">
        <v>16.43</v>
      </c>
      <c r="F492" s="1554"/>
      <c r="G492" s="1555"/>
      <c r="H492" s="1556"/>
      <c r="J492" s="838">
        <v>0</v>
      </c>
      <c r="K492" s="1557"/>
      <c r="M492" s="383">
        <v>1</v>
      </c>
      <c r="O492" s="1584"/>
      <c r="P492" s="1344">
        <v>64076.84</v>
      </c>
      <c r="Q492" s="1555"/>
      <c r="R492" s="1555"/>
      <c r="AC492" s="515"/>
      <c r="AD492" s="515"/>
      <c r="AO492" s="1322"/>
      <c r="AP492" s="1323"/>
    </row>
    <row r="493" spans="1:42">
      <c r="A493" s="155">
        <v>301267</v>
      </c>
      <c r="B493" s="156" t="s">
        <v>405</v>
      </c>
      <c r="C493" s="626" t="s">
        <v>1019</v>
      </c>
      <c r="D493" s="1553"/>
      <c r="E493" s="1128">
        <v>7.73</v>
      </c>
      <c r="F493" s="1554"/>
      <c r="G493" s="1555"/>
      <c r="H493" s="1556"/>
      <c r="J493" s="838">
        <v>0</v>
      </c>
      <c r="K493" s="1557"/>
      <c r="M493" s="383">
        <v>1</v>
      </c>
      <c r="O493" s="1584"/>
      <c r="P493" s="1344">
        <v>48057.63</v>
      </c>
      <c r="Q493" s="1555"/>
      <c r="R493" s="1555"/>
      <c r="AC493" s="515"/>
      <c r="AD493" s="515"/>
      <c r="AO493" s="1322"/>
      <c r="AP493" s="1323"/>
    </row>
    <row r="494" spans="1:42">
      <c r="A494" s="155">
        <v>301269</v>
      </c>
      <c r="B494" s="156" t="s">
        <v>406</v>
      </c>
      <c r="C494" s="626" t="s">
        <v>1019</v>
      </c>
      <c r="D494" s="1553"/>
      <c r="E494" s="1128">
        <v>12.07</v>
      </c>
      <c r="F494" s="1554"/>
      <c r="G494" s="1555"/>
      <c r="H494" s="1556"/>
      <c r="J494" s="838">
        <v>0</v>
      </c>
      <c r="K494" s="1557"/>
      <c r="M494" s="383">
        <v>1</v>
      </c>
      <c r="O494" s="1584"/>
      <c r="P494" s="1344">
        <v>64076.84</v>
      </c>
      <c r="Q494" s="1555"/>
      <c r="R494" s="1555"/>
      <c r="AC494" s="515"/>
      <c r="AD494" s="515"/>
      <c r="AO494" s="1322"/>
      <c r="AP494" s="1323"/>
    </row>
    <row r="495" spans="1:42">
      <c r="A495" s="155">
        <v>301271</v>
      </c>
      <c r="B495" s="156" t="s">
        <v>407</v>
      </c>
      <c r="C495" s="626" t="s">
        <v>1019</v>
      </c>
      <c r="D495" s="1553"/>
      <c r="E495" s="1128">
        <v>13.59</v>
      </c>
      <c r="F495" s="1554"/>
      <c r="G495" s="1555"/>
      <c r="H495" s="1556"/>
      <c r="J495" s="838">
        <v>0</v>
      </c>
      <c r="K495" s="1557"/>
      <c r="M495" s="383">
        <v>1</v>
      </c>
      <c r="O495" s="1584"/>
      <c r="P495" s="1344">
        <v>64076.84</v>
      </c>
      <c r="Q495" s="1555"/>
      <c r="R495" s="1555"/>
      <c r="AC495" s="515"/>
      <c r="AD495" s="515"/>
      <c r="AO495" s="1322"/>
      <c r="AP495" s="1323"/>
    </row>
    <row r="496" spans="1:42">
      <c r="A496" s="155">
        <v>301272</v>
      </c>
      <c r="B496" s="156" t="s">
        <v>408</v>
      </c>
      <c r="C496" s="626" t="s">
        <v>1019</v>
      </c>
      <c r="D496" s="1553"/>
      <c r="E496" s="1128">
        <v>17.66</v>
      </c>
      <c r="F496" s="1554"/>
      <c r="G496" s="1555"/>
      <c r="H496" s="1556"/>
      <c r="J496" s="838">
        <v>0</v>
      </c>
      <c r="K496" s="1557"/>
      <c r="M496" s="383">
        <v>1</v>
      </c>
      <c r="O496" s="1584"/>
      <c r="P496" s="1344">
        <v>48057.63</v>
      </c>
      <c r="Q496" s="1555"/>
      <c r="R496" s="1555"/>
      <c r="AC496" s="515"/>
      <c r="AD496" s="515"/>
      <c r="AO496" s="1322"/>
      <c r="AP496" s="1323"/>
    </row>
    <row r="497" spans="1:42">
      <c r="A497" s="155">
        <v>301273</v>
      </c>
      <c r="B497" s="156" t="s">
        <v>409</v>
      </c>
      <c r="C497" s="626" t="s">
        <v>1019</v>
      </c>
      <c r="D497" s="1553"/>
      <c r="E497" s="1128">
        <v>9.99</v>
      </c>
      <c r="F497" s="1554"/>
      <c r="G497" s="1555"/>
      <c r="H497" s="1556"/>
      <c r="J497" s="838">
        <v>0</v>
      </c>
      <c r="K497" s="1557"/>
      <c r="M497" s="383">
        <v>1</v>
      </c>
      <c r="O497" s="1584"/>
      <c r="P497" s="1344">
        <v>64076.84</v>
      </c>
      <c r="Q497" s="1555"/>
      <c r="R497" s="1555"/>
      <c r="AC497" s="515"/>
      <c r="AD497" s="515"/>
      <c r="AO497" s="1322"/>
      <c r="AP497" s="1323"/>
    </row>
    <row r="498" spans="1:42">
      <c r="A498" s="155">
        <v>301275</v>
      </c>
      <c r="B498" s="156" t="s">
        <v>410</v>
      </c>
      <c r="C498" s="626" t="s">
        <v>1019</v>
      </c>
      <c r="D498" s="1553"/>
      <c r="E498" s="1128">
        <v>12.27</v>
      </c>
      <c r="F498" s="1554"/>
      <c r="G498" s="1555"/>
      <c r="H498" s="1556"/>
      <c r="J498" s="838">
        <v>0</v>
      </c>
      <c r="K498" s="1557"/>
      <c r="M498" s="383">
        <v>1</v>
      </c>
      <c r="O498" s="1584"/>
      <c r="P498" s="1344">
        <v>96115.27</v>
      </c>
      <c r="Q498" s="1555"/>
      <c r="R498" s="1555"/>
      <c r="AC498" s="515"/>
      <c r="AD498" s="515"/>
      <c r="AO498" s="1322"/>
      <c r="AP498" s="1323"/>
    </row>
    <row r="499" spans="1:42">
      <c r="A499" s="155">
        <v>301276</v>
      </c>
      <c r="B499" s="156" t="s">
        <v>56</v>
      </c>
      <c r="C499" s="626" t="s">
        <v>1122</v>
      </c>
      <c r="D499" s="1553"/>
      <c r="E499" s="1128">
        <v>3.3</v>
      </c>
      <c r="F499" s="1554"/>
      <c r="G499" s="1555"/>
      <c r="H499" s="1556"/>
      <c r="J499" s="838">
        <v>0</v>
      </c>
      <c r="K499" s="1557"/>
      <c r="M499" s="383">
        <v>0</v>
      </c>
      <c r="O499" s="1584"/>
      <c r="P499" s="1344">
        <v>0</v>
      </c>
      <c r="Q499" s="1555"/>
      <c r="R499" s="1555"/>
      <c r="AA499" s="1549"/>
      <c r="AB499" s="1550"/>
      <c r="AC499" s="515"/>
      <c r="AD499" s="515"/>
      <c r="AE499" s="1550"/>
      <c r="AF499" s="1551"/>
      <c r="AO499" s="1322"/>
      <c r="AP499" s="1323"/>
    </row>
    <row r="500" spans="1:42">
      <c r="A500" s="155">
        <v>301304</v>
      </c>
      <c r="B500" s="156" t="s">
        <v>284</v>
      </c>
      <c r="C500" s="626" t="s">
        <v>1022</v>
      </c>
      <c r="D500" s="1553"/>
      <c r="E500" s="1128">
        <v>10.6</v>
      </c>
      <c r="F500" s="1554"/>
      <c r="G500" s="1555"/>
      <c r="H500" s="1556"/>
      <c r="J500" s="838">
        <v>1</v>
      </c>
      <c r="K500" s="1557"/>
      <c r="M500" s="383">
        <v>0</v>
      </c>
      <c r="O500" s="1584"/>
      <c r="P500" s="1344">
        <v>16019.21</v>
      </c>
      <c r="Q500" s="1555"/>
      <c r="R500" s="1555"/>
      <c r="AA500" s="1549"/>
      <c r="AB500" s="1550"/>
      <c r="AC500" s="515"/>
      <c r="AD500" s="515"/>
      <c r="AE500" s="1550"/>
      <c r="AF500" s="1551"/>
      <c r="AO500" s="1322"/>
      <c r="AP500" s="1323"/>
    </row>
    <row r="501" spans="1:42">
      <c r="A501" s="155">
        <v>301305</v>
      </c>
      <c r="B501" s="156" t="s">
        <v>265</v>
      </c>
      <c r="C501" s="626" t="s">
        <v>1129</v>
      </c>
      <c r="D501" s="1553"/>
      <c r="E501" s="1128">
        <v>15.78</v>
      </c>
      <c r="F501" s="1554"/>
      <c r="G501" s="1555"/>
      <c r="H501" s="1556"/>
      <c r="J501" s="838">
        <v>1</v>
      </c>
      <c r="K501" s="1557"/>
      <c r="M501" s="383">
        <v>0</v>
      </c>
      <c r="O501" s="1584"/>
      <c r="P501" s="1344">
        <v>16019.21</v>
      </c>
      <c r="Q501" s="1555"/>
      <c r="R501" s="1555"/>
      <c r="AA501" s="1549"/>
      <c r="AB501" s="1550"/>
      <c r="AC501" s="515"/>
      <c r="AD501" s="515"/>
      <c r="AE501" s="1550"/>
      <c r="AF501" s="1551"/>
      <c r="AO501" s="1322"/>
      <c r="AP501" s="1323"/>
    </row>
    <row r="502" spans="1:42">
      <c r="A502" s="155">
        <v>301306</v>
      </c>
      <c r="B502" s="156" t="s">
        <v>266</v>
      </c>
      <c r="C502" s="626" t="s">
        <v>1022</v>
      </c>
      <c r="D502" s="1553"/>
      <c r="E502" s="1128">
        <v>10.73</v>
      </c>
      <c r="F502" s="1554"/>
      <c r="G502" s="1555"/>
      <c r="H502" s="1556"/>
      <c r="J502" s="838">
        <v>1</v>
      </c>
      <c r="K502" s="1557"/>
      <c r="M502" s="383">
        <v>0</v>
      </c>
      <c r="O502" s="1584"/>
      <c r="P502" s="1344">
        <v>16019.21</v>
      </c>
      <c r="Q502" s="1555"/>
      <c r="R502" s="1555"/>
      <c r="AA502" s="1549"/>
      <c r="AB502" s="1550"/>
      <c r="AC502" s="515"/>
      <c r="AD502" s="515"/>
      <c r="AE502" s="1550"/>
      <c r="AF502" s="1551"/>
      <c r="AO502" s="1322"/>
      <c r="AP502" s="1323"/>
    </row>
    <row r="503" spans="1:42">
      <c r="A503" s="155">
        <v>301309</v>
      </c>
      <c r="B503" s="156" t="s">
        <v>57</v>
      </c>
      <c r="C503" s="626" t="s">
        <v>1122</v>
      </c>
      <c r="D503" s="1553"/>
      <c r="E503" s="1128">
        <v>11.67</v>
      </c>
      <c r="F503" s="1554"/>
      <c r="G503" s="1555"/>
      <c r="H503" s="1556"/>
      <c r="J503" s="838">
        <v>0</v>
      </c>
      <c r="K503" s="1557"/>
      <c r="M503" s="383">
        <v>0</v>
      </c>
      <c r="O503" s="1584"/>
      <c r="P503" s="1344">
        <v>0</v>
      </c>
      <c r="Q503" s="1555"/>
      <c r="R503" s="1555"/>
      <c r="AA503" s="1549"/>
      <c r="AB503" s="1550"/>
      <c r="AC503" s="515"/>
      <c r="AD503" s="515"/>
      <c r="AE503" s="1550"/>
      <c r="AF503" s="1551"/>
      <c r="AO503" s="1322"/>
      <c r="AP503" s="1323"/>
    </row>
    <row r="504" spans="1:42">
      <c r="A504" s="155">
        <v>301312</v>
      </c>
      <c r="B504" s="156" t="s">
        <v>411</v>
      </c>
      <c r="C504" s="626" t="s">
        <v>1041</v>
      </c>
      <c r="D504" s="1553"/>
      <c r="E504" s="1128">
        <v>19.350000000000001</v>
      </c>
      <c r="F504" s="1554"/>
      <c r="G504" s="1555"/>
      <c r="H504" s="1556"/>
      <c r="J504" s="838">
        <v>0</v>
      </c>
      <c r="K504" s="1557"/>
      <c r="M504" s="383">
        <v>0</v>
      </c>
      <c r="O504" s="1584"/>
      <c r="P504" s="1344">
        <v>0</v>
      </c>
      <c r="Q504" s="1555"/>
      <c r="R504" s="1555"/>
      <c r="AA504" s="1549"/>
      <c r="AB504" s="1550"/>
      <c r="AC504" s="515"/>
      <c r="AD504" s="515"/>
      <c r="AE504" s="1550"/>
      <c r="AF504" s="1551"/>
      <c r="AO504" s="1322"/>
      <c r="AP504" s="1323"/>
    </row>
    <row r="505" spans="1:42">
      <c r="A505" s="155">
        <v>301313</v>
      </c>
      <c r="B505" s="156" t="s">
        <v>267</v>
      </c>
      <c r="C505" s="626" t="s">
        <v>1022</v>
      </c>
      <c r="D505" s="1553"/>
      <c r="E505" s="1128">
        <v>11.57</v>
      </c>
      <c r="F505" s="1554"/>
      <c r="G505" s="1555"/>
      <c r="H505" s="1556"/>
      <c r="J505" s="838">
        <v>1</v>
      </c>
      <c r="K505" s="1557"/>
      <c r="M505" s="383">
        <v>0</v>
      </c>
      <c r="O505" s="1584"/>
      <c r="P505" s="1344">
        <v>3028.75</v>
      </c>
      <c r="Q505" s="1555"/>
      <c r="R505" s="1555"/>
      <c r="AA505" s="1549"/>
      <c r="AB505" s="1550"/>
      <c r="AC505" s="515"/>
      <c r="AD505" s="515"/>
      <c r="AE505" s="1550"/>
      <c r="AF505" s="1551"/>
      <c r="AO505" s="1322"/>
      <c r="AP505" s="1323"/>
    </row>
    <row r="506" spans="1:42">
      <c r="A506" s="155">
        <v>301319</v>
      </c>
      <c r="B506" s="156" t="s">
        <v>268</v>
      </c>
      <c r="C506" s="626" t="s">
        <v>1022</v>
      </c>
      <c r="D506" s="1553"/>
      <c r="E506" s="1128">
        <v>6.76</v>
      </c>
      <c r="F506" s="1554"/>
      <c r="G506" s="1555"/>
      <c r="H506" s="1556"/>
      <c r="J506" s="838">
        <v>1</v>
      </c>
      <c r="K506" s="1557"/>
      <c r="M506" s="383">
        <v>0</v>
      </c>
      <c r="O506" s="1584"/>
      <c r="P506" s="1344">
        <v>16019.21</v>
      </c>
      <c r="Q506" s="1555"/>
      <c r="R506" s="1555"/>
      <c r="AA506" s="1549"/>
      <c r="AB506" s="1550"/>
      <c r="AC506" s="515"/>
      <c r="AD506" s="515"/>
      <c r="AE506" s="1550"/>
      <c r="AF506" s="1551"/>
      <c r="AO506" s="1322"/>
      <c r="AP506" s="1323"/>
    </row>
    <row r="507" spans="1:42">
      <c r="A507" s="155">
        <v>301320</v>
      </c>
      <c r="B507" s="156" t="s">
        <v>1130</v>
      </c>
      <c r="C507" s="626" t="s">
        <v>1122</v>
      </c>
      <c r="D507" s="1553"/>
      <c r="E507" s="1128">
        <v>3.27</v>
      </c>
      <c r="F507" s="1554"/>
      <c r="G507" s="1555"/>
      <c r="H507" s="1556"/>
      <c r="J507" s="838">
        <v>0</v>
      </c>
      <c r="K507" s="1557"/>
      <c r="M507" s="383">
        <v>0</v>
      </c>
      <c r="O507" s="1584"/>
      <c r="P507" s="1344">
        <v>0</v>
      </c>
      <c r="Q507" s="1555"/>
      <c r="R507" s="1555"/>
      <c r="AA507" s="1549"/>
      <c r="AB507" s="1550"/>
      <c r="AC507" s="515"/>
      <c r="AD507" s="515"/>
      <c r="AE507" s="1550"/>
      <c r="AF507" s="1551"/>
      <c r="AO507" s="1322"/>
      <c r="AP507" s="1323"/>
    </row>
    <row r="508" spans="1:42">
      <c r="A508" s="155">
        <v>301321</v>
      </c>
      <c r="B508" s="156" t="s">
        <v>269</v>
      </c>
      <c r="C508" s="626" t="s">
        <v>1022</v>
      </c>
      <c r="D508" s="1553"/>
      <c r="E508" s="1128">
        <v>9.99</v>
      </c>
      <c r="F508" s="1554"/>
      <c r="G508" s="1555"/>
      <c r="H508" s="1556"/>
      <c r="J508" s="838">
        <v>1</v>
      </c>
      <c r="K508" s="1557"/>
      <c r="M508" s="383">
        <v>0</v>
      </c>
      <c r="O508" s="1584"/>
      <c r="P508" s="1344">
        <v>16019.21</v>
      </c>
      <c r="Q508" s="1555"/>
      <c r="R508" s="1555"/>
      <c r="AA508" s="1549"/>
      <c r="AB508" s="1550"/>
      <c r="AC508" s="515"/>
      <c r="AD508" s="515"/>
      <c r="AE508" s="1550"/>
      <c r="AF508" s="1551"/>
      <c r="AO508" s="1322"/>
      <c r="AP508" s="1323"/>
    </row>
    <row r="509" spans="1:42">
      <c r="A509" s="155">
        <v>301323</v>
      </c>
      <c r="B509" s="156" t="s">
        <v>412</v>
      </c>
      <c r="C509" s="626" t="s">
        <v>1019</v>
      </c>
      <c r="D509" s="1553"/>
      <c r="E509" s="1128">
        <v>11.84</v>
      </c>
      <c r="F509" s="1554"/>
      <c r="G509" s="1555"/>
      <c r="H509" s="1556"/>
      <c r="J509" s="838">
        <v>0</v>
      </c>
      <c r="K509" s="1557"/>
      <c r="M509" s="383">
        <v>1</v>
      </c>
      <c r="O509" s="1584"/>
      <c r="P509" s="1344">
        <v>160168.22</v>
      </c>
      <c r="Q509" s="1555"/>
      <c r="R509" s="1555"/>
      <c r="AA509" s="1549"/>
      <c r="AB509" s="1550"/>
      <c r="AC509" s="515"/>
      <c r="AD509" s="515"/>
      <c r="AE509" s="1550"/>
      <c r="AF509" s="1551"/>
      <c r="AO509" s="1322"/>
      <c r="AP509" s="1323"/>
    </row>
    <row r="510" spans="1:42">
      <c r="A510" s="155">
        <v>301324</v>
      </c>
      <c r="B510" s="156" t="s">
        <v>413</v>
      </c>
      <c r="C510" s="626" t="s">
        <v>1019</v>
      </c>
      <c r="D510" s="1553"/>
      <c r="E510" s="1128">
        <v>12.27</v>
      </c>
      <c r="F510" s="1554"/>
      <c r="G510" s="1555"/>
      <c r="H510" s="1556"/>
      <c r="J510" s="838">
        <v>0</v>
      </c>
      <c r="K510" s="1557"/>
      <c r="M510" s="383">
        <v>1</v>
      </c>
      <c r="O510" s="1584"/>
      <c r="P510" s="1344">
        <v>112117.75999999999</v>
      </c>
      <c r="Q510" s="1555"/>
      <c r="R510" s="1555"/>
      <c r="AA510" s="1549"/>
      <c r="AB510" s="1550"/>
      <c r="AC510" s="515"/>
      <c r="AD510" s="515"/>
      <c r="AE510" s="1550"/>
      <c r="AF510" s="1551"/>
      <c r="AO510" s="1322"/>
      <c r="AP510" s="1323"/>
    </row>
    <row r="511" spans="1:42">
      <c r="A511" s="155">
        <v>301325</v>
      </c>
      <c r="B511" s="156" t="s">
        <v>414</v>
      </c>
      <c r="C511" s="626" t="s">
        <v>1019</v>
      </c>
      <c r="D511" s="1553"/>
      <c r="E511" s="1128">
        <v>16.54</v>
      </c>
      <c r="F511" s="1554"/>
      <c r="G511" s="1555"/>
      <c r="H511" s="1556"/>
      <c r="J511" s="838">
        <v>0</v>
      </c>
      <c r="K511" s="1557"/>
      <c r="M511" s="383">
        <v>1</v>
      </c>
      <c r="O511" s="1584"/>
      <c r="P511" s="1344">
        <v>96100.93</v>
      </c>
      <c r="Q511" s="1555"/>
      <c r="R511" s="1555"/>
      <c r="AA511" s="1549"/>
      <c r="AB511" s="1550"/>
      <c r="AC511" s="515"/>
      <c r="AD511" s="515"/>
      <c r="AE511" s="1550"/>
      <c r="AF511" s="1551"/>
      <c r="AO511" s="1322"/>
      <c r="AP511" s="1323"/>
    </row>
    <row r="512" spans="1:42">
      <c r="A512" s="155">
        <v>301326</v>
      </c>
      <c r="B512" s="156" t="s">
        <v>25</v>
      </c>
      <c r="C512" s="626" t="s">
        <v>1019</v>
      </c>
      <c r="D512" s="1553"/>
      <c r="E512" s="1128">
        <v>11.55</v>
      </c>
      <c r="F512" s="1554"/>
      <c r="G512" s="1555"/>
      <c r="H512" s="1556"/>
      <c r="J512" s="838">
        <v>0</v>
      </c>
      <c r="K512" s="1557"/>
      <c r="M512" s="383">
        <v>1</v>
      </c>
      <c r="O512" s="1584"/>
      <c r="P512" s="1344">
        <v>192201.86</v>
      </c>
      <c r="Q512" s="1555"/>
      <c r="R512" s="1555"/>
      <c r="AC512" s="515"/>
      <c r="AD512" s="515"/>
      <c r="AO512" s="1322"/>
      <c r="AP512" s="1323"/>
    </row>
    <row r="513" spans="1:42">
      <c r="A513" s="155">
        <v>301327</v>
      </c>
      <c r="B513" s="156" t="s">
        <v>26</v>
      </c>
      <c r="C513" s="626" t="s">
        <v>1019</v>
      </c>
      <c r="D513" s="1553"/>
      <c r="E513" s="1128">
        <v>13.33</v>
      </c>
      <c r="F513" s="1554"/>
      <c r="G513" s="1555"/>
      <c r="H513" s="1556"/>
      <c r="J513" s="838">
        <v>0</v>
      </c>
      <c r="K513" s="1557"/>
      <c r="M513" s="383">
        <v>1</v>
      </c>
      <c r="O513" s="1584"/>
      <c r="P513" s="1344">
        <v>48050.46</v>
      </c>
      <c r="Q513" s="1555"/>
      <c r="R513" s="1555"/>
      <c r="AC513" s="515"/>
      <c r="AD513" s="515"/>
      <c r="AO513" s="1322"/>
      <c r="AP513" s="1323"/>
    </row>
    <row r="514" spans="1:42">
      <c r="A514" s="155">
        <v>301328</v>
      </c>
      <c r="B514" s="156" t="s">
        <v>27</v>
      </c>
      <c r="C514" s="626" t="s">
        <v>1019</v>
      </c>
      <c r="D514" s="1553"/>
      <c r="E514" s="1128">
        <v>6.49</v>
      </c>
      <c r="F514" s="1554"/>
      <c r="G514" s="1555"/>
      <c r="H514" s="1556"/>
      <c r="J514" s="838">
        <v>0</v>
      </c>
      <c r="K514" s="1557"/>
      <c r="M514" s="383">
        <v>1</v>
      </c>
      <c r="O514" s="1584"/>
      <c r="P514" s="1344">
        <v>128134.57</v>
      </c>
      <c r="Q514" s="1555"/>
      <c r="R514" s="1555"/>
      <c r="AC514" s="515"/>
      <c r="AD514" s="515"/>
      <c r="AO514" s="1322"/>
      <c r="AP514" s="1323"/>
    </row>
    <row r="515" spans="1:42">
      <c r="A515" s="155">
        <v>301331</v>
      </c>
      <c r="B515" s="156" t="s">
        <v>270</v>
      </c>
      <c r="C515" s="626" t="s">
        <v>1022</v>
      </c>
      <c r="D515" s="1553"/>
      <c r="E515" s="1128">
        <v>6.76</v>
      </c>
      <c r="F515" s="1554"/>
      <c r="G515" s="1555"/>
      <c r="H515" s="1556"/>
      <c r="J515" s="838">
        <v>1</v>
      </c>
      <c r="K515" s="1557"/>
      <c r="M515" s="383">
        <v>0</v>
      </c>
      <c r="O515" s="1584"/>
      <c r="P515" s="1344">
        <v>32033.65</v>
      </c>
      <c r="Q515" s="1555"/>
      <c r="R515" s="1555"/>
      <c r="AC515" s="515"/>
      <c r="AD515" s="515"/>
      <c r="AO515" s="1322"/>
      <c r="AP515" s="1323"/>
    </row>
    <row r="516" spans="1:42">
      <c r="A516" s="155">
        <v>301337</v>
      </c>
      <c r="B516" s="156" t="s">
        <v>795</v>
      </c>
      <c r="C516" s="626" t="s">
        <v>1022</v>
      </c>
      <c r="D516" s="1553"/>
      <c r="E516" s="1128">
        <v>12.24</v>
      </c>
      <c r="F516" s="1554"/>
      <c r="G516" s="1555"/>
      <c r="H516" s="1556"/>
      <c r="J516" s="838">
        <v>1</v>
      </c>
      <c r="K516" s="1557"/>
      <c r="M516" s="383">
        <v>0</v>
      </c>
      <c r="O516" s="1584"/>
      <c r="P516" s="1344">
        <v>16019.21</v>
      </c>
      <c r="Q516" s="1555"/>
      <c r="R516" s="1555"/>
      <c r="AC516" s="515"/>
      <c r="AD516" s="515"/>
      <c r="AO516" s="1322"/>
      <c r="AP516" s="1323"/>
    </row>
    <row r="517" spans="1:42">
      <c r="A517" s="155">
        <v>301338</v>
      </c>
      <c r="B517" s="156" t="s">
        <v>271</v>
      </c>
      <c r="C517" s="626" t="s">
        <v>1019</v>
      </c>
      <c r="D517" s="1553"/>
      <c r="E517" s="1128">
        <v>10.73</v>
      </c>
      <c r="F517" s="1554"/>
      <c r="G517" s="1555"/>
      <c r="H517" s="1556"/>
      <c r="J517" s="838">
        <v>0</v>
      </c>
      <c r="K517" s="1557"/>
      <c r="M517" s="383">
        <v>1</v>
      </c>
      <c r="O517" s="1584"/>
      <c r="P517" s="1344">
        <v>16019.21</v>
      </c>
      <c r="Q517" s="1555"/>
      <c r="R517" s="1555"/>
      <c r="AC517" s="515"/>
      <c r="AD517" s="515"/>
      <c r="AO517" s="1322"/>
      <c r="AP517" s="1323"/>
    </row>
    <row r="518" spans="1:42">
      <c r="A518" s="155">
        <v>301343</v>
      </c>
      <c r="B518" s="156" t="s">
        <v>272</v>
      </c>
      <c r="C518" s="626" t="s">
        <v>1022</v>
      </c>
      <c r="D518" s="1553"/>
      <c r="E518" s="1128">
        <v>10.6</v>
      </c>
      <c r="F518" s="1554"/>
      <c r="G518" s="1555"/>
      <c r="H518" s="1556"/>
      <c r="J518" s="838">
        <v>1</v>
      </c>
      <c r="K518" s="1557"/>
      <c r="M518" s="383">
        <v>0</v>
      </c>
      <c r="O518" s="1584"/>
      <c r="P518" s="1344">
        <v>16019.21</v>
      </c>
      <c r="Q518" s="1555"/>
      <c r="R518" s="1555"/>
      <c r="AC518" s="515"/>
      <c r="AD518" s="515"/>
      <c r="AO518" s="1322"/>
      <c r="AP518" s="1323"/>
    </row>
    <row r="519" spans="1:42">
      <c r="A519" s="155">
        <v>301344</v>
      </c>
      <c r="B519" s="156" t="s">
        <v>215</v>
      </c>
      <c r="C519" s="626" t="s">
        <v>1022</v>
      </c>
      <c r="D519" s="1553"/>
      <c r="E519" s="1128">
        <v>11.38</v>
      </c>
      <c r="F519" s="1554"/>
      <c r="G519" s="1555"/>
      <c r="H519" s="1556"/>
      <c r="J519" s="838">
        <v>1</v>
      </c>
      <c r="K519" s="1557"/>
      <c r="M519" s="383">
        <v>0</v>
      </c>
      <c r="O519" s="1584"/>
      <c r="P519" s="1344">
        <v>16019.21</v>
      </c>
      <c r="Q519" s="1555"/>
      <c r="R519" s="1555"/>
      <c r="AC519" s="515"/>
      <c r="AD519" s="515"/>
      <c r="AO519" s="1322"/>
      <c r="AP519" s="1323"/>
    </row>
    <row r="520" spans="1:42">
      <c r="A520" s="155">
        <v>301348</v>
      </c>
      <c r="B520" s="156" t="s">
        <v>28</v>
      </c>
      <c r="C520" s="626" t="s">
        <v>1122</v>
      </c>
      <c r="D520" s="1553"/>
      <c r="E520" s="1128">
        <v>12</v>
      </c>
      <c r="F520" s="1554"/>
      <c r="G520" s="1555"/>
      <c r="H520" s="1556"/>
      <c r="J520" s="838">
        <v>0</v>
      </c>
      <c r="K520" s="1557"/>
      <c r="M520" s="383">
        <v>0</v>
      </c>
      <c r="O520" s="1584"/>
      <c r="P520" s="1344">
        <v>0</v>
      </c>
      <c r="Q520" s="1555"/>
      <c r="R520" s="1555"/>
      <c r="AC520" s="515"/>
      <c r="AD520" s="515"/>
      <c r="AO520" s="1322"/>
      <c r="AP520" s="1323"/>
    </row>
    <row r="521" spans="1:42">
      <c r="A521" s="155">
        <v>301354</v>
      </c>
      <c r="B521" s="156" t="s">
        <v>31</v>
      </c>
      <c r="C521" s="626" t="s">
        <v>1022</v>
      </c>
      <c r="D521" s="1553"/>
      <c r="E521" s="1128">
        <v>18.89</v>
      </c>
      <c r="F521" s="1554"/>
      <c r="G521" s="1555"/>
      <c r="H521" s="1556"/>
      <c r="J521" s="838">
        <v>1</v>
      </c>
      <c r="K521" s="1557"/>
      <c r="M521" s="383">
        <v>0</v>
      </c>
      <c r="O521" s="1584"/>
      <c r="P521" s="1344">
        <v>16019.21</v>
      </c>
      <c r="Q521" s="1555"/>
      <c r="R521" s="1555"/>
      <c r="AC521" s="515"/>
      <c r="AD521" s="515"/>
      <c r="AO521" s="1322"/>
      <c r="AP521" s="1323"/>
    </row>
    <row r="522" spans="1:42">
      <c r="A522" s="155">
        <v>301355</v>
      </c>
      <c r="B522" s="156" t="s">
        <v>29</v>
      </c>
      <c r="C522" s="626" t="s">
        <v>1129</v>
      </c>
      <c r="D522" s="1553"/>
      <c r="E522" s="1128">
        <v>6.12</v>
      </c>
      <c r="F522" s="1554"/>
      <c r="G522" s="1555"/>
      <c r="H522" s="1556"/>
      <c r="J522" s="838">
        <v>1</v>
      </c>
      <c r="K522" s="1557"/>
      <c r="M522" s="383">
        <v>0</v>
      </c>
      <c r="O522" s="1584"/>
      <c r="P522" s="1344">
        <v>16019.21</v>
      </c>
      <c r="Q522" s="1555"/>
      <c r="R522" s="1555"/>
      <c r="AC522" s="515"/>
      <c r="AD522" s="515"/>
      <c r="AO522" s="1322"/>
      <c r="AP522" s="1323"/>
    </row>
    <row r="523" spans="1:42">
      <c r="A523" s="155">
        <v>301356</v>
      </c>
      <c r="B523" s="156" t="s">
        <v>1131</v>
      </c>
      <c r="C523" s="626" t="s">
        <v>1022</v>
      </c>
      <c r="D523" s="1553"/>
      <c r="E523" s="1128">
        <v>10.73</v>
      </c>
      <c r="F523" s="1554"/>
      <c r="G523" s="1555"/>
      <c r="H523" s="1556"/>
      <c r="J523" s="838">
        <v>1</v>
      </c>
      <c r="K523" s="1557"/>
      <c r="M523" s="383">
        <v>0</v>
      </c>
      <c r="O523" s="1584"/>
      <c r="P523" s="1344">
        <v>16019.21</v>
      </c>
      <c r="Q523" s="1555"/>
      <c r="R523" s="1555"/>
      <c r="AC523" s="515"/>
      <c r="AD523" s="515"/>
      <c r="AO523" s="1322"/>
      <c r="AP523" s="1323"/>
    </row>
    <row r="524" spans="1:42">
      <c r="A524" s="155">
        <v>301360</v>
      </c>
      <c r="B524" s="156" t="s">
        <v>212</v>
      </c>
      <c r="C524" s="626" t="s">
        <v>1122</v>
      </c>
      <c r="D524" s="1553"/>
      <c r="E524" s="1128">
        <v>6.89</v>
      </c>
      <c r="F524" s="1554"/>
      <c r="G524" s="1555"/>
      <c r="H524" s="1556"/>
      <c r="J524" s="838">
        <v>0</v>
      </c>
      <c r="K524" s="1557"/>
      <c r="M524" s="383">
        <v>0</v>
      </c>
      <c r="O524" s="1584"/>
      <c r="P524" s="1344">
        <v>0</v>
      </c>
      <c r="Q524" s="1555"/>
      <c r="R524" s="1555"/>
      <c r="AC524" s="515"/>
      <c r="AD524" s="515"/>
      <c r="AO524" s="1322"/>
      <c r="AP524" s="1323"/>
    </row>
    <row r="525" spans="1:42">
      <c r="A525" s="155">
        <v>301361</v>
      </c>
      <c r="B525" s="156" t="s">
        <v>58</v>
      </c>
      <c r="C525" s="626" t="s">
        <v>1122</v>
      </c>
      <c r="D525" s="1553"/>
      <c r="E525" s="1128">
        <v>6.54</v>
      </c>
      <c r="F525" s="1554"/>
      <c r="G525" s="1555"/>
      <c r="H525" s="1556"/>
      <c r="J525" s="838">
        <v>0</v>
      </c>
      <c r="K525" s="1557"/>
      <c r="M525" s="383">
        <v>0</v>
      </c>
      <c r="O525" s="1584"/>
      <c r="P525" s="1344">
        <v>0</v>
      </c>
      <c r="Q525" s="1555"/>
      <c r="R525" s="1555"/>
      <c r="AC525" s="515"/>
      <c r="AD525" s="515"/>
      <c r="AO525" s="1322"/>
      <c r="AP525" s="1323"/>
    </row>
    <row r="526" spans="1:42">
      <c r="A526" s="155">
        <v>301364</v>
      </c>
      <c r="B526" s="156" t="s">
        <v>30</v>
      </c>
      <c r="C526" s="626" t="s">
        <v>1022</v>
      </c>
      <c r="D526" s="1553"/>
      <c r="E526" s="1128">
        <v>16.809999999999999</v>
      </c>
      <c r="F526" s="1554"/>
      <c r="G526" s="1555"/>
      <c r="H526" s="1556"/>
      <c r="J526" s="838">
        <v>1</v>
      </c>
      <c r="K526" s="1557"/>
      <c r="M526" s="383">
        <v>0</v>
      </c>
      <c r="O526" s="1584"/>
      <c r="P526" s="1344">
        <v>16019.21</v>
      </c>
      <c r="Q526" s="1555"/>
      <c r="R526" s="1555"/>
      <c r="AC526" s="515"/>
      <c r="AD526" s="515"/>
      <c r="AO526" s="1322"/>
      <c r="AP526" s="1323"/>
    </row>
    <row r="527" spans="1:42">
      <c r="A527" s="155">
        <v>301365</v>
      </c>
      <c r="B527" s="156" t="s">
        <v>285</v>
      </c>
      <c r="C527" s="626" t="s">
        <v>1129</v>
      </c>
      <c r="D527" s="1553"/>
      <c r="E527" s="1128">
        <v>9.99</v>
      </c>
      <c r="F527" s="1554"/>
      <c r="G527" s="1555"/>
      <c r="H527" s="1556"/>
      <c r="J527" s="838">
        <v>1</v>
      </c>
      <c r="K527" s="1557"/>
      <c r="M527" s="383">
        <v>0</v>
      </c>
      <c r="O527" s="1584"/>
      <c r="P527" s="1344">
        <v>16019.21</v>
      </c>
      <c r="Q527" s="1555"/>
      <c r="R527" s="1555"/>
      <c r="AC527" s="515"/>
      <c r="AD527" s="515"/>
      <c r="AO527" s="1322"/>
      <c r="AP527" s="1323"/>
    </row>
    <row r="528" spans="1:42">
      <c r="A528" s="155">
        <v>301366</v>
      </c>
      <c r="B528" s="156" t="s">
        <v>286</v>
      </c>
      <c r="C528" s="626" t="s">
        <v>1129</v>
      </c>
      <c r="D528" s="1553"/>
      <c r="E528" s="1128">
        <v>9.99</v>
      </c>
      <c r="F528" s="1554"/>
      <c r="G528" s="1555"/>
      <c r="H528" s="1556"/>
      <c r="J528" s="838">
        <v>1</v>
      </c>
      <c r="K528" s="1557"/>
      <c r="M528" s="383">
        <v>0</v>
      </c>
      <c r="O528" s="1584"/>
      <c r="P528" s="1344">
        <v>16019.21</v>
      </c>
      <c r="Q528" s="1555"/>
      <c r="R528" s="1555"/>
      <c r="AC528" s="515"/>
      <c r="AD528" s="515"/>
      <c r="AO528" s="1322"/>
      <c r="AP528" s="1323"/>
    </row>
    <row r="529" spans="1:42">
      <c r="A529" s="155">
        <v>301368</v>
      </c>
      <c r="B529" s="156" t="s">
        <v>1132</v>
      </c>
      <c r="C529" s="626" t="s">
        <v>1041</v>
      </c>
      <c r="D529" s="1553"/>
      <c r="E529" s="1128">
        <v>14.37</v>
      </c>
      <c r="F529" s="1554"/>
      <c r="G529" s="1555"/>
      <c r="H529" s="1556"/>
      <c r="J529" s="838">
        <v>0</v>
      </c>
      <c r="K529" s="1557"/>
      <c r="M529" s="383">
        <v>0</v>
      </c>
      <c r="O529" s="1584"/>
      <c r="P529" s="1344">
        <v>0</v>
      </c>
      <c r="Q529" s="1555"/>
      <c r="R529" s="1555"/>
      <c r="AC529" s="515"/>
      <c r="AD529" s="515"/>
      <c r="AO529" s="1322"/>
      <c r="AP529" s="1323"/>
    </row>
    <row r="530" spans="1:42">
      <c r="A530" s="155">
        <v>301369</v>
      </c>
      <c r="B530" s="156" t="s">
        <v>32</v>
      </c>
      <c r="C530" s="626" t="s">
        <v>1022</v>
      </c>
      <c r="D530" s="1553"/>
      <c r="E530" s="1128">
        <v>2.82</v>
      </c>
      <c r="F530" s="1554"/>
      <c r="G530" s="1555"/>
      <c r="H530" s="1556"/>
      <c r="J530" s="838">
        <v>1</v>
      </c>
      <c r="K530" s="1557"/>
      <c r="M530" s="383">
        <v>0</v>
      </c>
      <c r="O530" s="1584"/>
      <c r="P530" s="1344">
        <v>16019.21</v>
      </c>
      <c r="Q530" s="1555"/>
      <c r="R530" s="1555"/>
      <c r="AC530" s="515"/>
      <c r="AD530" s="515"/>
      <c r="AO530" s="1322"/>
      <c r="AP530" s="1323"/>
    </row>
    <row r="531" spans="1:42">
      <c r="A531" s="155">
        <v>301374</v>
      </c>
      <c r="B531" s="156" t="s">
        <v>1133</v>
      </c>
      <c r="C531" s="626" t="s">
        <v>1129</v>
      </c>
      <c r="D531" s="1553"/>
      <c r="E531" s="1128">
        <v>10.73</v>
      </c>
      <c r="F531" s="1554"/>
      <c r="G531" s="1555"/>
      <c r="H531" s="1556"/>
      <c r="J531" s="838">
        <v>1</v>
      </c>
      <c r="K531" s="1557"/>
      <c r="M531" s="383">
        <v>0</v>
      </c>
      <c r="O531" s="1584"/>
      <c r="P531" s="1344">
        <v>16019.21</v>
      </c>
      <c r="Q531" s="1555"/>
      <c r="R531" s="1555"/>
      <c r="AC531" s="515"/>
      <c r="AD531" s="515"/>
      <c r="AO531" s="1322"/>
      <c r="AP531" s="1323"/>
    </row>
    <row r="532" spans="1:42">
      <c r="A532" s="155">
        <v>301377</v>
      </c>
      <c r="B532" s="156" t="s">
        <v>216</v>
      </c>
      <c r="C532" s="626" t="s">
        <v>1022</v>
      </c>
      <c r="D532" s="1553"/>
      <c r="E532" s="1128">
        <v>9.99</v>
      </c>
      <c r="F532" s="1554"/>
      <c r="G532" s="1555"/>
      <c r="H532" s="1556"/>
      <c r="J532" s="838">
        <v>1</v>
      </c>
      <c r="K532" s="1557"/>
      <c r="M532" s="383">
        <v>0</v>
      </c>
      <c r="O532" s="1584"/>
      <c r="P532" s="1344">
        <v>16019.21</v>
      </c>
      <c r="Q532" s="1555"/>
      <c r="R532" s="1555"/>
      <c r="AC532" s="515"/>
      <c r="AD532" s="515"/>
      <c r="AO532" s="1322"/>
      <c r="AP532" s="1323"/>
    </row>
    <row r="533" spans="1:42">
      <c r="A533" s="155">
        <v>301385</v>
      </c>
      <c r="B533" s="156" t="s">
        <v>1134</v>
      </c>
      <c r="C533" s="626" t="s">
        <v>1019</v>
      </c>
      <c r="D533" s="1553"/>
      <c r="E533" s="1128">
        <v>16.920000000000002</v>
      </c>
      <c r="F533" s="1554"/>
      <c r="G533" s="1555"/>
      <c r="H533" s="1556"/>
      <c r="J533" s="838">
        <v>0</v>
      </c>
      <c r="K533" s="1557"/>
      <c r="M533" s="383">
        <v>1</v>
      </c>
      <c r="O533" s="1584"/>
      <c r="P533" s="1344">
        <v>32038.42</v>
      </c>
      <c r="Q533" s="1555"/>
      <c r="R533" s="1555"/>
      <c r="AC533" s="515"/>
      <c r="AD533" s="515"/>
      <c r="AO533" s="1322"/>
      <c r="AP533" s="1323"/>
    </row>
    <row r="534" spans="1:42">
      <c r="A534" s="155">
        <v>301389</v>
      </c>
      <c r="B534" s="156" t="s">
        <v>1135</v>
      </c>
      <c r="C534" s="626" t="s">
        <v>1129</v>
      </c>
      <c r="D534" s="1553"/>
      <c r="E534" s="1128">
        <v>16.8</v>
      </c>
      <c r="F534" s="1554"/>
      <c r="G534" s="1555"/>
      <c r="H534" s="1556"/>
      <c r="J534" s="838">
        <v>1</v>
      </c>
      <c r="K534" s="1557"/>
      <c r="M534" s="383">
        <v>0</v>
      </c>
      <c r="O534" s="1584"/>
      <c r="P534" s="1344">
        <v>16019.21</v>
      </c>
      <c r="Q534" s="1555"/>
      <c r="R534" s="1555"/>
      <c r="AC534" s="515"/>
      <c r="AD534" s="515"/>
      <c r="AO534" s="1322"/>
      <c r="AP534" s="1323"/>
    </row>
    <row r="535" spans="1:42">
      <c r="A535" s="155">
        <v>301390</v>
      </c>
      <c r="B535" s="156" t="s">
        <v>1136</v>
      </c>
      <c r="C535" s="626" t="s">
        <v>1022</v>
      </c>
      <c r="D535" s="1553"/>
      <c r="E535" s="1128">
        <v>10.6</v>
      </c>
      <c r="F535" s="1554"/>
      <c r="G535" s="1555"/>
      <c r="H535" s="1556"/>
      <c r="J535" s="838">
        <v>1</v>
      </c>
      <c r="K535" s="1557"/>
      <c r="M535" s="383">
        <v>0</v>
      </c>
      <c r="O535" s="1584"/>
      <c r="P535" s="1344">
        <v>16019.21</v>
      </c>
      <c r="Q535" s="1555"/>
      <c r="R535" s="1555"/>
      <c r="AC535" s="515"/>
      <c r="AD535" s="515"/>
      <c r="AO535" s="1322"/>
      <c r="AP535" s="1323"/>
    </row>
    <row r="536" spans="1:42">
      <c r="A536" s="155">
        <v>301391</v>
      </c>
      <c r="B536" s="156" t="s">
        <v>798</v>
      </c>
      <c r="C536" s="626" t="s">
        <v>1122</v>
      </c>
      <c r="D536" s="1553"/>
      <c r="E536" s="1128">
        <v>6.54</v>
      </c>
      <c r="F536" s="1554"/>
      <c r="G536" s="1555"/>
      <c r="H536" s="1556"/>
      <c r="J536" s="838">
        <v>0</v>
      </c>
      <c r="K536" s="1557"/>
      <c r="M536" s="383">
        <v>0</v>
      </c>
      <c r="O536" s="1584"/>
      <c r="P536" s="1344">
        <v>0</v>
      </c>
      <c r="Q536" s="1555"/>
      <c r="R536" s="1555"/>
      <c r="AC536" s="515"/>
      <c r="AD536" s="515"/>
      <c r="AO536" s="1322"/>
      <c r="AP536" s="1323"/>
    </row>
    <row r="537" spans="1:42">
      <c r="A537" s="155">
        <v>301395</v>
      </c>
      <c r="B537" s="156" t="s">
        <v>5</v>
      </c>
      <c r="C537" s="626" t="s">
        <v>1022</v>
      </c>
      <c r="D537" s="1553"/>
      <c r="E537" s="1128">
        <v>24.25</v>
      </c>
      <c r="F537" s="1554"/>
      <c r="G537" s="1555"/>
      <c r="H537" s="1556"/>
      <c r="J537" s="838">
        <v>1</v>
      </c>
      <c r="K537" s="1557"/>
      <c r="M537" s="383">
        <v>0</v>
      </c>
      <c r="O537" s="1584"/>
      <c r="P537" s="1344">
        <v>16019.21</v>
      </c>
      <c r="Q537" s="1555"/>
      <c r="R537" s="1555"/>
      <c r="AC537" s="515"/>
      <c r="AD537" s="515"/>
      <c r="AO537" s="1322"/>
      <c r="AP537" s="1323"/>
    </row>
    <row r="538" spans="1:42">
      <c r="A538" s="155">
        <v>301396</v>
      </c>
      <c r="B538" s="156" t="s">
        <v>217</v>
      </c>
      <c r="C538" s="626" t="s">
        <v>1022</v>
      </c>
      <c r="D538" s="1553"/>
      <c r="E538" s="1128">
        <v>7.55</v>
      </c>
      <c r="F538" s="1554"/>
      <c r="G538" s="1555"/>
      <c r="H538" s="1556"/>
      <c r="J538" s="838">
        <v>1</v>
      </c>
      <c r="K538" s="1557"/>
      <c r="M538" s="383">
        <v>0</v>
      </c>
      <c r="O538" s="1584"/>
      <c r="P538" s="1344">
        <v>16019.21</v>
      </c>
      <c r="Q538" s="1555"/>
      <c r="R538" s="1555"/>
      <c r="AC538" s="515"/>
      <c r="AD538" s="515"/>
      <c r="AO538" s="1322"/>
      <c r="AP538" s="1323"/>
    </row>
    <row r="539" spans="1:42">
      <c r="A539" s="155">
        <v>301397</v>
      </c>
      <c r="B539" s="156" t="s">
        <v>213</v>
      </c>
      <c r="C539" s="626" t="s">
        <v>1122</v>
      </c>
      <c r="D539" s="1553"/>
      <c r="E539" s="1128">
        <v>11.67</v>
      </c>
      <c r="F539" s="1554"/>
      <c r="G539" s="1555"/>
      <c r="H539" s="1556"/>
      <c r="J539" s="838">
        <v>0</v>
      </c>
      <c r="K539" s="1557"/>
      <c r="M539" s="383">
        <v>0</v>
      </c>
      <c r="O539" s="1584"/>
      <c r="P539" s="1344">
        <v>0</v>
      </c>
      <c r="Q539" s="1555"/>
      <c r="R539" s="1555"/>
      <c r="AC539" s="515"/>
      <c r="AD539" s="515"/>
      <c r="AO539" s="1322"/>
      <c r="AP539" s="1323"/>
    </row>
    <row r="540" spans="1:42">
      <c r="A540" s="155">
        <v>301400</v>
      </c>
      <c r="B540" s="156" t="s">
        <v>214</v>
      </c>
      <c r="C540" s="626" t="s">
        <v>1122</v>
      </c>
      <c r="D540" s="1553"/>
      <c r="E540" s="1128">
        <v>6.89</v>
      </c>
      <c r="F540" s="1554"/>
      <c r="G540" s="1555"/>
      <c r="H540" s="1556"/>
      <c r="J540" s="838">
        <v>0</v>
      </c>
      <c r="K540" s="1557"/>
      <c r="M540" s="383">
        <v>0</v>
      </c>
      <c r="O540" s="1584"/>
      <c r="P540" s="1344">
        <v>0</v>
      </c>
      <c r="Q540" s="1555"/>
      <c r="R540" s="1555"/>
      <c r="AC540" s="515"/>
      <c r="AD540" s="515"/>
      <c r="AO540" s="1322"/>
      <c r="AP540" s="1323"/>
    </row>
    <row r="541" spans="1:42">
      <c r="A541" s="155">
        <v>301401</v>
      </c>
      <c r="B541" s="156" t="s">
        <v>627</v>
      </c>
      <c r="C541" s="626" t="s">
        <v>1122</v>
      </c>
      <c r="D541" s="1553"/>
      <c r="E541" s="1128">
        <v>6.89</v>
      </c>
      <c r="F541" s="1554"/>
      <c r="G541" s="1555"/>
      <c r="H541" s="1556"/>
      <c r="J541" s="838">
        <v>0</v>
      </c>
      <c r="K541" s="1557"/>
      <c r="M541" s="383">
        <v>0</v>
      </c>
      <c r="O541" s="1584"/>
      <c r="P541" s="1344">
        <v>0</v>
      </c>
      <c r="Q541" s="1555"/>
      <c r="R541" s="1555"/>
      <c r="AC541" s="515"/>
      <c r="AD541" s="515"/>
      <c r="AO541" s="1322"/>
      <c r="AP541" s="1323"/>
    </row>
    <row r="542" spans="1:42">
      <c r="A542" s="155">
        <v>301418</v>
      </c>
      <c r="B542" s="156" t="s">
        <v>218</v>
      </c>
      <c r="C542" s="626" t="s">
        <v>1019</v>
      </c>
      <c r="D542" s="1553"/>
      <c r="E542" s="1128">
        <v>14.67</v>
      </c>
      <c r="F542" s="1554"/>
      <c r="G542" s="1555"/>
      <c r="H542" s="1556"/>
      <c r="J542" s="838">
        <v>0</v>
      </c>
      <c r="K542" s="1557"/>
      <c r="M542" s="383">
        <v>1</v>
      </c>
      <c r="O542" s="1584"/>
      <c r="P542" s="1344">
        <v>16019.21</v>
      </c>
      <c r="Q542" s="1555"/>
      <c r="R542" s="1555"/>
      <c r="AC542" s="515"/>
      <c r="AD542" s="515"/>
      <c r="AO542" s="1322"/>
      <c r="AP542" s="1323"/>
    </row>
    <row r="543" spans="1:42">
      <c r="A543" s="155">
        <v>301419</v>
      </c>
      <c r="B543" s="156" t="s">
        <v>257</v>
      </c>
      <c r="C543" s="626" t="s">
        <v>1019</v>
      </c>
      <c r="D543" s="1553"/>
      <c r="E543" s="1128">
        <v>15.09</v>
      </c>
      <c r="F543" s="1554"/>
      <c r="G543" s="1555"/>
      <c r="H543" s="1556"/>
      <c r="J543" s="838">
        <v>0</v>
      </c>
      <c r="K543" s="1557"/>
      <c r="M543" s="383">
        <v>1</v>
      </c>
      <c r="O543" s="1584"/>
      <c r="P543" s="1344">
        <v>16019.21</v>
      </c>
      <c r="Q543" s="1555"/>
      <c r="R543" s="1555"/>
      <c r="AC543" s="515"/>
      <c r="AD543" s="515"/>
      <c r="AO543" s="1322"/>
      <c r="AP543" s="1323"/>
    </row>
    <row r="544" spans="1:42">
      <c r="A544" s="155">
        <v>301420</v>
      </c>
      <c r="B544" s="156" t="s">
        <v>219</v>
      </c>
      <c r="C544" s="626" t="s">
        <v>1019</v>
      </c>
      <c r="D544" s="1553"/>
      <c r="E544" s="1128">
        <v>15.09</v>
      </c>
      <c r="F544" s="1554"/>
      <c r="G544" s="1555"/>
      <c r="H544" s="1556"/>
      <c r="J544" s="838">
        <v>0</v>
      </c>
      <c r="K544" s="1557"/>
      <c r="M544" s="383">
        <v>1</v>
      </c>
      <c r="O544" s="1584"/>
      <c r="P544" s="1344">
        <v>16019.21</v>
      </c>
      <c r="Q544" s="1555"/>
      <c r="R544" s="1555"/>
      <c r="AC544" s="515"/>
      <c r="AD544" s="515"/>
      <c r="AO544" s="1322"/>
      <c r="AP544" s="1323"/>
    </row>
    <row r="545" spans="1:42">
      <c r="A545" s="155">
        <v>301421</v>
      </c>
      <c r="B545" s="156" t="s">
        <v>220</v>
      </c>
      <c r="C545" s="626" t="s">
        <v>1019</v>
      </c>
      <c r="D545" s="1553"/>
      <c r="E545" s="1128">
        <v>15.09</v>
      </c>
      <c r="F545" s="1554"/>
      <c r="G545" s="1555"/>
      <c r="H545" s="1556"/>
      <c r="J545" s="838">
        <v>0</v>
      </c>
      <c r="K545" s="1557"/>
      <c r="M545" s="383">
        <v>1</v>
      </c>
      <c r="O545" s="1584"/>
      <c r="P545" s="1344">
        <v>48057.63</v>
      </c>
      <c r="Q545" s="1555"/>
      <c r="R545" s="1555"/>
      <c r="AC545" s="515"/>
      <c r="AD545" s="515"/>
      <c r="AO545" s="1322"/>
      <c r="AP545" s="1323"/>
    </row>
    <row r="546" spans="1:42">
      <c r="A546" s="155">
        <v>301427</v>
      </c>
      <c r="B546" s="156" t="s">
        <v>221</v>
      </c>
      <c r="C546" s="626" t="s">
        <v>1022</v>
      </c>
      <c r="D546" s="1553"/>
      <c r="E546" s="1128">
        <v>10.73</v>
      </c>
      <c r="F546" s="1554"/>
      <c r="G546" s="1555"/>
      <c r="H546" s="1556"/>
      <c r="J546" s="838">
        <v>1</v>
      </c>
      <c r="K546" s="1557"/>
      <c r="M546" s="383">
        <v>0</v>
      </c>
      <c r="O546" s="1584"/>
      <c r="P546" s="1344">
        <v>16019.21</v>
      </c>
      <c r="Q546" s="1555"/>
      <c r="R546" s="1555"/>
      <c r="AC546" s="515"/>
      <c r="AD546" s="515"/>
      <c r="AO546" s="1322"/>
      <c r="AP546" s="1323"/>
    </row>
    <row r="547" spans="1:42">
      <c r="A547" s="155">
        <v>301429</v>
      </c>
      <c r="B547" s="156" t="s">
        <v>197</v>
      </c>
      <c r="C547" s="626" t="s">
        <v>1022</v>
      </c>
      <c r="D547" s="1553"/>
      <c r="E547" s="1128">
        <v>14.86</v>
      </c>
      <c r="F547" s="1554"/>
      <c r="G547" s="1555"/>
      <c r="H547" s="1556"/>
      <c r="J547" s="838">
        <v>1</v>
      </c>
      <c r="K547" s="1557"/>
      <c r="M547" s="383">
        <v>0</v>
      </c>
      <c r="O547" s="1584"/>
      <c r="P547" s="1344">
        <v>32038.42</v>
      </c>
      <c r="Q547" s="1555"/>
      <c r="R547" s="1555"/>
      <c r="AC547" s="515"/>
      <c r="AD547" s="515"/>
      <c r="AO547" s="1322"/>
      <c r="AP547" s="1323"/>
    </row>
    <row r="548" spans="1:42">
      <c r="A548" s="155">
        <v>301431</v>
      </c>
      <c r="B548" s="156" t="s">
        <v>222</v>
      </c>
      <c r="C548" s="626" t="s">
        <v>1022</v>
      </c>
      <c r="D548" s="1553"/>
      <c r="E548" s="1128">
        <v>11.44</v>
      </c>
      <c r="F548" s="1554"/>
      <c r="G548" s="1555"/>
      <c r="H548" s="1556"/>
      <c r="J548" s="838">
        <v>1</v>
      </c>
      <c r="K548" s="1557"/>
      <c r="M548" s="383">
        <v>0</v>
      </c>
      <c r="O548" s="1584"/>
      <c r="P548" s="1344">
        <v>16019.21</v>
      </c>
      <c r="Q548" s="1555"/>
      <c r="R548" s="1555"/>
      <c r="AC548" s="515"/>
      <c r="AD548" s="515"/>
      <c r="AO548" s="1322"/>
      <c r="AP548" s="1323"/>
    </row>
    <row r="549" spans="1:42">
      <c r="A549" s="155">
        <v>301432</v>
      </c>
      <c r="B549" s="156" t="s">
        <v>630</v>
      </c>
      <c r="C549" s="626" t="s">
        <v>1019</v>
      </c>
      <c r="D549" s="1553"/>
      <c r="E549" s="1128">
        <v>18.8</v>
      </c>
      <c r="F549" s="1554"/>
      <c r="G549" s="1555"/>
      <c r="H549" s="1556"/>
      <c r="J549" s="838">
        <v>0</v>
      </c>
      <c r="K549" s="1557"/>
      <c r="M549" s="383">
        <v>1</v>
      </c>
      <c r="O549" s="1584"/>
      <c r="P549" s="1344">
        <v>64076.84</v>
      </c>
      <c r="Q549" s="1555"/>
      <c r="R549" s="1555"/>
      <c r="AC549" s="515"/>
      <c r="AD549" s="515"/>
      <c r="AO549" s="1322"/>
      <c r="AP549" s="1323"/>
    </row>
    <row r="550" spans="1:42">
      <c r="A550" s="155">
        <v>301433</v>
      </c>
      <c r="B550" s="156" t="s">
        <v>631</v>
      </c>
      <c r="C550" s="626" t="s">
        <v>1019</v>
      </c>
      <c r="D550" s="1553"/>
      <c r="E550" s="1128">
        <v>15.09</v>
      </c>
      <c r="F550" s="1554"/>
      <c r="G550" s="1555"/>
      <c r="H550" s="1556"/>
      <c r="J550" s="838">
        <v>0</v>
      </c>
      <c r="K550" s="1557"/>
      <c r="M550" s="383">
        <v>1</v>
      </c>
      <c r="O550" s="1584"/>
      <c r="P550" s="1344">
        <v>32038.42</v>
      </c>
      <c r="Q550" s="1555"/>
      <c r="R550" s="1555"/>
      <c r="AC550" s="515"/>
      <c r="AD550" s="515"/>
      <c r="AO550" s="1322"/>
      <c r="AP550" s="1323"/>
    </row>
    <row r="551" spans="1:42">
      <c r="A551" s="155">
        <v>301434</v>
      </c>
      <c r="B551" s="156" t="s">
        <v>372</v>
      </c>
      <c r="C551" s="626" t="s">
        <v>1019</v>
      </c>
      <c r="D551" s="1553"/>
      <c r="E551" s="1128">
        <v>15.94</v>
      </c>
      <c r="F551" s="1554"/>
      <c r="G551" s="1555"/>
      <c r="H551" s="1556"/>
      <c r="J551" s="838">
        <v>0</v>
      </c>
      <c r="K551" s="1557"/>
      <c r="M551" s="383">
        <v>1</v>
      </c>
      <c r="O551" s="1584"/>
      <c r="P551" s="1344">
        <v>144172.9</v>
      </c>
      <c r="Q551" s="1555"/>
      <c r="R551" s="1555"/>
      <c r="AC551" s="515"/>
      <c r="AD551" s="515"/>
      <c r="AO551" s="1322"/>
      <c r="AP551" s="1323"/>
    </row>
    <row r="552" spans="1:42">
      <c r="A552" s="155">
        <v>301435</v>
      </c>
      <c r="B552" s="156" t="s">
        <v>632</v>
      </c>
      <c r="C552" s="626" t="s">
        <v>1019</v>
      </c>
      <c r="D552" s="1553"/>
      <c r="E552" s="1128">
        <v>18.27</v>
      </c>
      <c r="F552" s="1554"/>
      <c r="G552" s="1555"/>
      <c r="H552" s="1556"/>
      <c r="J552" s="838">
        <v>0</v>
      </c>
      <c r="K552" s="1557"/>
      <c r="M552" s="383">
        <v>1</v>
      </c>
      <c r="O552" s="1584"/>
      <c r="P552" s="1344">
        <v>112134.48</v>
      </c>
      <c r="Q552" s="1555"/>
      <c r="R552" s="1555"/>
      <c r="AC552" s="515"/>
      <c r="AD552" s="515"/>
      <c r="AO552" s="1322"/>
      <c r="AP552" s="1323"/>
    </row>
    <row r="553" spans="1:42">
      <c r="A553" s="155">
        <v>301436</v>
      </c>
      <c r="B553" s="156" t="s">
        <v>633</v>
      </c>
      <c r="C553" s="626" t="s">
        <v>1019</v>
      </c>
      <c r="D553" s="1553"/>
      <c r="E553" s="1128">
        <v>17.86</v>
      </c>
      <c r="F553" s="1554"/>
      <c r="G553" s="1555"/>
      <c r="H553" s="1556"/>
      <c r="J553" s="838">
        <v>0</v>
      </c>
      <c r="K553" s="1557"/>
      <c r="M553" s="383">
        <v>1</v>
      </c>
      <c r="O553" s="1584"/>
      <c r="P553" s="1344">
        <v>64076.84</v>
      </c>
      <c r="Q553" s="1555"/>
      <c r="R553" s="1555"/>
      <c r="AC553" s="515"/>
      <c r="AD553" s="515"/>
      <c r="AO553" s="1322"/>
      <c r="AP553" s="1323"/>
    </row>
    <row r="554" spans="1:42">
      <c r="A554" s="155">
        <v>301437</v>
      </c>
      <c r="B554" s="156" t="s">
        <v>634</v>
      </c>
      <c r="C554" s="626" t="s">
        <v>1019</v>
      </c>
      <c r="D554" s="1553"/>
      <c r="E554" s="1128">
        <v>17.32</v>
      </c>
      <c r="F554" s="1554"/>
      <c r="G554" s="1555"/>
      <c r="H554" s="1556"/>
      <c r="J554" s="838">
        <v>0</v>
      </c>
      <c r="K554" s="1557"/>
      <c r="M554" s="383">
        <v>1</v>
      </c>
      <c r="O554" s="1584"/>
      <c r="P554" s="1344">
        <v>176211.31</v>
      </c>
      <c r="Q554" s="1555"/>
      <c r="R554" s="1555"/>
      <c r="AC554" s="515"/>
      <c r="AD554" s="515"/>
      <c r="AO554" s="1322"/>
      <c r="AP554" s="1323"/>
    </row>
    <row r="555" spans="1:42">
      <c r="A555" s="155">
        <v>301438</v>
      </c>
      <c r="B555" s="156" t="s">
        <v>635</v>
      </c>
      <c r="C555" s="626" t="s">
        <v>1019</v>
      </c>
      <c r="D555" s="1553"/>
      <c r="E555" s="1128">
        <v>6.93</v>
      </c>
      <c r="F555" s="1554"/>
      <c r="G555" s="1555"/>
      <c r="H555" s="1556"/>
      <c r="J555" s="838">
        <v>0</v>
      </c>
      <c r="K555" s="1557"/>
      <c r="M555" s="383">
        <v>1</v>
      </c>
      <c r="O555" s="1584"/>
      <c r="P555" s="1344">
        <v>176211.31</v>
      </c>
      <c r="Q555" s="1555"/>
      <c r="R555" s="1555"/>
      <c r="AC555" s="515"/>
      <c r="AD555" s="515"/>
      <c r="AO555" s="1322"/>
      <c r="AP555" s="1323"/>
    </row>
    <row r="556" spans="1:42">
      <c r="A556" s="155">
        <v>301439</v>
      </c>
      <c r="B556" s="156" t="s">
        <v>636</v>
      </c>
      <c r="C556" s="626" t="s">
        <v>1019</v>
      </c>
      <c r="D556" s="1553"/>
      <c r="E556" s="1128">
        <v>16.440000000000001</v>
      </c>
      <c r="F556" s="1554"/>
      <c r="G556" s="1555"/>
      <c r="H556" s="1556"/>
      <c r="J556" s="838">
        <v>0</v>
      </c>
      <c r="K556" s="1557"/>
      <c r="M556" s="383">
        <v>1</v>
      </c>
      <c r="O556" s="1584"/>
      <c r="P556" s="1344">
        <v>128153.69</v>
      </c>
      <c r="Q556" s="1555"/>
      <c r="R556" s="1555"/>
      <c r="AC556" s="515"/>
      <c r="AD556" s="515"/>
      <c r="AO556" s="1322"/>
      <c r="AP556" s="1323"/>
    </row>
    <row r="557" spans="1:42">
      <c r="A557" s="155">
        <v>301441</v>
      </c>
      <c r="B557" s="156" t="s">
        <v>6</v>
      </c>
      <c r="C557" s="626" t="s">
        <v>1022</v>
      </c>
      <c r="D557" s="1553"/>
      <c r="E557" s="1128">
        <v>10.220000000000001</v>
      </c>
      <c r="F557" s="1554"/>
      <c r="G557" s="1555"/>
      <c r="H557" s="1556"/>
      <c r="J557" s="838">
        <v>1</v>
      </c>
      <c r="K557" s="1557"/>
      <c r="M557" s="383">
        <v>0</v>
      </c>
      <c r="O557" s="1584"/>
      <c r="P557" s="1344">
        <v>16019.21</v>
      </c>
      <c r="Q557" s="1555"/>
      <c r="R557" s="1555"/>
      <c r="AC557" s="515"/>
      <c r="AD557" s="515"/>
      <c r="AO557" s="1322"/>
      <c r="AP557" s="1323"/>
    </row>
    <row r="558" spans="1:42">
      <c r="A558" s="168">
        <v>301442</v>
      </c>
      <c r="B558" s="163" t="s">
        <v>1137</v>
      </c>
      <c r="C558" s="626" t="s">
        <v>1022</v>
      </c>
      <c r="D558" s="1553"/>
      <c r="E558" s="1128">
        <v>10.220000000000001</v>
      </c>
      <c r="F558" s="1554"/>
      <c r="G558" s="1555"/>
      <c r="H558" s="1556"/>
      <c r="J558" s="838">
        <v>1</v>
      </c>
      <c r="K558" s="1557"/>
      <c r="M558" s="383">
        <v>0</v>
      </c>
      <c r="O558" s="1584"/>
      <c r="P558" s="1344">
        <v>16019.21</v>
      </c>
      <c r="Q558" s="1555"/>
      <c r="R558" s="1555"/>
      <c r="AC558" s="515"/>
      <c r="AD558" s="515"/>
      <c r="AO558" s="1322"/>
      <c r="AP558" s="1323"/>
    </row>
    <row r="559" spans="1:42">
      <c r="A559" s="168">
        <v>301443</v>
      </c>
      <c r="B559" s="163" t="s">
        <v>7</v>
      </c>
      <c r="C559" s="626" t="s">
        <v>1022</v>
      </c>
      <c r="D559" s="1553"/>
      <c r="E559" s="1128">
        <v>10.220000000000001</v>
      </c>
      <c r="F559" s="1554"/>
      <c r="G559" s="1555"/>
      <c r="H559" s="1556"/>
      <c r="J559" s="838">
        <v>1</v>
      </c>
      <c r="K559" s="1557"/>
      <c r="M559" s="383">
        <v>0</v>
      </c>
      <c r="O559" s="1584"/>
      <c r="P559" s="1344">
        <v>16019.21</v>
      </c>
      <c r="Q559" s="1555"/>
      <c r="R559" s="1555"/>
      <c r="AC559" s="515"/>
      <c r="AD559" s="515"/>
      <c r="AO559" s="1322"/>
      <c r="AP559" s="1323"/>
    </row>
    <row r="560" spans="1:42">
      <c r="A560" s="168">
        <v>301445</v>
      </c>
      <c r="B560" s="163" t="s">
        <v>223</v>
      </c>
      <c r="C560" s="626" t="s">
        <v>1022</v>
      </c>
      <c r="D560" s="1553"/>
      <c r="E560" s="1128">
        <v>23.11</v>
      </c>
      <c r="F560" s="1554"/>
      <c r="G560" s="1555"/>
      <c r="H560" s="1556"/>
      <c r="J560" s="838">
        <v>1</v>
      </c>
      <c r="K560" s="1557"/>
      <c r="M560" s="383">
        <v>0</v>
      </c>
      <c r="O560" s="1584"/>
      <c r="P560" s="1344">
        <v>16019.21</v>
      </c>
      <c r="Q560" s="1555"/>
      <c r="R560" s="1555"/>
      <c r="AC560" s="515"/>
      <c r="AD560" s="515"/>
      <c r="AO560" s="1322"/>
      <c r="AP560" s="1323"/>
    </row>
    <row r="561" spans="1:42">
      <c r="A561" s="168">
        <v>301446</v>
      </c>
      <c r="B561" s="163" t="s">
        <v>287</v>
      </c>
      <c r="C561" s="626" t="s">
        <v>1129</v>
      </c>
      <c r="D561" s="1553"/>
      <c r="E561" s="1128">
        <v>9.32</v>
      </c>
      <c r="F561" s="1554"/>
      <c r="G561" s="1555"/>
      <c r="H561" s="1556"/>
      <c r="J561" s="838">
        <v>1</v>
      </c>
      <c r="K561" s="1557"/>
      <c r="M561" s="383">
        <v>0</v>
      </c>
      <c r="O561" s="1584"/>
      <c r="P561" s="1344">
        <v>16019.21</v>
      </c>
      <c r="Q561" s="1555"/>
      <c r="R561" s="1555"/>
      <c r="AC561" s="515"/>
      <c r="AD561" s="515"/>
      <c r="AO561" s="1322"/>
      <c r="AP561" s="1323"/>
    </row>
    <row r="562" spans="1:42">
      <c r="A562" s="168">
        <v>301450</v>
      </c>
      <c r="B562" s="163" t="s">
        <v>637</v>
      </c>
      <c r="C562" s="626" t="s">
        <v>1022</v>
      </c>
      <c r="D562" s="1553"/>
      <c r="E562" s="859">
        <v>19.170000000000002</v>
      </c>
      <c r="F562" s="1554"/>
      <c r="G562" s="1555"/>
      <c r="H562" s="1556"/>
      <c r="J562" s="838">
        <v>1</v>
      </c>
      <c r="K562" s="1557"/>
      <c r="M562" s="383">
        <v>0</v>
      </c>
      <c r="O562" s="1584"/>
      <c r="P562" s="1345">
        <v>16019.21</v>
      </c>
      <c r="Q562" s="1555"/>
      <c r="R562" s="1555"/>
      <c r="AC562" s="515"/>
      <c r="AD562" s="515"/>
      <c r="AO562" s="1322"/>
      <c r="AP562" s="1323" t="s">
        <v>1239</v>
      </c>
    </row>
    <row r="563" spans="1:42">
      <c r="A563" s="168">
        <v>301451</v>
      </c>
      <c r="B563" s="163" t="s">
        <v>638</v>
      </c>
      <c r="C563" s="626" t="s">
        <v>1022</v>
      </c>
      <c r="D563" s="1553"/>
      <c r="E563" s="859">
        <v>8.35</v>
      </c>
      <c r="F563" s="1554"/>
      <c r="G563" s="1555"/>
      <c r="H563" s="1556"/>
      <c r="J563" s="838">
        <v>1</v>
      </c>
      <c r="K563" s="1557"/>
      <c r="M563" s="383">
        <v>0</v>
      </c>
      <c r="O563" s="1584"/>
      <c r="P563" s="1345">
        <v>16019.21</v>
      </c>
      <c r="Q563" s="1555"/>
      <c r="R563" s="1555"/>
      <c r="AC563" s="515"/>
      <c r="AD563" s="515"/>
      <c r="AO563" s="1322"/>
      <c r="AP563" s="1323" t="s">
        <v>1239</v>
      </c>
    </row>
    <row r="564" spans="1:42">
      <c r="A564" s="168">
        <v>301453</v>
      </c>
      <c r="B564" s="163" t="s">
        <v>639</v>
      </c>
      <c r="C564" s="626" t="s">
        <v>1122</v>
      </c>
      <c r="D564" s="1553"/>
      <c r="E564" s="859">
        <v>6.54</v>
      </c>
      <c r="F564" s="1554"/>
      <c r="G564" s="1555"/>
      <c r="H564" s="1556"/>
      <c r="J564" s="838">
        <v>0</v>
      </c>
      <c r="K564" s="1557"/>
      <c r="M564" s="383">
        <v>0</v>
      </c>
      <c r="O564" s="1584"/>
      <c r="P564" s="1345"/>
      <c r="Q564" s="1555"/>
      <c r="R564" s="1555"/>
      <c r="AC564" s="515"/>
      <c r="AD564" s="515"/>
      <c r="AO564" s="1322"/>
      <c r="AP564" s="1323" t="s">
        <v>1239</v>
      </c>
    </row>
    <row r="565" spans="1:42">
      <c r="A565" s="168">
        <v>301455</v>
      </c>
      <c r="B565" s="163" t="s">
        <v>784</v>
      </c>
      <c r="C565" s="626" t="s">
        <v>1019</v>
      </c>
      <c r="D565" s="1553"/>
      <c r="E565" s="859">
        <v>28.51</v>
      </c>
      <c r="F565" s="1554"/>
      <c r="G565" s="1555"/>
      <c r="H565" s="1556"/>
      <c r="J565" s="838">
        <v>0</v>
      </c>
      <c r="K565" s="1557"/>
      <c r="M565" s="383">
        <v>1</v>
      </c>
      <c r="O565" s="1584"/>
      <c r="P565" s="1345">
        <v>16019.21</v>
      </c>
      <c r="Q565" s="1555"/>
      <c r="R565" s="1555"/>
      <c r="AC565" s="515"/>
      <c r="AD565" s="515"/>
      <c r="AO565" s="1322"/>
      <c r="AP565" s="1323" t="s">
        <v>1239</v>
      </c>
    </row>
    <row r="566" spans="1:42">
      <c r="A566" s="168">
        <v>301456</v>
      </c>
      <c r="B566" s="163" t="s">
        <v>785</v>
      </c>
      <c r="C566" s="626" t="s">
        <v>1019</v>
      </c>
      <c r="D566" s="1553"/>
      <c r="E566" s="859"/>
      <c r="F566" s="1554"/>
      <c r="G566" s="1555"/>
      <c r="H566" s="1556"/>
      <c r="J566" s="838">
        <v>0</v>
      </c>
      <c r="K566" s="1557"/>
      <c r="M566" s="383">
        <v>1</v>
      </c>
      <c r="O566" s="1584"/>
      <c r="P566" s="1345"/>
      <c r="Q566" s="1555"/>
      <c r="R566" s="1555"/>
      <c r="AC566" s="515"/>
      <c r="AD566" s="515"/>
      <c r="AO566" s="1322"/>
      <c r="AP566" s="1323" t="s">
        <v>1239</v>
      </c>
    </row>
    <row r="567" spans="1:42">
      <c r="A567" s="168">
        <v>301457</v>
      </c>
      <c r="B567" s="163" t="s">
        <v>786</v>
      </c>
      <c r="C567" s="626" t="s">
        <v>1019</v>
      </c>
      <c r="D567" s="1553"/>
      <c r="E567" s="859"/>
      <c r="F567" s="1554"/>
      <c r="G567" s="1555"/>
      <c r="H567" s="1556"/>
      <c r="J567" s="838">
        <v>0</v>
      </c>
      <c r="K567" s="1557"/>
      <c r="M567" s="383">
        <v>1</v>
      </c>
      <c r="O567" s="1584"/>
      <c r="P567" s="1345"/>
      <c r="Q567" s="1555"/>
      <c r="R567" s="1555"/>
      <c r="AC567" s="515"/>
      <c r="AD567" s="515"/>
      <c r="AO567" s="1322"/>
      <c r="AP567" s="1323" t="s">
        <v>1239</v>
      </c>
    </row>
    <row r="568" spans="1:42">
      <c r="A568" s="155">
        <v>301460</v>
      </c>
      <c r="B568" s="156" t="s">
        <v>462</v>
      </c>
      <c r="C568" s="626" t="s">
        <v>1129</v>
      </c>
      <c r="D568" s="1553"/>
      <c r="E568" s="859"/>
      <c r="F568" s="1554"/>
      <c r="G568" s="1555"/>
      <c r="H568" s="1556"/>
      <c r="J568" s="838">
        <v>1</v>
      </c>
      <c r="K568" s="1557"/>
      <c r="M568" s="383">
        <v>0</v>
      </c>
      <c r="O568" s="1584"/>
      <c r="P568" s="1345"/>
      <c r="Q568" s="1555"/>
      <c r="R568" s="1555"/>
      <c r="AC568" s="515"/>
      <c r="AD568" s="515"/>
      <c r="AO568" s="1322"/>
      <c r="AP568" s="1323" t="s">
        <v>1240</v>
      </c>
    </row>
    <row r="569" spans="1:42">
      <c r="A569" s="155">
        <v>301464</v>
      </c>
      <c r="B569" s="156" t="s">
        <v>1138</v>
      </c>
      <c r="C569" s="626" t="s">
        <v>1019</v>
      </c>
      <c r="D569" s="1553"/>
      <c r="E569" s="859">
        <v>15.58</v>
      </c>
      <c r="F569" s="1554"/>
      <c r="G569" s="1555"/>
      <c r="H569" s="1556"/>
      <c r="J569" s="838">
        <v>0</v>
      </c>
      <c r="K569" s="1557"/>
      <c r="M569" s="383">
        <v>1</v>
      </c>
      <c r="O569" s="1584"/>
      <c r="P569" s="1345">
        <v>32038.42</v>
      </c>
      <c r="Q569" s="1555"/>
      <c r="R569" s="1555"/>
      <c r="AC569" s="515"/>
      <c r="AD569" s="515"/>
      <c r="AO569" s="1322"/>
      <c r="AP569" s="1323" t="s">
        <v>1240</v>
      </c>
    </row>
    <row r="570" spans="1:42">
      <c r="A570" s="155">
        <v>301465</v>
      </c>
      <c r="B570" s="156" t="s">
        <v>1139</v>
      </c>
      <c r="C570" s="626" t="s">
        <v>1019</v>
      </c>
      <c r="D570" s="1553"/>
      <c r="E570" s="859">
        <v>16.228142636050492</v>
      </c>
      <c r="F570" s="1554"/>
      <c r="G570" s="1555"/>
      <c r="H570" s="1556"/>
      <c r="J570" s="838">
        <v>0</v>
      </c>
      <c r="K570" s="1557"/>
      <c r="M570" s="383">
        <v>1</v>
      </c>
      <c r="O570" s="1584"/>
      <c r="P570" s="1345">
        <v>64076.84</v>
      </c>
      <c r="Q570" s="1555"/>
      <c r="R570" s="1555"/>
      <c r="AC570" s="515"/>
      <c r="AD570" s="515"/>
      <c r="AO570" s="1322"/>
      <c r="AP570" s="1323" t="s">
        <v>1240</v>
      </c>
    </row>
    <row r="571" spans="1:42">
      <c r="A571" s="155">
        <v>301466</v>
      </c>
      <c r="B571" s="156" t="s">
        <v>1140</v>
      </c>
      <c r="C571" s="626" t="s">
        <v>1019</v>
      </c>
      <c r="D571" s="1553"/>
      <c r="E571" s="859">
        <v>18.12599488796684</v>
      </c>
      <c r="F571" s="1554"/>
      <c r="G571" s="1555"/>
      <c r="H571" s="1556"/>
      <c r="J571" s="838">
        <v>0</v>
      </c>
      <c r="K571" s="1557"/>
      <c r="M571" s="383">
        <v>1</v>
      </c>
      <c r="O571" s="1584"/>
      <c r="P571" s="1345">
        <v>64076.84</v>
      </c>
      <c r="Q571" s="1555"/>
      <c r="R571" s="1555"/>
      <c r="AC571" s="515"/>
      <c r="AD571" s="515"/>
      <c r="AO571" s="1322"/>
      <c r="AP571" s="1323" t="s">
        <v>1240</v>
      </c>
    </row>
    <row r="572" spans="1:42">
      <c r="A572" s="155">
        <v>301467</v>
      </c>
      <c r="B572" s="156" t="s">
        <v>1141</v>
      </c>
      <c r="C572" s="626" t="s">
        <v>1019</v>
      </c>
      <c r="D572" s="1553"/>
      <c r="E572" s="859">
        <v>18.195924449576864</v>
      </c>
      <c r="F572" s="1554"/>
      <c r="G572" s="1555"/>
      <c r="H572" s="1556"/>
      <c r="J572" s="838">
        <v>0</v>
      </c>
      <c r="K572" s="1557"/>
      <c r="M572" s="383">
        <v>1</v>
      </c>
      <c r="O572" s="1584"/>
      <c r="P572" s="1345">
        <v>64076.84</v>
      </c>
      <c r="Q572" s="1555"/>
      <c r="R572" s="1555"/>
      <c r="AC572" s="515"/>
      <c r="AD572" s="515"/>
      <c r="AO572" s="1322"/>
      <c r="AP572" s="1323" t="s">
        <v>1240</v>
      </c>
    </row>
    <row r="573" spans="1:42" ht="13.5" thickBot="1">
      <c r="A573" s="168">
        <v>301469</v>
      </c>
      <c r="B573" s="163" t="s">
        <v>1237</v>
      </c>
      <c r="C573" s="626" t="s">
        <v>1019</v>
      </c>
      <c r="D573" s="1553"/>
      <c r="E573" s="859">
        <v>16.356047516486186</v>
      </c>
      <c r="F573" s="1554"/>
      <c r="G573" s="1555"/>
      <c r="H573" s="1556"/>
      <c r="J573" s="838">
        <v>0</v>
      </c>
      <c r="K573" s="1557"/>
      <c r="M573" s="383">
        <v>1</v>
      </c>
      <c r="O573" s="1584"/>
      <c r="P573" s="1345">
        <v>176211.31999999998</v>
      </c>
      <c r="Q573" s="1555"/>
      <c r="R573" s="1555"/>
      <c r="AC573" s="515"/>
      <c r="AD573" s="515"/>
      <c r="AO573" s="1322"/>
      <c r="AP573" s="1323" t="s">
        <v>1240</v>
      </c>
    </row>
    <row r="574" spans="1:42" ht="13.5" thickTop="1">
      <c r="A574" s="308"/>
      <c r="B574" s="308"/>
      <c r="C574" s="1006"/>
      <c r="D574" s="387"/>
      <c r="E574" s="308"/>
      <c r="F574" s="862"/>
      <c r="G574" s="324"/>
      <c r="H574" s="1016">
        <v>348285703.22772366</v>
      </c>
      <c r="I574" s="861"/>
      <c r="J574" s="324"/>
      <c r="K574" s="324"/>
      <c r="L574" s="861"/>
      <c r="M574" s="861"/>
      <c r="N574" s="861"/>
      <c r="O574" s="292"/>
      <c r="P574" s="292"/>
      <c r="Q574" s="324"/>
      <c r="R574" s="386"/>
      <c r="AC574" s="515"/>
      <c r="AD574" s="515"/>
    </row>
    <row r="575" spans="1:42">
      <c r="A575" s="216"/>
      <c r="B575" s="216"/>
      <c r="C575" s="1006"/>
      <c r="D575" s="337"/>
      <c r="E575" s="216"/>
      <c r="F575" s="216"/>
      <c r="G575" s="384"/>
      <c r="H575" s="384"/>
      <c r="I575" s="298"/>
      <c r="J575" s="298"/>
      <c r="K575" s="298"/>
      <c r="L575" s="298"/>
      <c r="M575" s="298"/>
      <c r="N575" s="298"/>
      <c r="O575" s="216"/>
      <c r="P575" s="216"/>
      <c r="Q575" s="216"/>
      <c r="R575" s="385"/>
      <c r="AC575" s="515"/>
      <c r="AD575" s="515"/>
    </row>
    <row r="576" spans="1:42">
      <c r="C576" s="1006"/>
      <c r="G576" s="324"/>
      <c r="H576" s="324"/>
      <c r="J576" s="296"/>
      <c r="K576" s="296"/>
      <c r="L576" s="296"/>
      <c r="M576" s="296"/>
      <c r="R576" s="386"/>
      <c r="AC576" s="515"/>
      <c r="AD576" s="515"/>
    </row>
    <row r="577" spans="1:42">
      <c r="C577" s="1006"/>
      <c r="AC577" s="515"/>
      <c r="AD577" s="515"/>
    </row>
    <row r="578" spans="1:42">
      <c r="C578" s="1006"/>
      <c r="AC578" s="515"/>
      <c r="AD578" s="515"/>
    </row>
    <row r="579" spans="1:42">
      <c r="C579" s="1006"/>
      <c r="L579" s="1582"/>
      <c r="AC579" s="515"/>
      <c r="AD579" s="515"/>
    </row>
    <row r="580" spans="1:42">
      <c r="C580" s="1006"/>
      <c r="AC580" s="515"/>
      <c r="AD580" s="515"/>
    </row>
    <row r="581" spans="1:42">
      <c r="C581" s="1006"/>
      <c r="AC581" s="515"/>
      <c r="AD581" s="515"/>
    </row>
    <row r="582" spans="1:42">
      <c r="C582" s="1006"/>
      <c r="AC582" s="515"/>
      <c r="AD582" s="515"/>
    </row>
    <row r="583" spans="1:42">
      <c r="C583" s="1006"/>
      <c r="AC583" s="515"/>
      <c r="AD583" s="515"/>
    </row>
    <row r="584" spans="1:42">
      <c r="C584" s="1006"/>
      <c r="Y584" s="388"/>
      <c r="AC584" s="516"/>
      <c r="AD584" s="515"/>
    </row>
    <row r="585" spans="1:42">
      <c r="C585" s="1006"/>
      <c r="T585" s="308"/>
      <c r="U585" s="308"/>
      <c r="W585" s="308"/>
      <c r="X585" s="308"/>
      <c r="Y585" s="338"/>
      <c r="Z585" s="388"/>
      <c r="AA585" s="388"/>
      <c r="AC585" s="517"/>
      <c r="AD585" s="515"/>
    </row>
    <row r="586" spans="1:42" ht="15">
      <c r="C586" s="1006"/>
      <c r="T586" s="216"/>
      <c r="U586" s="216"/>
      <c r="V586" s="216"/>
      <c r="W586" s="216"/>
      <c r="X586" s="216"/>
      <c r="Z586" s="338"/>
      <c r="AA586" s="338"/>
      <c r="AC586" s="313"/>
      <c r="AD586" s="339"/>
    </row>
    <row r="587" spans="1:42" ht="15">
      <c r="V587" s="152"/>
      <c r="AC587" s="313"/>
      <c r="AD587" s="336"/>
    </row>
    <row r="588" spans="1:42" ht="15">
      <c r="AB588" s="307"/>
      <c r="AC588" s="313"/>
      <c r="AD588" s="313"/>
    </row>
    <row r="589" spans="1:42" ht="15">
      <c r="AB589" s="298"/>
      <c r="AC589" s="313"/>
      <c r="AD589" s="313"/>
    </row>
    <row r="590" spans="1:42" ht="15">
      <c r="AC590" s="313"/>
      <c r="AD590" s="313"/>
    </row>
    <row r="591" spans="1:42" s="308" customFormat="1" ht="15">
      <c r="A591" s="152"/>
      <c r="B591" s="152"/>
      <c r="D591" s="292"/>
      <c r="E591" s="152"/>
      <c r="F591" s="152"/>
      <c r="G591" s="152"/>
      <c r="H591" s="152"/>
      <c r="I591" s="296"/>
      <c r="J591" s="307"/>
      <c r="K591" s="307"/>
      <c r="L591" s="307"/>
      <c r="M591" s="307"/>
      <c r="N591" s="296"/>
      <c r="O591" s="152"/>
      <c r="P591" s="152"/>
      <c r="Q591" s="152"/>
      <c r="R591" s="152"/>
      <c r="T591" s="152"/>
      <c r="U591" s="152"/>
      <c r="W591" s="152"/>
      <c r="X591" s="152"/>
      <c r="Y591" s="167"/>
      <c r="Z591" s="167"/>
      <c r="AA591" s="167"/>
      <c r="AB591" s="296"/>
      <c r="AC591" s="313"/>
      <c r="AD591" s="313"/>
      <c r="AE591" s="307"/>
      <c r="AO591" s="152"/>
      <c r="AP591" s="152"/>
    </row>
    <row r="592" spans="1:42" s="216" customFormat="1" ht="15">
      <c r="A592" s="152"/>
      <c r="B592" s="152"/>
      <c r="C592" s="308"/>
      <c r="D592" s="292"/>
      <c r="E592" s="152"/>
      <c r="F592" s="152"/>
      <c r="G592" s="152"/>
      <c r="H592" s="152"/>
      <c r="I592" s="296"/>
      <c r="J592" s="307"/>
      <c r="K592" s="307"/>
      <c r="L592" s="307"/>
      <c r="M592" s="307"/>
      <c r="N592" s="296"/>
      <c r="O592" s="152"/>
      <c r="P592" s="152"/>
      <c r="Q592" s="152"/>
      <c r="R592" s="152"/>
      <c r="T592" s="152"/>
      <c r="U592" s="152"/>
      <c r="V592" s="308"/>
      <c r="W592" s="152"/>
      <c r="X592" s="152"/>
      <c r="Y592" s="167"/>
      <c r="Z592" s="167"/>
      <c r="AA592" s="167"/>
      <c r="AB592" s="296"/>
      <c r="AC592" s="313"/>
      <c r="AD592" s="313"/>
      <c r="AE592" s="298"/>
      <c r="AO592" s="152"/>
      <c r="AP592" s="152"/>
    </row>
    <row r="593" spans="29:40" ht="15">
      <c r="AC593" s="313"/>
      <c r="AD593" s="313"/>
      <c r="AN593" s="152"/>
    </row>
    <row r="594" spans="29:40" ht="15">
      <c r="AC594" s="313"/>
      <c r="AD594" s="313"/>
    </row>
    <row r="595" spans="29:40" ht="15">
      <c r="AC595" s="313"/>
      <c r="AD595" s="313"/>
    </row>
    <row r="596" spans="29:40" ht="15">
      <c r="AC596" s="313"/>
      <c r="AD596" s="313"/>
    </row>
    <row r="597" spans="29:40" ht="15">
      <c r="AC597" s="313"/>
      <c r="AD597" s="313"/>
    </row>
    <row r="598" spans="29:40" ht="15">
      <c r="AC598" s="313"/>
      <c r="AD598" s="313"/>
    </row>
    <row r="599" spans="29:40" ht="15">
      <c r="AC599" s="313"/>
      <c r="AD599" s="313"/>
    </row>
    <row r="600" spans="29:40" ht="15">
      <c r="AC600" s="313"/>
      <c r="AD600" s="313"/>
    </row>
    <row r="601" spans="29:40" ht="15">
      <c r="AC601" s="313"/>
      <c r="AD601" s="313"/>
    </row>
    <row r="602" spans="29:40" ht="15">
      <c r="AC602" s="313"/>
      <c r="AD602" s="313"/>
    </row>
    <row r="603" spans="29:40" ht="15">
      <c r="AC603" s="313"/>
      <c r="AD603" s="313"/>
    </row>
    <row r="604" spans="29:40" ht="15">
      <c r="AC604" s="313"/>
      <c r="AD604" s="313"/>
    </row>
    <row r="605" spans="29:40" ht="15">
      <c r="AC605" s="313"/>
      <c r="AD605" s="313"/>
    </row>
    <row r="606" spans="29:40" ht="15">
      <c r="AC606" s="313"/>
      <c r="AD606" s="313"/>
    </row>
    <row r="607" spans="29:40" ht="15">
      <c r="AC607" s="313"/>
      <c r="AD607" s="313"/>
    </row>
    <row r="608" spans="29:40" ht="15">
      <c r="AC608" s="313"/>
      <c r="AD608" s="313"/>
    </row>
    <row r="609" spans="29:30" ht="15">
      <c r="AC609" s="313"/>
      <c r="AD609" s="313"/>
    </row>
    <row r="610" spans="29:30" ht="15">
      <c r="AC610" s="313"/>
      <c r="AD610" s="313"/>
    </row>
    <row r="611" spans="29:30" ht="15">
      <c r="AC611" s="313"/>
      <c r="AD611" s="313"/>
    </row>
    <row r="612" spans="29:30" ht="15">
      <c r="AC612" s="313"/>
      <c r="AD612" s="313"/>
    </row>
    <row r="613" spans="29:30" ht="15">
      <c r="AC613" s="313"/>
      <c r="AD613" s="313"/>
    </row>
    <row r="614" spans="29:30" ht="15">
      <c r="AC614" s="313"/>
      <c r="AD614" s="313"/>
    </row>
    <row r="615" spans="29:30" ht="15">
      <c r="AC615" s="313"/>
      <c r="AD615" s="313"/>
    </row>
    <row r="616" spans="29:30" ht="15">
      <c r="AC616" s="313"/>
      <c r="AD616" s="313"/>
    </row>
    <row r="617" spans="29:30" ht="15">
      <c r="AC617" s="313"/>
      <c r="AD617" s="313"/>
    </row>
    <row r="618" spans="29:30" ht="15">
      <c r="AC618" s="313"/>
      <c r="AD618" s="313"/>
    </row>
    <row r="619" spans="29:30" ht="15">
      <c r="AC619" s="313"/>
      <c r="AD619" s="313"/>
    </row>
    <row r="620" spans="29:30" ht="15">
      <c r="AC620" s="313"/>
      <c r="AD620" s="313"/>
    </row>
    <row r="621" spans="29:30" ht="15">
      <c r="AC621" s="313"/>
      <c r="AD621" s="313"/>
    </row>
    <row r="622" spans="29:30" ht="15">
      <c r="AC622" s="313"/>
      <c r="AD622" s="313"/>
    </row>
    <row r="623" spans="29:30" ht="15">
      <c r="AC623" s="313"/>
      <c r="AD623" s="313"/>
    </row>
    <row r="624" spans="29:30" ht="15">
      <c r="AC624" s="313"/>
      <c r="AD624" s="313"/>
    </row>
    <row r="625" spans="29:30" ht="15">
      <c r="AC625" s="313"/>
      <c r="AD625" s="313"/>
    </row>
    <row r="626" spans="29:30" ht="15">
      <c r="AC626" s="313"/>
      <c r="AD626" s="313"/>
    </row>
    <row r="627" spans="29:30" ht="15">
      <c r="AC627" s="313"/>
      <c r="AD627" s="313"/>
    </row>
    <row r="628" spans="29:30" ht="15">
      <c r="AC628" s="313"/>
      <c r="AD628" s="313"/>
    </row>
    <row r="629" spans="29:30" ht="15">
      <c r="AC629" s="313"/>
      <c r="AD629" s="313"/>
    </row>
    <row r="630" spans="29:30" ht="15">
      <c r="AC630" s="313"/>
      <c r="AD630" s="313"/>
    </row>
    <row r="631" spans="29:30" ht="15">
      <c r="AC631" s="313"/>
      <c r="AD631" s="313"/>
    </row>
    <row r="632" spans="29:30" ht="15">
      <c r="AC632" s="313"/>
      <c r="AD632" s="313"/>
    </row>
    <row r="633" spans="29:30" ht="15">
      <c r="AC633" s="313"/>
      <c r="AD633" s="313"/>
    </row>
    <row r="634" spans="29:30" ht="15">
      <c r="AC634" s="313"/>
      <c r="AD634" s="313"/>
    </row>
    <row r="635" spans="29:30" ht="15">
      <c r="AC635" s="313"/>
      <c r="AD635" s="313"/>
    </row>
    <row r="636" spans="29:30" ht="15">
      <c r="AC636" s="313"/>
      <c r="AD636" s="313"/>
    </row>
    <row r="637" spans="29:30" ht="15">
      <c r="AC637" s="313"/>
      <c r="AD637" s="313"/>
    </row>
    <row r="638" spans="29:30" ht="15">
      <c r="AC638" s="313"/>
      <c r="AD638" s="313"/>
    </row>
    <row r="639" spans="29:30" ht="15">
      <c r="AC639" s="313"/>
      <c r="AD639" s="313"/>
    </row>
    <row r="640" spans="29:30" ht="15">
      <c r="AC640" s="313"/>
      <c r="AD640" s="313"/>
    </row>
    <row r="641" spans="29:30" ht="15">
      <c r="AC641" s="313"/>
      <c r="AD641" s="313"/>
    </row>
    <row r="642" spans="29:30" ht="15">
      <c r="AC642" s="313"/>
      <c r="AD642" s="313"/>
    </row>
    <row r="643" spans="29:30" ht="15">
      <c r="AC643" s="313"/>
      <c r="AD643" s="313"/>
    </row>
    <row r="644" spans="29:30" ht="15">
      <c r="AC644" s="313"/>
      <c r="AD644" s="313"/>
    </row>
    <row r="645" spans="29:30" ht="15">
      <c r="AC645" s="313"/>
      <c r="AD645" s="313"/>
    </row>
    <row r="646" spans="29:30" ht="15">
      <c r="AC646" s="313"/>
      <c r="AD646" s="313"/>
    </row>
    <row r="647" spans="29:30" ht="15">
      <c r="AC647" s="313"/>
      <c r="AD647" s="313"/>
    </row>
    <row r="648" spans="29:30" ht="15">
      <c r="AC648" s="313"/>
      <c r="AD648" s="313"/>
    </row>
    <row r="649" spans="29:30" ht="15">
      <c r="AC649" s="313"/>
      <c r="AD649" s="313"/>
    </row>
    <row r="650" spans="29:30" ht="15">
      <c r="AC650" s="313"/>
      <c r="AD650" s="313"/>
    </row>
    <row r="651" spans="29:30" ht="15">
      <c r="AC651" s="313"/>
      <c r="AD651" s="313"/>
    </row>
    <row r="652" spans="29:30" ht="15">
      <c r="AC652" s="313"/>
      <c r="AD652" s="313"/>
    </row>
    <row r="653" spans="29:30" ht="15">
      <c r="AC653" s="313"/>
      <c r="AD653" s="313"/>
    </row>
    <row r="654" spans="29:30" ht="15">
      <c r="AC654" s="313"/>
      <c r="AD654" s="313"/>
    </row>
    <row r="655" spans="29:30" ht="15">
      <c r="AC655" s="313"/>
      <c r="AD655" s="313"/>
    </row>
    <row r="656" spans="29:30" ht="15">
      <c r="AC656" s="313"/>
      <c r="AD656" s="313"/>
    </row>
    <row r="657" spans="29:30" ht="15">
      <c r="AC657" s="313"/>
      <c r="AD657" s="313"/>
    </row>
    <row r="658" spans="29:30" ht="15">
      <c r="AC658" s="313"/>
      <c r="AD658" s="313"/>
    </row>
    <row r="659" spans="29:30" ht="15">
      <c r="AC659" s="313"/>
      <c r="AD659" s="313"/>
    </row>
    <row r="660" spans="29:30" ht="15">
      <c r="AC660" s="313"/>
      <c r="AD660" s="313"/>
    </row>
    <row r="661" spans="29:30" ht="15">
      <c r="AC661" s="313"/>
      <c r="AD661" s="313"/>
    </row>
    <row r="662" spans="29:30" ht="15">
      <c r="AC662" s="313"/>
      <c r="AD662" s="313"/>
    </row>
    <row r="663" spans="29:30" ht="15">
      <c r="AC663" s="313"/>
      <c r="AD663" s="313"/>
    </row>
    <row r="664" spans="29:30" ht="15">
      <c r="AC664" s="313"/>
      <c r="AD664" s="313"/>
    </row>
    <row r="665" spans="29:30" ht="15">
      <c r="AC665" s="313"/>
      <c r="AD665" s="313"/>
    </row>
    <row r="666" spans="29:30" ht="15">
      <c r="AC666" s="313"/>
      <c r="AD666" s="313"/>
    </row>
    <row r="667" spans="29:30" ht="15">
      <c r="AC667" s="313"/>
      <c r="AD667" s="313"/>
    </row>
    <row r="668" spans="29:30" ht="15">
      <c r="AC668" s="313"/>
      <c r="AD668" s="313"/>
    </row>
    <row r="669" spans="29:30" ht="15">
      <c r="AC669" s="313"/>
      <c r="AD669" s="313"/>
    </row>
    <row r="670" spans="29:30" ht="15">
      <c r="AC670" s="313"/>
      <c r="AD670" s="313"/>
    </row>
    <row r="671" spans="29:30" ht="15">
      <c r="AC671" s="313"/>
      <c r="AD671" s="313"/>
    </row>
    <row r="672" spans="29:30" ht="15">
      <c r="AC672" s="313"/>
      <c r="AD672" s="313"/>
    </row>
    <row r="673" spans="29:30" ht="15">
      <c r="AC673" s="313"/>
      <c r="AD673" s="313"/>
    </row>
    <row r="674" spans="29:30" ht="15">
      <c r="AC674" s="313"/>
      <c r="AD674" s="313"/>
    </row>
    <row r="675" spans="29:30" ht="15">
      <c r="AC675" s="313"/>
      <c r="AD675" s="313"/>
    </row>
    <row r="676" spans="29:30" ht="15">
      <c r="AC676" s="313"/>
      <c r="AD676" s="313"/>
    </row>
    <row r="677" spans="29:30" ht="15">
      <c r="AC677" s="313"/>
      <c r="AD677" s="313"/>
    </row>
    <row r="678" spans="29:30" ht="15">
      <c r="AC678" s="313"/>
      <c r="AD678" s="313"/>
    </row>
    <row r="679" spans="29:30" ht="15">
      <c r="AC679" s="313"/>
      <c r="AD679" s="313"/>
    </row>
    <row r="680" spans="29:30" ht="15">
      <c r="AC680" s="313"/>
      <c r="AD680" s="313"/>
    </row>
    <row r="681" spans="29:30" ht="15">
      <c r="AC681" s="313"/>
      <c r="AD681" s="313"/>
    </row>
    <row r="682" spans="29:30" ht="15">
      <c r="AC682" s="313"/>
      <c r="AD682" s="313"/>
    </row>
    <row r="683" spans="29:30" ht="15">
      <c r="AC683" s="313"/>
      <c r="AD683" s="313"/>
    </row>
    <row r="684" spans="29:30" ht="15">
      <c r="AC684" s="313"/>
      <c r="AD684" s="313"/>
    </row>
    <row r="685" spans="29:30" ht="15">
      <c r="AC685" s="313"/>
      <c r="AD685" s="313"/>
    </row>
    <row r="686" spans="29:30" ht="15">
      <c r="AD686" s="313"/>
    </row>
    <row r="687" spans="29:30" ht="15">
      <c r="AD687" s="313"/>
    </row>
  </sheetData>
  <mergeCells count="43">
    <mergeCell ref="AG24:AH24"/>
    <mergeCell ref="AG22:AH23"/>
    <mergeCell ref="AF19:AI20"/>
    <mergeCell ref="AG29:AH29"/>
    <mergeCell ref="AG28:AH28"/>
    <mergeCell ref="AG27:AH27"/>
    <mergeCell ref="AG26:AH26"/>
    <mergeCell ref="AG25:AH25"/>
    <mergeCell ref="AG44:AH44"/>
    <mergeCell ref="AG43:AH43"/>
    <mergeCell ref="AG42:AH42"/>
    <mergeCell ref="AG41:AH41"/>
    <mergeCell ref="AG40:AH40"/>
    <mergeCell ref="AG39:AH39"/>
    <mergeCell ref="AG38:AH38"/>
    <mergeCell ref="AG37:AH37"/>
    <mergeCell ref="AG36:AH36"/>
    <mergeCell ref="AG35:AH35"/>
    <mergeCell ref="AG34:AH34"/>
    <mergeCell ref="AG33:AH33"/>
    <mergeCell ref="AG32:AH32"/>
    <mergeCell ref="AG31:AH31"/>
    <mergeCell ref="AG30:AH30"/>
    <mergeCell ref="AL8:AN8"/>
    <mergeCell ref="J8:K8"/>
    <mergeCell ref="M8:N8"/>
    <mergeCell ref="AC8:AD8"/>
    <mergeCell ref="AI8:AK8"/>
    <mergeCell ref="O8:Q8"/>
    <mergeCell ref="T8:W8"/>
    <mergeCell ref="X8:Y8"/>
    <mergeCell ref="AF8:AH8"/>
    <mergeCell ref="D3:F3"/>
    <mergeCell ref="O3:P3"/>
    <mergeCell ref="T3:Y3"/>
    <mergeCell ref="AG3:AI3"/>
    <mergeCell ref="Q3:R3"/>
    <mergeCell ref="AG50:AH50"/>
    <mergeCell ref="AG45:AH45"/>
    <mergeCell ref="AG46:AH46"/>
    <mergeCell ref="AG47:AH47"/>
    <mergeCell ref="AG48:AH48"/>
    <mergeCell ref="AG49:AH49"/>
  </mergeCells>
  <pageMargins left="0.75" right="0.75" top="1" bottom="1" header="0.5" footer="0.5"/>
  <pageSetup paperSize="9" scale="26" orientation="portrait" r:id="rId1"/>
  <headerFooter alignWithMargins="0">
    <oddFooter>&amp;LEnergiekamer NMa&amp;R&amp;F</oddFooter>
  </headerFooter>
  <colBreaks count="2" manualBreakCount="2">
    <brk id="19" max="623" man="1"/>
    <brk id="31" max="63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0"/>
  <sheetViews>
    <sheetView showGridLines="0" zoomScale="80" zoomScaleNormal="80" workbookViewId="0">
      <selection activeCell="D24" sqref="D24"/>
    </sheetView>
  </sheetViews>
  <sheetFormatPr defaultRowHeight="12.75"/>
  <cols>
    <col min="1" max="1" width="47.7109375" customWidth="1"/>
    <col min="2" max="2" width="21" customWidth="1"/>
    <col min="3" max="3" width="19.7109375" customWidth="1"/>
    <col min="4" max="4" width="20.140625" customWidth="1"/>
    <col min="5" max="56" width="9.140625" style="23"/>
  </cols>
  <sheetData>
    <row r="1" spans="1:56" s="140" customFormat="1" ht="23.25" customHeight="1">
      <c r="A1" s="257" t="s">
        <v>719</v>
      </c>
      <c r="B1" s="1222"/>
      <c r="C1" s="1222"/>
      <c r="D1" s="1223" t="s">
        <v>165</v>
      </c>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R1" s="253"/>
      <c r="AS1" s="253"/>
      <c r="AT1" s="253"/>
      <c r="AU1" s="253"/>
      <c r="AV1" s="253"/>
      <c r="AW1" s="253"/>
      <c r="AX1" s="253"/>
      <c r="AY1" s="253"/>
      <c r="BA1" s="253"/>
      <c r="BB1" s="253"/>
      <c r="BC1" s="253"/>
      <c r="BD1" s="253"/>
    </row>
    <row r="2" spans="1:56" s="443" customFormat="1" ht="15.75">
      <c r="A2" s="441"/>
      <c r="B2" s="442"/>
      <c r="D2" s="444"/>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445"/>
      <c r="AN2" s="445"/>
      <c r="AO2" s="445"/>
      <c r="AP2" s="445"/>
      <c r="AQ2" s="445"/>
      <c r="AR2" s="445"/>
      <c r="AS2" s="445"/>
      <c r="AT2" s="445"/>
      <c r="AU2" s="445"/>
      <c r="AV2" s="445"/>
      <c r="AW2" s="445"/>
      <c r="AX2" s="445"/>
      <c r="AY2" s="445"/>
      <c r="AZ2" s="445"/>
      <c r="BA2" s="445"/>
      <c r="BB2" s="445"/>
      <c r="BC2" s="445"/>
      <c r="BD2" s="445"/>
    </row>
    <row r="3" spans="1:56" s="443" customFormat="1" ht="15.75">
      <c r="A3" s="1680" t="s">
        <v>1015</v>
      </c>
      <c r="B3" s="1681"/>
      <c r="C3" s="1681"/>
      <c r="D3" s="1682"/>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5"/>
      <c r="AU3" s="445"/>
      <c r="AV3" s="445"/>
      <c r="AW3" s="445"/>
      <c r="AX3" s="445"/>
      <c r="AY3" s="445"/>
      <c r="AZ3" s="445"/>
      <c r="BA3" s="445"/>
      <c r="BB3" s="445"/>
      <c r="BC3" s="445"/>
      <c r="BD3" s="445"/>
    </row>
    <row r="4" spans="1:56" s="443" customFormat="1" ht="69.75" customHeight="1">
      <c r="A4" s="1683" t="s">
        <v>1017</v>
      </c>
      <c r="B4" s="1684"/>
      <c r="C4" s="1684"/>
      <c r="D4" s="168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5"/>
      <c r="AV4" s="445"/>
      <c r="AW4" s="445"/>
      <c r="AX4" s="445"/>
      <c r="AY4" s="445"/>
      <c r="AZ4" s="445"/>
      <c r="BA4" s="445"/>
      <c r="BB4" s="445"/>
      <c r="BC4" s="445"/>
      <c r="BD4" s="445"/>
    </row>
    <row r="5" spans="1:56" s="143" customFormat="1" ht="14.25" customHeight="1">
      <c r="A5" s="1224"/>
      <c r="B5" s="1225"/>
      <c r="C5" s="1225"/>
      <c r="D5" s="1236"/>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c r="BB5" s="255"/>
      <c r="BC5" s="255"/>
      <c r="BD5" s="255"/>
    </row>
    <row r="6" spans="1:56" s="143" customFormat="1">
      <c r="A6" s="1227" t="s">
        <v>1002</v>
      </c>
      <c r="B6" s="1228">
        <v>8450000</v>
      </c>
      <c r="C6" s="1225"/>
      <c r="D6" s="1236"/>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5"/>
      <c r="AR6" s="255"/>
      <c r="AS6" s="255"/>
      <c r="AT6" s="255"/>
      <c r="AU6" s="255"/>
      <c r="AV6" s="255"/>
      <c r="AW6" s="255"/>
      <c r="AX6" s="255"/>
      <c r="AY6" s="255"/>
      <c r="AZ6" s="255"/>
      <c r="BA6" s="255"/>
      <c r="BB6" s="255"/>
      <c r="BC6" s="255"/>
      <c r="BD6" s="255"/>
    </row>
    <row r="7" spans="1:56" s="143" customFormat="1" ht="15" customHeight="1">
      <c r="A7" s="1227" t="s">
        <v>1003</v>
      </c>
      <c r="B7" s="1228">
        <v>0</v>
      </c>
      <c r="C7" s="1225"/>
      <c r="D7" s="1236"/>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55"/>
      <c r="AQ7" s="255"/>
      <c r="AR7" s="255"/>
      <c r="AS7" s="255"/>
      <c r="AT7" s="255"/>
      <c r="AU7" s="255"/>
      <c r="AV7" s="255"/>
      <c r="AW7" s="255"/>
      <c r="AX7" s="255"/>
      <c r="AY7" s="255"/>
      <c r="AZ7" s="255"/>
      <c r="BA7" s="255"/>
      <c r="BB7" s="255"/>
      <c r="BC7" s="255"/>
      <c r="BD7" s="255"/>
    </row>
    <row r="8" spans="1:56" s="143" customFormat="1">
      <c r="A8" s="1227" t="s">
        <v>1004</v>
      </c>
      <c r="B8" s="1228">
        <v>0</v>
      </c>
      <c r="C8" s="1225"/>
      <c r="D8" s="1236"/>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5"/>
      <c r="AP8" s="255"/>
      <c r="AQ8" s="255"/>
      <c r="AR8" s="255"/>
      <c r="AS8" s="255"/>
      <c r="AT8" s="255"/>
      <c r="AU8" s="255"/>
      <c r="AV8" s="255"/>
      <c r="AW8" s="255"/>
      <c r="AX8" s="255"/>
      <c r="AY8" s="255"/>
      <c r="AZ8" s="255"/>
      <c r="BA8" s="255"/>
      <c r="BB8" s="255"/>
      <c r="BC8" s="255"/>
      <c r="BD8" s="255"/>
    </row>
    <row r="9" spans="1:56" s="141" customFormat="1">
      <c r="A9" s="1229"/>
      <c r="B9" s="1230"/>
      <c r="C9" s="1231"/>
      <c r="D9" s="1237"/>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254"/>
      <c r="AR9" s="254"/>
      <c r="AS9" s="254"/>
      <c r="AT9" s="254"/>
      <c r="AU9" s="254"/>
      <c r="AV9" s="254"/>
      <c r="AW9" s="254"/>
      <c r="AX9" s="254"/>
      <c r="AY9" s="254"/>
      <c r="AZ9" s="254"/>
      <c r="BA9" s="254"/>
      <c r="BB9" s="254"/>
      <c r="BC9" s="254"/>
      <c r="BD9" s="254"/>
    </row>
    <row r="10" spans="1:56" s="141" customFormat="1" ht="15.75">
      <c r="A10" s="1680" t="s">
        <v>1001</v>
      </c>
      <c r="B10" s="1681"/>
      <c r="C10" s="1681"/>
      <c r="D10" s="1682"/>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4"/>
      <c r="AQ10" s="254"/>
      <c r="AR10" s="254"/>
      <c r="AS10" s="254"/>
      <c r="AT10" s="254"/>
      <c r="AU10" s="254"/>
      <c r="AV10" s="254"/>
      <c r="AW10" s="254"/>
      <c r="AX10" s="254"/>
      <c r="AY10" s="254"/>
      <c r="AZ10" s="254"/>
      <c r="BA10" s="254"/>
      <c r="BB10" s="254"/>
      <c r="BC10" s="254"/>
      <c r="BD10" s="254"/>
    </row>
    <row r="11" spans="1:56" s="141" customFormat="1">
      <c r="A11" s="358"/>
      <c r="B11" s="355"/>
      <c r="C11" s="355"/>
      <c r="D11" s="1238"/>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s="254"/>
      <c r="AM11" s="254"/>
      <c r="AN11" s="254"/>
      <c r="AO11" s="254"/>
      <c r="AP11" s="254"/>
      <c r="AQ11" s="254"/>
      <c r="AR11" s="254"/>
      <c r="AS11" s="254"/>
      <c r="AT11" s="254"/>
      <c r="AU11" s="254"/>
      <c r="AV11" s="254"/>
      <c r="AW11" s="254"/>
      <c r="AX11" s="254"/>
      <c r="AY11" s="254"/>
      <c r="AZ11" s="254"/>
      <c r="BA11" s="254"/>
      <c r="BB11" s="254"/>
      <c r="BC11" s="254"/>
      <c r="BD11" s="254"/>
    </row>
    <row r="12" spans="1:56" s="182" customFormat="1" ht="78.75" customHeight="1">
      <c r="A12" s="1221"/>
      <c r="B12" s="1243" t="s">
        <v>1008</v>
      </c>
      <c r="C12" s="1186" t="s">
        <v>1014</v>
      </c>
      <c r="D12" s="1244" t="s">
        <v>720</v>
      </c>
      <c r="E12" s="172"/>
      <c r="F12" s="172"/>
      <c r="G12" s="172"/>
      <c r="H12" s="117"/>
      <c r="I12" s="172"/>
      <c r="J12" s="172"/>
      <c r="K12" s="117"/>
      <c r="L12" s="172"/>
      <c r="M12" s="172"/>
      <c r="N12" s="117"/>
      <c r="O12" s="172"/>
      <c r="P12" s="172"/>
      <c r="Q12" s="117"/>
      <c r="R12" s="172"/>
      <c r="S12" s="1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2"/>
      <c r="AP12" s="172"/>
      <c r="AQ12" s="172"/>
      <c r="AR12" s="172"/>
      <c r="AS12" s="172"/>
      <c r="AT12" s="172"/>
      <c r="AU12" s="117"/>
      <c r="AV12" s="117"/>
      <c r="AW12" s="117"/>
      <c r="AX12" s="117"/>
      <c r="AY12" s="172"/>
      <c r="AZ12" s="172"/>
      <c r="BA12" s="172"/>
      <c r="BB12" s="172"/>
      <c r="BC12" s="172"/>
      <c r="BD12" s="172"/>
    </row>
    <row r="13" spans="1:56" s="137" customFormat="1">
      <c r="A13" s="260" t="s">
        <v>569</v>
      </c>
      <c r="B13" s="182"/>
      <c r="C13" s="182"/>
      <c r="D13" s="245"/>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row>
    <row r="14" spans="1:56" s="137" customFormat="1">
      <c r="A14" s="219" t="s">
        <v>620</v>
      </c>
      <c r="B14" s="93">
        <v>357399227.03283346</v>
      </c>
      <c r="C14" s="382"/>
      <c r="D14" s="245"/>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row>
    <row r="15" spans="1:56" s="137" customFormat="1">
      <c r="A15" s="219" t="s">
        <v>619</v>
      </c>
      <c r="B15" s="93">
        <v>496917750.96903944</v>
      </c>
      <c r="C15" s="382"/>
      <c r="D15" s="245"/>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row>
    <row r="16" spans="1:56" s="137" customFormat="1">
      <c r="A16" s="219" t="s">
        <v>621</v>
      </c>
      <c r="B16" s="93">
        <v>11083849.720770268</v>
      </c>
      <c r="C16" s="382"/>
      <c r="D16" s="245"/>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row>
    <row r="17" spans="1:56" s="137" customFormat="1">
      <c r="A17" s="219" t="s">
        <v>622</v>
      </c>
      <c r="B17" s="93">
        <f>'TAR_Tab 13_Overige tarieven'!D12*'TAR_Tab 13_Overige tarieven'!J12</f>
        <v>370917.19359189854</v>
      </c>
      <c r="C17" s="382"/>
      <c r="D17" s="245"/>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row>
    <row r="18" spans="1:56" s="137" customFormat="1">
      <c r="A18" s="219" t="s">
        <v>623</v>
      </c>
      <c r="B18" s="93">
        <f>'TAR_Tab 13_Overige tarieven'!D13*'TAR_Tab 13_Overige tarieven'!J13</f>
        <v>17216.945694129463</v>
      </c>
      <c r="C18" s="382"/>
      <c r="D18" s="245"/>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row>
    <row r="19" spans="1:56" s="114" customFormat="1">
      <c r="A19" s="219" t="s">
        <v>654</v>
      </c>
      <c r="B19" s="627">
        <f>'TAR_Tab 13_Overige tarieven'!D14*'TAR_Tab 13_Overige tarieven'!J14</f>
        <v>55529.379793703265</v>
      </c>
      <c r="C19" s="382"/>
      <c r="D19" s="280"/>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row>
    <row r="20" spans="1:56" s="137" customFormat="1">
      <c r="A20" s="260" t="s">
        <v>1012</v>
      </c>
      <c r="B20" s="93">
        <f>SUM(B14:B19)</f>
        <v>865844491.24172282</v>
      </c>
      <c r="C20" s="1232">
        <f>Parameters!B85</f>
        <v>923337975.11919606</v>
      </c>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row>
    <row r="21" spans="1:56" s="137" customFormat="1">
      <c r="A21" s="219" t="s">
        <v>1009</v>
      </c>
      <c r="B21" s="1241"/>
      <c r="C21" s="1232">
        <f>-B6</f>
        <v>-8450000</v>
      </c>
      <c r="D21" s="1240"/>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row>
    <row r="22" spans="1:56" s="137" customFormat="1">
      <c r="A22" s="219" t="s">
        <v>1010</v>
      </c>
      <c r="B22" s="1241"/>
      <c r="C22" s="1232">
        <f>-B7</f>
        <v>0</v>
      </c>
      <c r="D22" s="1240"/>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row>
    <row r="23" spans="1:56" s="137" customFormat="1">
      <c r="A23" s="219" t="s">
        <v>1011</v>
      </c>
      <c r="B23" s="1241"/>
      <c r="C23" s="1232">
        <f>-B8</f>
        <v>0</v>
      </c>
      <c r="D23" s="1337"/>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row>
    <row r="24" spans="1:56" s="137" customFormat="1">
      <c r="A24" s="260" t="s">
        <v>1013</v>
      </c>
      <c r="B24" s="93">
        <f>B20</f>
        <v>865844491.24172282</v>
      </c>
      <c r="C24" s="1232">
        <f>SUM(C20:C23)</f>
        <v>914887975.11919606</v>
      </c>
      <c r="D24" s="1338">
        <f>C24/B24</f>
        <v>1.0566423698176322</v>
      </c>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row>
    <row r="25" spans="1:56" s="137" customFormat="1">
      <c r="A25" s="260"/>
      <c r="B25" s="189"/>
      <c r="C25" s="182"/>
      <c r="D25" s="1339"/>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row>
    <row r="26" spans="1:56" s="137" customFormat="1">
      <c r="A26" s="260" t="s">
        <v>570</v>
      </c>
      <c r="B26" s="866">
        <f>'TAR_Tab 13_Overige tarieven'!D15*'TAR_Tab 13_Overige tarieven'!J15</f>
        <v>30555301.668529846</v>
      </c>
      <c r="C26" s="455">
        <f>Parameters!B86</f>
        <v>32693297.402289145</v>
      </c>
      <c r="D26" s="1340">
        <f t="shared" ref="D26" si="0">C26/B26</f>
        <v>1.0699713508625348</v>
      </c>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row>
    <row r="27" spans="1:56" s="137" customFormat="1">
      <c r="A27" s="219"/>
      <c r="B27" s="182"/>
      <c r="C27" s="182"/>
      <c r="D27" s="1341"/>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row>
    <row r="28" spans="1:56" s="137" customFormat="1">
      <c r="A28" s="260" t="s">
        <v>545</v>
      </c>
      <c r="B28" s="93">
        <f>'TAR_Tab 13_Overige tarieven'!D16*'TAR_Tab 13_Overige tarieven'!J16</f>
        <v>78972600.895203575</v>
      </c>
      <c r="C28" s="867">
        <f>Parameters!B89</f>
        <v>84498420.460968792</v>
      </c>
      <c r="D28" s="1340">
        <f>C28/B28</f>
        <v>1.0699713508625348</v>
      </c>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row>
    <row r="29" spans="1:56" s="137" customFormat="1">
      <c r="A29" s="219"/>
      <c r="B29" s="182"/>
      <c r="C29" s="182"/>
      <c r="D29" s="1341"/>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row>
    <row r="30" spans="1:56" s="137" customFormat="1">
      <c r="A30" s="260" t="s">
        <v>618</v>
      </c>
      <c r="B30" s="866">
        <f>'TAR_Tab 13_Overige tarieven'!D17*'TAR_Tab 13_Overige tarieven'!J17</f>
        <v>32802997.089893248</v>
      </c>
      <c r="C30" s="455">
        <f>Parameters!B87</f>
        <v>34007879.769864909</v>
      </c>
      <c r="D30" s="1342">
        <f>C30/B30</f>
        <v>1.0367308717758259</v>
      </c>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row>
    <row r="31" spans="1:56" s="137" customFormat="1">
      <c r="A31" s="219"/>
      <c r="B31" s="355"/>
      <c r="C31" s="355"/>
      <c r="D31" s="431"/>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row>
    <row r="32" spans="1:56" s="137" customFormat="1">
      <c r="A32" s="260" t="s">
        <v>591</v>
      </c>
      <c r="B32" s="189" t="s">
        <v>812</v>
      </c>
      <c r="C32" s="355"/>
      <c r="D32" s="431"/>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row>
    <row r="33" spans="1:56" s="137" customFormat="1">
      <c r="A33" s="238"/>
      <c r="B33" s="506"/>
      <c r="C33" s="506"/>
      <c r="D33" s="1239"/>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row>
    <row r="39" spans="1:56">
      <c r="B39" s="171"/>
    </row>
    <row r="40" spans="1:56">
      <c r="A40" s="137"/>
    </row>
  </sheetData>
  <mergeCells count="3">
    <mergeCell ref="A3:D3"/>
    <mergeCell ref="A10:D10"/>
    <mergeCell ref="A4:D4"/>
  </mergeCells>
  <pageMargins left="0.7" right="0.7" top="0.75" bottom="0.75" header="0.3" footer="0.3"/>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80"/>
  </sheetPr>
  <dimension ref="A1"/>
  <sheetViews>
    <sheetView showGridLines="0" zoomScale="80" zoomScaleNormal="80" workbookViewId="0"/>
  </sheetViews>
  <sheetFormatPr defaultRowHeight="12.7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pageSetUpPr fitToPage="1"/>
  </sheetPr>
  <dimension ref="A1:J42"/>
  <sheetViews>
    <sheetView showGridLines="0" zoomScale="80" zoomScaleNormal="80" zoomScaleSheetLayoutView="85" workbookViewId="0">
      <selection activeCell="A25" sqref="A25"/>
    </sheetView>
  </sheetViews>
  <sheetFormatPr defaultRowHeight="12.75"/>
  <cols>
    <col min="1" max="1" width="55.5703125" customWidth="1"/>
    <col min="2" max="2" width="14" bestFit="1" customWidth="1"/>
    <col min="3" max="3" width="5.140625" customWidth="1"/>
    <col min="4" max="4" width="53.7109375" customWidth="1"/>
    <col min="5" max="5" width="12.7109375" bestFit="1" customWidth="1"/>
    <col min="6" max="6" width="5.140625" customWidth="1"/>
    <col min="7" max="7" width="51" style="25" customWidth="1"/>
    <col min="8" max="8" width="13.5703125" bestFit="1" customWidth="1"/>
    <col min="9" max="9" width="4.7109375" customWidth="1"/>
    <col min="10" max="10" width="47.42578125" customWidth="1"/>
  </cols>
  <sheetData>
    <row r="1" spans="1:10" s="13" customFormat="1" ht="23.25" customHeight="1">
      <c r="A1" s="9" t="s">
        <v>549</v>
      </c>
      <c r="B1" s="10"/>
      <c r="C1" s="10"/>
      <c r="D1" s="10"/>
      <c r="E1" s="10"/>
      <c r="F1" s="10"/>
      <c r="G1" s="1686" t="s">
        <v>165</v>
      </c>
      <c r="H1" s="1686"/>
      <c r="I1" s="1686"/>
      <c r="J1" s="1686"/>
    </row>
    <row r="2" spans="1:10" s="13" customFormat="1" ht="13.5" customHeight="1">
      <c r="A2" s="66"/>
      <c r="B2" s="56"/>
      <c r="C2" s="79"/>
      <c r="D2" s="79"/>
      <c r="E2" s="79"/>
      <c r="F2" s="79"/>
      <c r="G2" s="12"/>
      <c r="J2" s="81"/>
    </row>
    <row r="3" spans="1:10" s="148" customFormat="1">
      <c r="A3" s="71" t="s">
        <v>569</v>
      </c>
      <c r="B3" s="869"/>
      <c r="C3" s="503"/>
      <c r="D3" s="248" t="s">
        <v>570</v>
      </c>
      <c r="E3" s="869"/>
      <c r="F3" s="502"/>
      <c r="G3" s="71" t="s">
        <v>24</v>
      </c>
      <c r="H3" s="868"/>
      <c r="I3" s="630"/>
      <c r="J3" s="631" t="s">
        <v>813</v>
      </c>
    </row>
    <row r="4" spans="1:10" s="148" customFormat="1">
      <c r="A4" s="149" t="s">
        <v>939</v>
      </c>
      <c r="B4" s="1117">
        <v>63213101.031400003</v>
      </c>
      <c r="C4" s="178"/>
      <c r="D4" s="149" t="s">
        <v>939</v>
      </c>
      <c r="E4" s="1117">
        <v>5226727.24</v>
      </c>
      <c r="F4" s="178"/>
      <c r="G4" s="149" t="s">
        <v>939</v>
      </c>
      <c r="H4" s="1117">
        <v>36844575.030000001</v>
      </c>
      <c r="I4" s="178"/>
      <c r="J4" s="632"/>
    </row>
    <row r="5" spans="1:10" s="148" customFormat="1">
      <c r="A5" s="149" t="s">
        <v>940</v>
      </c>
      <c r="B5" s="1118">
        <f>Parameters!O55</f>
        <v>1.0685379959099999</v>
      </c>
      <c r="C5" s="132"/>
      <c r="D5" s="149" t="s">
        <v>940</v>
      </c>
      <c r="E5" s="1118">
        <f>Parameters!O55</f>
        <v>1.0685379959099999</v>
      </c>
      <c r="F5" s="365"/>
      <c r="G5" s="149" t="s">
        <v>940</v>
      </c>
      <c r="H5" s="1118">
        <f>Parameters!O55</f>
        <v>1.0685379959099999</v>
      </c>
      <c r="I5" s="633"/>
      <c r="J5" s="636"/>
    </row>
    <row r="6" spans="1:10" s="148" customFormat="1">
      <c r="A6" s="149" t="s">
        <v>592</v>
      </c>
      <c r="B6" s="222">
        <f>B4*B5</f>
        <v>67545600.291348502</v>
      </c>
      <c r="C6" s="365"/>
      <c r="D6" s="149" t="s">
        <v>592</v>
      </c>
      <c r="E6" s="222">
        <f>E4*E5</f>
        <v>5584956.6501978049</v>
      </c>
      <c r="F6" s="365"/>
      <c r="G6" s="149" t="s">
        <v>592</v>
      </c>
      <c r="H6" s="222">
        <f>H4*H5</f>
        <v>39369828.362711824</v>
      </c>
      <c r="I6" s="178"/>
      <c r="J6" s="636"/>
    </row>
    <row r="7" spans="1:10" s="118" customFormat="1">
      <c r="A7" s="149" t="s">
        <v>904</v>
      </c>
      <c r="B7" s="870">
        <f>Parameters!O11</f>
        <v>7.3790587235475158E-2</v>
      </c>
      <c r="C7" s="124"/>
      <c r="D7" s="149" t="s">
        <v>904</v>
      </c>
      <c r="E7" s="870">
        <f>Parameters!O11</f>
        <v>7.3790587235475158E-2</v>
      </c>
      <c r="F7" s="124"/>
      <c r="G7" s="149" t="s">
        <v>904</v>
      </c>
      <c r="H7" s="870">
        <f>Parameters!O11</f>
        <v>7.3790587235475158E-2</v>
      </c>
      <c r="I7" s="115"/>
      <c r="J7" s="628"/>
    </row>
    <row r="8" spans="1:10" s="148" customFormat="1">
      <c r="A8" s="218"/>
      <c r="B8" s="172"/>
      <c r="C8" s="365"/>
      <c r="D8" s="218"/>
      <c r="E8" s="172"/>
      <c r="F8" s="365"/>
      <c r="G8" s="218"/>
      <c r="H8" s="172"/>
      <c r="I8" s="172"/>
      <c r="J8" s="634"/>
    </row>
    <row r="9" spans="1:10" s="137" customFormat="1">
      <c r="A9" s="82" t="s">
        <v>905</v>
      </c>
      <c r="B9" s="182"/>
      <c r="C9" s="504"/>
      <c r="D9" s="82" t="s">
        <v>905</v>
      </c>
      <c r="E9" s="182"/>
      <c r="F9" s="504"/>
      <c r="G9" s="82" t="s">
        <v>905</v>
      </c>
      <c r="H9" s="182"/>
      <c r="I9" s="172"/>
      <c r="J9" s="245"/>
    </row>
    <row r="10" spans="1:10" s="137" customFormat="1">
      <c r="A10" s="149" t="s">
        <v>725</v>
      </c>
      <c r="B10" s="1013">
        <v>70481097.930000007</v>
      </c>
      <c r="C10" s="179"/>
      <c r="D10" s="149" t="s">
        <v>554</v>
      </c>
      <c r="E10" s="1013">
        <v>2467597.16</v>
      </c>
      <c r="F10" s="179"/>
      <c r="G10" s="149" t="s">
        <v>761</v>
      </c>
      <c r="H10" s="1013">
        <v>24181827.510000002</v>
      </c>
      <c r="I10" s="179"/>
      <c r="J10" s="629"/>
    </row>
    <row r="11" spans="1:10" s="137" customFormat="1">
      <c r="A11" s="219"/>
      <c r="B11" s="182"/>
      <c r="C11" s="63"/>
      <c r="D11" s="219"/>
      <c r="E11" s="182"/>
      <c r="F11" s="63"/>
      <c r="G11" s="219"/>
      <c r="H11" s="182"/>
      <c r="I11" s="172"/>
      <c r="J11" s="245"/>
    </row>
    <row r="12" spans="1:10" s="137" customFormat="1">
      <c r="A12" s="149" t="s">
        <v>571</v>
      </c>
      <c r="B12" s="222">
        <f>B10-B6</f>
        <v>2935497.6386515051</v>
      </c>
      <c r="C12" s="63"/>
      <c r="D12" s="149" t="s">
        <v>576</v>
      </c>
      <c r="E12" s="222">
        <f>E10-E6</f>
        <v>-3117359.4901978048</v>
      </c>
      <c r="F12" s="63"/>
      <c r="G12" s="149" t="s">
        <v>644</v>
      </c>
      <c r="H12" s="222">
        <f>H10-H6</f>
        <v>-15188000.852711823</v>
      </c>
      <c r="I12" s="178"/>
      <c r="J12" s="636"/>
    </row>
    <row r="13" spans="1:10" s="137" customFormat="1">
      <c r="A13" s="149" t="s">
        <v>572</v>
      </c>
      <c r="B13" s="222">
        <f>25%*B12</f>
        <v>733874.40966287628</v>
      </c>
      <c r="C13" s="63"/>
      <c r="D13" s="149" t="s">
        <v>577</v>
      </c>
      <c r="E13" s="222">
        <f>25%*E12</f>
        <v>-779339.87254945119</v>
      </c>
      <c r="F13" s="63"/>
      <c r="G13" s="149" t="s">
        <v>550</v>
      </c>
      <c r="H13" s="222">
        <f>25%*H12</f>
        <v>-3797000.2131779557</v>
      </c>
      <c r="I13" s="178"/>
      <c r="J13" s="636"/>
    </row>
    <row r="14" spans="1:10" s="137" customFormat="1">
      <c r="A14" s="149" t="s">
        <v>573</v>
      </c>
      <c r="B14" s="222">
        <f>IF(B12&lt;0,-5%*B6,5%*B6)</f>
        <v>3377280.0145674255</v>
      </c>
      <c r="C14" s="63"/>
      <c r="D14" s="149" t="s">
        <v>578</v>
      </c>
      <c r="E14" s="222">
        <f>IF(E12&lt;0,-5%*E6,5%*E6)</f>
        <v>-279247.83250989026</v>
      </c>
      <c r="F14" s="63"/>
      <c r="G14" s="149" t="s">
        <v>20</v>
      </c>
      <c r="H14" s="222">
        <f>IF(H12&lt;0,-5%*H6,5%*H6)</f>
        <v>-1968491.4181355913</v>
      </c>
      <c r="I14" s="178"/>
      <c r="J14" s="636"/>
    </row>
    <row r="15" spans="1:10" s="137" customFormat="1">
      <c r="A15" s="149" t="s">
        <v>574</v>
      </c>
      <c r="B15" s="222">
        <f>IF(B12&lt;0,MAX(B13,B14),MIN(B13,B14))</f>
        <v>733874.40966287628</v>
      </c>
      <c r="C15" s="63"/>
      <c r="D15" s="149" t="s">
        <v>625</v>
      </c>
      <c r="E15" s="222">
        <f>IF(E12&lt;0,MAX(E13,E14),MIN(E13,E14))</f>
        <v>-279247.83250989026</v>
      </c>
      <c r="F15" s="63"/>
      <c r="G15" s="149" t="s">
        <v>21</v>
      </c>
      <c r="H15" s="222">
        <f>IF(H12&lt;0,MAX(H13,H14),MIN(H13,H14))</f>
        <v>-1968491.4181355913</v>
      </c>
      <c r="I15" s="178"/>
      <c r="J15" s="636"/>
    </row>
    <row r="16" spans="1:10" s="137" customFormat="1">
      <c r="A16" s="149" t="s">
        <v>575</v>
      </c>
      <c r="B16" s="222">
        <f>B12-B15</f>
        <v>2201623.2289886288</v>
      </c>
      <c r="C16" s="63"/>
      <c r="D16" s="149" t="s">
        <v>579</v>
      </c>
      <c r="E16" s="222">
        <f>E12-E15</f>
        <v>-2838111.6576879146</v>
      </c>
      <c r="F16" s="63"/>
      <c r="G16" s="149" t="s">
        <v>22</v>
      </c>
      <c r="H16" s="222">
        <f>H12-H15</f>
        <v>-13219509.434576232</v>
      </c>
      <c r="I16" s="178"/>
      <c r="J16" s="636"/>
    </row>
    <row r="17" spans="1:10" s="137" customFormat="1">
      <c r="A17" s="149"/>
      <c r="B17" s="505"/>
      <c r="C17" s="63"/>
      <c r="D17" s="149"/>
      <c r="E17" s="505"/>
      <c r="F17" s="63"/>
      <c r="G17" s="149"/>
      <c r="H17" s="505"/>
      <c r="I17" s="178"/>
      <c r="J17" s="636"/>
    </row>
    <row r="18" spans="1:10" s="114" customFormat="1">
      <c r="A18" s="149" t="s">
        <v>649</v>
      </c>
      <c r="B18" s="222">
        <f>B16*(1+$B$7)</f>
        <v>2364082.2999269627</v>
      </c>
      <c r="C18" s="116"/>
      <c r="D18" s="149" t="s">
        <v>809</v>
      </c>
      <c r="E18" s="222">
        <f>E16*(1+$E$7)</f>
        <v>-3047537.5835485538</v>
      </c>
      <c r="F18" s="116"/>
      <c r="G18" s="149" t="s">
        <v>581</v>
      </c>
      <c r="H18" s="222">
        <f>H16*(1+$H$7)</f>
        <v>-14194984.798718516</v>
      </c>
      <c r="I18" s="115"/>
      <c r="J18" s="628"/>
    </row>
    <row r="19" spans="1:10" s="137" customFormat="1">
      <c r="A19" s="219"/>
      <c r="B19" s="182"/>
      <c r="C19" s="182"/>
      <c r="D19" s="219"/>
      <c r="E19" s="182"/>
      <c r="F19" s="182"/>
      <c r="G19" s="219"/>
      <c r="H19" s="182"/>
      <c r="I19" s="172"/>
      <c r="J19" s="245"/>
    </row>
    <row r="20" spans="1:10" s="137" customFormat="1">
      <c r="A20" s="340" t="s">
        <v>906</v>
      </c>
      <c r="B20" s="169">
        <v>914419181.44699395</v>
      </c>
      <c r="C20" s="182"/>
      <c r="D20" s="220" t="s">
        <v>907</v>
      </c>
      <c r="E20" s="872">
        <f>Parameters!B86</f>
        <v>32693297.402289145</v>
      </c>
      <c r="F20" s="182"/>
      <c r="G20" s="220" t="s">
        <v>887</v>
      </c>
      <c r="H20" s="872">
        <f>Parameters!B89</f>
        <v>84498420.460968792</v>
      </c>
      <c r="I20" s="182"/>
      <c r="J20" s="637"/>
    </row>
    <row r="21" spans="1:10" s="137" customFormat="1">
      <c r="A21" s="220" t="s">
        <v>886</v>
      </c>
      <c r="B21" s="871">
        <f>Parameters!B87</f>
        <v>34007879.769864909</v>
      </c>
      <c r="C21" s="182"/>
      <c r="D21" s="237"/>
      <c r="E21" s="244"/>
      <c r="F21" s="182"/>
      <c r="G21" s="219"/>
      <c r="I21" s="172"/>
      <c r="J21" s="245"/>
    </row>
    <row r="22" spans="1:10" s="137" customFormat="1">
      <c r="A22" s="220"/>
      <c r="B22" s="350"/>
      <c r="C22" s="182"/>
      <c r="D22" s="220"/>
      <c r="E22" s="350"/>
      <c r="F22" s="182"/>
      <c r="G22" s="219"/>
      <c r="H22" s="182"/>
      <c r="I22" s="172"/>
      <c r="J22" s="245"/>
    </row>
    <row r="23" spans="1:10" s="137" customFormat="1">
      <c r="A23" s="221" t="s">
        <v>708</v>
      </c>
      <c r="B23" s="232">
        <f>B18/(B20+B21)</f>
        <v>2.4926348019781068E-3</v>
      </c>
      <c r="C23" s="182"/>
      <c r="D23" s="221" t="s">
        <v>580</v>
      </c>
      <c r="E23" s="232">
        <f>E18/E20</f>
        <v>-9.3215974701137641E-2</v>
      </c>
      <c r="F23" s="182"/>
      <c r="G23" s="873" t="s">
        <v>555</v>
      </c>
      <c r="H23" s="232">
        <f>H18/H20</f>
        <v>-0.16799112600306432</v>
      </c>
      <c r="I23" s="635"/>
      <c r="J23" s="636"/>
    </row>
    <row r="24" spans="1:10" s="137" customFormat="1">
      <c r="A24" s="238"/>
      <c r="B24" s="456"/>
      <c r="C24" s="456"/>
      <c r="D24" s="238"/>
      <c r="E24" s="456"/>
      <c r="F24" s="456"/>
      <c r="G24" s="238"/>
      <c r="H24" s="456"/>
      <c r="I24" s="456"/>
      <c r="J24" s="457"/>
    </row>
    <row r="25" spans="1:10">
      <c r="C25" s="25"/>
      <c r="D25" s="25"/>
      <c r="E25" s="25"/>
      <c r="F25" s="25"/>
    </row>
    <row r="26" spans="1:10">
      <c r="A26" s="68"/>
      <c r="B26" s="67"/>
      <c r="C26" s="25"/>
      <c r="D26" s="25"/>
      <c r="E26" s="25"/>
      <c r="F26" s="25"/>
    </row>
    <row r="27" spans="1:10">
      <c r="A27" s="115"/>
      <c r="B27" s="68"/>
      <c r="C27" s="25"/>
      <c r="D27" s="25"/>
      <c r="E27" s="25"/>
      <c r="F27" s="25"/>
    </row>
    <row r="28" spans="1:10">
      <c r="A28" s="174"/>
      <c r="B28" s="174"/>
      <c r="C28" s="25"/>
      <c r="D28" s="25"/>
      <c r="E28" s="25"/>
      <c r="F28" s="25"/>
    </row>
    <row r="29" spans="1:10">
      <c r="A29" s="174"/>
      <c r="B29" s="67"/>
    </row>
    <row r="30" spans="1:10">
      <c r="A30" s="68"/>
      <c r="B30" s="68"/>
    </row>
    <row r="31" spans="1:10">
      <c r="A31" s="129"/>
    </row>
    <row r="32" spans="1:10">
      <c r="A32" s="174"/>
      <c r="B32" s="68"/>
      <c r="C32" t="s">
        <v>568</v>
      </c>
      <c r="D32" s="597"/>
    </row>
    <row r="33" spans="1:7">
      <c r="A33" s="68"/>
      <c r="B33" s="69"/>
      <c r="D33" s="590"/>
    </row>
    <row r="34" spans="1:7">
      <c r="A34" s="48"/>
      <c r="B34" s="48"/>
      <c r="D34" s="597"/>
    </row>
    <row r="35" spans="1:7">
      <c r="A35" s="68"/>
      <c r="B35" s="67"/>
    </row>
    <row r="36" spans="1:7">
      <c r="A36" s="68"/>
      <c r="B36" s="68"/>
    </row>
    <row r="37" spans="1:7">
      <c r="A37" s="68"/>
      <c r="B37" s="68"/>
    </row>
    <row r="38" spans="1:7">
      <c r="A38" s="68"/>
      <c r="B38" s="67"/>
    </row>
    <row r="39" spans="1:7">
      <c r="A39" s="68"/>
      <c r="B39" s="68"/>
      <c r="G39" s="37" t="s">
        <v>568</v>
      </c>
    </row>
    <row r="40" spans="1:7">
      <c r="A40" s="68"/>
      <c r="B40" s="68"/>
    </row>
    <row r="41" spans="1:7">
      <c r="A41" s="68"/>
      <c r="B41" s="68"/>
    </row>
    <row r="42" spans="1:7">
      <c r="A42" s="68"/>
      <c r="B42" s="69"/>
    </row>
  </sheetData>
  <mergeCells count="1">
    <mergeCell ref="G1:J1"/>
  </mergeCells>
  <phoneticPr fontId="20" type="noConversion"/>
  <pageMargins left="0.75" right="0.75" top="1" bottom="1" header="0.5" footer="0.5"/>
  <pageSetup paperSize="9" scale="50" orientation="landscape" r:id="rId1"/>
  <headerFooter alignWithMargins="0">
    <oddFooter>&amp;LEnergiekamer NMa&amp;R&amp;F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AV207"/>
  <sheetViews>
    <sheetView showGridLines="0" zoomScale="85" zoomScaleNormal="85" zoomScaleSheetLayoutView="25" workbookViewId="0">
      <selection activeCell="A6" sqref="A6"/>
    </sheetView>
  </sheetViews>
  <sheetFormatPr defaultRowHeight="12.75"/>
  <cols>
    <col min="1" max="1" width="78.42578125" customWidth="1"/>
    <col min="2" max="2" width="49.5703125" bestFit="1" customWidth="1"/>
    <col min="3" max="3" width="28" customWidth="1"/>
    <col min="4" max="4" width="23.28515625" customWidth="1"/>
    <col min="5" max="5" width="19.28515625" customWidth="1"/>
    <col min="6" max="6" width="24.42578125" customWidth="1"/>
    <col min="7" max="7" width="26" bestFit="1" customWidth="1"/>
    <col min="8" max="8" width="19.7109375" customWidth="1"/>
    <col min="9" max="10" width="19.5703125" customWidth="1"/>
    <col min="11" max="11" width="19.5703125" style="114" customWidth="1"/>
    <col min="12" max="13" width="19.5703125" customWidth="1"/>
    <col min="14" max="14" width="23.140625" customWidth="1"/>
    <col min="15" max="15" width="23.140625" style="114" customWidth="1"/>
    <col min="16" max="16" width="23.140625" customWidth="1"/>
    <col min="17" max="17" width="24.42578125" customWidth="1"/>
    <col min="18" max="18" width="24.42578125" style="114" customWidth="1"/>
    <col min="19" max="19" width="24.42578125" customWidth="1"/>
    <col min="20" max="20" width="30.7109375" customWidth="1"/>
    <col min="21" max="21" width="24.5703125" style="114" customWidth="1"/>
    <col min="22" max="22" width="24.42578125" customWidth="1"/>
    <col min="23" max="23" width="11.28515625" style="171" customWidth="1"/>
    <col min="24" max="26" width="11.28515625" customWidth="1"/>
    <col min="27" max="28" width="12" style="171" customWidth="1"/>
    <col min="29" max="29" width="12.140625" style="171" customWidth="1"/>
    <col min="30" max="30" width="12.140625" customWidth="1"/>
    <col min="31" max="31" width="9.42578125" customWidth="1"/>
    <col min="32" max="32" width="12.140625" customWidth="1"/>
    <col min="33" max="33" width="12.42578125" customWidth="1"/>
    <col min="34" max="34" width="13" customWidth="1"/>
    <col min="35" max="35" width="12" customWidth="1"/>
    <col min="36" max="38" width="10.5703125" customWidth="1"/>
    <col min="39" max="39" width="10.5703125" style="419" customWidth="1"/>
    <col min="40" max="40" width="22" style="418" customWidth="1"/>
    <col min="41" max="41" width="22.5703125" customWidth="1"/>
    <col min="42" max="42" width="44.5703125" style="123" customWidth="1"/>
    <col min="43" max="45" width="35.28515625" style="123" customWidth="1"/>
    <col min="46" max="46" width="39.140625" style="25" customWidth="1"/>
    <col min="47" max="47" width="9.140625" style="25" bestFit="1" customWidth="1"/>
    <col min="48" max="48" width="46.7109375" style="25" customWidth="1"/>
    <col min="49" max="56" width="9.140625" style="25"/>
    <col min="57" max="57" width="24.42578125" style="25" bestFit="1" customWidth="1"/>
    <col min="58" max="16384" width="9.140625" style="25"/>
  </cols>
  <sheetData>
    <row r="1" spans="1:48" s="13" customFormat="1" ht="23.25">
      <c r="A1" s="878" t="s">
        <v>659</v>
      </c>
      <c r="B1" s="841"/>
      <c r="C1" s="841"/>
      <c r="D1" s="841"/>
      <c r="E1" s="841"/>
      <c r="F1" s="841"/>
      <c r="G1" s="841"/>
      <c r="H1" s="841"/>
      <c r="I1" s="841"/>
      <c r="J1" s="841"/>
      <c r="K1" s="389"/>
      <c r="L1" s="841"/>
      <c r="M1" s="841"/>
      <c r="N1" s="841"/>
      <c r="O1" s="389"/>
      <c r="P1" s="841"/>
      <c r="Q1" s="841"/>
      <c r="R1" s="389"/>
      <c r="S1" s="841"/>
      <c r="T1" s="841"/>
      <c r="U1" s="389"/>
      <c r="V1" s="841"/>
      <c r="W1" s="841"/>
      <c r="X1" s="841"/>
      <c r="Y1" s="841"/>
      <c r="Z1" s="841"/>
      <c r="AA1" s="841"/>
      <c r="AB1" s="841"/>
      <c r="AC1" s="841"/>
      <c r="AD1" s="841"/>
      <c r="AE1" s="841"/>
      <c r="AF1" s="841"/>
      <c r="AG1" s="841"/>
      <c r="AH1" s="841"/>
      <c r="AI1" s="841"/>
      <c r="AJ1" s="841"/>
      <c r="AK1" s="841"/>
      <c r="AL1" s="731"/>
      <c r="AM1" s="879"/>
      <c r="AN1" s="879"/>
      <c r="AO1" s="879"/>
      <c r="AP1" s="881"/>
      <c r="AQ1" s="881"/>
      <c r="AR1" s="881"/>
      <c r="AS1" s="731"/>
      <c r="AT1" s="842" t="s">
        <v>165</v>
      </c>
      <c r="AV1" s="1319" t="s">
        <v>813</v>
      </c>
    </row>
    <row r="2" spans="1:48" s="62" customFormat="1">
      <c r="A2" s="882"/>
      <c r="B2" s="883"/>
      <c r="C2" s="884"/>
      <c r="D2" s="885"/>
      <c r="E2" s="886"/>
      <c r="F2" s="885"/>
      <c r="G2" s="885"/>
      <c r="H2" s="885"/>
      <c r="I2" s="885"/>
      <c r="J2" s="885"/>
      <c r="K2" s="887"/>
      <c r="L2" s="885"/>
      <c r="M2" s="885"/>
      <c r="N2" s="885"/>
      <c r="O2" s="887"/>
      <c r="P2" s="885"/>
      <c r="Q2" s="885"/>
      <c r="R2" s="887"/>
      <c r="S2" s="885"/>
      <c r="T2" s="885"/>
      <c r="U2" s="887"/>
      <c r="V2" s="885"/>
      <c r="W2" s="885"/>
      <c r="X2" s="885"/>
      <c r="Y2" s="885"/>
      <c r="Z2" s="885"/>
      <c r="AA2" s="885"/>
      <c r="AB2" s="885"/>
      <c r="AC2" s="885"/>
      <c r="AD2" s="885"/>
      <c r="AE2" s="885"/>
      <c r="AF2" s="885"/>
      <c r="AG2" s="885"/>
      <c r="AH2" s="885"/>
      <c r="AI2" s="885"/>
      <c r="AJ2" s="885"/>
      <c r="AK2" s="885"/>
      <c r="AL2" s="885"/>
      <c r="AM2" s="888"/>
      <c r="AN2" s="888"/>
      <c r="AO2" s="885"/>
      <c r="AP2" s="889"/>
      <c r="AQ2" s="889"/>
      <c r="AR2" s="889"/>
      <c r="AS2" s="885"/>
      <c r="AT2" s="890"/>
      <c r="AV2" s="944"/>
    </row>
    <row r="3" spans="1:48" s="182" customFormat="1">
      <c r="A3" s="262" t="s">
        <v>18</v>
      </c>
      <c r="B3" s="381"/>
      <c r="C3" s="381"/>
      <c r="D3" s="381"/>
      <c r="E3" s="381"/>
      <c r="F3" s="381"/>
      <c r="G3" s="381"/>
      <c r="H3" s="381"/>
      <c r="I3" s="381"/>
      <c r="J3" s="381"/>
      <c r="K3" s="122"/>
      <c r="L3" s="381"/>
      <c r="M3" s="381"/>
      <c r="N3" s="381"/>
      <c r="O3" s="122"/>
      <c r="P3" s="381"/>
      <c r="Q3" s="381"/>
      <c r="R3" s="122"/>
      <c r="S3" s="381"/>
      <c r="T3" s="381"/>
      <c r="U3" s="122"/>
      <c r="V3" s="381"/>
      <c r="W3" s="381"/>
      <c r="X3" s="381"/>
      <c r="Y3" s="381"/>
      <c r="Z3" s="381"/>
      <c r="AA3" s="381"/>
      <c r="AB3" s="381"/>
      <c r="AC3" s="381"/>
      <c r="AD3" s="381"/>
      <c r="AE3" s="381"/>
      <c r="AF3" s="381"/>
      <c r="AG3" s="381"/>
      <c r="AH3" s="381"/>
      <c r="AI3" s="381"/>
      <c r="AJ3" s="381"/>
      <c r="AK3" s="381"/>
      <c r="AL3" s="381"/>
      <c r="AM3" s="481"/>
      <c r="AN3" s="481"/>
      <c r="AO3" s="381"/>
      <c r="AP3" s="880"/>
      <c r="AQ3" s="880"/>
      <c r="AR3" s="880"/>
      <c r="AS3" s="875"/>
      <c r="AT3" s="891"/>
      <c r="AV3" s="944"/>
    </row>
    <row r="4" spans="1:48" s="342" customFormat="1">
      <c r="A4" s="278" t="s">
        <v>690</v>
      </c>
      <c r="B4" s="341">
        <f>Parameters!B14</f>
        <v>5.8000000000000003E-2</v>
      </c>
      <c r="C4" s="342" t="s">
        <v>682</v>
      </c>
      <c r="K4" s="121"/>
      <c r="O4" s="121"/>
      <c r="R4" s="121"/>
      <c r="U4" s="121"/>
      <c r="AM4" s="408"/>
      <c r="AN4" s="408"/>
      <c r="AP4" s="117"/>
      <c r="AQ4" s="117"/>
      <c r="AR4" s="117"/>
      <c r="AT4" s="345"/>
      <c r="AV4" s="944"/>
    </row>
    <row r="5" spans="1:48" s="342" customFormat="1">
      <c r="A5" s="278" t="s">
        <v>563</v>
      </c>
      <c r="B5" s="341">
        <f>Parameters!B15</f>
        <v>3.5999999999999997E-2</v>
      </c>
      <c r="C5" s="342" t="s">
        <v>894</v>
      </c>
      <c r="K5" s="121"/>
      <c r="O5" s="121"/>
      <c r="R5" s="121"/>
      <c r="U5" s="121"/>
      <c r="AM5" s="408"/>
      <c r="AN5" s="408"/>
      <c r="AP5" s="876"/>
      <c r="AQ5" s="876"/>
      <c r="AR5" s="876"/>
      <c r="AT5" s="345"/>
      <c r="AV5" s="944"/>
    </row>
    <row r="6" spans="1:48" s="342" customFormat="1">
      <c r="A6" s="278" t="s">
        <v>513</v>
      </c>
      <c r="B6" s="341">
        <v>0.01</v>
      </c>
      <c r="C6" s="342" t="s">
        <v>723</v>
      </c>
      <c r="K6" s="121"/>
      <c r="O6" s="121"/>
      <c r="R6" s="121"/>
      <c r="U6" s="121"/>
      <c r="AM6" s="408"/>
      <c r="AN6" s="408"/>
      <c r="AP6" s="876"/>
      <c r="AQ6" s="876"/>
      <c r="AR6" s="876"/>
      <c r="AT6" s="345"/>
      <c r="AV6" s="944"/>
    </row>
    <row r="7" spans="1:48" s="342" customFormat="1">
      <c r="A7" s="278"/>
      <c r="B7" s="205"/>
      <c r="C7" s="121"/>
      <c r="K7" s="121"/>
      <c r="O7" s="121"/>
      <c r="R7" s="121"/>
      <c r="U7" s="121"/>
      <c r="AM7" s="408"/>
      <c r="AN7" s="408"/>
      <c r="AP7" s="876"/>
      <c r="AQ7" s="876"/>
      <c r="AR7" s="876"/>
      <c r="AT7" s="345"/>
      <c r="AV7" s="944"/>
    </row>
    <row r="8" spans="1:48" s="342" customFormat="1">
      <c r="A8" s="39" t="s">
        <v>512</v>
      </c>
      <c r="B8" s="172"/>
      <c r="K8" s="121"/>
      <c r="O8" s="121"/>
      <c r="R8" s="121"/>
      <c r="U8" s="121"/>
      <c r="AM8" s="408"/>
      <c r="AN8" s="408"/>
      <c r="AP8" s="876"/>
      <c r="AQ8" s="876"/>
      <c r="AR8" s="876"/>
      <c r="AT8" s="345"/>
      <c r="AV8" s="944"/>
    </row>
    <row r="9" spans="1:48" s="342" customFormat="1">
      <c r="A9" s="263" t="s">
        <v>511</v>
      </c>
      <c r="B9" s="77" t="s">
        <v>504</v>
      </c>
      <c r="C9" s="343">
        <v>2013</v>
      </c>
      <c r="D9" s="344">
        <v>2014</v>
      </c>
      <c r="E9" s="344">
        <v>2015</v>
      </c>
      <c r="F9" s="784">
        <v>2016</v>
      </c>
      <c r="AM9" s="408"/>
      <c r="AN9" s="408"/>
      <c r="AT9" s="345"/>
      <c r="AV9" s="944"/>
    </row>
    <row r="10" spans="1:48" s="342" customFormat="1">
      <c r="A10" s="278">
        <v>2013</v>
      </c>
      <c r="B10" s="346">
        <f>Parameters!B59</f>
        <v>1.0229999999999999</v>
      </c>
      <c r="C10" s="249">
        <f>Parameters!O59</f>
        <v>1</v>
      </c>
      <c r="D10" s="249">
        <f>Parameters!P59</f>
        <v>1.028</v>
      </c>
      <c r="E10" s="249">
        <f>Parameters!Q59</f>
        <v>1.0382800000000001</v>
      </c>
      <c r="F10" s="783">
        <f>Parameters!R59</f>
        <v>1.0590455999999999</v>
      </c>
      <c r="G10" s="397"/>
      <c r="AM10" s="408"/>
      <c r="AN10" s="408"/>
      <c r="AT10" s="345"/>
      <c r="AV10" s="944"/>
    </row>
    <row r="11" spans="1:48" s="172" customFormat="1">
      <c r="A11" s="264">
        <v>2014</v>
      </c>
      <c r="B11" s="346">
        <f>Parameters!B60</f>
        <v>1.028</v>
      </c>
      <c r="C11" s="781"/>
      <c r="D11" s="249">
        <f>Parameters!P60</f>
        <v>1</v>
      </c>
      <c r="E11" s="249">
        <f>Parameters!Q60</f>
        <v>1.01</v>
      </c>
      <c r="F11" s="783">
        <f>Parameters!R60</f>
        <v>1.0302</v>
      </c>
      <c r="G11" s="177"/>
      <c r="H11" s="177"/>
      <c r="I11" s="177"/>
      <c r="AM11" s="409"/>
      <c r="AN11" s="409"/>
      <c r="AT11" s="347"/>
      <c r="AV11" s="944"/>
    </row>
    <row r="12" spans="1:48" s="172" customFormat="1">
      <c r="A12" s="264">
        <v>2015</v>
      </c>
      <c r="B12" s="346">
        <f>Parameters!B61</f>
        <v>1.01</v>
      </c>
      <c r="C12" s="781"/>
      <c r="D12" s="781"/>
      <c r="E12" s="249">
        <f>Parameters!Q61</f>
        <v>1</v>
      </c>
      <c r="F12" s="783">
        <f>Parameters!R61</f>
        <v>1.02</v>
      </c>
      <c r="G12" s="177"/>
      <c r="H12" s="177"/>
      <c r="I12" s="177"/>
      <c r="AM12" s="409"/>
      <c r="AN12" s="409"/>
      <c r="AT12" s="347"/>
      <c r="AV12" s="944"/>
    </row>
    <row r="13" spans="1:48" s="355" customFormat="1">
      <c r="A13" s="782">
        <v>2016</v>
      </c>
      <c r="B13" s="797">
        <f>Parameters!B62</f>
        <v>1.02</v>
      </c>
      <c r="C13" s="783"/>
      <c r="D13" s="783"/>
      <c r="E13" s="783"/>
      <c r="F13" s="783">
        <f>Parameters!R62</f>
        <v>1</v>
      </c>
      <c r="G13" s="460"/>
      <c r="H13" s="460"/>
      <c r="I13" s="460"/>
      <c r="K13" s="138"/>
      <c r="O13" s="138"/>
      <c r="R13" s="138"/>
      <c r="U13" s="138"/>
      <c r="AM13" s="430"/>
      <c r="AN13" s="430"/>
      <c r="AP13" s="138"/>
      <c r="AQ13" s="138"/>
      <c r="AR13" s="138"/>
      <c r="AT13" s="431"/>
      <c r="AV13" s="944"/>
    </row>
    <row r="14" spans="1:48" s="355" customFormat="1">
      <c r="A14" s="459"/>
      <c r="B14" s="482"/>
      <c r="C14" s="460"/>
      <c r="D14" s="460"/>
      <c r="E14" s="483"/>
      <c r="F14" s="483"/>
      <c r="G14" s="460"/>
      <c r="H14" s="460"/>
      <c r="I14" s="460"/>
      <c r="K14" s="138"/>
      <c r="O14" s="138"/>
      <c r="R14" s="138"/>
      <c r="U14" s="138"/>
      <c r="AM14" s="430"/>
      <c r="AN14" s="430"/>
      <c r="AP14" s="138"/>
      <c r="AQ14" s="138"/>
      <c r="AR14" s="138"/>
      <c r="AT14" s="431"/>
      <c r="AV14" s="944"/>
    </row>
    <row r="15" spans="1:48" s="172" customFormat="1">
      <c r="A15" s="39" t="s">
        <v>552</v>
      </c>
      <c r="B15" s="223">
        <v>2013</v>
      </c>
      <c r="C15" s="223">
        <v>2014</v>
      </c>
      <c r="D15" s="184"/>
      <c r="E15" s="177"/>
      <c r="F15" s="177"/>
      <c r="N15" s="117"/>
      <c r="R15" s="117"/>
      <c r="AM15" s="409"/>
      <c r="AN15" s="409"/>
      <c r="AT15" s="347"/>
      <c r="AV15" s="944"/>
    </row>
    <row r="16" spans="1:48" s="182" customFormat="1">
      <c r="A16" s="264" t="s">
        <v>864</v>
      </c>
      <c r="B16" s="170">
        <f>Parameters!O11</f>
        <v>7.3790587235475158E-2</v>
      </c>
      <c r="C16" s="170">
        <f>Parameters!P11</f>
        <v>3.9999999999999591E-2</v>
      </c>
      <c r="D16" s="397"/>
      <c r="E16" s="177"/>
      <c r="F16" s="464"/>
      <c r="N16" s="123"/>
      <c r="R16" s="123"/>
      <c r="AM16" s="484"/>
      <c r="AN16" s="484"/>
      <c r="AT16" s="245"/>
      <c r="AV16" s="944"/>
    </row>
    <row r="17" spans="1:48" s="172" customFormat="1">
      <c r="A17" s="264"/>
      <c r="D17" s="265"/>
      <c r="E17" s="177"/>
      <c r="F17" s="177"/>
      <c r="K17" s="117"/>
      <c r="O17" s="117"/>
      <c r="R17" s="117"/>
      <c r="U17" s="117"/>
      <c r="AM17" s="485"/>
      <c r="AN17" s="409"/>
      <c r="AP17" s="117"/>
      <c r="AQ17" s="117"/>
      <c r="AR17" s="117"/>
      <c r="AT17" s="347"/>
      <c r="AV17" s="944"/>
    </row>
    <row r="18" spans="1:48" s="182" customFormat="1">
      <c r="A18" s="262" t="s">
        <v>543</v>
      </c>
      <c r="B18" s="381"/>
      <c r="C18" s="381"/>
      <c r="D18" s="381"/>
      <c r="E18" s="381"/>
      <c r="F18" s="381"/>
      <c r="G18" s="381"/>
      <c r="H18" s="381"/>
      <c r="I18" s="381"/>
      <c r="J18" s="381"/>
      <c r="K18" s="122"/>
      <c r="L18" s="381"/>
      <c r="M18" s="381"/>
      <c r="N18" s="381"/>
      <c r="O18" s="122"/>
      <c r="P18" s="381"/>
      <c r="Q18" s="122"/>
      <c r="R18" s="122"/>
      <c r="S18" s="381"/>
      <c r="T18" s="381"/>
      <c r="U18" s="122"/>
      <c r="V18" s="122"/>
      <c r="W18" s="122"/>
      <c r="X18" s="381"/>
      <c r="Y18" s="381"/>
      <c r="Z18" s="381"/>
      <c r="AA18" s="381"/>
      <c r="AB18" s="381"/>
      <c r="AC18" s="381"/>
      <c r="AD18" s="381"/>
      <c r="AE18" s="381"/>
      <c r="AF18" s="381"/>
      <c r="AG18" s="381"/>
      <c r="AH18" s="381"/>
      <c r="AI18" s="381"/>
      <c r="AJ18" s="381"/>
      <c r="AK18" s="381"/>
      <c r="AL18" s="381"/>
      <c r="AM18" s="481"/>
      <c r="AN18" s="481"/>
      <c r="AO18" s="381"/>
      <c r="AP18" s="877"/>
      <c r="AQ18" s="877"/>
      <c r="AR18" s="877"/>
      <c r="AS18" s="875"/>
      <c r="AT18" s="891"/>
      <c r="AU18" s="355"/>
      <c r="AV18" s="944"/>
    </row>
    <row r="19" spans="1:48" s="182" customFormat="1">
      <c r="A19" s="266" t="s">
        <v>540</v>
      </c>
      <c r="B19" s="90" t="s">
        <v>544</v>
      </c>
      <c r="C19" s="90" t="s">
        <v>506</v>
      </c>
      <c r="D19" s="91" t="s">
        <v>685</v>
      </c>
      <c r="E19" s="225" t="s">
        <v>583</v>
      </c>
      <c r="F19" s="91" t="s">
        <v>545</v>
      </c>
      <c r="G19" s="225" t="s">
        <v>591</v>
      </c>
      <c r="H19" s="381"/>
      <c r="I19" s="381"/>
      <c r="J19" s="381"/>
      <c r="K19" s="122"/>
      <c r="L19" s="381"/>
      <c r="M19" s="381"/>
      <c r="N19" s="381"/>
      <c r="O19" s="122"/>
      <c r="P19" s="381"/>
      <c r="Q19" s="122"/>
      <c r="R19" s="122"/>
      <c r="S19" s="381"/>
      <c r="T19" s="381"/>
      <c r="U19" s="122"/>
      <c r="V19" s="122"/>
      <c r="W19" s="122"/>
      <c r="X19" s="381"/>
      <c r="Y19" s="381"/>
      <c r="Z19" s="381"/>
      <c r="AA19" s="381"/>
      <c r="AB19" s="381"/>
      <c r="AC19" s="381"/>
      <c r="AD19" s="381"/>
      <c r="AE19" s="381"/>
      <c r="AF19" s="381"/>
      <c r="AG19" s="381"/>
      <c r="AH19" s="381"/>
      <c r="AI19" s="381"/>
      <c r="AJ19" s="381"/>
      <c r="AK19" s="381"/>
      <c r="AL19" s="381"/>
      <c r="AM19" s="481"/>
      <c r="AN19" s="481"/>
      <c r="AO19" s="381"/>
      <c r="AP19" s="877"/>
      <c r="AQ19" s="877"/>
      <c r="AR19" s="877"/>
      <c r="AS19" s="875"/>
      <c r="AT19" s="891"/>
      <c r="AU19" s="355"/>
      <c r="AV19" s="944"/>
    </row>
    <row r="20" spans="1:48" s="182" customFormat="1">
      <c r="A20" s="486" t="s">
        <v>515</v>
      </c>
      <c r="B20" s="487">
        <v>1</v>
      </c>
      <c r="C20" s="488">
        <v>55</v>
      </c>
      <c r="D20" s="348">
        <f>Parameters!$B$65+Parameters!$B$67</f>
        <v>0.96699999999999997</v>
      </c>
      <c r="E20" s="348">
        <f>Parameters!$B$66</f>
        <v>3.3000000000000002E-2</v>
      </c>
      <c r="F20" s="489">
        <v>0</v>
      </c>
      <c r="G20" s="261">
        <v>0</v>
      </c>
      <c r="K20" s="123"/>
      <c r="O20" s="123"/>
      <c r="Q20" s="123"/>
      <c r="R20" s="123"/>
      <c r="U20" s="123"/>
      <c r="V20" s="123"/>
      <c r="W20" s="123"/>
      <c r="AM20" s="484"/>
      <c r="AN20" s="484"/>
      <c r="AP20" s="123"/>
      <c r="AQ20" s="123"/>
      <c r="AR20" s="123"/>
      <c r="AT20" s="245"/>
      <c r="AV20" s="944"/>
    </row>
    <row r="21" spans="1:48" s="182" customFormat="1">
      <c r="A21" s="490" t="s">
        <v>516</v>
      </c>
      <c r="B21" s="491">
        <v>2</v>
      </c>
      <c r="C21" s="492">
        <v>30</v>
      </c>
      <c r="D21" s="348">
        <f>Parameters!$B$65+Parameters!$B$67</f>
        <v>0.96699999999999997</v>
      </c>
      <c r="E21" s="348">
        <f>Parameters!$B$66</f>
        <v>3.3000000000000002E-2</v>
      </c>
      <c r="F21" s="493">
        <v>0</v>
      </c>
      <c r="G21" s="224">
        <v>0</v>
      </c>
      <c r="K21" s="123"/>
      <c r="O21" s="123"/>
      <c r="Q21" s="123"/>
      <c r="R21" s="123"/>
      <c r="U21" s="123"/>
      <c r="V21" s="123"/>
      <c r="W21" s="123"/>
      <c r="AM21" s="484"/>
      <c r="AN21" s="484"/>
      <c r="AP21" s="123"/>
      <c r="AQ21" s="123"/>
      <c r="AR21" s="123"/>
      <c r="AT21" s="245"/>
      <c r="AV21" s="944"/>
    </row>
    <row r="22" spans="1:48" s="182" customFormat="1">
      <c r="A22" s="490" t="s">
        <v>517</v>
      </c>
      <c r="B22" s="491">
        <v>3</v>
      </c>
      <c r="C22" s="492">
        <v>5</v>
      </c>
      <c r="D22" s="348">
        <f>Parameters!$B$65+Parameters!$B$67</f>
        <v>0.96699999999999997</v>
      </c>
      <c r="E22" s="348">
        <f>Parameters!$B$66</f>
        <v>3.3000000000000002E-2</v>
      </c>
      <c r="F22" s="493">
        <v>0</v>
      </c>
      <c r="G22" s="224">
        <v>0</v>
      </c>
      <c r="K22" s="123"/>
      <c r="O22" s="123"/>
      <c r="Q22" s="123"/>
      <c r="R22" s="123"/>
      <c r="U22" s="123"/>
      <c r="V22" s="123"/>
      <c r="W22" s="123"/>
      <c r="AM22" s="484"/>
      <c r="AN22" s="484"/>
      <c r="AP22" s="123"/>
      <c r="AQ22" s="123"/>
      <c r="AR22" s="123"/>
      <c r="AT22" s="245"/>
      <c r="AV22" s="944"/>
    </row>
    <row r="23" spans="1:48" s="182" customFormat="1">
      <c r="A23" s="490" t="s">
        <v>518</v>
      </c>
      <c r="B23" s="491">
        <v>4</v>
      </c>
      <c r="C23" s="494">
        <v>1000000000</v>
      </c>
      <c r="D23" s="348">
        <f>Parameters!$B$65+Parameters!$B$67</f>
        <v>0.96699999999999997</v>
      </c>
      <c r="E23" s="348">
        <f>Parameters!$B$66</f>
        <v>3.3000000000000002E-2</v>
      </c>
      <c r="F23" s="493">
        <v>0</v>
      </c>
      <c r="G23" s="224">
        <v>0</v>
      </c>
      <c r="K23" s="123"/>
      <c r="O23" s="123"/>
      <c r="Q23" s="123"/>
      <c r="R23" s="123"/>
      <c r="U23" s="123"/>
      <c r="V23" s="123"/>
      <c r="W23" s="123"/>
      <c r="AM23" s="484"/>
      <c r="AN23" s="484"/>
      <c r="AP23" s="123"/>
      <c r="AQ23" s="123"/>
      <c r="AR23" s="123"/>
      <c r="AT23" s="245"/>
      <c r="AV23" s="944"/>
    </row>
    <row r="24" spans="1:48" s="182" customFormat="1">
      <c r="A24" s="490" t="s">
        <v>519</v>
      </c>
      <c r="B24" s="491">
        <v>5</v>
      </c>
      <c r="C24" s="492">
        <v>10</v>
      </c>
      <c r="D24" s="348">
        <f>Parameters!$B$65+Parameters!$B$67</f>
        <v>0.96699999999999997</v>
      </c>
      <c r="E24" s="348">
        <f>Parameters!$B$66</f>
        <v>3.3000000000000002E-2</v>
      </c>
      <c r="F24" s="493">
        <v>0</v>
      </c>
      <c r="G24" s="224">
        <v>0</v>
      </c>
      <c r="K24" s="123"/>
      <c r="O24" s="123"/>
      <c r="Q24" s="123"/>
      <c r="R24" s="123"/>
      <c r="U24" s="123"/>
      <c r="V24" s="123"/>
      <c r="W24" s="123"/>
      <c r="AM24" s="484"/>
      <c r="AN24" s="484"/>
      <c r="AP24" s="123"/>
      <c r="AQ24" s="123"/>
      <c r="AR24" s="123"/>
      <c r="AT24" s="245"/>
      <c r="AV24" s="944"/>
    </row>
    <row r="25" spans="1:48" s="182" customFormat="1">
      <c r="A25" s="490" t="s">
        <v>520</v>
      </c>
      <c r="B25" s="491">
        <v>6</v>
      </c>
      <c r="C25" s="492">
        <v>30</v>
      </c>
      <c r="D25" s="348">
        <f>Parameters!$B$65+Parameters!$B$67</f>
        <v>0.96699999999999997</v>
      </c>
      <c r="E25" s="348">
        <f>Parameters!$B$66</f>
        <v>3.3000000000000002E-2</v>
      </c>
      <c r="F25" s="493">
        <v>0</v>
      </c>
      <c r="G25" s="224">
        <v>0</v>
      </c>
      <c r="K25" s="123"/>
      <c r="O25" s="123"/>
      <c r="Q25" s="123"/>
      <c r="R25" s="123"/>
      <c r="U25" s="123"/>
      <c r="V25" s="123"/>
      <c r="W25" s="123"/>
      <c r="AM25" s="484"/>
      <c r="AN25" s="484"/>
      <c r="AP25" s="123"/>
      <c r="AQ25" s="123"/>
      <c r="AR25" s="123"/>
      <c r="AT25" s="245"/>
      <c r="AV25" s="944"/>
    </row>
    <row r="26" spans="1:48" s="182" customFormat="1">
      <c r="A26" s="490" t="s">
        <v>521</v>
      </c>
      <c r="B26" s="491">
        <v>7</v>
      </c>
      <c r="C26" s="492">
        <v>55</v>
      </c>
      <c r="D26" s="348">
        <f>Parameters!$B$65+Parameters!$B$67</f>
        <v>0.96699999999999997</v>
      </c>
      <c r="E26" s="348">
        <f>Parameters!$B$66</f>
        <v>3.3000000000000002E-2</v>
      </c>
      <c r="F26" s="493">
        <v>0</v>
      </c>
      <c r="G26" s="224">
        <v>0</v>
      </c>
      <c r="K26" s="123"/>
      <c r="O26" s="123"/>
      <c r="Q26" s="123"/>
      <c r="R26" s="123"/>
      <c r="U26" s="123"/>
      <c r="V26" s="123"/>
      <c r="W26" s="123"/>
      <c r="AM26" s="484"/>
      <c r="AN26" s="484"/>
      <c r="AP26" s="123"/>
      <c r="AQ26" s="123"/>
      <c r="AR26" s="123"/>
      <c r="AT26" s="245"/>
      <c r="AV26" s="944"/>
    </row>
    <row r="27" spans="1:48" s="182" customFormat="1">
      <c r="A27" s="490" t="s">
        <v>522</v>
      </c>
      <c r="B27" s="491">
        <v>8</v>
      </c>
      <c r="C27" s="492">
        <v>10</v>
      </c>
      <c r="D27" s="348">
        <f>Parameters!$B$65+Parameters!$B$67</f>
        <v>0.96699999999999997</v>
      </c>
      <c r="E27" s="348">
        <f>Parameters!$B$66</f>
        <v>3.3000000000000002E-2</v>
      </c>
      <c r="F27" s="493">
        <v>0</v>
      </c>
      <c r="G27" s="224">
        <v>0</v>
      </c>
      <c r="K27" s="123"/>
      <c r="O27" s="123"/>
      <c r="Q27" s="123"/>
      <c r="R27" s="123"/>
      <c r="U27" s="123"/>
      <c r="V27" s="123"/>
      <c r="W27" s="123"/>
      <c r="AM27" s="484"/>
      <c r="AN27" s="484"/>
      <c r="AP27" s="123"/>
      <c r="AQ27" s="123"/>
      <c r="AR27" s="123"/>
      <c r="AT27" s="245"/>
      <c r="AV27" s="944"/>
    </row>
    <row r="28" spans="1:48" s="182" customFormat="1">
      <c r="A28" s="490" t="s">
        <v>523</v>
      </c>
      <c r="B28" s="491">
        <v>9</v>
      </c>
      <c r="C28" s="492">
        <v>10</v>
      </c>
      <c r="D28" s="348">
        <f>Parameters!$B$65+Parameters!$B$67</f>
        <v>0.96699999999999997</v>
      </c>
      <c r="E28" s="348">
        <f>Parameters!$B$66</f>
        <v>3.3000000000000002E-2</v>
      </c>
      <c r="F28" s="493">
        <v>0</v>
      </c>
      <c r="G28" s="224">
        <v>0</v>
      </c>
      <c r="K28" s="123"/>
      <c r="O28" s="123"/>
      <c r="Q28" s="123"/>
      <c r="R28" s="123"/>
      <c r="U28" s="123"/>
      <c r="V28" s="123"/>
      <c r="W28" s="123"/>
      <c r="AM28" s="484"/>
      <c r="AN28" s="484"/>
      <c r="AP28" s="123"/>
      <c r="AQ28" s="123"/>
      <c r="AR28" s="123"/>
      <c r="AT28" s="245"/>
      <c r="AV28" s="944"/>
    </row>
    <row r="29" spans="1:48" s="182" customFormat="1">
      <c r="A29" s="490" t="s">
        <v>524</v>
      </c>
      <c r="B29" s="491">
        <v>10</v>
      </c>
      <c r="C29" s="492">
        <v>10</v>
      </c>
      <c r="D29" s="348">
        <f>Parameters!$B$65+Parameters!$B$67</f>
        <v>0.96699999999999997</v>
      </c>
      <c r="E29" s="348">
        <f>Parameters!$B$66</f>
        <v>3.3000000000000002E-2</v>
      </c>
      <c r="F29" s="493">
        <v>0</v>
      </c>
      <c r="G29" s="224">
        <v>0</v>
      </c>
      <c r="K29" s="123"/>
      <c r="O29" s="123"/>
      <c r="Q29" s="123"/>
      <c r="R29" s="123"/>
      <c r="U29" s="123"/>
      <c r="V29" s="123"/>
      <c r="W29" s="123"/>
      <c r="AM29" s="484"/>
      <c r="AN29" s="484"/>
      <c r="AP29" s="123"/>
      <c r="AQ29" s="123"/>
      <c r="AR29" s="123"/>
      <c r="AT29" s="245"/>
      <c r="AV29" s="944"/>
    </row>
    <row r="30" spans="1:48" s="182" customFormat="1">
      <c r="A30" s="490" t="s">
        <v>525</v>
      </c>
      <c r="B30" s="491">
        <v>11</v>
      </c>
      <c r="C30" s="492">
        <v>10</v>
      </c>
      <c r="D30" s="348">
        <f>Parameters!$B$65+Parameters!$B$67</f>
        <v>0.96699999999999997</v>
      </c>
      <c r="E30" s="348">
        <f>Parameters!$B$66</f>
        <v>3.3000000000000002E-2</v>
      </c>
      <c r="F30" s="493">
        <v>0</v>
      </c>
      <c r="G30" s="224">
        <v>0</v>
      </c>
      <c r="K30" s="123"/>
      <c r="O30" s="123"/>
      <c r="Q30" s="123"/>
      <c r="R30" s="123"/>
      <c r="U30" s="123"/>
      <c r="V30" s="123"/>
      <c r="W30" s="123"/>
      <c r="AM30" s="484"/>
      <c r="AN30" s="484"/>
      <c r="AP30" s="123"/>
      <c r="AQ30" s="123"/>
      <c r="AR30" s="123"/>
      <c r="AT30" s="245"/>
      <c r="AV30" s="944"/>
    </row>
    <row r="31" spans="1:48" s="182" customFormat="1">
      <c r="A31" s="490" t="s">
        <v>526</v>
      </c>
      <c r="B31" s="491">
        <v>12</v>
      </c>
      <c r="C31" s="492">
        <v>10</v>
      </c>
      <c r="D31" s="348">
        <f>Parameters!$B$65+Parameters!$B$67</f>
        <v>0.96699999999999997</v>
      </c>
      <c r="E31" s="348">
        <f>Parameters!$B$66</f>
        <v>3.3000000000000002E-2</v>
      </c>
      <c r="F31" s="493">
        <v>0</v>
      </c>
      <c r="G31" s="224">
        <v>0</v>
      </c>
      <c r="K31" s="123"/>
      <c r="O31" s="123"/>
      <c r="Q31" s="495"/>
      <c r="R31" s="495"/>
      <c r="S31" s="495"/>
      <c r="U31" s="123"/>
      <c r="V31" s="123"/>
      <c r="W31" s="123"/>
      <c r="AM31" s="484"/>
      <c r="AN31" s="484"/>
      <c r="AP31" s="123"/>
      <c r="AQ31" s="123"/>
      <c r="AR31" s="123"/>
      <c r="AT31" s="245"/>
      <c r="AV31" s="944"/>
    </row>
    <row r="32" spans="1:48" s="182" customFormat="1">
      <c r="A32" s="490" t="s">
        <v>527</v>
      </c>
      <c r="B32" s="491">
        <v>13</v>
      </c>
      <c r="C32" s="492">
        <v>10</v>
      </c>
      <c r="D32" s="348">
        <f>Parameters!$B$65+Parameters!$B$67</f>
        <v>0.96699999999999997</v>
      </c>
      <c r="E32" s="348">
        <f>Parameters!$B$66</f>
        <v>3.3000000000000002E-2</v>
      </c>
      <c r="F32" s="493">
        <v>0</v>
      </c>
      <c r="G32" s="224">
        <v>0</v>
      </c>
      <c r="K32" s="123"/>
      <c r="P32" s="172"/>
      <c r="Q32" s="495"/>
      <c r="R32" s="495"/>
      <c r="S32" s="190"/>
      <c r="U32" s="123"/>
      <c r="V32" s="123"/>
      <c r="W32" s="123"/>
      <c r="AM32" s="484"/>
      <c r="AN32" s="484" t="s">
        <v>568</v>
      </c>
      <c r="AP32" s="123"/>
      <c r="AQ32" s="123"/>
      <c r="AR32" s="123"/>
      <c r="AT32" s="245"/>
      <c r="AV32" s="944"/>
    </row>
    <row r="33" spans="1:48" s="182" customFormat="1">
      <c r="A33" s="490" t="s">
        <v>546</v>
      </c>
      <c r="B33" s="491">
        <v>14</v>
      </c>
      <c r="C33" s="492">
        <v>10</v>
      </c>
      <c r="D33" s="348">
        <f>Parameters!$B$65+Parameters!$B$67</f>
        <v>0.96699999999999997</v>
      </c>
      <c r="E33" s="348">
        <f>Parameters!$B$66</f>
        <v>3.3000000000000002E-2</v>
      </c>
      <c r="F33" s="493">
        <v>0</v>
      </c>
      <c r="G33" s="224">
        <v>0</v>
      </c>
      <c r="K33" s="123"/>
      <c r="L33" s="495"/>
      <c r="M33" s="495"/>
      <c r="N33" s="495"/>
      <c r="O33" s="495"/>
      <c r="P33" s="495"/>
      <c r="Q33" s="495"/>
      <c r="R33" s="495"/>
      <c r="S33" s="495"/>
      <c r="U33" s="123"/>
      <c r="V33" s="123"/>
      <c r="W33" s="123"/>
      <c r="AM33" s="484"/>
      <c r="AN33" s="484"/>
      <c r="AP33" s="123"/>
      <c r="AQ33" s="123"/>
      <c r="AR33" s="123"/>
      <c r="AT33" s="245"/>
      <c r="AV33" s="944"/>
    </row>
    <row r="34" spans="1:48" s="182" customFormat="1">
      <c r="A34" s="490" t="s">
        <v>528</v>
      </c>
      <c r="B34" s="491">
        <v>15</v>
      </c>
      <c r="C34" s="492">
        <v>30</v>
      </c>
      <c r="D34" s="348">
        <f>Parameters!$B$65+Parameters!$B$67</f>
        <v>0.96699999999999997</v>
      </c>
      <c r="E34" s="348">
        <f>Parameters!$B$66</f>
        <v>3.3000000000000002E-2</v>
      </c>
      <c r="F34" s="493">
        <v>0</v>
      </c>
      <c r="G34" s="224">
        <v>0</v>
      </c>
      <c r="K34" s="123"/>
      <c r="L34" s="495"/>
      <c r="M34" s="495"/>
      <c r="N34" s="495"/>
      <c r="O34" s="495"/>
      <c r="P34" s="495"/>
      <c r="Q34" s="495"/>
      <c r="R34" s="495"/>
      <c r="S34" s="495"/>
      <c r="U34" s="123"/>
      <c r="V34" s="123"/>
      <c r="W34" s="123"/>
      <c r="AM34" s="484"/>
      <c r="AN34" s="484"/>
      <c r="AP34" s="123"/>
      <c r="AQ34" s="123"/>
      <c r="AR34" s="123"/>
      <c r="AT34" s="245"/>
      <c r="AV34" s="944"/>
    </row>
    <row r="35" spans="1:48" s="182" customFormat="1">
      <c r="A35" s="490" t="s">
        <v>547</v>
      </c>
      <c r="B35" s="491">
        <v>16</v>
      </c>
      <c r="C35" s="492">
        <v>30</v>
      </c>
      <c r="D35" s="1334">
        <v>0.23</v>
      </c>
      <c r="E35" s="1335">
        <v>0</v>
      </c>
      <c r="F35" s="493">
        <v>0</v>
      </c>
      <c r="G35" s="224">
        <v>0</v>
      </c>
      <c r="K35" s="123"/>
      <c r="L35" s="495"/>
      <c r="M35" s="495"/>
      <c r="N35" s="495"/>
      <c r="O35" s="495"/>
      <c r="P35" s="495"/>
      <c r="Q35" s="495"/>
      <c r="R35" s="495"/>
      <c r="S35" s="495"/>
      <c r="U35" s="123"/>
      <c r="V35" s="123"/>
      <c r="W35" s="123"/>
      <c r="AM35" s="484"/>
      <c r="AN35" s="484"/>
      <c r="AP35" s="123"/>
      <c r="AQ35" s="123"/>
      <c r="AR35" s="123"/>
      <c r="AT35" s="245"/>
      <c r="AV35" s="944"/>
    </row>
    <row r="36" spans="1:48" s="182" customFormat="1">
      <c r="A36" s="490" t="s">
        <v>529</v>
      </c>
      <c r="B36" s="491">
        <v>17</v>
      </c>
      <c r="C36" s="492">
        <v>30</v>
      </c>
      <c r="D36" s="1334">
        <v>0</v>
      </c>
      <c r="E36" s="1335">
        <v>0</v>
      </c>
      <c r="F36" s="493">
        <v>1</v>
      </c>
      <c r="G36" s="224">
        <v>0</v>
      </c>
      <c r="K36" s="123"/>
      <c r="L36" s="495"/>
      <c r="M36" s="495"/>
      <c r="N36" s="495"/>
      <c r="O36" s="495"/>
      <c r="P36" s="495"/>
      <c r="Q36" s="495"/>
      <c r="R36" s="495"/>
      <c r="S36" s="495"/>
      <c r="U36" s="123"/>
      <c r="V36" s="123"/>
      <c r="W36" s="123"/>
      <c r="AM36" s="484"/>
      <c r="AN36" s="484"/>
      <c r="AP36" s="123"/>
      <c r="AQ36" s="123"/>
      <c r="AR36" s="123"/>
      <c r="AT36" s="245"/>
      <c r="AV36" s="944"/>
    </row>
    <row r="37" spans="1:48" s="182" customFormat="1">
      <c r="A37" s="490" t="s">
        <v>530</v>
      </c>
      <c r="B37" s="491">
        <v>18</v>
      </c>
      <c r="C37" s="492">
        <v>30</v>
      </c>
      <c r="D37" s="348">
        <f>Parameters!$B$65+Parameters!$B$67</f>
        <v>0.96699999999999997</v>
      </c>
      <c r="E37" s="348">
        <f>Parameters!$B$66</f>
        <v>3.3000000000000002E-2</v>
      </c>
      <c r="F37" s="493">
        <v>0</v>
      </c>
      <c r="G37" s="224">
        <v>0</v>
      </c>
      <c r="K37" s="123"/>
      <c r="L37" s="495"/>
      <c r="M37" s="495"/>
      <c r="N37" s="495"/>
      <c r="O37" s="495"/>
      <c r="P37" s="495"/>
      <c r="Q37" s="495"/>
      <c r="R37" s="495"/>
      <c r="S37" s="495"/>
      <c r="U37" s="123"/>
      <c r="V37" s="123"/>
      <c r="W37" s="123"/>
      <c r="AM37" s="484"/>
      <c r="AN37" s="484"/>
      <c r="AP37" s="123"/>
      <c r="AQ37" s="123"/>
      <c r="AR37" s="123"/>
      <c r="AT37" s="245"/>
      <c r="AV37" s="944"/>
    </row>
    <row r="38" spans="1:48" s="182" customFormat="1">
      <c r="A38" s="490" t="s">
        <v>531</v>
      </c>
      <c r="B38" s="491">
        <v>19</v>
      </c>
      <c r="C38" s="492">
        <v>30</v>
      </c>
      <c r="D38" s="348">
        <f>Parameters!$B$65+Parameters!$B$67</f>
        <v>0.96699999999999997</v>
      </c>
      <c r="E38" s="348">
        <f>Parameters!$B$66</f>
        <v>3.3000000000000002E-2</v>
      </c>
      <c r="F38" s="493">
        <v>0</v>
      </c>
      <c r="G38" s="224">
        <v>0</v>
      </c>
      <c r="K38" s="123"/>
      <c r="L38" s="495"/>
      <c r="M38" s="495"/>
      <c r="N38" s="495"/>
      <c r="O38" s="495"/>
      <c r="P38" s="495"/>
      <c r="Q38" s="495"/>
      <c r="R38" s="495"/>
      <c r="S38" s="495"/>
      <c r="U38" s="123"/>
      <c r="V38" s="123"/>
      <c r="W38" s="123"/>
      <c r="AM38" s="484"/>
      <c r="AN38" s="484"/>
      <c r="AP38" s="123"/>
      <c r="AQ38" s="123"/>
      <c r="AR38" s="123"/>
      <c r="AT38" s="245"/>
      <c r="AV38" s="944"/>
    </row>
    <row r="39" spans="1:48" s="182" customFormat="1">
      <c r="A39" s="490" t="s">
        <v>532</v>
      </c>
      <c r="B39" s="491">
        <v>20</v>
      </c>
      <c r="C39" s="492">
        <v>30</v>
      </c>
      <c r="D39" s="348">
        <f>Parameters!$B$65+Parameters!$B$67</f>
        <v>0.96699999999999997</v>
      </c>
      <c r="E39" s="348">
        <f>Parameters!$B$66</f>
        <v>3.3000000000000002E-2</v>
      </c>
      <c r="F39" s="493">
        <v>0</v>
      </c>
      <c r="G39" s="224">
        <v>0</v>
      </c>
      <c r="H39" s="182" t="s">
        <v>568</v>
      </c>
      <c r="K39" s="123"/>
      <c r="L39" s="495"/>
      <c r="M39" s="495"/>
      <c r="N39" s="495"/>
      <c r="O39" s="495"/>
      <c r="P39" s="495"/>
      <c r="Q39" s="495"/>
      <c r="R39" s="495"/>
      <c r="S39" s="495"/>
      <c r="U39" s="123"/>
      <c r="V39" s="123"/>
      <c r="W39" s="123"/>
      <c r="AM39" s="484"/>
      <c r="AN39" s="484"/>
      <c r="AP39" s="123"/>
      <c r="AQ39" s="123"/>
      <c r="AR39" s="123"/>
      <c r="AT39" s="245"/>
      <c r="AV39" s="944"/>
    </row>
    <row r="40" spans="1:48" s="182" customFormat="1">
      <c r="A40" s="490" t="s">
        <v>548</v>
      </c>
      <c r="B40" s="491">
        <v>21</v>
      </c>
      <c r="C40" s="492">
        <v>55</v>
      </c>
      <c r="D40" s="348">
        <f>Parameters!$B$65+Parameters!$B$67</f>
        <v>0.96699999999999997</v>
      </c>
      <c r="E40" s="348">
        <f>Parameters!$B$66</f>
        <v>3.3000000000000002E-2</v>
      </c>
      <c r="F40" s="493">
        <v>0</v>
      </c>
      <c r="G40" s="224">
        <v>0</v>
      </c>
      <c r="K40" s="123"/>
      <c r="L40" s="495"/>
      <c r="M40" s="495"/>
      <c r="N40" s="495"/>
      <c r="O40" s="495"/>
      <c r="P40" s="495"/>
      <c r="Q40" s="495"/>
      <c r="R40" s="495"/>
      <c r="S40" s="495"/>
      <c r="U40" s="123"/>
      <c r="V40" s="123"/>
      <c r="W40" s="123"/>
      <c r="AM40" s="484"/>
      <c r="AN40" s="484"/>
      <c r="AP40" s="123"/>
      <c r="AQ40" s="123"/>
      <c r="AR40" s="123"/>
      <c r="AT40" s="245"/>
      <c r="AV40" s="944"/>
    </row>
    <row r="41" spans="1:48" s="182" customFormat="1">
      <c r="A41" s="490" t="s">
        <v>533</v>
      </c>
      <c r="B41" s="491">
        <v>22</v>
      </c>
      <c r="C41" s="492">
        <v>55</v>
      </c>
      <c r="D41" s="348">
        <f>Parameters!$B$65+Parameters!$B$67</f>
        <v>0.96699999999999997</v>
      </c>
      <c r="E41" s="348">
        <f>Parameters!$B$66</f>
        <v>3.3000000000000002E-2</v>
      </c>
      <c r="F41" s="493">
        <v>0</v>
      </c>
      <c r="G41" s="224">
        <v>0</v>
      </c>
      <c r="K41" s="123"/>
      <c r="L41" s="495"/>
      <c r="M41" s="495"/>
      <c r="N41" s="495"/>
      <c r="O41" s="495"/>
      <c r="P41" s="495"/>
      <c r="Q41" s="495"/>
      <c r="R41" s="495"/>
      <c r="S41" s="495"/>
      <c r="U41" s="123"/>
      <c r="V41" s="123"/>
      <c r="W41" s="123"/>
      <c r="AM41" s="484"/>
      <c r="AN41" s="484"/>
      <c r="AP41" s="123"/>
      <c r="AQ41" s="123"/>
      <c r="AR41" s="123"/>
      <c r="AT41" s="245"/>
      <c r="AV41" s="944"/>
    </row>
    <row r="42" spans="1:48" s="182" customFormat="1">
      <c r="A42" s="490" t="s">
        <v>534</v>
      </c>
      <c r="B42" s="491">
        <v>23</v>
      </c>
      <c r="C42" s="492">
        <v>55</v>
      </c>
      <c r="D42" s="348">
        <f>Parameters!$B$65+Parameters!$B$67</f>
        <v>0.96699999999999997</v>
      </c>
      <c r="E42" s="348">
        <f>Parameters!$B$66</f>
        <v>3.3000000000000002E-2</v>
      </c>
      <c r="F42" s="493">
        <v>0</v>
      </c>
      <c r="G42" s="224">
        <v>0</v>
      </c>
      <c r="K42" s="123"/>
      <c r="L42" s="495"/>
      <c r="M42" s="495"/>
      <c r="N42" s="495"/>
      <c r="O42" s="495"/>
      <c r="P42" s="495"/>
      <c r="Q42" s="495"/>
      <c r="R42" s="495"/>
      <c r="S42" s="495"/>
      <c r="U42" s="123"/>
      <c r="V42" s="123"/>
      <c r="W42" s="123"/>
      <c r="AM42" s="484"/>
      <c r="AN42" s="484"/>
      <c r="AP42" s="123"/>
      <c r="AQ42" s="123"/>
      <c r="AR42" s="123"/>
      <c r="AT42" s="245"/>
      <c r="AV42" s="944"/>
    </row>
    <row r="43" spans="1:48" s="182" customFormat="1">
      <c r="A43" s="490" t="s">
        <v>535</v>
      </c>
      <c r="B43" s="491">
        <v>32</v>
      </c>
      <c r="C43" s="492">
        <v>30</v>
      </c>
      <c r="D43" s="348">
        <f>Parameters!$B$65+Parameters!$B$67</f>
        <v>0.96699999999999997</v>
      </c>
      <c r="E43" s="348">
        <f>Parameters!$B$66</f>
        <v>3.3000000000000002E-2</v>
      </c>
      <c r="F43" s="493">
        <v>0</v>
      </c>
      <c r="G43" s="224">
        <v>0</v>
      </c>
      <c r="K43" s="123"/>
      <c r="L43" s="495"/>
      <c r="M43" s="495"/>
      <c r="N43" s="495"/>
      <c r="O43" s="495"/>
      <c r="P43" s="495"/>
      <c r="Q43" s="495"/>
      <c r="R43" s="495"/>
      <c r="S43" s="495"/>
      <c r="U43" s="123"/>
      <c r="V43" s="123"/>
      <c r="W43" s="123"/>
      <c r="AJ43" s="495"/>
      <c r="AK43" s="495"/>
      <c r="AL43" s="495"/>
      <c r="AM43" s="484"/>
      <c r="AN43" s="484"/>
      <c r="AP43" s="123"/>
      <c r="AQ43" s="123"/>
      <c r="AR43" s="123"/>
      <c r="AT43" s="245"/>
      <c r="AV43" s="944"/>
    </row>
    <row r="44" spans="1:48" s="182" customFormat="1">
      <c r="A44" s="490" t="s">
        <v>536</v>
      </c>
      <c r="B44" s="491">
        <v>33</v>
      </c>
      <c r="C44" s="492">
        <v>30</v>
      </c>
      <c r="D44" s="348">
        <f>Parameters!$B$65+Parameters!$B$67</f>
        <v>0.96699999999999997</v>
      </c>
      <c r="E44" s="348">
        <f>Parameters!$B$66</f>
        <v>3.3000000000000002E-2</v>
      </c>
      <c r="F44" s="493">
        <v>0</v>
      </c>
      <c r="G44" s="224">
        <v>0</v>
      </c>
      <c r="I44" s="182" t="s">
        <v>568</v>
      </c>
      <c r="K44" s="123"/>
      <c r="L44" s="495"/>
      <c r="M44" s="495"/>
      <c r="N44" s="495"/>
      <c r="O44" s="495"/>
      <c r="P44" s="495"/>
      <c r="Q44" s="495"/>
      <c r="R44" s="495"/>
      <c r="S44" s="495"/>
      <c r="U44" s="123"/>
      <c r="V44" s="123"/>
      <c r="W44" s="123"/>
      <c r="AM44" s="484"/>
      <c r="AN44" s="484"/>
      <c r="AP44" s="123"/>
      <c r="AQ44" s="123"/>
      <c r="AR44" s="123"/>
      <c r="AT44" s="245"/>
      <c r="AV44" s="944"/>
    </row>
    <row r="45" spans="1:48" s="182" customFormat="1">
      <c r="A45" s="490" t="s">
        <v>537</v>
      </c>
      <c r="B45" s="491">
        <v>34</v>
      </c>
      <c r="C45" s="492">
        <v>30</v>
      </c>
      <c r="D45" s="348">
        <f>Parameters!$B$65+Parameters!$B$67</f>
        <v>0.96699999999999997</v>
      </c>
      <c r="E45" s="348">
        <f>Parameters!$B$66</f>
        <v>3.3000000000000002E-2</v>
      </c>
      <c r="F45" s="493">
        <v>0</v>
      </c>
      <c r="G45" s="224">
        <v>0</v>
      </c>
      <c r="K45" s="123"/>
      <c r="L45" s="495"/>
      <c r="M45" s="495"/>
      <c r="N45" s="495"/>
      <c r="O45" s="495"/>
      <c r="P45" s="495"/>
      <c r="Q45" s="495"/>
      <c r="R45" s="495"/>
      <c r="S45" s="495"/>
      <c r="U45" s="123"/>
      <c r="V45" s="123"/>
      <c r="W45" s="123"/>
      <c r="AJ45" s="190"/>
      <c r="AK45" s="190"/>
      <c r="AL45" s="190"/>
      <c r="AM45" s="484"/>
      <c r="AN45" s="484"/>
      <c r="AP45" s="123"/>
      <c r="AQ45" s="123"/>
      <c r="AR45" s="123"/>
      <c r="AT45" s="245"/>
      <c r="AV45" s="944"/>
    </row>
    <row r="46" spans="1:48" s="182" customFormat="1">
      <c r="A46" s="490" t="s">
        <v>538</v>
      </c>
      <c r="B46" s="491">
        <v>35</v>
      </c>
      <c r="C46" s="492">
        <v>30</v>
      </c>
      <c r="D46" s="348">
        <f>Parameters!$B$65+Parameters!$B$67</f>
        <v>0.96699999999999997</v>
      </c>
      <c r="E46" s="348">
        <f>Parameters!$B$66</f>
        <v>3.3000000000000002E-2</v>
      </c>
      <c r="F46" s="493">
        <v>0</v>
      </c>
      <c r="G46" s="224">
        <v>0</v>
      </c>
      <c r="K46" s="123"/>
      <c r="L46" s="495"/>
      <c r="M46" s="495"/>
      <c r="N46" s="495"/>
      <c r="O46" s="495"/>
      <c r="P46" s="495"/>
      <c r="Q46" s="495"/>
      <c r="R46" s="495"/>
      <c r="S46" s="495"/>
      <c r="U46" s="123"/>
      <c r="V46" s="123"/>
      <c r="W46" s="123"/>
      <c r="AM46" s="484"/>
      <c r="AN46" s="484"/>
      <c r="AP46" s="123"/>
      <c r="AQ46" s="123"/>
      <c r="AR46" s="123"/>
      <c r="AT46" s="245"/>
      <c r="AV46" s="944"/>
    </row>
    <row r="47" spans="1:48" s="182" customFormat="1">
      <c r="A47" s="490" t="s">
        <v>539</v>
      </c>
      <c r="B47" s="491">
        <v>36</v>
      </c>
      <c r="C47" s="492">
        <v>30</v>
      </c>
      <c r="D47" s="1334">
        <v>0</v>
      </c>
      <c r="E47" s="1335">
        <v>0</v>
      </c>
      <c r="F47" s="493">
        <v>1</v>
      </c>
      <c r="G47" s="224">
        <v>0</v>
      </c>
      <c r="K47" s="123"/>
      <c r="L47" s="495"/>
      <c r="M47" s="495"/>
      <c r="N47" s="495"/>
      <c r="O47" s="495"/>
      <c r="P47" s="495"/>
      <c r="Q47" s="495"/>
      <c r="R47" s="495"/>
      <c r="S47" s="495"/>
      <c r="U47" s="123"/>
      <c r="V47" s="123"/>
      <c r="W47" s="123"/>
      <c r="AE47" s="190"/>
      <c r="AJ47" s="495"/>
      <c r="AK47" s="495"/>
      <c r="AL47" s="495"/>
      <c r="AM47" s="484"/>
      <c r="AN47" s="484"/>
      <c r="AP47" s="123"/>
      <c r="AQ47" s="123"/>
      <c r="AR47" s="123"/>
      <c r="AT47" s="245"/>
      <c r="AV47" s="944"/>
    </row>
    <row r="48" spans="1:48" s="182" customFormat="1">
      <c r="A48" s="490" t="s">
        <v>584</v>
      </c>
      <c r="B48" s="491">
        <v>37</v>
      </c>
      <c r="C48" s="492">
        <v>5</v>
      </c>
      <c r="D48" s="348">
        <f>Parameters!$B$65+Parameters!$B$67</f>
        <v>0.96699999999999997</v>
      </c>
      <c r="E48" s="348">
        <f>Parameters!$B$66</f>
        <v>3.3000000000000002E-2</v>
      </c>
      <c r="F48" s="493">
        <v>0</v>
      </c>
      <c r="G48" s="224">
        <v>0</v>
      </c>
      <c r="I48" s="176"/>
      <c r="K48" s="123"/>
      <c r="L48" s="495"/>
      <c r="M48" s="495"/>
      <c r="N48" s="495"/>
      <c r="O48" s="495"/>
      <c r="P48" s="495"/>
      <c r="Q48" s="495"/>
      <c r="R48" s="495"/>
      <c r="S48" s="495"/>
      <c r="U48" s="123"/>
      <c r="V48" s="123"/>
      <c r="W48" s="123"/>
      <c r="AM48" s="484"/>
      <c r="AN48" s="484"/>
      <c r="AP48" s="123"/>
      <c r="AQ48" s="123"/>
      <c r="AR48" s="123"/>
      <c r="AT48" s="245"/>
      <c r="AV48" s="944"/>
    </row>
    <row r="49" spans="1:48" s="182" customFormat="1">
      <c r="A49" s="490" t="s">
        <v>585</v>
      </c>
      <c r="B49" s="491">
        <v>38</v>
      </c>
      <c r="C49" s="492">
        <v>10</v>
      </c>
      <c r="D49" s="348">
        <f>Parameters!$B$65+Parameters!$B$67</f>
        <v>0.96699999999999997</v>
      </c>
      <c r="E49" s="348">
        <f>Parameters!$B$66</f>
        <v>3.3000000000000002E-2</v>
      </c>
      <c r="F49" s="493">
        <v>0</v>
      </c>
      <c r="G49" s="224">
        <v>0</v>
      </c>
      <c r="K49" s="123"/>
      <c r="L49" s="495"/>
      <c r="M49" s="495"/>
      <c r="N49" s="495"/>
      <c r="O49" s="495"/>
      <c r="P49" s="495"/>
      <c r="Q49" s="495"/>
      <c r="R49" s="495"/>
      <c r="S49" s="495"/>
      <c r="U49" s="123"/>
      <c r="V49" s="123"/>
      <c r="W49" s="123"/>
      <c r="AM49" s="484"/>
      <c r="AN49" s="484"/>
      <c r="AP49" s="123"/>
      <c r="AQ49" s="123"/>
      <c r="AR49" s="123"/>
      <c r="AT49" s="245"/>
      <c r="AV49" s="944"/>
    </row>
    <row r="50" spans="1:48" s="182" customFormat="1">
      <c r="A50" s="490" t="s">
        <v>586</v>
      </c>
      <c r="B50" s="491">
        <v>39</v>
      </c>
      <c r="C50" s="492">
        <v>15</v>
      </c>
      <c r="D50" s="348">
        <f>Parameters!$B$65+Parameters!$B$67</f>
        <v>0.96699999999999997</v>
      </c>
      <c r="E50" s="348">
        <f>Parameters!$B$66</f>
        <v>3.3000000000000002E-2</v>
      </c>
      <c r="F50" s="493">
        <v>0</v>
      </c>
      <c r="G50" s="224">
        <v>0</v>
      </c>
      <c r="I50" s="173"/>
      <c r="K50" s="123"/>
      <c r="L50" s="495"/>
      <c r="M50" s="495"/>
      <c r="N50" s="495"/>
      <c r="O50" s="495"/>
      <c r="P50" s="495"/>
      <c r="Q50" s="495"/>
      <c r="R50" s="495"/>
      <c r="S50" s="495"/>
      <c r="U50" s="123"/>
      <c r="V50" s="123"/>
      <c r="W50" s="123"/>
      <c r="AM50" s="484"/>
      <c r="AN50" s="484"/>
      <c r="AP50" s="123"/>
      <c r="AQ50" s="123"/>
      <c r="AR50" s="123"/>
      <c r="AT50" s="245"/>
      <c r="AV50" s="944"/>
    </row>
    <row r="51" spans="1:48" s="182" customFormat="1">
      <c r="A51" s="267" t="s">
        <v>767</v>
      </c>
      <c r="B51" s="196">
        <v>40</v>
      </c>
      <c r="C51" s="197">
        <v>55</v>
      </c>
      <c r="D51" s="1334">
        <v>0</v>
      </c>
      <c r="E51" s="1335">
        <v>0</v>
      </c>
      <c r="F51" s="198">
        <v>0</v>
      </c>
      <c r="G51" s="224">
        <v>1</v>
      </c>
      <c r="J51" s="123"/>
      <c r="K51" s="123"/>
      <c r="L51" s="495"/>
      <c r="M51" s="495"/>
      <c r="N51" s="495"/>
      <c r="O51" s="495"/>
      <c r="P51" s="495"/>
      <c r="Q51" s="495"/>
      <c r="R51" s="495"/>
      <c r="S51" s="495"/>
      <c r="U51" s="123"/>
      <c r="V51" s="123"/>
      <c r="W51" s="123"/>
      <c r="AM51" s="484"/>
      <c r="AN51" s="484"/>
      <c r="AP51" s="123"/>
      <c r="AQ51" s="123"/>
      <c r="AR51" s="123"/>
      <c r="AT51" s="245"/>
      <c r="AV51" s="944"/>
    </row>
    <row r="52" spans="1:48" s="182" customFormat="1">
      <c r="A52" s="267" t="s">
        <v>768</v>
      </c>
      <c r="B52" s="196">
        <v>41</v>
      </c>
      <c r="C52" s="197">
        <v>30</v>
      </c>
      <c r="D52" s="1334">
        <v>0</v>
      </c>
      <c r="E52" s="1335">
        <v>0</v>
      </c>
      <c r="F52" s="198">
        <v>1</v>
      </c>
      <c r="G52" s="224">
        <v>0</v>
      </c>
      <c r="I52" s="173"/>
      <c r="J52" s="123"/>
      <c r="K52" s="123"/>
      <c r="L52" s="495"/>
      <c r="M52" s="495"/>
      <c r="N52" s="495"/>
      <c r="O52" s="495"/>
      <c r="P52" s="495"/>
      <c r="Q52" s="495"/>
      <c r="R52" s="495"/>
      <c r="S52" s="495"/>
      <c r="U52" s="123"/>
      <c r="V52" s="123"/>
      <c r="W52" s="123"/>
      <c r="AM52" s="484"/>
      <c r="AN52" s="484"/>
      <c r="AP52" s="123"/>
      <c r="AQ52" s="123"/>
      <c r="AR52" s="123"/>
      <c r="AT52" s="245"/>
      <c r="AV52" s="944"/>
    </row>
    <row r="53" spans="1:48" s="182" customFormat="1">
      <c r="A53" s="268" t="s">
        <v>587</v>
      </c>
      <c r="B53" s="196">
        <v>42</v>
      </c>
      <c r="C53" s="199">
        <v>1000000000</v>
      </c>
      <c r="D53" s="348">
        <f>Parameters!$B$65+Parameters!$B$67</f>
        <v>0.96699999999999997</v>
      </c>
      <c r="E53" s="348">
        <f>Parameters!$B$66</f>
        <v>3.3000000000000002E-2</v>
      </c>
      <c r="F53" s="198">
        <v>0</v>
      </c>
      <c r="G53" s="224">
        <v>0</v>
      </c>
      <c r="J53" s="123"/>
      <c r="K53" s="123"/>
      <c r="L53" s="765"/>
      <c r="O53" s="123"/>
      <c r="Q53" s="765"/>
      <c r="R53" s="123"/>
      <c r="U53" s="123"/>
      <c r="V53" s="123"/>
      <c r="W53" s="123"/>
      <c r="AM53" s="484"/>
      <c r="AN53" s="484"/>
      <c r="AP53" s="123"/>
      <c r="AQ53" s="123"/>
      <c r="AR53" s="123"/>
      <c r="AT53" s="245"/>
      <c r="AV53" s="944"/>
    </row>
    <row r="54" spans="1:48" s="182" customFormat="1">
      <c r="A54" s="267" t="s">
        <v>588</v>
      </c>
      <c r="B54" s="196">
        <v>43</v>
      </c>
      <c r="C54" s="199">
        <v>1000000000</v>
      </c>
      <c r="D54" s="1334">
        <v>0</v>
      </c>
      <c r="E54" s="1335">
        <v>0</v>
      </c>
      <c r="F54" s="198">
        <v>1</v>
      </c>
      <c r="G54" s="224">
        <v>0</v>
      </c>
      <c r="I54" s="173"/>
      <c r="K54" s="123"/>
      <c r="O54" s="123"/>
      <c r="P54" s="123"/>
      <c r="Q54" s="123"/>
      <c r="R54" s="123"/>
      <c r="U54" s="123"/>
      <c r="V54" s="764"/>
      <c r="W54" s="764"/>
      <c r="AH54" s="209"/>
      <c r="AJ54" s="173"/>
      <c r="AM54" s="484"/>
      <c r="AN54" s="484"/>
      <c r="AP54" s="123"/>
      <c r="AQ54" s="123"/>
      <c r="AR54" s="123"/>
      <c r="AT54" s="245"/>
      <c r="AV54" s="944"/>
    </row>
    <row r="55" spans="1:48" s="172" customFormat="1">
      <c r="A55" s="218"/>
      <c r="K55" s="117"/>
      <c r="O55" s="117"/>
      <c r="Q55" s="270"/>
      <c r="R55" s="270"/>
      <c r="T55" s="269"/>
      <c r="U55" s="269"/>
      <c r="V55" s="269"/>
      <c r="W55" s="269"/>
      <c r="AF55" s="117"/>
      <c r="AG55" s="176"/>
      <c r="AM55" s="409"/>
      <c r="AN55" s="409"/>
      <c r="AP55" s="117"/>
      <c r="AQ55" s="117"/>
      <c r="AR55" s="117"/>
      <c r="AT55" s="347"/>
      <c r="AV55" s="944"/>
    </row>
    <row r="56" spans="1:48" s="342" customFormat="1" ht="16.5" customHeight="1">
      <c r="A56" s="1170" t="s">
        <v>993</v>
      </c>
      <c r="B56" s="70"/>
      <c r="C56" s="70"/>
      <c r="D56" s="70"/>
      <c r="E56" s="70"/>
      <c r="F56" s="70"/>
      <c r="G56" s="1695" t="s">
        <v>876</v>
      </c>
      <c r="H56" s="1696"/>
      <c r="I56" s="1697"/>
      <c r="J56" s="843" t="s">
        <v>866</v>
      </c>
      <c r="K56" s="843" t="s">
        <v>873</v>
      </c>
      <c r="L56" s="1037" t="s">
        <v>863</v>
      </c>
      <c r="M56" s="1025" t="s">
        <v>871</v>
      </c>
      <c r="N56" s="795" t="s">
        <v>851</v>
      </c>
      <c r="O56" s="795" t="s">
        <v>851</v>
      </c>
      <c r="P56" s="1047" t="s">
        <v>935</v>
      </c>
      <c r="Q56" s="846" t="s">
        <v>947</v>
      </c>
      <c r="R56" s="846" t="s">
        <v>936</v>
      </c>
      <c r="S56" s="846" t="s">
        <v>937</v>
      </c>
      <c r="T56" s="745" t="s">
        <v>813</v>
      </c>
      <c r="W56" s="766"/>
      <c r="X56" s="1699"/>
      <c r="Y56" s="1699"/>
      <c r="Z56" s="1698"/>
      <c r="AA56" s="1698"/>
      <c r="AB56" s="1698"/>
      <c r="AC56" s="1698"/>
      <c r="AD56" s="1698"/>
      <c r="AE56" s="1699"/>
      <c r="AF56" s="1699"/>
      <c r="AG56" s="1699"/>
      <c r="AH56" s="1699"/>
      <c r="AI56" s="1698"/>
      <c r="AJ56" s="1698"/>
      <c r="AK56" s="1698"/>
      <c r="AL56" s="1698"/>
      <c r="AM56" s="1698"/>
      <c r="AN56" s="1698"/>
      <c r="AO56" s="139"/>
      <c r="AT56" s="345"/>
      <c r="AV56" s="944"/>
    </row>
    <row r="57" spans="1:48" s="342" customFormat="1">
      <c r="A57" s="279"/>
      <c r="B57" s="70"/>
      <c r="C57" s="70"/>
      <c r="D57" s="70"/>
      <c r="E57" s="70"/>
      <c r="F57" s="70"/>
      <c r="G57" s="1046"/>
      <c r="H57" s="804"/>
      <c r="I57" s="1039"/>
      <c r="J57" s="795"/>
      <c r="K57" s="843"/>
      <c r="L57" s="1037"/>
      <c r="M57" s="1025"/>
      <c r="N57" s="1014"/>
      <c r="O57" s="843"/>
      <c r="P57" s="1034"/>
      <c r="Q57" s="843" t="s">
        <v>955</v>
      </c>
      <c r="R57" s="843"/>
      <c r="S57" s="843"/>
      <c r="T57" s="745"/>
      <c r="W57" s="766"/>
      <c r="X57" s="844"/>
      <c r="Y57" s="844"/>
      <c r="Z57" s="845"/>
      <c r="AA57" s="845"/>
      <c r="AB57" s="845"/>
      <c r="AC57" s="845"/>
      <c r="AD57" s="845"/>
      <c r="AE57" s="844"/>
      <c r="AF57" s="844"/>
      <c r="AG57" s="844"/>
      <c r="AH57" s="844"/>
      <c r="AI57" s="767"/>
      <c r="AJ57" s="767"/>
      <c r="AK57" s="845"/>
      <c r="AL57" s="845"/>
      <c r="AM57" s="845"/>
      <c r="AN57" s="845"/>
      <c r="AO57" s="402"/>
      <c r="AT57" s="345"/>
      <c r="AV57" s="944"/>
    </row>
    <row r="58" spans="1:48" s="65" customFormat="1" ht="25.5">
      <c r="A58" s="1045" t="s">
        <v>505</v>
      </c>
      <c r="B58" s="1066" t="s">
        <v>540</v>
      </c>
      <c r="C58" s="1066" t="s">
        <v>541</v>
      </c>
      <c r="D58" s="1066" t="s">
        <v>542</v>
      </c>
      <c r="E58" s="1066" t="s">
        <v>544</v>
      </c>
      <c r="F58" s="1066" t="s">
        <v>506</v>
      </c>
      <c r="G58" s="1049" t="s">
        <v>881</v>
      </c>
      <c r="H58" s="1050" t="s">
        <v>877</v>
      </c>
      <c r="I58" s="1051" t="s">
        <v>878</v>
      </c>
      <c r="J58" s="1042" t="s">
        <v>888</v>
      </c>
      <c r="K58" s="790" t="s">
        <v>856</v>
      </c>
      <c r="L58" s="1067"/>
      <c r="M58" s="912" t="s">
        <v>872</v>
      </c>
      <c r="N58" s="1068" t="s">
        <v>959</v>
      </c>
      <c r="O58" s="865" t="s">
        <v>956</v>
      </c>
      <c r="P58" s="1069" t="s">
        <v>956</v>
      </c>
      <c r="Q58" s="865" t="s">
        <v>956</v>
      </c>
      <c r="R58" s="865" t="s">
        <v>956</v>
      </c>
      <c r="S58" s="865" t="s">
        <v>956</v>
      </c>
      <c r="T58" s="745"/>
      <c r="W58" s="768"/>
      <c r="X58" s="768"/>
      <c r="Y58" s="768"/>
      <c r="Z58" s="768"/>
      <c r="AA58" s="768"/>
      <c r="AB58" s="768"/>
      <c r="AC58" s="768"/>
      <c r="AD58" s="768"/>
      <c r="AE58" s="768"/>
      <c r="AF58" s="768"/>
      <c r="AG58" s="768"/>
      <c r="AH58" s="768"/>
      <c r="AI58" s="768"/>
      <c r="AJ58" s="768"/>
      <c r="AK58" s="768"/>
      <c r="AL58" s="768"/>
      <c r="AM58" s="769"/>
      <c r="AN58" s="769"/>
      <c r="AT58" s="892"/>
      <c r="AV58" s="944"/>
    </row>
    <row r="59" spans="1:48" s="342" customFormat="1">
      <c r="A59" s="758" t="s">
        <v>1161</v>
      </c>
      <c r="B59" s="758" t="s">
        <v>774</v>
      </c>
      <c r="C59" s="759">
        <v>271658.95211810508</v>
      </c>
      <c r="D59" s="760">
        <v>41479</v>
      </c>
      <c r="E59" s="1315">
        <v>21</v>
      </c>
      <c r="F59" s="229">
        <f>VLOOKUP($E59,$B$20:$E$54,2,FALSE)</f>
        <v>55</v>
      </c>
      <c r="G59" s="1327">
        <f>VLOOKUP($E59,$B$20:$G$54,3,FALSE)</f>
        <v>0.96699999999999997</v>
      </c>
      <c r="H59" s="1327">
        <f>VLOOKUP($E59,$B$20:$G$54,4,FALSE)</f>
        <v>3.3000000000000002E-2</v>
      </c>
      <c r="I59" s="1327">
        <f>VLOOKUP($E59,$B$20:$G$54,5,FALSE)</f>
        <v>0</v>
      </c>
      <c r="J59" s="183">
        <f t="shared" ref="J59:J66" si="0">C59*$B$6</f>
        <v>2716.5895211810507</v>
      </c>
      <c r="K59" s="250">
        <f>J59*(1+$B$16)</f>
        <v>2917.0482572267388</v>
      </c>
      <c r="L59" s="226">
        <f>(13-MONTH(D59))/12*C59/F59</f>
        <v>2469.626837437319</v>
      </c>
      <c r="M59" s="250">
        <f t="shared" ref="M59:M66" si="1">C59-L59</f>
        <v>269189.32528066775</v>
      </c>
      <c r="N59" s="250">
        <f t="shared" ref="N59:N66" si="2">M59*$B$4+L59</f>
        <v>18082.60770371605</v>
      </c>
      <c r="O59" s="250">
        <f>N59*(1+$B$16)</f>
        <v>19416.933944921984</v>
      </c>
      <c r="P59" s="250">
        <f t="shared" ref="P59:P66" si="3">K59+O59</f>
        <v>22333.982202148723</v>
      </c>
      <c r="Q59" s="250">
        <f>$P59*G59</f>
        <v>21596.960789477816</v>
      </c>
      <c r="R59" s="250">
        <f t="shared" ref="R59:S59" si="4">$P59*H59</f>
        <v>737.02141267090792</v>
      </c>
      <c r="S59" s="250">
        <f t="shared" si="4"/>
        <v>0</v>
      </c>
      <c r="T59" s="944"/>
      <c r="W59" s="770"/>
      <c r="X59" s="355"/>
      <c r="Y59" s="355"/>
      <c r="Z59" s="770"/>
      <c r="AA59" s="770"/>
      <c r="AB59" s="770"/>
      <c r="AC59" s="770"/>
      <c r="AD59" s="770"/>
      <c r="AE59" s="355"/>
      <c r="AF59" s="770"/>
      <c r="AG59" s="770"/>
      <c r="AH59" s="770"/>
      <c r="AI59" s="770"/>
      <c r="AJ59" s="770"/>
      <c r="AK59" s="770"/>
      <c r="AL59" s="770"/>
      <c r="AM59" s="771"/>
      <c r="AN59" s="771"/>
      <c r="AT59" s="345"/>
      <c r="AV59" s="944"/>
    </row>
    <row r="60" spans="1:48" s="342" customFormat="1">
      <c r="A60" s="758" t="s">
        <v>1162</v>
      </c>
      <c r="B60" s="758" t="s">
        <v>1188</v>
      </c>
      <c r="C60" s="759">
        <v>202515.73705945391</v>
      </c>
      <c r="D60" s="760">
        <v>41639</v>
      </c>
      <c r="E60" s="1315">
        <v>37</v>
      </c>
      <c r="F60" s="229">
        <f t="shared" ref="F60:F68" si="5">VLOOKUP($E60,$B$20:$E$54,2,FALSE)</f>
        <v>5</v>
      </c>
      <c r="G60" s="1327">
        <f t="shared" ref="G60:G68" si="6">VLOOKUP($E60,$B$20:$G$54,3,FALSE)</f>
        <v>0.96699999999999997</v>
      </c>
      <c r="H60" s="1327">
        <f t="shared" ref="H60:H68" si="7">VLOOKUP($E60,$B$20:$G$54,4,FALSE)</f>
        <v>3.3000000000000002E-2</v>
      </c>
      <c r="I60" s="1327">
        <f t="shared" ref="I60:I68" si="8">VLOOKUP($E60,$B$20:$G$54,5,FALSE)</f>
        <v>0</v>
      </c>
      <c r="J60" s="183">
        <f t="shared" si="0"/>
        <v>2025.1573705945391</v>
      </c>
      <c r="K60" s="250">
        <f t="shared" ref="K60:K66" si="9">J60*(1+$B$16)</f>
        <v>2174.5949222149611</v>
      </c>
      <c r="L60" s="226">
        <f t="shared" ref="L60:L66" si="10">(13-MONTH(D60))/12*C60/F60</f>
        <v>3375.2622843242316</v>
      </c>
      <c r="M60" s="250">
        <f t="shared" si="1"/>
        <v>199140.47477512967</v>
      </c>
      <c r="N60" s="250">
        <f t="shared" si="2"/>
        <v>14925.409821281753</v>
      </c>
      <c r="O60" s="250">
        <f t="shared" ref="O60:O66" si="11">N60*(1+$B$16)</f>
        <v>16026.764576724263</v>
      </c>
      <c r="P60" s="250">
        <f t="shared" si="3"/>
        <v>18201.359498939222</v>
      </c>
      <c r="Q60" s="250">
        <f t="shared" ref="Q60:Q66" si="12">$P60*G60</f>
        <v>17600.714635474229</v>
      </c>
      <c r="R60" s="250">
        <f t="shared" ref="R60:R66" si="13">$P60*H60</f>
        <v>600.64486346499439</v>
      </c>
      <c r="S60" s="250">
        <f t="shared" ref="S60:S66" si="14">$P60*I60</f>
        <v>0</v>
      </c>
      <c r="T60" s="944"/>
      <c r="W60" s="770"/>
      <c r="X60" s="355"/>
      <c r="Y60" s="355"/>
      <c r="Z60" s="770"/>
      <c r="AA60" s="770"/>
      <c r="AB60" s="770"/>
      <c r="AC60" s="770"/>
      <c r="AD60" s="770"/>
      <c r="AE60" s="355"/>
      <c r="AF60" s="770"/>
      <c r="AG60" s="770"/>
      <c r="AH60" s="770"/>
      <c r="AI60" s="770"/>
      <c r="AJ60" s="770"/>
      <c r="AK60" s="770"/>
      <c r="AL60" s="770"/>
      <c r="AM60" s="771"/>
      <c r="AN60" s="771"/>
      <c r="AT60" s="345"/>
      <c r="AV60" s="944"/>
    </row>
    <row r="61" spans="1:48" s="342" customFormat="1">
      <c r="A61" s="762" t="s">
        <v>1163</v>
      </c>
      <c r="B61" s="762" t="s">
        <v>1188</v>
      </c>
      <c r="C61" s="759">
        <v>175826.54467481523</v>
      </c>
      <c r="D61" s="760">
        <v>41639</v>
      </c>
      <c r="E61" s="1315">
        <v>37</v>
      </c>
      <c r="F61" s="229">
        <f t="shared" si="5"/>
        <v>5</v>
      </c>
      <c r="G61" s="1327">
        <f t="shared" si="6"/>
        <v>0.96699999999999997</v>
      </c>
      <c r="H61" s="1327">
        <f t="shared" si="7"/>
        <v>3.3000000000000002E-2</v>
      </c>
      <c r="I61" s="1327">
        <f t="shared" si="8"/>
        <v>0</v>
      </c>
      <c r="J61" s="183">
        <f t="shared" si="0"/>
        <v>1758.2654467481523</v>
      </c>
      <c r="K61" s="250">
        <f t="shared" si="9"/>
        <v>1888.0088865795435</v>
      </c>
      <c r="L61" s="226">
        <f t="shared" si="10"/>
        <v>2930.4424112469205</v>
      </c>
      <c r="M61" s="250">
        <f t="shared" si="1"/>
        <v>172896.10226356832</v>
      </c>
      <c r="N61" s="250">
        <f t="shared" si="2"/>
        <v>12958.416342533883</v>
      </c>
      <c r="O61" s="250">
        <f t="shared" si="11"/>
        <v>13914.625494091237</v>
      </c>
      <c r="P61" s="250">
        <f t="shared" si="3"/>
        <v>15802.634380670781</v>
      </c>
      <c r="Q61" s="250">
        <f t="shared" si="12"/>
        <v>15281.147446108645</v>
      </c>
      <c r="R61" s="250">
        <f t="shared" si="13"/>
        <v>521.48693456213584</v>
      </c>
      <c r="S61" s="250">
        <f t="shared" si="14"/>
        <v>0</v>
      </c>
      <c r="T61" s="944"/>
      <c r="W61" s="770"/>
      <c r="X61" s="355"/>
      <c r="Y61" s="355"/>
      <c r="Z61" s="770"/>
      <c r="AA61" s="770"/>
      <c r="AB61" s="770"/>
      <c r="AC61" s="770"/>
      <c r="AD61" s="770"/>
      <c r="AE61" s="355"/>
      <c r="AF61" s="770"/>
      <c r="AG61" s="770"/>
      <c r="AH61" s="770"/>
      <c r="AI61" s="770"/>
      <c r="AJ61" s="770"/>
      <c r="AK61" s="770"/>
      <c r="AL61" s="770"/>
      <c r="AM61" s="771"/>
      <c r="AN61" s="771"/>
      <c r="AT61" s="345"/>
      <c r="AV61" s="944"/>
    </row>
    <row r="62" spans="1:48" s="342" customFormat="1">
      <c r="A62" s="762" t="s">
        <v>1234</v>
      </c>
      <c r="B62" s="762" t="s">
        <v>1188</v>
      </c>
      <c r="C62" s="759">
        <v>586249.94832371443</v>
      </c>
      <c r="D62" s="760">
        <v>41639</v>
      </c>
      <c r="E62" s="1315">
        <v>37</v>
      </c>
      <c r="F62" s="229">
        <f t="shared" si="5"/>
        <v>5</v>
      </c>
      <c r="G62" s="1327">
        <f t="shared" si="6"/>
        <v>0.96699999999999997</v>
      </c>
      <c r="H62" s="1327">
        <f t="shared" si="7"/>
        <v>3.3000000000000002E-2</v>
      </c>
      <c r="I62" s="1327">
        <f t="shared" si="8"/>
        <v>0</v>
      </c>
      <c r="J62" s="183">
        <f t="shared" si="0"/>
        <v>5862.499483237144</v>
      </c>
      <c r="K62" s="250">
        <f t="shared" si="9"/>
        <v>6295.0967627728824</v>
      </c>
      <c r="L62" s="226">
        <f t="shared" si="10"/>
        <v>9770.8324720619075</v>
      </c>
      <c r="M62" s="250">
        <f t="shared" si="1"/>
        <v>576479.11585165258</v>
      </c>
      <c r="N62" s="250">
        <f t="shared" si="2"/>
        <v>43206.621191457758</v>
      </c>
      <c r="O62" s="250">
        <f t="shared" si="11"/>
        <v>46394.863141636153</v>
      </c>
      <c r="P62" s="250">
        <f t="shared" si="3"/>
        <v>52689.959904409036</v>
      </c>
      <c r="Q62" s="250">
        <f t="shared" si="12"/>
        <v>50951.191227563533</v>
      </c>
      <c r="R62" s="250">
        <f t="shared" si="13"/>
        <v>1738.7686768454982</v>
      </c>
      <c r="S62" s="250">
        <f t="shared" si="14"/>
        <v>0</v>
      </c>
      <c r="T62" s="944"/>
      <c r="W62" s="770"/>
      <c r="X62" s="355"/>
      <c r="Y62" s="355"/>
      <c r="Z62" s="770"/>
      <c r="AA62" s="770"/>
      <c r="AB62" s="770"/>
      <c r="AC62" s="770"/>
      <c r="AD62" s="770"/>
      <c r="AE62" s="355"/>
      <c r="AF62" s="770"/>
      <c r="AG62" s="770"/>
      <c r="AH62" s="770"/>
      <c r="AI62" s="770"/>
      <c r="AJ62" s="770"/>
      <c r="AK62" s="770"/>
      <c r="AL62" s="770"/>
      <c r="AM62" s="771"/>
      <c r="AN62" s="771"/>
      <c r="AT62" s="345"/>
      <c r="AV62" s="944"/>
    </row>
    <row r="63" spans="1:48" s="342" customFormat="1">
      <c r="A63" s="762" t="s">
        <v>1235</v>
      </c>
      <c r="B63" s="762" t="s">
        <v>1188</v>
      </c>
      <c r="C63" s="759">
        <v>221162.4883613335</v>
      </c>
      <c r="D63" s="760">
        <v>41639</v>
      </c>
      <c r="E63" s="1315">
        <v>37</v>
      </c>
      <c r="F63" s="229">
        <f t="shared" si="5"/>
        <v>5</v>
      </c>
      <c r="G63" s="1327">
        <f t="shared" si="6"/>
        <v>0.96699999999999997</v>
      </c>
      <c r="H63" s="1327">
        <f t="shared" si="7"/>
        <v>3.3000000000000002E-2</v>
      </c>
      <c r="I63" s="1327">
        <f t="shared" si="8"/>
        <v>0</v>
      </c>
      <c r="J63" s="183">
        <f t="shared" si="0"/>
        <v>2211.624883613335</v>
      </c>
      <c r="K63" s="250">
        <f t="shared" si="9"/>
        <v>2374.8219825197525</v>
      </c>
      <c r="L63" s="226">
        <f t="shared" si="10"/>
        <v>3686.0414726888912</v>
      </c>
      <c r="M63" s="250">
        <f t="shared" si="1"/>
        <v>217476.4468886446</v>
      </c>
      <c r="N63" s="250">
        <f t="shared" si="2"/>
        <v>16299.675392230278</v>
      </c>
      <c r="O63" s="250">
        <f t="shared" si="11"/>
        <v>17502.438011170572</v>
      </c>
      <c r="P63" s="250">
        <f t="shared" si="3"/>
        <v>19877.259993690324</v>
      </c>
      <c r="Q63" s="250">
        <f t="shared" si="12"/>
        <v>19221.310413898544</v>
      </c>
      <c r="R63" s="250">
        <f t="shared" si="13"/>
        <v>655.94957979178071</v>
      </c>
      <c r="S63" s="250">
        <f t="shared" si="14"/>
        <v>0</v>
      </c>
      <c r="T63" s="944"/>
      <c r="W63" s="770"/>
      <c r="X63" s="355"/>
      <c r="Y63" s="355"/>
      <c r="Z63" s="770"/>
      <c r="AA63" s="770"/>
      <c r="AB63" s="770"/>
      <c r="AC63" s="770"/>
      <c r="AD63" s="770"/>
      <c r="AE63" s="355"/>
      <c r="AF63" s="770"/>
      <c r="AG63" s="770"/>
      <c r="AH63" s="770"/>
      <c r="AI63" s="770"/>
      <c r="AJ63" s="770"/>
      <c r="AK63" s="770"/>
      <c r="AL63" s="770"/>
      <c r="AM63" s="771"/>
      <c r="AN63" s="771"/>
      <c r="AT63" s="345"/>
      <c r="AV63" s="944"/>
    </row>
    <row r="64" spans="1:48" s="342" customFormat="1">
      <c r="A64" s="762" t="s">
        <v>1164</v>
      </c>
      <c r="B64" s="762" t="s">
        <v>1188</v>
      </c>
      <c r="C64" s="759">
        <v>6579021.8776926203</v>
      </c>
      <c r="D64" s="760">
        <v>41517</v>
      </c>
      <c r="E64" s="1315">
        <v>37</v>
      </c>
      <c r="F64" s="229">
        <f t="shared" si="5"/>
        <v>5</v>
      </c>
      <c r="G64" s="1327">
        <f t="shared" si="6"/>
        <v>0.96699999999999997</v>
      </c>
      <c r="H64" s="1327">
        <f t="shared" si="7"/>
        <v>3.3000000000000002E-2</v>
      </c>
      <c r="I64" s="1327">
        <f t="shared" si="8"/>
        <v>0</v>
      </c>
      <c r="J64" s="183">
        <f t="shared" si="0"/>
        <v>65790.218776926209</v>
      </c>
      <c r="K64" s="250">
        <f t="shared" si="9"/>
        <v>70644.917654825971</v>
      </c>
      <c r="L64" s="226">
        <f t="shared" si="10"/>
        <v>548251.82314105169</v>
      </c>
      <c r="M64" s="250">
        <f t="shared" si="1"/>
        <v>6030770.0545515688</v>
      </c>
      <c r="N64" s="250">
        <f t="shared" si="2"/>
        <v>898036.48630504264</v>
      </c>
      <c r="O64" s="250">
        <f t="shared" si="11"/>
        <v>964303.12598837446</v>
      </c>
      <c r="P64" s="250">
        <f t="shared" si="3"/>
        <v>1034948.0436432004</v>
      </c>
      <c r="Q64" s="250">
        <f t="shared" si="12"/>
        <v>1000794.7582029748</v>
      </c>
      <c r="R64" s="250">
        <f t="shared" si="13"/>
        <v>34153.285440225613</v>
      </c>
      <c r="S64" s="250">
        <f t="shared" si="14"/>
        <v>0</v>
      </c>
      <c r="T64" s="944"/>
      <c r="W64" s="770"/>
      <c r="X64" s="355"/>
      <c r="Y64" s="355"/>
      <c r="Z64" s="770"/>
      <c r="AA64" s="770"/>
      <c r="AB64" s="770"/>
      <c r="AC64" s="770"/>
      <c r="AD64" s="770"/>
      <c r="AE64" s="355"/>
      <c r="AF64" s="770"/>
      <c r="AG64" s="770"/>
      <c r="AH64" s="770"/>
      <c r="AI64" s="770"/>
      <c r="AJ64" s="770"/>
      <c r="AK64" s="770"/>
      <c r="AL64" s="770"/>
      <c r="AM64" s="771"/>
      <c r="AN64" s="771"/>
      <c r="AT64" s="345"/>
      <c r="AV64" s="944"/>
    </row>
    <row r="65" spans="1:48" s="342" customFormat="1">
      <c r="A65" s="762" t="s">
        <v>1165</v>
      </c>
      <c r="B65" s="762" t="s">
        <v>1188</v>
      </c>
      <c r="C65" s="759">
        <v>83788.656460052429</v>
      </c>
      <c r="D65" s="760">
        <v>41639</v>
      </c>
      <c r="E65" s="1315">
        <v>37</v>
      </c>
      <c r="F65" s="229">
        <f t="shared" si="5"/>
        <v>5</v>
      </c>
      <c r="G65" s="1327">
        <f t="shared" si="6"/>
        <v>0.96699999999999997</v>
      </c>
      <c r="H65" s="1327">
        <f t="shared" si="7"/>
        <v>3.3000000000000002E-2</v>
      </c>
      <c r="I65" s="1327">
        <f t="shared" si="8"/>
        <v>0</v>
      </c>
      <c r="J65" s="183">
        <f t="shared" si="0"/>
        <v>837.88656460052425</v>
      </c>
      <c r="K65" s="250">
        <f t="shared" si="9"/>
        <v>899.71470623911182</v>
      </c>
      <c r="L65" s="226">
        <f t="shared" si="10"/>
        <v>1396.4776076675403</v>
      </c>
      <c r="M65" s="250">
        <f t="shared" si="1"/>
        <v>82392.178852384895</v>
      </c>
      <c r="N65" s="250">
        <f t="shared" si="2"/>
        <v>6175.2239811058644</v>
      </c>
      <c r="O65" s="250">
        <f t="shared" si="11"/>
        <v>6630.8973849822551</v>
      </c>
      <c r="P65" s="250">
        <f t="shared" si="3"/>
        <v>7530.6120912213664</v>
      </c>
      <c r="Q65" s="250">
        <f t="shared" si="12"/>
        <v>7282.1018922110616</v>
      </c>
      <c r="R65" s="250">
        <f t="shared" si="13"/>
        <v>248.51019901030512</v>
      </c>
      <c r="S65" s="250">
        <f t="shared" si="14"/>
        <v>0</v>
      </c>
      <c r="T65" s="944"/>
      <c r="W65" s="770"/>
      <c r="X65" s="355"/>
      <c r="Y65" s="355"/>
      <c r="Z65" s="770"/>
      <c r="AA65" s="770"/>
      <c r="AB65" s="770"/>
      <c r="AC65" s="770"/>
      <c r="AD65" s="770"/>
      <c r="AE65" s="355"/>
      <c r="AF65" s="770"/>
      <c r="AG65" s="770"/>
      <c r="AH65" s="770"/>
      <c r="AI65" s="770"/>
      <c r="AJ65" s="770"/>
      <c r="AK65" s="770"/>
      <c r="AL65" s="770"/>
      <c r="AM65" s="771"/>
      <c r="AN65" s="771"/>
      <c r="AT65" s="345"/>
      <c r="AV65" s="944"/>
    </row>
    <row r="66" spans="1:48" s="342" customFormat="1">
      <c r="A66" s="762" t="s">
        <v>1166</v>
      </c>
      <c r="B66" s="762" t="s">
        <v>1188</v>
      </c>
      <c r="C66" s="759">
        <v>52568.310980783652</v>
      </c>
      <c r="D66" s="760">
        <v>41578</v>
      </c>
      <c r="E66" s="1315">
        <v>37</v>
      </c>
      <c r="F66" s="229">
        <f t="shared" si="5"/>
        <v>5</v>
      </c>
      <c r="G66" s="1327">
        <f t="shared" si="6"/>
        <v>0.96699999999999997</v>
      </c>
      <c r="H66" s="1327">
        <f t="shared" si="7"/>
        <v>3.3000000000000002E-2</v>
      </c>
      <c r="I66" s="1327">
        <f t="shared" si="8"/>
        <v>0</v>
      </c>
      <c r="J66" s="183">
        <f t="shared" si="0"/>
        <v>525.68310980783656</v>
      </c>
      <c r="K66" s="250">
        <f t="shared" si="9"/>
        <v>564.47357518032754</v>
      </c>
      <c r="L66" s="226">
        <f t="shared" si="10"/>
        <v>2628.4155490391827</v>
      </c>
      <c r="M66" s="250">
        <f t="shared" si="1"/>
        <v>49939.895431744466</v>
      </c>
      <c r="N66" s="250">
        <f t="shared" si="2"/>
        <v>5524.9294840803614</v>
      </c>
      <c r="O66" s="250">
        <f t="shared" si="11"/>
        <v>5932.6172751452423</v>
      </c>
      <c r="P66" s="250">
        <f t="shared" si="3"/>
        <v>6497.0908503255696</v>
      </c>
      <c r="Q66" s="250">
        <f t="shared" si="12"/>
        <v>6282.6868522648256</v>
      </c>
      <c r="R66" s="250">
        <f t="shared" si="13"/>
        <v>214.40399806074382</v>
      </c>
      <c r="S66" s="250">
        <f t="shared" si="14"/>
        <v>0</v>
      </c>
      <c r="T66" s="944"/>
      <c r="W66" s="770"/>
      <c r="X66" s="355"/>
      <c r="Y66" s="355"/>
      <c r="Z66" s="770"/>
      <c r="AA66" s="770"/>
      <c r="AB66" s="770"/>
      <c r="AC66" s="770"/>
      <c r="AD66" s="770"/>
      <c r="AE66" s="355"/>
      <c r="AF66" s="770"/>
      <c r="AG66" s="770"/>
      <c r="AH66" s="770"/>
      <c r="AI66" s="770"/>
      <c r="AJ66" s="770"/>
      <c r="AK66" s="770"/>
      <c r="AL66" s="770"/>
      <c r="AM66" s="771"/>
      <c r="AN66" s="771"/>
      <c r="AT66" s="345"/>
      <c r="AV66" s="944"/>
    </row>
    <row r="67" spans="1:48" s="342" customFormat="1">
      <c r="A67" s="762" t="s">
        <v>1168</v>
      </c>
      <c r="B67" s="758" t="s">
        <v>774</v>
      </c>
      <c r="C67" s="759">
        <v>2630254.0100661251</v>
      </c>
      <c r="D67" s="760">
        <v>41431</v>
      </c>
      <c r="E67" s="1315">
        <v>21</v>
      </c>
      <c r="F67" s="229">
        <f t="shared" si="5"/>
        <v>55</v>
      </c>
      <c r="G67" s="1327">
        <f t="shared" si="6"/>
        <v>0.96699999999999997</v>
      </c>
      <c r="H67" s="1327">
        <f t="shared" si="7"/>
        <v>3.3000000000000002E-2</v>
      </c>
      <c r="I67" s="1327">
        <f t="shared" si="8"/>
        <v>0</v>
      </c>
      <c r="J67" s="183">
        <f t="shared" ref="J67:J68" si="15">C67*$B$6</f>
        <v>26302.540100661252</v>
      </c>
      <c r="K67" s="250">
        <f t="shared" ref="K67:K68" si="16">J67*(1+$B$16)</f>
        <v>28243.419980473678</v>
      </c>
      <c r="L67" s="226">
        <f t="shared" ref="L67:L68" si="17">(13-MONTH(D67))/12*C67/F67</f>
        <v>27896.633440095266</v>
      </c>
      <c r="M67" s="250">
        <f t="shared" ref="M67:M68" si="18">C67-L67</f>
        <v>2602357.3766260296</v>
      </c>
      <c r="N67" s="250">
        <f t="shared" ref="N67:N68" si="19">M67*$B$4+L67</f>
        <v>178833.36128440499</v>
      </c>
      <c r="O67" s="250">
        <f t="shared" ref="O67:O68" si="20">N67*(1+$B$16)</f>
        <v>192029.58003087513</v>
      </c>
      <c r="P67" s="250">
        <f t="shared" ref="P67:P68" si="21">K67+O67</f>
        <v>220273.00001134881</v>
      </c>
      <c r="Q67" s="250">
        <f t="shared" ref="Q67:Q68" si="22">$P67*G67</f>
        <v>213003.99101097428</v>
      </c>
      <c r="R67" s="250">
        <f t="shared" ref="R67:R68" si="23">$P67*H67</f>
        <v>7269.0090003745108</v>
      </c>
      <c r="S67" s="250">
        <f t="shared" ref="S67:S68" si="24">$P67*I67</f>
        <v>0</v>
      </c>
      <c r="T67" s="944"/>
      <c r="W67" s="770"/>
      <c r="X67" s="355"/>
      <c r="Y67" s="355"/>
      <c r="Z67" s="770"/>
      <c r="AA67" s="770"/>
      <c r="AB67" s="770"/>
      <c r="AC67" s="770"/>
      <c r="AD67" s="770"/>
      <c r="AE67" s="355"/>
      <c r="AF67" s="770"/>
      <c r="AG67" s="770"/>
      <c r="AH67" s="770"/>
      <c r="AI67" s="770"/>
      <c r="AJ67" s="770"/>
      <c r="AK67" s="770"/>
      <c r="AL67" s="770"/>
      <c r="AM67" s="771"/>
      <c r="AN67" s="771"/>
      <c r="AT67" s="345"/>
      <c r="AV67" s="944"/>
    </row>
    <row r="68" spans="1:48" s="342" customFormat="1" ht="13.5" thickBot="1">
      <c r="A68" s="762" t="s">
        <v>1167</v>
      </c>
      <c r="B68" s="762" t="s">
        <v>1236</v>
      </c>
      <c r="C68" s="759">
        <v>82488.345159741701</v>
      </c>
      <c r="D68" s="760">
        <v>41639</v>
      </c>
      <c r="E68" s="1315">
        <v>37</v>
      </c>
      <c r="F68" s="229">
        <f t="shared" si="5"/>
        <v>5</v>
      </c>
      <c r="G68" s="1327">
        <f t="shared" si="6"/>
        <v>0.96699999999999997</v>
      </c>
      <c r="H68" s="1327">
        <f t="shared" si="7"/>
        <v>3.3000000000000002E-2</v>
      </c>
      <c r="I68" s="1327">
        <f t="shared" si="8"/>
        <v>0</v>
      </c>
      <c r="J68" s="183">
        <f t="shared" si="15"/>
        <v>824.88345159741698</v>
      </c>
      <c r="K68" s="250">
        <f t="shared" si="16"/>
        <v>885.75208589161605</v>
      </c>
      <c r="L68" s="226">
        <f t="shared" si="17"/>
        <v>1374.8057526623616</v>
      </c>
      <c r="M68" s="250">
        <f t="shared" si="18"/>
        <v>81113.539407079341</v>
      </c>
      <c r="N68" s="250">
        <f t="shared" si="19"/>
        <v>6079.3910382729637</v>
      </c>
      <c r="O68" s="250">
        <f t="shared" si="20"/>
        <v>6527.9928730212105</v>
      </c>
      <c r="P68" s="250">
        <f t="shared" si="21"/>
        <v>7413.7449589128264</v>
      </c>
      <c r="Q68" s="250">
        <f t="shared" si="22"/>
        <v>7169.0913752687029</v>
      </c>
      <c r="R68" s="250">
        <f t="shared" si="23"/>
        <v>244.65358364412327</v>
      </c>
      <c r="S68" s="250">
        <f t="shared" si="24"/>
        <v>0</v>
      </c>
      <c r="T68" s="944"/>
      <c r="W68" s="770"/>
      <c r="X68" s="355"/>
      <c r="Y68" s="355"/>
      <c r="Z68" s="770"/>
      <c r="AA68" s="770"/>
      <c r="AB68" s="770"/>
      <c r="AC68" s="770"/>
      <c r="AD68" s="770"/>
      <c r="AE68" s="355"/>
      <c r="AF68" s="770"/>
      <c r="AG68" s="770"/>
      <c r="AH68" s="770"/>
      <c r="AI68" s="770"/>
      <c r="AJ68" s="770"/>
      <c r="AK68" s="770"/>
      <c r="AL68" s="770"/>
      <c r="AM68" s="771"/>
      <c r="AN68" s="771"/>
      <c r="AT68" s="345"/>
      <c r="AV68" s="944"/>
    </row>
    <row r="69" spans="1:48" s="182" customFormat="1" ht="13.5" thickTop="1">
      <c r="A69" s="219"/>
      <c r="B69" s="38"/>
      <c r="C69" s="38"/>
      <c r="D69" s="38"/>
      <c r="E69" s="38"/>
      <c r="F69" s="38"/>
      <c r="G69" s="38"/>
      <c r="H69" s="38"/>
      <c r="L69" s="773"/>
      <c r="M69" s="773"/>
      <c r="Q69" s="466">
        <f>SUM(Q59:Q68)</f>
        <v>1359183.9538462164</v>
      </c>
      <c r="R69" s="466">
        <f>SUM(R59:R68)</f>
        <v>46383.733688650616</v>
      </c>
      <c r="S69" s="466">
        <f>SUM(S59:S68)</f>
        <v>0</v>
      </c>
      <c r="W69" s="355"/>
      <c r="X69" s="355"/>
      <c r="Y69" s="355"/>
      <c r="Z69" s="355"/>
      <c r="AA69" s="355"/>
      <c r="AB69" s="355"/>
      <c r="AC69" s="355"/>
      <c r="AD69" s="355"/>
      <c r="AE69" s="355"/>
      <c r="AF69" s="355"/>
      <c r="AG69" s="355"/>
      <c r="AH69" s="355"/>
      <c r="AI69" s="244"/>
      <c r="AJ69" s="244"/>
      <c r="AK69" s="244"/>
      <c r="AL69" s="244"/>
      <c r="AM69" s="772"/>
      <c r="AN69" s="772"/>
      <c r="AT69" s="245"/>
      <c r="AV69" s="944"/>
    </row>
    <row r="70" spans="1:48" s="182" customFormat="1">
      <c r="A70" s="219"/>
      <c r="B70" s="38"/>
      <c r="C70" s="38"/>
      <c r="D70" s="38"/>
      <c r="E70" s="38"/>
      <c r="G70" s="123"/>
      <c r="K70" s="123"/>
      <c r="N70" s="123"/>
      <c r="Q70" s="123"/>
      <c r="AI70" s="499"/>
      <c r="AM70" s="484"/>
      <c r="AN70" s="484"/>
      <c r="AP70" s="355"/>
      <c r="AQ70" s="355"/>
      <c r="AR70" s="355"/>
      <c r="AT70" s="245"/>
      <c r="AV70" s="944"/>
    </row>
    <row r="71" spans="1:48" s="76" customFormat="1">
      <c r="A71" s="272" t="s">
        <v>23</v>
      </c>
      <c r="B71" s="228"/>
      <c r="C71" s="228"/>
      <c r="D71" s="228"/>
      <c r="E71" s="75"/>
      <c r="F71" s="75"/>
      <c r="G71" s="122"/>
      <c r="H71" s="75"/>
      <c r="I71" s="75"/>
      <c r="J71" s="75"/>
      <c r="K71" s="122"/>
      <c r="L71" s="75"/>
      <c r="M71" s="75"/>
      <c r="N71" s="122"/>
      <c r="O71" s="75"/>
      <c r="P71" s="75"/>
      <c r="Q71" s="122"/>
      <c r="R71" s="75"/>
      <c r="S71" s="75"/>
      <c r="T71" s="75"/>
      <c r="U71" s="75"/>
      <c r="V71" s="75"/>
      <c r="W71" s="75"/>
      <c r="X71" s="75"/>
      <c r="Y71" s="75"/>
      <c r="Z71" s="75"/>
      <c r="AA71" s="75"/>
      <c r="AB71" s="75"/>
      <c r="AC71" s="75"/>
      <c r="AD71" s="75"/>
      <c r="AE71" s="75"/>
      <c r="AF71" s="75"/>
      <c r="AG71" s="75"/>
      <c r="AH71" s="75"/>
      <c r="AI71" s="273"/>
      <c r="AJ71" s="75"/>
      <c r="AK71" s="75"/>
      <c r="AL71" s="75"/>
      <c r="AM71" s="411"/>
      <c r="AN71" s="412"/>
      <c r="AO71" s="75"/>
      <c r="AP71" s="874"/>
      <c r="AQ71" s="874"/>
      <c r="AR71" s="874"/>
      <c r="AS71" s="874"/>
      <c r="AT71" s="893"/>
      <c r="AV71" s="944"/>
    </row>
    <row r="72" spans="1:48" s="76" customFormat="1">
      <c r="A72" s="272" t="s">
        <v>540</v>
      </c>
      <c r="B72" s="227" t="s">
        <v>675</v>
      </c>
      <c r="C72" s="227" t="s">
        <v>676</v>
      </c>
      <c r="D72" s="227" t="s">
        <v>677</v>
      </c>
      <c r="E72" s="70" t="s">
        <v>166</v>
      </c>
      <c r="K72" s="117"/>
      <c r="N72" s="117"/>
      <c r="Q72" s="117"/>
      <c r="AI72" s="274"/>
      <c r="AM72" s="413"/>
      <c r="AN72" s="413"/>
      <c r="AP72" s="403"/>
      <c r="AQ72" s="403"/>
      <c r="AR72" s="403"/>
      <c r="AT72" s="894"/>
      <c r="AV72" s="944"/>
    </row>
    <row r="73" spans="1:48" s="76" customFormat="1" ht="12" customHeight="1">
      <c r="A73" s="1007"/>
      <c r="B73" s="1008"/>
      <c r="C73" s="1008"/>
      <c r="D73" s="583">
        <f t="shared" ref="D73" si="25">IF(ISNUMBER(SEARCH("Connection",A73)),0,0.598)</f>
        <v>0.59799999999999998</v>
      </c>
      <c r="E73" s="1010"/>
      <c r="K73" s="117"/>
      <c r="N73" s="117"/>
      <c r="Q73" s="117"/>
      <c r="AI73" s="274"/>
      <c r="AM73" s="413"/>
      <c r="AN73" s="413"/>
      <c r="AP73" s="403"/>
      <c r="AQ73" s="403"/>
      <c r="AR73" s="403"/>
      <c r="AT73" s="894"/>
      <c r="AV73" s="944"/>
    </row>
    <row r="74" spans="1:48" s="76" customFormat="1" ht="12" customHeight="1" thickBot="1">
      <c r="A74" s="1009"/>
      <c r="B74" s="801"/>
      <c r="C74" s="802"/>
      <c r="D74" s="803">
        <f t="shared" ref="D74" si="26">IF(ISNUMBER(SEARCH("Connection",A74)),0,0.598)</f>
        <v>0.59799999999999998</v>
      </c>
      <c r="E74" s="1012"/>
      <c r="K74" s="117"/>
      <c r="N74" s="117"/>
      <c r="Q74" s="117"/>
      <c r="AI74" s="274"/>
      <c r="AM74" s="413"/>
      <c r="AN74" s="413"/>
      <c r="AP74" s="403"/>
      <c r="AQ74" s="403"/>
      <c r="AR74" s="403"/>
      <c r="AT74" s="894"/>
      <c r="AV74" s="944"/>
    </row>
    <row r="75" spans="1:48" s="76" customFormat="1" ht="13.5" thickTop="1">
      <c r="A75" s="895" t="s">
        <v>19</v>
      </c>
      <c r="B75" s="498"/>
      <c r="C75" s="479">
        <f>SUMPRODUCT($B73:$B74,C73:C74)</f>
        <v>0</v>
      </c>
      <c r="D75" s="479">
        <f>SUMPRODUCT($B73:$B74,D73:D74)</f>
        <v>0</v>
      </c>
      <c r="E75" s="182"/>
      <c r="O75" s="117"/>
      <c r="R75" s="117"/>
      <c r="U75" s="117"/>
      <c r="Y75" s="793"/>
      <c r="Z75" s="793"/>
      <c r="AA75" s="793"/>
      <c r="AB75" s="172"/>
      <c r="AC75" s="172"/>
      <c r="AD75" s="172"/>
      <c r="AE75" s="172"/>
      <c r="AM75" s="414"/>
      <c r="AN75" s="413"/>
      <c r="AP75" s="138"/>
      <c r="AQ75" s="138"/>
      <c r="AR75" s="138"/>
      <c r="AT75" s="894"/>
      <c r="AV75" s="944"/>
    </row>
    <row r="76" spans="1:48" s="76" customFormat="1">
      <c r="A76" s="276"/>
      <c r="K76" s="117"/>
      <c r="O76" s="117"/>
      <c r="R76" s="117"/>
      <c r="U76" s="117"/>
      <c r="Y76" s="793"/>
      <c r="Z76" s="793"/>
      <c r="AA76" s="793"/>
      <c r="AB76" s="172"/>
      <c r="AC76" s="172"/>
      <c r="AD76" s="172"/>
      <c r="AE76" s="172"/>
      <c r="AM76" s="414"/>
      <c r="AN76" s="413"/>
      <c r="AP76" s="138"/>
      <c r="AQ76" s="138"/>
      <c r="AR76" s="138"/>
      <c r="AT76" s="894"/>
      <c r="AV76" s="944"/>
    </row>
    <row r="77" spans="1:48" s="342" customFormat="1" ht="16.5" customHeight="1">
      <c r="A77" s="779" t="s">
        <v>953</v>
      </c>
      <c r="B77" s="70"/>
      <c r="C77" s="70"/>
      <c r="D77" s="70"/>
      <c r="E77" s="70"/>
      <c r="F77" s="1014" t="s">
        <v>946</v>
      </c>
      <c r="G77" s="795" t="s">
        <v>961</v>
      </c>
      <c r="H77" s="740" t="s">
        <v>950</v>
      </c>
      <c r="I77" s="740" t="s">
        <v>952</v>
      </c>
      <c r="J77" s="1695" t="s">
        <v>876</v>
      </c>
      <c r="K77" s="1696"/>
      <c r="L77" s="1697"/>
      <c r="M77" s="1687" t="s">
        <v>870</v>
      </c>
      <c r="N77" s="1688"/>
      <c r="O77" s="1688"/>
      <c r="P77" s="1689"/>
      <c r="Q77" s="1014" t="s">
        <v>866</v>
      </c>
      <c r="R77" s="1690" t="s">
        <v>958</v>
      </c>
      <c r="S77" s="1688"/>
      <c r="T77" s="1688"/>
      <c r="U77" s="1691"/>
      <c r="V77" s="1035" t="s">
        <v>854</v>
      </c>
      <c r="W77" s="1700" t="s">
        <v>874</v>
      </c>
      <c r="X77" s="1700"/>
      <c r="Y77" s="1700"/>
      <c r="Z77" s="1700"/>
      <c r="AA77" s="1701" t="s">
        <v>10</v>
      </c>
      <c r="AB77" s="1700"/>
      <c r="AC77" s="1700"/>
      <c r="AD77" s="1702"/>
      <c r="AE77" s="912"/>
      <c r="AF77" s="1687" t="s">
        <v>869</v>
      </c>
      <c r="AG77" s="1688"/>
      <c r="AH77" s="1688"/>
      <c r="AI77" s="1689"/>
      <c r="AJ77" s="1687" t="s">
        <v>875</v>
      </c>
      <c r="AK77" s="1688"/>
      <c r="AL77" s="1688"/>
      <c r="AM77" s="1689"/>
      <c r="AN77" s="1034" t="s">
        <v>855</v>
      </c>
      <c r="AO77" s="1028" t="s">
        <v>935</v>
      </c>
      <c r="AP77" s="1106" t="s">
        <v>981</v>
      </c>
      <c r="AQ77" s="1106" t="s">
        <v>982</v>
      </c>
      <c r="AR77" s="1015" t="s">
        <v>936</v>
      </c>
      <c r="AS77" s="1044" t="s">
        <v>937</v>
      </c>
      <c r="AT77" s="1171" t="s">
        <v>813</v>
      </c>
      <c r="AV77" s="944"/>
    </row>
    <row r="78" spans="1:48" s="342" customFormat="1">
      <c r="A78" s="262" t="s">
        <v>954</v>
      </c>
      <c r="B78" s="70"/>
      <c r="C78" s="70"/>
      <c r="D78" s="70"/>
      <c r="E78" s="70"/>
      <c r="F78" s="1014"/>
      <c r="G78" s="795" t="s">
        <v>879</v>
      </c>
      <c r="H78" s="1042" t="s">
        <v>949</v>
      </c>
      <c r="I78" s="1042" t="s">
        <v>951</v>
      </c>
      <c r="J78" s="1038"/>
      <c r="K78" s="804"/>
      <c r="L78" s="1039"/>
      <c r="M78" s="1031">
        <v>2013</v>
      </c>
      <c r="N78" s="1014">
        <v>2014</v>
      </c>
      <c r="O78" s="1014">
        <v>2015</v>
      </c>
      <c r="P78" s="1028">
        <v>2016</v>
      </c>
      <c r="Q78" s="619"/>
      <c r="R78" s="1036">
        <v>2013</v>
      </c>
      <c r="S78" s="1014">
        <v>2014</v>
      </c>
      <c r="T78" s="1014">
        <v>2015</v>
      </c>
      <c r="U78" s="1035">
        <v>2016</v>
      </c>
      <c r="V78" s="1035"/>
      <c r="W78" s="740">
        <v>2013</v>
      </c>
      <c r="X78" s="740">
        <v>2014</v>
      </c>
      <c r="Y78" s="912">
        <v>2015</v>
      </c>
      <c r="Z78" s="912">
        <v>2016</v>
      </c>
      <c r="AA78" s="1026">
        <v>2013</v>
      </c>
      <c r="AB78" s="740">
        <v>2014</v>
      </c>
      <c r="AC78" s="912">
        <v>2015</v>
      </c>
      <c r="AD78" s="1027">
        <v>2016</v>
      </c>
      <c r="AE78" s="791" t="s">
        <v>868</v>
      </c>
      <c r="AF78" s="1031">
        <v>2013</v>
      </c>
      <c r="AG78" s="1014">
        <v>2014</v>
      </c>
      <c r="AH78" s="1014">
        <v>2015</v>
      </c>
      <c r="AI78" s="1028">
        <v>2016</v>
      </c>
      <c r="AJ78" s="1033">
        <v>2013</v>
      </c>
      <c r="AK78" s="790">
        <v>2014</v>
      </c>
      <c r="AL78" s="790">
        <v>2015</v>
      </c>
      <c r="AM78" s="1027">
        <v>2016</v>
      </c>
      <c r="AN78" s="1034"/>
      <c r="AO78" s="1028"/>
      <c r="AP78" s="1129" t="s">
        <v>983</v>
      </c>
      <c r="AQ78" s="1129" t="s">
        <v>984</v>
      </c>
      <c r="AR78" s="1014"/>
      <c r="AS78" s="1028"/>
      <c r="AT78" s="1171"/>
      <c r="AV78" s="944"/>
    </row>
    <row r="79" spans="1:48" s="65" customFormat="1" ht="25.5">
      <c r="A79" s="262" t="s">
        <v>505</v>
      </c>
      <c r="B79" s="70" t="s">
        <v>540</v>
      </c>
      <c r="C79" s="70" t="s">
        <v>541</v>
      </c>
      <c r="D79" s="70" t="s">
        <v>542</v>
      </c>
      <c r="E79" s="70" t="s">
        <v>514</v>
      </c>
      <c r="F79" s="790"/>
      <c r="G79" s="1042" t="s">
        <v>880</v>
      </c>
      <c r="H79" s="1042" t="s">
        <v>880</v>
      </c>
      <c r="I79" s="1048"/>
      <c r="J79" s="1049" t="s">
        <v>881</v>
      </c>
      <c r="K79" s="1050" t="s">
        <v>877</v>
      </c>
      <c r="L79" s="1051" t="s">
        <v>878</v>
      </c>
      <c r="M79" s="1052"/>
      <c r="N79" s="1053"/>
      <c r="O79" s="1053"/>
      <c r="P79" s="1054"/>
      <c r="Q79" s="1055"/>
      <c r="R79" s="1056" t="s">
        <v>957</v>
      </c>
      <c r="S79" s="912" t="s">
        <v>957</v>
      </c>
      <c r="T79" s="912" t="s">
        <v>957</v>
      </c>
      <c r="U79" s="1057" t="s">
        <v>957</v>
      </c>
      <c r="V79" s="1058" t="s">
        <v>956</v>
      </c>
      <c r="W79" s="1059"/>
      <c r="X79" s="1059"/>
      <c r="Y79" s="1059"/>
      <c r="Z79" s="1059"/>
      <c r="AA79" s="1060"/>
      <c r="AB79" s="1061"/>
      <c r="AC79" s="1061"/>
      <c r="AD79" s="1062"/>
      <c r="AE79" s="792" t="s">
        <v>867</v>
      </c>
      <c r="AF79" s="1032">
        <v>2014</v>
      </c>
      <c r="AG79" s="1029">
        <v>2015</v>
      </c>
      <c r="AH79" s="1029">
        <v>2016</v>
      </c>
      <c r="AI79" s="1030">
        <v>2017</v>
      </c>
      <c r="AJ79" s="1063"/>
      <c r="AK79" s="1064"/>
      <c r="AL79" s="1064"/>
      <c r="AM79" s="1065"/>
      <c r="AN79" s="1058" t="s">
        <v>956</v>
      </c>
      <c r="AO79" s="1058" t="s">
        <v>956</v>
      </c>
      <c r="AP79" s="740" t="s">
        <v>956</v>
      </c>
      <c r="AQ79" s="740" t="s">
        <v>956</v>
      </c>
      <c r="AR79" s="740" t="s">
        <v>956</v>
      </c>
      <c r="AS79" s="1058" t="s">
        <v>956</v>
      </c>
      <c r="AT79" s="1171"/>
      <c r="AV79" s="944"/>
    </row>
    <row r="80" spans="1:48" s="342" customFormat="1">
      <c r="A80" s="1041" t="s">
        <v>1157</v>
      </c>
      <c r="B80" s="1040" t="s">
        <v>1159</v>
      </c>
      <c r="C80" s="763">
        <v>41393107.523631178</v>
      </c>
      <c r="D80" s="780">
        <v>41730</v>
      </c>
      <c r="E80" s="1316">
        <v>15</v>
      </c>
      <c r="F80" s="944" t="s">
        <v>1251</v>
      </c>
      <c r="G80" s="761"/>
      <c r="H80" s="1251" t="s">
        <v>779</v>
      </c>
      <c r="I80" s="229">
        <f t="shared" ref="I80:I158" si="27">VLOOKUP($E80,$B$20:$E$54,2,FALSE)</f>
        <v>30</v>
      </c>
      <c r="J80" s="1327">
        <f t="shared" ref="J80:J158" si="28">VLOOKUP($E80,$B$20:$G$54,3,FALSE)</f>
        <v>0.96699999999999997</v>
      </c>
      <c r="K80" s="1327">
        <f t="shared" ref="K80:K158" si="29">VLOOKUP($E80,$B$20:$G$54,4,FALSE)</f>
        <v>3.3000000000000002E-2</v>
      </c>
      <c r="L80" s="1327">
        <f t="shared" ref="L80:L158" si="30">VLOOKUP($E80,$B$20:$G$54,5,FALSE)</f>
        <v>0</v>
      </c>
      <c r="M80" s="794">
        <f t="shared" ref="M80:P99" si="31">IF(YEAR($D80)&gt;M$78,0,HLOOKUP(M$78,$C$9:$F$13, YEAR($D80)-2011,FALSE))</f>
        <v>0</v>
      </c>
      <c r="N80" s="794">
        <f t="shared" si="31"/>
        <v>1</v>
      </c>
      <c r="O80" s="794">
        <f t="shared" si="31"/>
        <v>1.01</v>
      </c>
      <c r="P80" s="794">
        <f t="shared" si="31"/>
        <v>1.0302</v>
      </c>
      <c r="Q80" s="786">
        <f t="shared" ref="Q80" si="32">C80*$B$6</f>
        <v>413931.07523631176</v>
      </c>
      <c r="R80" s="226">
        <f t="shared" ref="R80" si="33">$Q80*M80</f>
        <v>0</v>
      </c>
      <c r="S80" s="226">
        <f t="shared" ref="S80" si="34">$Q80*N80</f>
        <v>413931.07523631176</v>
      </c>
      <c r="T80" s="226">
        <f t="shared" ref="T80" si="35">$Q80*O80</f>
        <v>418070.38598867488</v>
      </c>
      <c r="U80" s="800">
        <f t="shared" ref="U80" si="36">$Q80*P80</f>
        <v>426431.79370844836</v>
      </c>
      <c r="V80" s="226">
        <f t="shared" ref="V80" si="37">IF(H80="nee",T80,IF(G80="ja",S80*(1+$C$16)+T80,R80*(1+$B$16)+S80*(1+$C$16)+T80))</f>
        <v>848558.70423443895</v>
      </c>
      <c r="W80" s="169">
        <f t="shared" ref="W80:Z99" si="38">IF(YEAR($D80)&lt;W$78,$C80/$I80,IF(YEAR($D80)=W$78,(13-MONTH($D80))/12*$C80/$I80,0))</f>
        <v>0</v>
      </c>
      <c r="X80" s="169">
        <f t="shared" si="38"/>
        <v>1034827.6880907794</v>
      </c>
      <c r="Y80" s="169">
        <f t="shared" si="38"/>
        <v>1379770.2507877059</v>
      </c>
      <c r="Z80" s="742">
        <f t="shared" si="38"/>
        <v>1379770.2507877059</v>
      </c>
      <c r="AA80" s="798">
        <f t="shared" ref="AA80" si="39">W80*M80</f>
        <v>0</v>
      </c>
      <c r="AB80" s="798">
        <f t="shared" ref="AB80" si="40">X80*N80</f>
        <v>1034827.6880907794</v>
      </c>
      <c r="AC80" s="798">
        <f t="shared" ref="AC80" si="41">Y80*O80</f>
        <v>1393567.9532955829</v>
      </c>
      <c r="AD80" s="799">
        <f t="shared" ref="AD80" si="42">Z80*P80</f>
        <v>1421439.3123614946</v>
      </c>
      <c r="AE80" s="453"/>
      <c r="AF80" s="169">
        <f t="shared" ref="AF80:AF111" si="43">IF(YEAR($D80)=AF$78,$C80-AA80,IF(YEAR($D80)&lt;AF$78,AE80*$B$10-AA80,0))</f>
        <v>0</v>
      </c>
      <c r="AG80" s="169">
        <f t="shared" ref="AG80:AG111" si="44">IF(YEAR($D80)=AG$78,$C80-AB80,IF(YEAR($D80)&lt;AG$78,AF80*$B$11-AB80,0))</f>
        <v>40358279.835540399</v>
      </c>
      <c r="AH80" s="169">
        <f t="shared" ref="AH80:AH111" si="45">IF(YEAR($D80)=AH$78,$C80-AC80,IF(YEAR($D80)&lt;AH$78,AG80*$B$12-AC80,0))</f>
        <v>39368294.680600226</v>
      </c>
      <c r="AI80" s="742">
        <f t="shared" ref="AI80:AI111" si="46">IF(YEAR($D80)=AI$78,$C80-AD80,IF(YEAR($D80)&lt;AI$78,AH80*$B$13-AD80,0))</f>
        <v>38734221.261850737</v>
      </c>
      <c r="AJ80" s="169">
        <f t="shared" ref="AJ80" si="47">AF80*$B$4+AA80</f>
        <v>0</v>
      </c>
      <c r="AK80" s="169">
        <f t="shared" ref="AK80" si="48">AG80*$B$5+AB80</f>
        <v>2487725.7621702338</v>
      </c>
      <c r="AL80" s="169">
        <f t="shared" ref="AL80" si="49">AH80*$B$5+AC80</f>
        <v>2810826.5617971909</v>
      </c>
      <c r="AM80" s="742">
        <f t="shared" ref="AM80" si="50">AI80*$B$5+AD80</f>
        <v>2815871.2777881213</v>
      </c>
      <c r="AN80" s="169">
        <f t="shared" ref="AN80" si="51">IF(H80="nee",AL80,IF(G80="ja",AK80*(1+$C$16)+AL80, AJ80*(1+$B$16)+AK80*(1+$C$16)+AL80))</f>
        <v>5398061.3544542324</v>
      </c>
      <c r="AO80" s="169">
        <f t="shared" ref="AO80" si="52">AN80+V80</f>
        <v>6246620.0586886713</v>
      </c>
      <c r="AP80" s="169">
        <f t="shared" ref="AP80" si="53">IF(YEAR(D80)&lt;2014,$AO80*J80,0)</f>
        <v>0</v>
      </c>
      <c r="AQ80" s="169">
        <f t="shared" ref="AQ80" si="54">IF(YEAR(D80)&gt;2013,$AO80*J80,0)</f>
        <v>6040481.5967519451</v>
      </c>
      <c r="AR80" s="169">
        <f t="shared" ref="AR80" si="55">$AO80*K80</f>
        <v>206138.46193672618</v>
      </c>
      <c r="AS80" s="169">
        <f t="shared" ref="AS80" si="56">$AO80*L80</f>
        <v>0</v>
      </c>
      <c r="AT80" s="944"/>
      <c r="AV80" s="944"/>
    </row>
    <row r="81" spans="1:48" s="342" customFormat="1">
      <c r="A81" s="1041" t="s">
        <v>1215</v>
      </c>
      <c r="B81" s="1040" t="s">
        <v>1158</v>
      </c>
      <c r="C81" s="763">
        <v>138506.98032051075</v>
      </c>
      <c r="D81" s="780">
        <v>41730</v>
      </c>
      <c r="E81" s="1316">
        <v>2</v>
      </c>
      <c r="F81" s="944" t="s">
        <v>1251</v>
      </c>
      <c r="G81" s="761"/>
      <c r="H81" s="1251" t="s">
        <v>779</v>
      </c>
      <c r="I81" s="229">
        <f t="shared" si="27"/>
        <v>30</v>
      </c>
      <c r="J81" s="1327">
        <f t="shared" si="28"/>
        <v>0.96699999999999997</v>
      </c>
      <c r="K81" s="1327">
        <f t="shared" si="29"/>
        <v>3.3000000000000002E-2</v>
      </c>
      <c r="L81" s="1327">
        <f t="shared" si="30"/>
        <v>0</v>
      </c>
      <c r="M81" s="794">
        <f t="shared" si="31"/>
        <v>0</v>
      </c>
      <c r="N81" s="794">
        <f t="shared" si="31"/>
        <v>1</v>
      </c>
      <c r="O81" s="794">
        <f t="shared" si="31"/>
        <v>1.01</v>
      </c>
      <c r="P81" s="794">
        <f t="shared" si="31"/>
        <v>1.0302</v>
      </c>
      <c r="Q81" s="786">
        <f t="shared" ref="Q81" si="57">C81*$B$6</f>
        <v>1385.0698032051075</v>
      </c>
      <c r="R81" s="226">
        <f t="shared" ref="R81" si="58">$Q81*M81</f>
        <v>0</v>
      </c>
      <c r="S81" s="226">
        <f t="shared" ref="S81" si="59">$Q81*N81</f>
        <v>1385.0698032051075</v>
      </c>
      <c r="T81" s="226">
        <f t="shared" ref="T81" si="60">$Q81*O81</f>
        <v>1398.9205012371585</v>
      </c>
      <c r="U81" s="800">
        <f t="shared" ref="U81" si="61">$Q81*P81</f>
        <v>1426.8989112619017</v>
      </c>
      <c r="V81" s="226">
        <f>IF(H81="nee",T81,IF(G81="ja",S81*(1+$C$16)+T81,R81*(1+$B$16)+S81*(1+$C$16)+T81))</f>
        <v>2839.3930965704699</v>
      </c>
      <c r="W81" s="169">
        <f t="shared" si="38"/>
        <v>0</v>
      </c>
      <c r="X81" s="169">
        <f t="shared" si="38"/>
        <v>3462.6745080127685</v>
      </c>
      <c r="Y81" s="169">
        <f t="shared" si="38"/>
        <v>4616.8993440170252</v>
      </c>
      <c r="Z81" s="742">
        <f t="shared" si="38"/>
        <v>4616.8993440170252</v>
      </c>
      <c r="AA81" s="798">
        <f t="shared" ref="AA81" si="62">W81*M81</f>
        <v>0</v>
      </c>
      <c r="AB81" s="798">
        <f t="shared" ref="AB81" si="63">X81*N81</f>
        <v>3462.6745080127685</v>
      </c>
      <c r="AC81" s="798">
        <f t="shared" ref="AC81" si="64">Y81*O81</f>
        <v>4663.0683374571954</v>
      </c>
      <c r="AD81" s="799">
        <f t="shared" ref="AD81" si="65">Z81*P81</f>
        <v>4756.3297042063396</v>
      </c>
      <c r="AE81" s="453"/>
      <c r="AF81" s="169">
        <f t="shared" si="43"/>
        <v>0</v>
      </c>
      <c r="AG81" s="169">
        <f t="shared" si="44"/>
        <v>135044.30581249797</v>
      </c>
      <c r="AH81" s="169">
        <f t="shared" si="45"/>
        <v>131731.68053316575</v>
      </c>
      <c r="AI81" s="742">
        <f t="shared" si="46"/>
        <v>129609.98443962274</v>
      </c>
      <c r="AJ81" s="169">
        <f>AF81*$B$4+AA81</f>
        <v>0</v>
      </c>
      <c r="AK81" s="169">
        <f>AG81*$B$5+AB81</f>
        <v>8324.2695172626954</v>
      </c>
      <c r="AL81" s="169">
        <f t="shared" ref="AL81" si="66">AH81*$B$5+AC81</f>
        <v>9405.4088366511623</v>
      </c>
      <c r="AM81" s="742">
        <f t="shared" ref="AM81" si="67">AI81*$B$5+AD81</f>
        <v>9422.2891440327585</v>
      </c>
      <c r="AN81" s="169">
        <f>IF(H81="nee",AL81,IF(G81="ja",AK81*(1+$C$16)+AL81, AJ81*(1+$B$16)+AK81*(1+$C$16)+AL81))</f>
        <v>18062.649134604362</v>
      </c>
      <c r="AO81" s="169">
        <f>AN81+V81</f>
        <v>20902.042231174833</v>
      </c>
      <c r="AP81" s="169">
        <f>IF(YEAR(D81)&lt;2014,$AO81*J81,0)</f>
        <v>0</v>
      </c>
      <c r="AQ81" s="169">
        <f>IF(YEAR(D81)&gt;2013,$AO81*J81,0)</f>
        <v>20212.274837546065</v>
      </c>
      <c r="AR81" s="169">
        <f t="shared" ref="AR81" si="68">$AO81*K81</f>
        <v>689.76739362876958</v>
      </c>
      <c r="AS81" s="169">
        <f t="shared" ref="AS81" si="69">$AO81*L81</f>
        <v>0</v>
      </c>
      <c r="AT81" s="944"/>
      <c r="AV81" s="944"/>
    </row>
    <row r="82" spans="1:48" s="342" customFormat="1">
      <c r="A82" s="1041" t="s">
        <v>1215</v>
      </c>
      <c r="B82" s="1040" t="s">
        <v>1159</v>
      </c>
      <c r="C82" s="763">
        <v>9765306.1969894748</v>
      </c>
      <c r="D82" s="780">
        <v>41730</v>
      </c>
      <c r="E82" s="1316">
        <v>15</v>
      </c>
      <c r="F82" s="944" t="s">
        <v>1251</v>
      </c>
      <c r="G82" s="761"/>
      <c r="H82" s="1251" t="s">
        <v>779</v>
      </c>
      <c r="I82" s="229">
        <f t="shared" si="27"/>
        <v>30</v>
      </c>
      <c r="J82" s="1327">
        <f t="shared" si="28"/>
        <v>0.96699999999999997</v>
      </c>
      <c r="K82" s="1327">
        <f t="shared" si="29"/>
        <v>3.3000000000000002E-2</v>
      </c>
      <c r="L82" s="1327">
        <f t="shared" si="30"/>
        <v>0</v>
      </c>
      <c r="M82" s="794">
        <f t="shared" si="31"/>
        <v>0</v>
      </c>
      <c r="N82" s="794">
        <f t="shared" si="31"/>
        <v>1</v>
      </c>
      <c r="O82" s="794">
        <f t="shared" si="31"/>
        <v>1.01</v>
      </c>
      <c r="P82" s="794">
        <f t="shared" si="31"/>
        <v>1.0302</v>
      </c>
      <c r="Q82" s="786">
        <f t="shared" ref="Q82:Q85" si="70">C82*$B$6</f>
        <v>97653.061969894756</v>
      </c>
      <c r="R82" s="226">
        <f t="shared" ref="R82:R85" si="71">$Q82*M82</f>
        <v>0</v>
      </c>
      <c r="S82" s="226">
        <f t="shared" ref="S82:S85" si="72">$Q82*N82</f>
        <v>97653.061969894756</v>
      </c>
      <c r="T82" s="226">
        <f t="shared" ref="T82:T85" si="73">$Q82*O82</f>
        <v>98629.592589593711</v>
      </c>
      <c r="U82" s="800">
        <f t="shared" ref="U82:U85" si="74">$Q82*P82</f>
        <v>100602.18444138557</v>
      </c>
      <c r="V82" s="226">
        <f t="shared" ref="V82:V85" si="75">IF(H82="nee",T82,IF(G82="ja",S82*(1+$C$16)+T82,R82*(1+$B$16)+S82*(1+$C$16)+T82))</f>
        <v>200188.77703828423</v>
      </c>
      <c r="W82" s="169">
        <f t="shared" si="38"/>
        <v>0</v>
      </c>
      <c r="X82" s="169">
        <f t="shared" si="38"/>
        <v>244132.65492473685</v>
      </c>
      <c r="Y82" s="169">
        <f t="shared" si="38"/>
        <v>325510.20656631584</v>
      </c>
      <c r="Z82" s="742">
        <f t="shared" si="38"/>
        <v>325510.20656631584</v>
      </c>
      <c r="AA82" s="798">
        <f t="shared" ref="AA82:AA85" si="76">W82*M82</f>
        <v>0</v>
      </c>
      <c r="AB82" s="798">
        <f t="shared" ref="AB82:AB85" si="77">X82*N82</f>
        <v>244132.65492473685</v>
      </c>
      <c r="AC82" s="798">
        <f t="shared" ref="AC82:AC85" si="78">Y82*O82</f>
        <v>328765.30863197899</v>
      </c>
      <c r="AD82" s="799">
        <f t="shared" ref="AD82:AD85" si="79">Z82*P82</f>
        <v>335340.61480461858</v>
      </c>
      <c r="AE82" s="453"/>
      <c r="AF82" s="169">
        <f t="shared" si="43"/>
        <v>0</v>
      </c>
      <c r="AG82" s="169">
        <f t="shared" si="44"/>
        <v>9521173.5420647375</v>
      </c>
      <c r="AH82" s="169">
        <f t="shared" si="45"/>
        <v>9287619.9688534066</v>
      </c>
      <c r="AI82" s="742">
        <f t="shared" si="46"/>
        <v>9138031.7534258571</v>
      </c>
      <c r="AJ82" s="169">
        <f t="shared" ref="AJ82:AJ85" si="80">AF82*$B$4+AA82</f>
        <v>0</v>
      </c>
      <c r="AK82" s="169">
        <f t="shared" ref="AK82:AK85" si="81">AG82*$B$5+AB82</f>
        <v>586894.90243906737</v>
      </c>
      <c r="AL82" s="169">
        <f t="shared" ref="AL82:AL85" si="82">AH82*$B$5+AC82</f>
        <v>663119.62751070154</v>
      </c>
      <c r="AM82" s="742">
        <f t="shared" ref="AM82:AM85" si="83">AI82*$B$5+AD82</f>
        <v>664309.75792794942</v>
      </c>
      <c r="AN82" s="169">
        <f t="shared" ref="AN82:AN85" si="84">IF(H82="nee",AL82,IF(G82="ja",AK82*(1+$C$16)+AL82, AJ82*(1+$B$16)+AK82*(1+$C$16)+AL82))</f>
        <v>1273490.3260473313</v>
      </c>
      <c r="AO82" s="169">
        <f t="shared" ref="AO82:AO85" si="85">AN82+V82</f>
        <v>1473679.1030856157</v>
      </c>
      <c r="AP82" s="169">
        <f t="shared" ref="AP82:AP85" si="86">IF(YEAR(D82)&lt;2014,$AO82*J82,0)</f>
        <v>0</v>
      </c>
      <c r="AQ82" s="169">
        <f t="shared" ref="AQ82:AQ85" si="87">IF(YEAR(D82)&gt;2013,$AO82*J82,0)</f>
        <v>1425047.6926837903</v>
      </c>
      <c r="AR82" s="169">
        <f t="shared" ref="AR82:AR85" si="88">$AO82*K82</f>
        <v>48631.41040182532</v>
      </c>
      <c r="AS82" s="169">
        <f t="shared" ref="AS82:AS85" si="89">$AO82*L82</f>
        <v>0</v>
      </c>
      <c r="AT82" s="944"/>
      <c r="AV82" s="944"/>
    </row>
    <row r="83" spans="1:48" s="342" customFormat="1">
      <c r="A83" s="1041" t="s">
        <v>1215</v>
      </c>
      <c r="B83" s="1040" t="s">
        <v>774</v>
      </c>
      <c r="C83" s="763">
        <v>1865537.4116393118</v>
      </c>
      <c r="D83" s="780">
        <v>41730</v>
      </c>
      <c r="E83" s="1316">
        <v>21</v>
      </c>
      <c r="F83" s="944" t="s">
        <v>1251</v>
      </c>
      <c r="G83" s="761"/>
      <c r="H83" s="1251" t="s">
        <v>779</v>
      </c>
      <c r="I83" s="229">
        <f t="shared" si="27"/>
        <v>55</v>
      </c>
      <c r="J83" s="1327">
        <f t="shared" si="28"/>
        <v>0.96699999999999997</v>
      </c>
      <c r="K83" s="1327">
        <f t="shared" si="29"/>
        <v>3.3000000000000002E-2</v>
      </c>
      <c r="L83" s="1327">
        <f t="shared" si="30"/>
        <v>0</v>
      </c>
      <c r="M83" s="794">
        <f t="shared" si="31"/>
        <v>0</v>
      </c>
      <c r="N83" s="794">
        <f t="shared" si="31"/>
        <v>1</v>
      </c>
      <c r="O83" s="794">
        <f t="shared" si="31"/>
        <v>1.01</v>
      </c>
      <c r="P83" s="794">
        <f t="shared" si="31"/>
        <v>1.0302</v>
      </c>
      <c r="Q83" s="786">
        <f t="shared" si="70"/>
        <v>18655.374116393119</v>
      </c>
      <c r="R83" s="226">
        <f t="shared" si="71"/>
        <v>0</v>
      </c>
      <c r="S83" s="226">
        <f t="shared" si="72"/>
        <v>18655.374116393119</v>
      </c>
      <c r="T83" s="226">
        <f t="shared" si="73"/>
        <v>18841.92785755705</v>
      </c>
      <c r="U83" s="800">
        <f t="shared" si="74"/>
        <v>19218.766414708192</v>
      </c>
      <c r="V83" s="226">
        <f t="shared" si="75"/>
        <v>38243.516938605884</v>
      </c>
      <c r="W83" s="169">
        <f t="shared" si="38"/>
        <v>0</v>
      </c>
      <c r="X83" s="169">
        <f t="shared" si="38"/>
        <v>25439.146522354251</v>
      </c>
      <c r="Y83" s="169">
        <f t="shared" si="38"/>
        <v>33918.86202980567</v>
      </c>
      <c r="Z83" s="742">
        <f t="shared" si="38"/>
        <v>33918.86202980567</v>
      </c>
      <c r="AA83" s="798">
        <f t="shared" si="76"/>
        <v>0</v>
      </c>
      <c r="AB83" s="798">
        <f t="shared" si="77"/>
        <v>25439.146522354251</v>
      </c>
      <c r="AC83" s="798">
        <f t="shared" si="78"/>
        <v>34258.050650103731</v>
      </c>
      <c r="AD83" s="799">
        <f t="shared" si="79"/>
        <v>34943.211663105802</v>
      </c>
      <c r="AE83" s="453"/>
      <c r="AF83" s="169">
        <f t="shared" si="43"/>
        <v>0</v>
      </c>
      <c r="AG83" s="169">
        <f t="shared" si="44"/>
        <v>1840098.2651169575</v>
      </c>
      <c r="AH83" s="169">
        <f t="shared" si="45"/>
        <v>1824241.1971180234</v>
      </c>
      <c r="AI83" s="742">
        <f t="shared" si="46"/>
        <v>1825782.8093972781</v>
      </c>
      <c r="AJ83" s="169">
        <f t="shared" si="80"/>
        <v>0</v>
      </c>
      <c r="AK83" s="169">
        <f t="shared" si="81"/>
        <v>91682.684066564718</v>
      </c>
      <c r="AL83" s="169">
        <f t="shared" si="82"/>
        <v>99930.733746352562</v>
      </c>
      <c r="AM83" s="742">
        <f t="shared" si="83"/>
        <v>100671.39280140781</v>
      </c>
      <c r="AN83" s="169">
        <f t="shared" si="84"/>
        <v>195280.72517557984</v>
      </c>
      <c r="AO83" s="169">
        <f t="shared" si="85"/>
        <v>233524.2421141857</v>
      </c>
      <c r="AP83" s="169">
        <f t="shared" si="86"/>
        <v>0</v>
      </c>
      <c r="AQ83" s="169">
        <f t="shared" si="87"/>
        <v>225817.94212441758</v>
      </c>
      <c r="AR83" s="169">
        <f t="shared" si="88"/>
        <v>7706.2999897681284</v>
      </c>
      <c r="AS83" s="169">
        <f t="shared" si="89"/>
        <v>0</v>
      </c>
      <c r="AT83" s="944"/>
      <c r="AV83" s="944"/>
    </row>
    <row r="84" spans="1:48" s="342" customFormat="1">
      <c r="A84" s="1041" t="s">
        <v>1215</v>
      </c>
      <c r="B84" s="1040" t="s">
        <v>1160</v>
      </c>
      <c r="C84" s="763">
        <v>831041.88192306459</v>
      </c>
      <c r="D84" s="780">
        <v>41730</v>
      </c>
      <c r="E84" s="1316">
        <v>32</v>
      </c>
      <c r="F84" s="944" t="s">
        <v>1251</v>
      </c>
      <c r="G84" s="761"/>
      <c r="H84" s="1251" t="s">
        <v>779</v>
      </c>
      <c r="I84" s="229">
        <f t="shared" si="27"/>
        <v>30</v>
      </c>
      <c r="J84" s="1327">
        <f t="shared" si="28"/>
        <v>0.96699999999999997</v>
      </c>
      <c r="K84" s="1327">
        <f t="shared" si="29"/>
        <v>3.3000000000000002E-2</v>
      </c>
      <c r="L84" s="1327">
        <f t="shared" si="30"/>
        <v>0</v>
      </c>
      <c r="M84" s="794">
        <f t="shared" si="31"/>
        <v>0</v>
      </c>
      <c r="N84" s="794">
        <f t="shared" si="31"/>
        <v>1</v>
      </c>
      <c r="O84" s="794">
        <f t="shared" si="31"/>
        <v>1.01</v>
      </c>
      <c r="P84" s="794">
        <f t="shared" si="31"/>
        <v>1.0302</v>
      </c>
      <c r="Q84" s="786">
        <f t="shared" si="70"/>
        <v>8310.4188192306465</v>
      </c>
      <c r="R84" s="226">
        <f t="shared" si="71"/>
        <v>0</v>
      </c>
      <c r="S84" s="226">
        <f t="shared" si="72"/>
        <v>8310.4188192306465</v>
      </c>
      <c r="T84" s="226">
        <f t="shared" si="73"/>
        <v>8393.523007422953</v>
      </c>
      <c r="U84" s="800">
        <f t="shared" si="74"/>
        <v>8561.3934675714117</v>
      </c>
      <c r="V84" s="226">
        <f t="shared" si="75"/>
        <v>17036.35857942282</v>
      </c>
      <c r="W84" s="169">
        <f t="shared" si="38"/>
        <v>0</v>
      </c>
      <c r="X84" s="169">
        <f t="shared" si="38"/>
        <v>20776.047048076616</v>
      </c>
      <c r="Y84" s="169">
        <f t="shared" si="38"/>
        <v>27701.396064102151</v>
      </c>
      <c r="Z84" s="742">
        <f t="shared" si="38"/>
        <v>27701.396064102151</v>
      </c>
      <c r="AA84" s="798">
        <f t="shared" si="76"/>
        <v>0</v>
      </c>
      <c r="AB84" s="798">
        <f t="shared" si="77"/>
        <v>20776.047048076616</v>
      </c>
      <c r="AC84" s="798">
        <f t="shared" si="78"/>
        <v>27978.410024743174</v>
      </c>
      <c r="AD84" s="799">
        <f t="shared" si="79"/>
        <v>28537.978225238036</v>
      </c>
      <c r="AE84" s="453"/>
      <c r="AF84" s="169">
        <f t="shared" si="43"/>
        <v>0</v>
      </c>
      <c r="AG84" s="169">
        <f t="shared" si="44"/>
        <v>810265.83487498795</v>
      </c>
      <c r="AH84" s="169">
        <f t="shared" si="45"/>
        <v>790390.08319899463</v>
      </c>
      <c r="AI84" s="742">
        <f t="shared" si="46"/>
        <v>777659.90663773648</v>
      </c>
      <c r="AJ84" s="169">
        <f t="shared" si="80"/>
        <v>0</v>
      </c>
      <c r="AK84" s="169">
        <f t="shared" si="81"/>
        <v>49945.61710357618</v>
      </c>
      <c r="AL84" s="169">
        <f t="shared" si="82"/>
        <v>56432.453019906978</v>
      </c>
      <c r="AM84" s="742">
        <f t="shared" si="83"/>
        <v>56533.734864196551</v>
      </c>
      <c r="AN84" s="169">
        <f t="shared" si="84"/>
        <v>108375.89480762619</v>
      </c>
      <c r="AO84" s="169">
        <f t="shared" si="85"/>
        <v>125412.25338704902</v>
      </c>
      <c r="AP84" s="169">
        <f t="shared" si="86"/>
        <v>0</v>
      </c>
      <c r="AQ84" s="169">
        <f t="shared" si="87"/>
        <v>121273.64902527639</v>
      </c>
      <c r="AR84" s="169">
        <f t="shared" si="88"/>
        <v>4138.6043617726173</v>
      </c>
      <c r="AS84" s="169">
        <f t="shared" si="89"/>
        <v>0</v>
      </c>
      <c r="AT84" s="944"/>
      <c r="AV84" s="944"/>
    </row>
    <row r="85" spans="1:48" s="342" customFormat="1">
      <c r="A85" s="1041" t="s">
        <v>1215</v>
      </c>
      <c r="B85" s="1040" t="s">
        <v>1152</v>
      </c>
      <c r="C85" s="763">
        <v>10042080.085380096</v>
      </c>
      <c r="D85" s="780">
        <v>41730</v>
      </c>
      <c r="E85" s="1316">
        <v>34</v>
      </c>
      <c r="F85" s="944" t="s">
        <v>1251</v>
      </c>
      <c r="G85" s="761"/>
      <c r="H85" s="1251" t="s">
        <v>779</v>
      </c>
      <c r="I85" s="229">
        <f t="shared" si="27"/>
        <v>30</v>
      </c>
      <c r="J85" s="1327">
        <f t="shared" si="28"/>
        <v>0.96699999999999997</v>
      </c>
      <c r="K85" s="1327">
        <f t="shared" si="29"/>
        <v>3.3000000000000002E-2</v>
      </c>
      <c r="L85" s="1327">
        <f t="shared" si="30"/>
        <v>0</v>
      </c>
      <c r="M85" s="794">
        <f t="shared" si="31"/>
        <v>0</v>
      </c>
      <c r="N85" s="794">
        <f t="shared" si="31"/>
        <v>1</v>
      </c>
      <c r="O85" s="794">
        <f t="shared" si="31"/>
        <v>1.01</v>
      </c>
      <c r="P85" s="794">
        <f t="shared" si="31"/>
        <v>1.0302</v>
      </c>
      <c r="Q85" s="786">
        <f t="shared" si="70"/>
        <v>100420.80085380096</v>
      </c>
      <c r="R85" s="226">
        <f t="shared" si="71"/>
        <v>0</v>
      </c>
      <c r="S85" s="226">
        <f t="shared" si="72"/>
        <v>100420.80085380096</v>
      </c>
      <c r="T85" s="226">
        <f t="shared" si="73"/>
        <v>101425.00886233897</v>
      </c>
      <c r="U85" s="800">
        <f t="shared" si="74"/>
        <v>103453.50903958576</v>
      </c>
      <c r="V85" s="226">
        <f t="shared" si="75"/>
        <v>205862.64175029192</v>
      </c>
      <c r="W85" s="169">
        <f t="shared" si="38"/>
        <v>0</v>
      </c>
      <c r="X85" s="169">
        <f t="shared" si="38"/>
        <v>251052.0021345024</v>
      </c>
      <c r="Y85" s="169">
        <f t="shared" si="38"/>
        <v>334736.00284600322</v>
      </c>
      <c r="Z85" s="742">
        <f t="shared" si="38"/>
        <v>334736.00284600322</v>
      </c>
      <c r="AA85" s="798">
        <f t="shared" si="76"/>
        <v>0</v>
      </c>
      <c r="AB85" s="798">
        <f t="shared" si="77"/>
        <v>251052.0021345024</v>
      </c>
      <c r="AC85" s="798">
        <f t="shared" si="78"/>
        <v>338083.36287446326</v>
      </c>
      <c r="AD85" s="799">
        <f t="shared" si="79"/>
        <v>344845.03013195255</v>
      </c>
      <c r="AE85" s="453"/>
      <c r="AF85" s="169">
        <f t="shared" si="43"/>
        <v>0</v>
      </c>
      <c r="AG85" s="169">
        <f t="shared" si="44"/>
        <v>9791028.0832455941</v>
      </c>
      <c r="AH85" s="169">
        <f t="shared" si="45"/>
        <v>9550855.0012035873</v>
      </c>
      <c r="AI85" s="742">
        <f t="shared" si="46"/>
        <v>9397027.0710957069</v>
      </c>
      <c r="AJ85" s="169">
        <f t="shared" si="80"/>
        <v>0</v>
      </c>
      <c r="AK85" s="169">
        <f t="shared" si="81"/>
        <v>603529.01313134376</v>
      </c>
      <c r="AL85" s="169">
        <f t="shared" si="82"/>
        <v>681914.14291779231</v>
      </c>
      <c r="AM85" s="742">
        <f t="shared" si="83"/>
        <v>683138.004691398</v>
      </c>
      <c r="AN85" s="169">
        <f t="shared" si="84"/>
        <v>1309584.3165743896</v>
      </c>
      <c r="AO85" s="169">
        <f t="shared" si="85"/>
        <v>1515446.9583246815</v>
      </c>
      <c r="AP85" s="169">
        <f t="shared" si="86"/>
        <v>0</v>
      </c>
      <c r="AQ85" s="169">
        <f t="shared" si="87"/>
        <v>1465437.208699967</v>
      </c>
      <c r="AR85" s="169">
        <f t="shared" si="88"/>
        <v>50009.749624714495</v>
      </c>
      <c r="AS85" s="169">
        <f t="shared" si="89"/>
        <v>0</v>
      </c>
      <c r="AT85" s="944"/>
      <c r="AV85" s="944"/>
    </row>
    <row r="86" spans="1:48" s="342" customFormat="1">
      <c r="A86" s="1041" t="s">
        <v>1156</v>
      </c>
      <c r="B86" s="1040" t="s">
        <v>1150</v>
      </c>
      <c r="C86" s="763">
        <v>669424.75994608609</v>
      </c>
      <c r="D86" s="780">
        <v>41389</v>
      </c>
      <c r="E86" s="1316">
        <v>17</v>
      </c>
      <c r="F86" s="944" t="s">
        <v>1250</v>
      </c>
      <c r="G86" s="761" t="s">
        <v>852</v>
      </c>
      <c r="H86" s="1251" t="s">
        <v>779</v>
      </c>
      <c r="I86" s="229">
        <f t="shared" si="27"/>
        <v>30</v>
      </c>
      <c r="J86" s="1327">
        <f t="shared" si="28"/>
        <v>0</v>
      </c>
      <c r="K86" s="1327">
        <f t="shared" si="29"/>
        <v>0</v>
      </c>
      <c r="L86" s="1327">
        <f t="shared" si="30"/>
        <v>1</v>
      </c>
      <c r="M86" s="794">
        <f t="shared" si="31"/>
        <v>1</v>
      </c>
      <c r="N86" s="794">
        <f t="shared" si="31"/>
        <v>1.028</v>
      </c>
      <c r="O86" s="794">
        <f t="shared" si="31"/>
        <v>1.0382800000000001</v>
      </c>
      <c r="P86" s="794">
        <f t="shared" si="31"/>
        <v>1.0590455999999999</v>
      </c>
      <c r="Q86" s="786">
        <f t="shared" ref="Q86:Q97" si="90">C86*$B$6</f>
        <v>6694.2475994608612</v>
      </c>
      <c r="R86" s="226">
        <f t="shared" ref="R86:R97" si="91">$Q86*M86</f>
        <v>6694.2475994608612</v>
      </c>
      <c r="S86" s="226">
        <f t="shared" ref="S86:S97" si="92">$Q86*N86</f>
        <v>6881.6865322457652</v>
      </c>
      <c r="T86" s="226">
        <f t="shared" ref="T86:T97" si="93">$Q86*O86</f>
        <v>6950.5033975682236</v>
      </c>
      <c r="U86" s="800">
        <f t="shared" ref="U86:U97" si="94">$Q86*P86</f>
        <v>7089.513465519587</v>
      </c>
      <c r="V86" s="226">
        <f t="shared" ref="V86:V97" si="95">IF(H86="nee",T86,IF(G86="ja",S86*(1+$C$16)+T86,R86*(1+$B$16)+S86*(1+$C$16)+T86))</f>
        <v>21295.677452028565</v>
      </c>
      <c r="W86" s="169">
        <f t="shared" si="38"/>
        <v>16735.618998652153</v>
      </c>
      <c r="X86" s="169">
        <f t="shared" si="38"/>
        <v>22314.158664869537</v>
      </c>
      <c r="Y86" s="169">
        <f t="shared" si="38"/>
        <v>22314.158664869537</v>
      </c>
      <c r="Z86" s="742">
        <f t="shared" si="38"/>
        <v>22314.158664869537</v>
      </c>
      <c r="AA86" s="798">
        <f t="shared" ref="AA86:AA97" si="96">W86*M86</f>
        <v>16735.618998652153</v>
      </c>
      <c r="AB86" s="798">
        <f t="shared" ref="AB86:AB97" si="97">X86*N86</f>
        <v>22938.955107485886</v>
      </c>
      <c r="AC86" s="798">
        <f t="shared" ref="AC86:AC97" si="98">Y86*O86</f>
        <v>23168.344658560745</v>
      </c>
      <c r="AD86" s="799">
        <f t="shared" ref="AD86:AD97" si="99">Z86*P86</f>
        <v>23631.711551731958</v>
      </c>
      <c r="AE86" s="453"/>
      <c r="AF86" s="169">
        <f t="shared" si="43"/>
        <v>652689.14094743389</v>
      </c>
      <c r="AG86" s="169">
        <f t="shared" si="44"/>
        <v>648025.48178647622</v>
      </c>
      <c r="AH86" s="169">
        <f t="shared" si="45"/>
        <v>631337.39194578025</v>
      </c>
      <c r="AI86" s="742">
        <f t="shared" si="46"/>
        <v>620332.4282329639</v>
      </c>
      <c r="AJ86" s="169">
        <f t="shared" ref="AJ86:AJ97" si="100">AF86*$B$4+AA86</f>
        <v>54591.589173603323</v>
      </c>
      <c r="AK86" s="169">
        <f t="shared" ref="AK86:AK97" si="101">AG86*$B$5+AB86</f>
        <v>46267.872451799027</v>
      </c>
      <c r="AL86" s="169">
        <f t="shared" ref="AL86:AL97" si="102">AH86*$B$5+AC86</f>
        <v>45896.490768608834</v>
      </c>
      <c r="AM86" s="742">
        <f t="shared" ref="AM86:AM97" si="103">AI86*$B$5+AD86</f>
        <v>45963.678968118656</v>
      </c>
      <c r="AN86" s="169">
        <f t="shared" ref="AN86:AN97" si="104">IF(H86="nee",AL86,IF(G86="ja",AK86*(1+$C$16)+AL86, AJ86*(1+$B$16)+AK86*(1+$C$16)+AL86))</f>
        <v>152635.01271532112</v>
      </c>
      <c r="AO86" s="169">
        <f t="shared" ref="AO86:AO97" si="105">AN86+V86</f>
        <v>173930.69016734968</v>
      </c>
      <c r="AP86" s="169">
        <f t="shared" ref="AP86:AP97" si="106">IF(YEAR(D86)&lt;2014,$AO86*J86,0)</f>
        <v>0</v>
      </c>
      <c r="AQ86" s="169">
        <f t="shared" ref="AQ86:AQ97" si="107">IF(YEAR(D86)&gt;2013,$AO86*J86,0)</f>
        <v>0</v>
      </c>
      <c r="AR86" s="169">
        <f t="shared" ref="AR86:AR97" si="108">$AO86*K86</f>
        <v>0</v>
      </c>
      <c r="AS86" s="169">
        <f t="shared" ref="AS86:AS97" si="109">$AO86*L86</f>
        <v>173930.69016734968</v>
      </c>
      <c r="AT86" s="944"/>
      <c r="AV86" s="944"/>
    </row>
    <row r="87" spans="1:48" s="342" customFormat="1">
      <c r="A87" s="1041" t="s">
        <v>1156</v>
      </c>
      <c r="B87" s="1040" t="s">
        <v>1224</v>
      </c>
      <c r="C87" s="763">
        <v>25133.944464</v>
      </c>
      <c r="D87" s="780">
        <v>41821</v>
      </c>
      <c r="E87" s="1316">
        <v>17</v>
      </c>
      <c r="F87" s="944" t="s">
        <v>1250</v>
      </c>
      <c r="G87" s="761"/>
      <c r="H87" s="1251" t="s">
        <v>779</v>
      </c>
      <c r="I87" s="229">
        <f t="shared" si="27"/>
        <v>30</v>
      </c>
      <c r="J87" s="1327">
        <f t="shared" si="28"/>
        <v>0</v>
      </c>
      <c r="K87" s="1327">
        <f t="shared" si="29"/>
        <v>0</v>
      </c>
      <c r="L87" s="1327">
        <f t="shared" si="30"/>
        <v>1</v>
      </c>
      <c r="M87" s="794">
        <f t="shared" si="31"/>
        <v>0</v>
      </c>
      <c r="N87" s="794">
        <f t="shared" si="31"/>
        <v>1</v>
      </c>
      <c r="O87" s="794">
        <f t="shared" si="31"/>
        <v>1.01</v>
      </c>
      <c r="P87" s="794">
        <f t="shared" si="31"/>
        <v>1.0302</v>
      </c>
      <c r="Q87" s="786">
        <f t="shared" si="90"/>
        <v>251.33944464000001</v>
      </c>
      <c r="R87" s="226">
        <f t="shared" si="91"/>
        <v>0</v>
      </c>
      <c r="S87" s="226">
        <f t="shared" si="92"/>
        <v>251.33944464000001</v>
      </c>
      <c r="T87" s="226">
        <f t="shared" si="93"/>
        <v>253.85283908640002</v>
      </c>
      <c r="U87" s="800">
        <f t="shared" si="94"/>
        <v>258.92989586812803</v>
      </c>
      <c r="V87" s="226">
        <f t="shared" si="95"/>
        <v>515.24586151199992</v>
      </c>
      <c r="W87" s="169">
        <f t="shared" si="38"/>
        <v>0</v>
      </c>
      <c r="X87" s="169">
        <f t="shared" si="38"/>
        <v>418.89907440000002</v>
      </c>
      <c r="Y87" s="169">
        <f t="shared" si="38"/>
        <v>837.79814880000004</v>
      </c>
      <c r="Z87" s="742">
        <f t="shared" si="38"/>
        <v>837.79814880000004</v>
      </c>
      <c r="AA87" s="798">
        <f t="shared" si="96"/>
        <v>0</v>
      </c>
      <c r="AB87" s="798">
        <f t="shared" si="97"/>
        <v>418.89907440000002</v>
      </c>
      <c r="AC87" s="798">
        <f t="shared" si="98"/>
        <v>846.17613028800008</v>
      </c>
      <c r="AD87" s="799">
        <f t="shared" si="99"/>
        <v>863.09965289376009</v>
      </c>
      <c r="AE87" s="453"/>
      <c r="AF87" s="169">
        <f t="shared" si="43"/>
        <v>0</v>
      </c>
      <c r="AG87" s="169">
        <f t="shared" si="44"/>
        <v>24715.0453896</v>
      </c>
      <c r="AH87" s="169">
        <f t="shared" si="45"/>
        <v>24116.019713207999</v>
      </c>
      <c r="AI87" s="742">
        <f t="shared" si="46"/>
        <v>23735.240454578397</v>
      </c>
      <c r="AJ87" s="169">
        <f t="shared" si="100"/>
        <v>0</v>
      </c>
      <c r="AK87" s="169">
        <f t="shared" si="101"/>
        <v>1308.6407084256</v>
      </c>
      <c r="AL87" s="169">
        <f t="shared" si="102"/>
        <v>1714.3528399634879</v>
      </c>
      <c r="AM87" s="742">
        <f t="shared" si="103"/>
        <v>1717.5683092585823</v>
      </c>
      <c r="AN87" s="169">
        <f t="shared" si="104"/>
        <v>3075.3391767261114</v>
      </c>
      <c r="AO87" s="169">
        <f t="shared" si="105"/>
        <v>3590.5850382381113</v>
      </c>
      <c r="AP87" s="169">
        <f t="shared" si="106"/>
        <v>0</v>
      </c>
      <c r="AQ87" s="169">
        <f t="shared" si="107"/>
        <v>0</v>
      </c>
      <c r="AR87" s="169">
        <f t="shared" si="108"/>
        <v>0</v>
      </c>
      <c r="AS87" s="169">
        <f t="shared" si="109"/>
        <v>3590.5850382381113</v>
      </c>
      <c r="AT87" s="944"/>
      <c r="AV87" s="944"/>
    </row>
    <row r="88" spans="1:48" s="342" customFormat="1">
      <c r="A88" s="1041" t="s">
        <v>1216</v>
      </c>
      <c r="B88" s="1040" t="s">
        <v>1187</v>
      </c>
      <c r="C88" s="763">
        <v>86708.562054356982</v>
      </c>
      <c r="D88" s="780">
        <v>41897</v>
      </c>
      <c r="E88" s="1316">
        <v>4</v>
      </c>
      <c r="F88" s="944" t="s">
        <v>1249</v>
      </c>
      <c r="G88" s="761"/>
      <c r="H88" s="1251" t="s">
        <v>779</v>
      </c>
      <c r="I88" s="229">
        <f t="shared" si="27"/>
        <v>1000000000</v>
      </c>
      <c r="J88" s="1327">
        <f t="shared" si="28"/>
        <v>0.96699999999999997</v>
      </c>
      <c r="K88" s="1327">
        <f t="shared" si="29"/>
        <v>3.3000000000000002E-2</v>
      </c>
      <c r="L88" s="1327">
        <f t="shared" si="30"/>
        <v>0</v>
      </c>
      <c r="M88" s="794">
        <f t="shared" si="31"/>
        <v>0</v>
      </c>
      <c r="N88" s="794">
        <f t="shared" si="31"/>
        <v>1</v>
      </c>
      <c r="O88" s="794">
        <f t="shared" si="31"/>
        <v>1.01</v>
      </c>
      <c r="P88" s="794">
        <f t="shared" si="31"/>
        <v>1.0302</v>
      </c>
      <c r="Q88" s="786">
        <f t="shared" si="90"/>
        <v>867.0856205435698</v>
      </c>
      <c r="R88" s="226">
        <f t="shared" si="91"/>
        <v>0</v>
      </c>
      <c r="S88" s="226">
        <f t="shared" si="92"/>
        <v>867.0856205435698</v>
      </c>
      <c r="T88" s="226">
        <f t="shared" si="93"/>
        <v>875.75647674900551</v>
      </c>
      <c r="U88" s="800">
        <f t="shared" si="94"/>
        <v>893.27160628398565</v>
      </c>
      <c r="V88" s="226">
        <f t="shared" si="95"/>
        <v>1777.5255221143177</v>
      </c>
      <c r="W88" s="169">
        <f t="shared" si="38"/>
        <v>0</v>
      </c>
      <c r="X88" s="169">
        <f t="shared" si="38"/>
        <v>2.8902854018118992E-5</v>
      </c>
      <c r="Y88" s="169">
        <f t="shared" si="38"/>
        <v>8.6708562054356979E-5</v>
      </c>
      <c r="Z88" s="742">
        <f t="shared" si="38"/>
        <v>8.6708562054356979E-5</v>
      </c>
      <c r="AA88" s="798">
        <f t="shared" si="96"/>
        <v>0</v>
      </c>
      <c r="AB88" s="798">
        <f t="shared" si="97"/>
        <v>2.8902854018118992E-5</v>
      </c>
      <c r="AC88" s="798">
        <f t="shared" si="98"/>
        <v>8.7575647674900556E-5</v>
      </c>
      <c r="AD88" s="799">
        <f t="shared" si="99"/>
        <v>8.9327160628398556E-5</v>
      </c>
      <c r="AE88" s="453"/>
      <c r="AF88" s="169">
        <f t="shared" si="43"/>
        <v>0</v>
      </c>
      <c r="AG88" s="169">
        <f t="shared" si="44"/>
        <v>86708.562025454128</v>
      </c>
      <c r="AH88" s="169">
        <f t="shared" si="45"/>
        <v>87575.647558133016</v>
      </c>
      <c r="AI88" s="742">
        <f t="shared" si="46"/>
        <v>89327.16041996851</v>
      </c>
      <c r="AJ88" s="169">
        <f t="shared" si="100"/>
        <v>0</v>
      </c>
      <c r="AK88" s="169">
        <f t="shared" si="101"/>
        <v>3121.5082618192023</v>
      </c>
      <c r="AL88" s="169">
        <f t="shared" si="102"/>
        <v>3152.7233996684363</v>
      </c>
      <c r="AM88" s="742">
        <f t="shared" si="103"/>
        <v>3215.7778644460268</v>
      </c>
      <c r="AN88" s="169">
        <f t="shared" si="104"/>
        <v>6399.0919919604057</v>
      </c>
      <c r="AO88" s="169">
        <f t="shared" si="105"/>
        <v>8176.6175140747237</v>
      </c>
      <c r="AP88" s="169">
        <f t="shared" si="106"/>
        <v>0</v>
      </c>
      <c r="AQ88" s="169">
        <f t="shared" si="107"/>
        <v>7906.7891361102575</v>
      </c>
      <c r="AR88" s="169">
        <f t="shared" si="108"/>
        <v>269.82837796446591</v>
      </c>
      <c r="AS88" s="169">
        <f t="shared" si="109"/>
        <v>0</v>
      </c>
      <c r="AT88" s="944"/>
      <c r="AV88" s="944"/>
    </row>
    <row r="89" spans="1:48" s="342" customFormat="1">
      <c r="A89" s="1041" t="s">
        <v>1216</v>
      </c>
      <c r="B89" s="1040" t="s">
        <v>1159</v>
      </c>
      <c r="C89" s="763">
        <v>19480917.12177946</v>
      </c>
      <c r="D89" s="780">
        <v>41897</v>
      </c>
      <c r="E89" s="1316">
        <v>15</v>
      </c>
      <c r="F89" s="944" t="s">
        <v>1249</v>
      </c>
      <c r="G89" s="761"/>
      <c r="H89" s="1251" t="s">
        <v>779</v>
      </c>
      <c r="I89" s="229">
        <f t="shared" si="27"/>
        <v>30</v>
      </c>
      <c r="J89" s="1327">
        <f t="shared" si="28"/>
        <v>0.96699999999999997</v>
      </c>
      <c r="K89" s="1327">
        <f t="shared" si="29"/>
        <v>3.3000000000000002E-2</v>
      </c>
      <c r="L89" s="1327">
        <f t="shared" si="30"/>
        <v>0</v>
      </c>
      <c r="M89" s="794">
        <f t="shared" si="31"/>
        <v>0</v>
      </c>
      <c r="N89" s="794">
        <f t="shared" si="31"/>
        <v>1</v>
      </c>
      <c r="O89" s="794">
        <f t="shared" si="31"/>
        <v>1.01</v>
      </c>
      <c r="P89" s="794">
        <f t="shared" si="31"/>
        <v>1.0302</v>
      </c>
      <c r="Q89" s="786">
        <f t="shared" si="90"/>
        <v>194809.17121779462</v>
      </c>
      <c r="R89" s="226">
        <f t="shared" si="91"/>
        <v>0</v>
      </c>
      <c r="S89" s="226">
        <f t="shared" si="92"/>
        <v>194809.17121779462</v>
      </c>
      <c r="T89" s="226">
        <f t="shared" si="93"/>
        <v>196757.26292997255</v>
      </c>
      <c r="U89" s="800">
        <f t="shared" si="94"/>
        <v>200692.40818857201</v>
      </c>
      <c r="V89" s="226">
        <f t="shared" si="95"/>
        <v>399358.80099647888</v>
      </c>
      <c r="W89" s="169">
        <f t="shared" si="38"/>
        <v>0</v>
      </c>
      <c r="X89" s="169">
        <f t="shared" si="38"/>
        <v>216454.63468643842</v>
      </c>
      <c r="Y89" s="169">
        <f t="shared" si="38"/>
        <v>649363.90405931533</v>
      </c>
      <c r="Z89" s="742">
        <f t="shared" si="38"/>
        <v>649363.90405931533</v>
      </c>
      <c r="AA89" s="798">
        <f t="shared" si="96"/>
        <v>0</v>
      </c>
      <c r="AB89" s="798">
        <f t="shared" si="97"/>
        <v>216454.63468643842</v>
      </c>
      <c r="AC89" s="798">
        <f t="shared" si="98"/>
        <v>655857.54309990851</v>
      </c>
      <c r="AD89" s="799">
        <f t="shared" si="99"/>
        <v>668974.69396190671</v>
      </c>
      <c r="AE89" s="453"/>
      <c r="AF89" s="169">
        <f t="shared" si="43"/>
        <v>0</v>
      </c>
      <c r="AG89" s="169">
        <f t="shared" si="44"/>
        <v>19264462.48709302</v>
      </c>
      <c r="AH89" s="169">
        <f t="shared" si="45"/>
        <v>18801249.56886404</v>
      </c>
      <c r="AI89" s="742">
        <f t="shared" si="46"/>
        <v>18508299.866279416</v>
      </c>
      <c r="AJ89" s="169">
        <f t="shared" si="100"/>
        <v>0</v>
      </c>
      <c r="AK89" s="169">
        <f t="shared" si="101"/>
        <v>909975.28422178701</v>
      </c>
      <c r="AL89" s="169">
        <f t="shared" si="102"/>
        <v>1332702.527579014</v>
      </c>
      <c r="AM89" s="742">
        <f t="shared" si="103"/>
        <v>1335273.4891479658</v>
      </c>
      <c r="AN89" s="169">
        <f t="shared" si="104"/>
        <v>2279076.8231696719</v>
      </c>
      <c r="AO89" s="169">
        <f t="shared" si="105"/>
        <v>2678435.6241661506</v>
      </c>
      <c r="AP89" s="169">
        <f t="shared" si="106"/>
        <v>0</v>
      </c>
      <c r="AQ89" s="169">
        <f t="shared" si="107"/>
        <v>2590047.2485686676</v>
      </c>
      <c r="AR89" s="169">
        <f t="shared" si="108"/>
        <v>88388.375597482969</v>
      </c>
      <c r="AS89" s="169">
        <f t="shared" si="109"/>
        <v>0</v>
      </c>
      <c r="AT89" s="944"/>
      <c r="AV89" s="944"/>
    </row>
    <row r="90" spans="1:48" s="342" customFormat="1">
      <c r="A90" s="1041" t="s">
        <v>1216</v>
      </c>
      <c r="B90" s="1040" t="s">
        <v>774</v>
      </c>
      <c r="C90" s="763">
        <v>269466765.53668916</v>
      </c>
      <c r="D90" s="780">
        <v>41897</v>
      </c>
      <c r="E90" s="1316">
        <v>21</v>
      </c>
      <c r="F90" s="944" t="s">
        <v>1249</v>
      </c>
      <c r="G90" s="761"/>
      <c r="H90" s="1251" t="s">
        <v>779</v>
      </c>
      <c r="I90" s="229">
        <f t="shared" si="27"/>
        <v>55</v>
      </c>
      <c r="J90" s="1327">
        <f t="shared" si="28"/>
        <v>0.96699999999999997</v>
      </c>
      <c r="K90" s="1327">
        <f t="shared" si="29"/>
        <v>3.3000000000000002E-2</v>
      </c>
      <c r="L90" s="1327">
        <f t="shared" si="30"/>
        <v>0</v>
      </c>
      <c r="M90" s="794">
        <f t="shared" si="31"/>
        <v>0</v>
      </c>
      <c r="N90" s="794">
        <f t="shared" si="31"/>
        <v>1</v>
      </c>
      <c r="O90" s="794">
        <f t="shared" si="31"/>
        <v>1.01</v>
      </c>
      <c r="P90" s="794">
        <f t="shared" si="31"/>
        <v>1.0302</v>
      </c>
      <c r="Q90" s="786">
        <f t="shared" si="90"/>
        <v>2694667.6553668915</v>
      </c>
      <c r="R90" s="226">
        <f t="shared" si="91"/>
        <v>0</v>
      </c>
      <c r="S90" s="226">
        <f t="shared" si="92"/>
        <v>2694667.6553668915</v>
      </c>
      <c r="T90" s="226">
        <f t="shared" si="93"/>
        <v>2721614.3319205604</v>
      </c>
      <c r="U90" s="800">
        <f t="shared" si="94"/>
        <v>2776046.6185589717</v>
      </c>
      <c r="V90" s="226">
        <f t="shared" si="95"/>
        <v>5524068.6935021263</v>
      </c>
      <c r="W90" s="169">
        <f t="shared" si="38"/>
        <v>0</v>
      </c>
      <c r="X90" s="169">
        <f t="shared" si="38"/>
        <v>1633131.9123435705</v>
      </c>
      <c r="Y90" s="169">
        <f t="shared" si="38"/>
        <v>4899395.737030712</v>
      </c>
      <c r="Z90" s="742">
        <f t="shared" si="38"/>
        <v>4899395.737030712</v>
      </c>
      <c r="AA90" s="798">
        <f t="shared" si="96"/>
        <v>0</v>
      </c>
      <c r="AB90" s="798">
        <f t="shared" si="97"/>
        <v>1633131.9123435705</v>
      </c>
      <c r="AC90" s="798">
        <f t="shared" si="98"/>
        <v>4948389.6944010193</v>
      </c>
      <c r="AD90" s="799">
        <f t="shared" si="99"/>
        <v>5047357.4882890396</v>
      </c>
      <c r="AE90" s="453"/>
      <c r="AF90" s="169">
        <f t="shared" si="43"/>
        <v>0</v>
      </c>
      <c r="AG90" s="169">
        <f t="shared" si="44"/>
        <v>267833633.6243456</v>
      </c>
      <c r="AH90" s="169">
        <f t="shared" si="45"/>
        <v>265563580.26618803</v>
      </c>
      <c r="AI90" s="742">
        <f t="shared" si="46"/>
        <v>265827494.38322279</v>
      </c>
      <c r="AJ90" s="169">
        <f t="shared" si="100"/>
        <v>0</v>
      </c>
      <c r="AK90" s="169">
        <f t="shared" si="101"/>
        <v>11275142.722820012</v>
      </c>
      <c r="AL90" s="169">
        <f t="shared" si="102"/>
        <v>14508678.583983786</v>
      </c>
      <c r="AM90" s="742">
        <f t="shared" si="103"/>
        <v>14617147.28608506</v>
      </c>
      <c r="AN90" s="169">
        <f t="shared" si="104"/>
        <v>26234827.015716594</v>
      </c>
      <c r="AO90" s="169">
        <f t="shared" si="105"/>
        <v>31758895.709218718</v>
      </c>
      <c r="AP90" s="169">
        <f t="shared" si="106"/>
        <v>0</v>
      </c>
      <c r="AQ90" s="169">
        <f t="shared" si="107"/>
        <v>30710852.1508145</v>
      </c>
      <c r="AR90" s="169">
        <f t="shared" si="108"/>
        <v>1048043.5584042177</v>
      </c>
      <c r="AS90" s="169">
        <f t="shared" si="109"/>
        <v>0</v>
      </c>
      <c r="AT90" s="944"/>
      <c r="AV90" s="944"/>
    </row>
    <row r="91" spans="1:48" s="342" customFormat="1">
      <c r="A91" s="1041" t="s">
        <v>1216</v>
      </c>
      <c r="B91" s="1040" t="s">
        <v>783</v>
      </c>
      <c r="C91" s="763">
        <v>1164659.737735986</v>
      </c>
      <c r="D91" s="780">
        <v>41901</v>
      </c>
      <c r="E91" s="1316">
        <v>42</v>
      </c>
      <c r="F91" s="944" t="s">
        <v>1249</v>
      </c>
      <c r="G91" s="761"/>
      <c r="H91" s="1251" t="s">
        <v>779</v>
      </c>
      <c r="I91" s="229">
        <f t="shared" si="27"/>
        <v>1000000000</v>
      </c>
      <c r="J91" s="1327">
        <f t="shared" si="28"/>
        <v>0.96699999999999997</v>
      </c>
      <c r="K91" s="1327">
        <f t="shared" si="29"/>
        <v>3.3000000000000002E-2</v>
      </c>
      <c r="L91" s="1327">
        <f t="shared" si="30"/>
        <v>0</v>
      </c>
      <c r="M91" s="794">
        <f t="shared" si="31"/>
        <v>0</v>
      </c>
      <c r="N91" s="794">
        <f t="shared" si="31"/>
        <v>1</v>
      </c>
      <c r="O91" s="794">
        <f t="shared" si="31"/>
        <v>1.01</v>
      </c>
      <c r="P91" s="794">
        <f t="shared" si="31"/>
        <v>1.0302</v>
      </c>
      <c r="Q91" s="786">
        <f t="shared" si="90"/>
        <v>11646.59737735986</v>
      </c>
      <c r="R91" s="226">
        <f t="shared" si="91"/>
        <v>0</v>
      </c>
      <c r="S91" s="226">
        <f t="shared" si="92"/>
        <v>11646.59737735986</v>
      </c>
      <c r="T91" s="226">
        <f t="shared" si="93"/>
        <v>11763.063351133458</v>
      </c>
      <c r="U91" s="800">
        <f t="shared" si="94"/>
        <v>11998.324618156128</v>
      </c>
      <c r="V91" s="226">
        <f t="shared" si="95"/>
        <v>23875.524623587706</v>
      </c>
      <c r="W91" s="169">
        <f t="shared" si="38"/>
        <v>0</v>
      </c>
      <c r="X91" s="169">
        <f t="shared" si="38"/>
        <v>3.8821991257866198E-4</v>
      </c>
      <c r="Y91" s="169">
        <f t="shared" si="38"/>
        <v>1.164659737735986E-3</v>
      </c>
      <c r="Z91" s="742">
        <f t="shared" si="38"/>
        <v>1.164659737735986E-3</v>
      </c>
      <c r="AA91" s="798">
        <f t="shared" si="96"/>
        <v>0</v>
      </c>
      <c r="AB91" s="798">
        <f t="shared" si="97"/>
        <v>3.8821991257866198E-4</v>
      </c>
      <c r="AC91" s="798">
        <f t="shared" si="98"/>
        <v>1.1763063351133459E-3</v>
      </c>
      <c r="AD91" s="799">
        <f t="shared" si="99"/>
        <v>1.1998324618156127E-3</v>
      </c>
      <c r="AE91" s="453"/>
      <c r="AF91" s="169">
        <f t="shared" si="43"/>
        <v>0</v>
      </c>
      <c r="AG91" s="169">
        <f t="shared" si="44"/>
        <v>1164659.7373477661</v>
      </c>
      <c r="AH91" s="169">
        <f t="shared" si="45"/>
        <v>1176306.3335449374</v>
      </c>
      <c r="AI91" s="742">
        <f t="shared" si="46"/>
        <v>1199832.4590160039</v>
      </c>
      <c r="AJ91" s="169">
        <f t="shared" si="100"/>
        <v>0</v>
      </c>
      <c r="AK91" s="169">
        <f t="shared" si="101"/>
        <v>41927.750932739495</v>
      </c>
      <c r="AL91" s="169">
        <f t="shared" si="102"/>
        <v>42347.029183924082</v>
      </c>
      <c r="AM91" s="742">
        <f t="shared" si="103"/>
        <v>43193.969724408598</v>
      </c>
      <c r="AN91" s="169">
        <f t="shared" si="104"/>
        <v>85951.890153973131</v>
      </c>
      <c r="AO91" s="169">
        <f t="shared" si="105"/>
        <v>109827.41477756083</v>
      </c>
      <c r="AP91" s="169">
        <f t="shared" si="106"/>
        <v>0</v>
      </c>
      <c r="AQ91" s="169">
        <f t="shared" si="107"/>
        <v>106203.11008990133</v>
      </c>
      <c r="AR91" s="169">
        <f t="shared" si="108"/>
        <v>3624.3046876595076</v>
      </c>
      <c r="AS91" s="169">
        <f t="shared" si="109"/>
        <v>0</v>
      </c>
      <c r="AT91" s="944"/>
      <c r="AV91" s="944"/>
    </row>
    <row r="92" spans="1:48" s="342" customFormat="1">
      <c r="A92" s="1041" t="s">
        <v>1154</v>
      </c>
      <c r="B92" s="1040" t="s">
        <v>774</v>
      </c>
      <c r="C92" s="763">
        <v>27900192.094038688</v>
      </c>
      <c r="D92" s="780">
        <v>41907</v>
      </c>
      <c r="E92" s="1316">
        <v>21</v>
      </c>
      <c r="F92" s="944" t="s">
        <v>1251</v>
      </c>
      <c r="G92" s="761"/>
      <c r="H92" s="1251" t="s">
        <v>779</v>
      </c>
      <c r="I92" s="229">
        <f t="shared" si="27"/>
        <v>55</v>
      </c>
      <c r="J92" s="1327">
        <f t="shared" si="28"/>
        <v>0.96699999999999997</v>
      </c>
      <c r="K92" s="1327">
        <f t="shared" si="29"/>
        <v>3.3000000000000002E-2</v>
      </c>
      <c r="L92" s="1327">
        <f t="shared" si="30"/>
        <v>0</v>
      </c>
      <c r="M92" s="794">
        <f t="shared" si="31"/>
        <v>0</v>
      </c>
      <c r="N92" s="794">
        <f t="shared" si="31"/>
        <v>1</v>
      </c>
      <c r="O92" s="794">
        <f t="shared" si="31"/>
        <v>1.01</v>
      </c>
      <c r="P92" s="794">
        <f t="shared" si="31"/>
        <v>1.0302</v>
      </c>
      <c r="Q92" s="786">
        <f t="shared" si="90"/>
        <v>279001.92094038689</v>
      </c>
      <c r="R92" s="226">
        <f t="shared" si="91"/>
        <v>0</v>
      </c>
      <c r="S92" s="226">
        <f t="shared" si="92"/>
        <v>279001.92094038689</v>
      </c>
      <c r="T92" s="226">
        <f t="shared" si="93"/>
        <v>281791.94014979078</v>
      </c>
      <c r="U92" s="800">
        <f t="shared" si="94"/>
        <v>287427.77895278658</v>
      </c>
      <c r="V92" s="226">
        <f t="shared" si="95"/>
        <v>571953.93792779301</v>
      </c>
      <c r="W92" s="169">
        <f t="shared" si="38"/>
        <v>0</v>
      </c>
      <c r="X92" s="169">
        <f t="shared" si="38"/>
        <v>169092.07329720416</v>
      </c>
      <c r="Y92" s="169">
        <f t="shared" si="38"/>
        <v>507276.21989161248</v>
      </c>
      <c r="Z92" s="742">
        <f t="shared" si="38"/>
        <v>507276.21989161248</v>
      </c>
      <c r="AA92" s="798">
        <f t="shared" si="96"/>
        <v>0</v>
      </c>
      <c r="AB92" s="798">
        <f t="shared" si="97"/>
        <v>169092.07329720416</v>
      </c>
      <c r="AC92" s="798">
        <f t="shared" si="98"/>
        <v>512348.98209052859</v>
      </c>
      <c r="AD92" s="799">
        <f t="shared" si="99"/>
        <v>522595.96173233917</v>
      </c>
      <c r="AE92" s="453"/>
      <c r="AF92" s="169">
        <f t="shared" si="43"/>
        <v>0</v>
      </c>
      <c r="AG92" s="169">
        <f t="shared" si="44"/>
        <v>27731100.020741485</v>
      </c>
      <c r="AH92" s="169">
        <f t="shared" si="45"/>
        <v>27496062.038858373</v>
      </c>
      <c r="AI92" s="742">
        <f t="shared" si="46"/>
        <v>27523387.317903202</v>
      </c>
      <c r="AJ92" s="169">
        <f t="shared" si="100"/>
        <v>0</v>
      </c>
      <c r="AK92" s="169">
        <f t="shared" si="101"/>
        <v>1167411.6740438975</v>
      </c>
      <c r="AL92" s="169">
        <f t="shared" si="102"/>
        <v>1502207.2154894299</v>
      </c>
      <c r="AM92" s="742">
        <f t="shared" si="103"/>
        <v>1513437.9051768545</v>
      </c>
      <c r="AN92" s="169">
        <f t="shared" si="104"/>
        <v>2716315.3564950828</v>
      </c>
      <c r="AO92" s="169">
        <f t="shared" si="105"/>
        <v>3288269.2944228761</v>
      </c>
      <c r="AP92" s="169">
        <f t="shared" si="106"/>
        <v>0</v>
      </c>
      <c r="AQ92" s="169">
        <f t="shared" si="107"/>
        <v>3179756.407706921</v>
      </c>
      <c r="AR92" s="169">
        <f t="shared" si="108"/>
        <v>108512.88671595491</v>
      </c>
      <c r="AS92" s="169">
        <f t="shared" si="109"/>
        <v>0</v>
      </c>
      <c r="AT92" s="944"/>
      <c r="AV92" s="944"/>
    </row>
    <row r="93" spans="1:48" s="342" customFormat="1">
      <c r="A93" s="1041" t="s">
        <v>1154</v>
      </c>
      <c r="B93" s="1040" t="s">
        <v>783</v>
      </c>
      <c r="C93" s="763">
        <v>185670.4098067091</v>
      </c>
      <c r="D93" s="780">
        <v>41901</v>
      </c>
      <c r="E93" s="1316">
        <v>42</v>
      </c>
      <c r="F93" s="944" t="s">
        <v>1251</v>
      </c>
      <c r="G93" s="761"/>
      <c r="H93" s="1251" t="s">
        <v>779</v>
      </c>
      <c r="I93" s="229">
        <f t="shared" si="27"/>
        <v>1000000000</v>
      </c>
      <c r="J93" s="1327">
        <f t="shared" si="28"/>
        <v>0.96699999999999997</v>
      </c>
      <c r="K93" s="1327">
        <f t="shared" si="29"/>
        <v>3.3000000000000002E-2</v>
      </c>
      <c r="L93" s="1327">
        <f t="shared" si="30"/>
        <v>0</v>
      </c>
      <c r="M93" s="794">
        <f t="shared" si="31"/>
        <v>0</v>
      </c>
      <c r="N93" s="794">
        <f t="shared" si="31"/>
        <v>1</v>
      </c>
      <c r="O93" s="794">
        <f t="shared" si="31"/>
        <v>1.01</v>
      </c>
      <c r="P93" s="794">
        <f t="shared" si="31"/>
        <v>1.0302</v>
      </c>
      <c r="Q93" s="786">
        <f t="shared" si="90"/>
        <v>1856.7040980670911</v>
      </c>
      <c r="R93" s="226">
        <f t="shared" si="91"/>
        <v>0</v>
      </c>
      <c r="S93" s="226">
        <f t="shared" si="92"/>
        <v>1856.7040980670911</v>
      </c>
      <c r="T93" s="226">
        <f t="shared" si="93"/>
        <v>1875.2711390477621</v>
      </c>
      <c r="U93" s="800">
        <f t="shared" si="94"/>
        <v>1912.7765618287171</v>
      </c>
      <c r="V93" s="226">
        <f t="shared" si="95"/>
        <v>3806.2434010375359</v>
      </c>
      <c r="W93" s="169">
        <f t="shared" si="38"/>
        <v>0</v>
      </c>
      <c r="X93" s="169">
        <f t="shared" si="38"/>
        <v>6.1890136602236364E-5</v>
      </c>
      <c r="Y93" s="169">
        <f t="shared" si="38"/>
        <v>1.8567040980670911E-4</v>
      </c>
      <c r="Z93" s="742">
        <f t="shared" si="38"/>
        <v>1.8567040980670911E-4</v>
      </c>
      <c r="AA93" s="798">
        <f t="shared" si="96"/>
        <v>0</v>
      </c>
      <c r="AB93" s="798">
        <f t="shared" si="97"/>
        <v>6.1890136602236364E-5</v>
      </c>
      <c r="AC93" s="798">
        <f t="shared" si="98"/>
        <v>1.875271139047762E-4</v>
      </c>
      <c r="AD93" s="799">
        <f t="shared" si="99"/>
        <v>1.9127765618287172E-4</v>
      </c>
      <c r="AE93" s="453"/>
      <c r="AF93" s="169">
        <f t="shared" si="43"/>
        <v>0</v>
      </c>
      <c r="AG93" s="169">
        <f t="shared" si="44"/>
        <v>185670.40974481896</v>
      </c>
      <c r="AH93" s="169">
        <f t="shared" si="45"/>
        <v>187527.11365474001</v>
      </c>
      <c r="AI93" s="742">
        <f t="shared" si="46"/>
        <v>191277.65573655715</v>
      </c>
      <c r="AJ93" s="169">
        <f t="shared" si="100"/>
        <v>0</v>
      </c>
      <c r="AK93" s="169">
        <f t="shared" si="101"/>
        <v>6684.134812703619</v>
      </c>
      <c r="AL93" s="169">
        <f t="shared" si="102"/>
        <v>6750.9762790977538</v>
      </c>
      <c r="AM93" s="742">
        <f t="shared" si="103"/>
        <v>6885.9957977937129</v>
      </c>
      <c r="AN93" s="169">
        <f t="shared" si="104"/>
        <v>13702.476484309514</v>
      </c>
      <c r="AO93" s="169">
        <f t="shared" si="105"/>
        <v>17508.719885347051</v>
      </c>
      <c r="AP93" s="169">
        <f t="shared" si="106"/>
        <v>0</v>
      </c>
      <c r="AQ93" s="169">
        <f t="shared" si="107"/>
        <v>16930.932129130597</v>
      </c>
      <c r="AR93" s="169">
        <f t="shared" si="108"/>
        <v>577.78775621645275</v>
      </c>
      <c r="AS93" s="169">
        <f t="shared" si="109"/>
        <v>0</v>
      </c>
      <c r="AT93" s="944"/>
      <c r="AV93" s="944"/>
    </row>
    <row r="94" spans="1:48" s="342" customFormat="1">
      <c r="A94" s="1041" t="s">
        <v>1155</v>
      </c>
      <c r="B94" s="1040" t="s">
        <v>1150</v>
      </c>
      <c r="C94" s="763">
        <v>18404405.632848594</v>
      </c>
      <c r="D94" s="780">
        <v>41908</v>
      </c>
      <c r="E94" s="1316">
        <v>17</v>
      </c>
      <c r="F94" s="944" t="s">
        <v>1251</v>
      </c>
      <c r="G94" s="761"/>
      <c r="H94" s="1251" t="s">
        <v>779</v>
      </c>
      <c r="I94" s="229">
        <f t="shared" si="27"/>
        <v>30</v>
      </c>
      <c r="J94" s="1327">
        <f t="shared" si="28"/>
        <v>0</v>
      </c>
      <c r="K94" s="1327">
        <f t="shared" si="29"/>
        <v>0</v>
      </c>
      <c r="L94" s="1327">
        <f t="shared" si="30"/>
        <v>1</v>
      </c>
      <c r="M94" s="794">
        <f t="shared" si="31"/>
        <v>0</v>
      </c>
      <c r="N94" s="794">
        <f t="shared" si="31"/>
        <v>1</v>
      </c>
      <c r="O94" s="794">
        <f t="shared" si="31"/>
        <v>1.01</v>
      </c>
      <c r="P94" s="794">
        <f t="shared" si="31"/>
        <v>1.0302</v>
      </c>
      <c r="Q94" s="786">
        <f t="shared" si="90"/>
        <v>184044.05632848595</v>
      </c>
      <c r="R94" s="226">
        <f t="shared" si="91"/>
        <v>0</v>
      </c>
      <c r="S94" s="226">
        <f t="shared" si="92"/>
        <v>184044.05632848595</v>
      </c>
      <c r="T94" s="226">
        <f t="shared" si="93"/>
        <v>185884.4968917708</v>
      </c>
      <c r="U94" s="800">
        <f t="shared" si="94"/>
        <v>189602.18682960622</v>
      </c>
      <c r="V94" s="226">
        <f t="shared" si="95"/>
        <v>377290.3154733961</v>
      </c>
      <c r="W94" s="169">
        <f t="shared" si="38"/>
        <v>0</v>
      </c>
      <c r="X94" s="169">
        <f t="shared" si="38"/>
        <v>204493.39592053992</v>
      </c>
      <c r="Y94" s="169">
        <f t="shared" si="38"/>
        <v>613480.1877616198</v>
      </c>
      <c r="Z94" s="742">
        <f t="shared" si="38"/>
        <v>613480.1877616198</v>
      </c>
      <c r="AA94" s="798">
        <f t="shared" si="96"/>
        <v>0</v>
      </c>
      <c r="AB94" s="798">
        <f t="shared" si="97"/>
        <v>204493.39592053992</v>
      </c>
      <c r="AC94" s="798">
        <f t="shared" si="98"/>
        <v>619614.98963923601</v>
      </c>
      <c r="AD94" s="799">
        <f t="shared" si="99"/>
        <v>632007.28943202074</v>
      </c>
      <c r="AE94" s="453"/>
      <c r="AF94" s="169">
        <f t="shared" si="43"/>
        <v>0</v>
      </c>
      <c r="AG94" s="169">
        <f t="shared" si="44"/>
        <v>18199912.236928053</v>
      </c>
      <c r="AH94" s="169">
        <f t="shared" si="45"/>
        <v>17762296.369658098</v>
      </c>
      <c r="AI94" s="742">
        <f t="shared" si="46"/>
        <v>17485535.007619239</v>
      </c>
      <c r="AJ94" s="169">
        <f t="shared" si="100"/>
        <v>0</v>
      </c>
      <c r="AK94" s="169">
        <f t="shared" si="101"/>
        <v>859690.23644994968</v>
      </c>
      <c r="AL94" s="169">
        <f t="shared" si="102"/>
        <v>1259057.6589469276</v>
      </c>
      <c r="AM94" s="742">
        <f t="shared" si="103"/>
        <v>1261486.5497063133</v>
      </c>
      <c r="AN94" s="169">
        <f t="shared" si="104"/>
        <v>2153135.5048548747</v>
      </c>
      <c r="AO94" s="169">
        <f t="shared" si="105"/>
        <v>2530425.820328271</v>
      </c>
      <c r="AP94" s="169">
        <f t="shared" si="106"/>
        <v>0</v>
      </c>
      <c r="AQ94" s="169">
        <f t="shared" si="107"/>
        <v>0</v>
      </c>
      <c r="AR94" s="169">
        <f t="shared" si="108"/>
        <v>0</v>
      </c>
      <c r="AS94" s="169">
        <f t="shared" si="109"/>
        <v>2530425.820328271</v>
      </c>
      <c r="AT94" s="944"/>
      <c r="AV94" s="944"/>
    </row>
    <row r="95" spans="1:48" s="342" customFormat="1">
      <c r="A95" s="1041" t="s">
        <v>1221</v>
      </c>
      <c r="B95" s="1040" t="s">
        <v>1153</v>
      </c>
      <c r="C95" s="763">
        <v>2406555.3786612563</v>
      </c>
      <c r="D95" s="780">
        <v>41532</v>
      </c>
      <c r="E95" s="1316">
        <v>33</v>
      </c>
      <c r="F95" s="944" t="s">
        <v>1251</v>
      </c>
      <c r="G95" s="761" t="s">
        <v>779</v>
      </c>
      <c r="H95" s="1251" t="s">
        <v>779</v>
      </c>
      <c r="I95" s="229">
        <f t="shared" si="27"/>
        <v>30</v>
      </c>
      <c r="J95" s="1327">
        <f t="shared" si="28"/>
        <v>0.96699999999999997</v>
      </c>
      <c r="K95" s="1327">
        <f t="shared" si="29"/>
        <v>3.3000000000000002E-2</v>
      </c>
      <c r="L95" s="1327">
        <f t="shared" si="30"/>
        <v>0</v>
      </c>
      <c r="M95" s="794">
        <f t="shared" si="31"/>
        <v>1</v>
      </c>
      <c r="N95" s="794">
        <f t="shared" si="31"/>
        <v>1.028</v>
      </c>
      <c r="O95" s="794">
        <f t="shared" si="31"/>
        <v>1.0382800000000001</v>
      </c>
      <c r="P95" s="794">
        <f t="shared" si="31"/>
        <v>1.0590455999999999</v>
      </c>
      <c r="Q95" s="786">
        <f t="shared" si="90"/>
        <v>24065.553786612563</v>
      </c>
      <c r="R95" s="226">
        <f t="shared" si="91"/>
        <v>24065.553786612563</v>
      </c>
      <c r="S95" s="226">
        <f t="shared" si="92"/>
        <v>24739.389292637716</v>
      </c>
      <c r="T95" s="226">
        <f t="shared" si="93"/>
        <v>24986.783185564094</v>
      </c>
      <c r="U95" s="800">
        <f t="shared" si="94"/>
        <v>25486.518849275373</v>
      </c>
      <c r="V95" s="226">
        <f t="shared" si="95"/>
        <v>50715.748049907314</v>
      </c>
      <c r="W95" s="169">
        <f t="shared" si="38"/>
        <v>26739.504207347291</v>
      </c>
      <c r="X95" s="169">
        <f t="shared" si="38"/>
        <v>80218.512622041875</v>
      </c>
      <c r="Y95" s="169">
        <f t="shared" si="38"/>
        <v>80218.512622041875</v>
      </c>
      <c r="Z95" s="742">
        <f t="shared" si="38"/>
        <v>80218.512622041875</v>
      </c>
      <c r="AA95" s="798">
        <f t="shared" si="96"/>
        <v>26739.504207347291</v>
      </c>
      <c r="AB95" s="798">
        <f t="shared" si="97"/>
        <v>82464.630975459047</v>
      </c>
      <c r="AC95" s="798">
        <f t="shared" si="98"/>
        <v>83289.27728521364</v>
      </c>
      <c r="AD95" s="799">
        <f t="shared" si="99"/>
        <v>84955.062830917901</v>
      </c>
      <c r="AE95" s="453"/>
      <c r="AF95" s="169">
        <f t="shared" si="43"/>
        <v>2379815.8744539088</v>
      </c>
      <c r="AG95" s="169">
        <f t="shared" si="44"/>
        <v>2363986.0879631592</v>
      </c>
      <c r="AH95" s="169">
        <f t="shared" si="45"/>
        <v>2304336.6715575773</v>
      </c>
      <c r="AI95" s="742">
        <f t="shared" si="46"/>
        <v>2265468.3421578109</v>
      </c>
      <c r="AJ95" s="169">
        <f t="shared" si="100"/>
        <v>164768.82492567401</v>
      </c>
      <c r="AK95" s="169">
        <f t="shared" si="101"/>
        <v>167568.13014213275</v>
      </c>
      <c r="AL95" s="169">
        <f t="shared" si="102"/>
        <v>166245.3974612864</v>
      </c>
      <c r="AM95" s="742">
        <f t="shared" si="103"/>
        <v>166511.9231485991</v>
      </c>
      <c r="AN95" s="169">
        <f t="shared" si="104"/>
        <v>340516.25280910439</v>
      </c>
      <c r="AO95" s="169">
        <f t="shared" si="105"/>
        <v>391232.00085901172</v>
      </c>
      <c r="AP95" s="169">
        <f t="shared" si="106"/>
        <v>378321.34483066434</v>
      </c>
      <c r="AQ95" s="169">
        <f t="shared" si="107"/>
        <v>0</v>
      </c>
      <c r="AR95" s="169">
        <f t="shared" si="108"/>
        <v>12910.656028347388</v>
      </c>
      <c r="AS95" s="169">
        <f t="shared" si="109"/>
        <v>0</v>
      </c>
      <c r="AT95" s="944"/>
      <c r="AV95" s="944"/>
    </row>
    <row r="96" spans="1:48" s="342" customFormat="1">
      <c r="A96" s="1041" t="s">
        <v>1221</v>
      </c>
      <c r="B96" s="1040" t="s">
        <v>1223</v>
      </c>
      <c r="C96" s="763">
        <v>25468.874294147205</v>
      </c>
      <c r="D96" s="780">
        <v>41821</v>
      </c>
      <c r="E96" s="1316">
        <v>33</v>
      </c>
      <c r="F96" s="944" t="s">
        <v>1251</v>
      </c>
      <c r="G96" s="761"/>
      <c r="H96" s="1251" t="s">
        <v>779</v>
      </c>
      <c r="I96" s="229">
        <f t="shared" si="27"/>
        <v>30</v>
      </c>
      <c r="J96" s="1327">
        <f t="shared" si="28"/>
        <v>0.96699999999999997</v>
      </c>
      <c r="K96" s="1327">
        <f t="shared" si="29"/>
        <v>3.3000000000000002E-2</v>
      </c>
      <c r="L96" s="1327">
        <f t="shared" si="30"/>
        <v>0</v>
      </c>
      <c r="M96" s="794">
        <f t="shared" si="31"/>
        <v>0</v>
      </c>
      <c r="N96" s="794">
        <f t="shared" si="31"/>
        <v>1</v>
      </c>
      <c r="O96" s="794">
        <f t="shared" si="31"/>
        <v>1.01</v>
      </c>
      <c r="P96" s="794">
        <f t="shared" si="31"/>
        <v>1.0302</v>
      </c>
      <c r="Q96" s="786">
        <f t="shared" si="90"/>
        <v>254.68874294147204</v>
      </c>
      <c r="R96" s="226">
        <f t="shared" si="91"/>
        <v>0</v>
      </c>
      <c r="S96" s="226">
        <f t="shared" si="92"/>
        <v>254.68874294147204</v>
      </c>
      <c r="T96" s="226">
        <f t="shared" si="93"/>
        <v>257.23563037088678</v>
      </c>
      <c r="U96" s="800">
        <f t="shared" si="94"/>
        <v>262.3803429783045</v>
      </c>
      <c r="V96" s="226">
        <f t="shared" si="95"/>
        <v>522.11192303001758</v>
      </c>
      <c r="W96" s="169">
        <f t="shared" si="38"/>
        <v>0</v>
      </c>
      <c r="X96" s="169">
        <f t="shared" si="38"/>
        <v>424.48123823578675</v>
      </c>
      <c r="Y96" s="169">
        <f t="shared" si="38"/>
        <v>848.9624764715735</v>
      </c>
      <c r="Z96" s="742">
        <f t="shared" si="38"/>
        <v>848.9624764715735</v>
      </c>
      <c r="AA96" s="798">
        <f t="shared" si="96"/>
        <v>0</v>
      </c>
      <c r="AB96" s="798">
        <f t="shared" si="97"/>
        <v>424.48123823578675</v>
      </c>
      <c r="AC96" s="798">
        <f t="shared" si="98"/>
        <v>857.4521012362892</v>
      </c>
      <c r="AD96" s="799">
        <f t="shared" si="99"/>
        <v>874.60114326101507</v>
      </c>
      <c r="AE96" s="453"/>
      <c r="AF96" s="169">
        <f t="shared" si="43"/>
        <v>0</v>
      </c>
      <c r="AG96" s="169">
        <f t="shared" si="44"/>
        <v>25044.39305591142</v>
      </c>
      <c r="AH96" s="169">
        <f t="shared" si="45"/>
        <v>24437.384885234245</v>
      </c>
      <c r="AI96" s="742">
        <f t="shared" si="46"/>
        <v>24051.531439677918</v>
      </c>
      <c r="AJ96" s="169">
        <f t="shared" si="100"/>
        <v>0</v>
      </c>
      <c r="AK96" s="169">
        <f t="shared" si="101"/>
        <v>1326.0793882485978</v>
      </c>
      <c r="AL96" s="169">
        <f t="shared" si="102"/>
        <v>1737.1979571047218</v>
      </c>
      <c r="AM96" s="742">
        <f t="shared" si="103"/>
        <v>1740.4562750894202</v>
      </c>
      <c r="AN96" s="169">
        <f t="shared" si="104"/>
        <v>3116.3205208832628</v>
      </c>
      <c r="AO96" s="169">
        <f t="shared" si="105"/>
        <v>3638.4324439132806</v>
      </c>
      <c r="AP96" s="169">
        <f t="shared" si="106"/>
        <v>0</v>
      </c>
      <c r="AQ96" s="169">
        <f t="shared" si="107"/>
        <v>3518.3641732641422</v>
      </c>
      <c r="AR96" s="169">
        <f t="shared" si="108"/>
        <v>120.06827064913827</v>
      </c>
      <c r="AS96" s="169">
        <f t="shared" si="109"/>
        <v>0</v>
      </c>
      <c r="AT96" s="944"/>
      <c r="AV96" s="944"/>
    </row>
    <row r="97" spans="1:48" s="342" customFormat="1">
      <c r="A97" s="1041" t="s">
        <v>1221</v>
      </c>
      <c r="B97" s="1040" t="s">
        <v>1159</v>
      </c>
      <c r="C97" s="763">
        <v>1028805.3790544003</v>
      </c>
      <c r="D97" s="780">
        <v>41907</v>
      </c>
      <c r="E97" s="1316">
        <v>15</v>
      </c>
      <c r="F97" s="944" t="s">
        <v>1251</v>
      </c>
      <c r="G97" s="761"/>
      <c r="H97" s="1251" t="s">
        <v>779</v>
      </c>
      <c r="I97" s="229">
        <f t="shared" si="27"/>
        <v>30</v>
      </c>
      <c r="J97" s="1327">
        <f t="shared" si="28"/>
        <v>0.96699999999999997</v>
      </c>
      <c r="K97" s="1327">
        <f t="shared" si="29"/>
        <v>3.3000000000000002E-2</v>
      </c>
      <c r="L97" s="1327">
        <f t="shared" si="30"/>
        <v>0</v>
      </c>
      <c r="M97" s="794">
        <f t="shared" si="31"/>
        <v>0</v>
      </c>
      <c r="N97" s="794">
        <f t="shared" si="31"/>
        <v>1</v>
      </c>
      <c r="O97" s="794">
        <f t="shared" si="31"/>
        <v>1.01</v>
      </c>
      <c r="P97" s="794">
        <f t="shared" si="31"/>
        <v>1.0302</v>
      </c>
      <c r="Q97" s="786">
        <f t="shared" si="90"/>
        <v>10288.053790544003</v>
      </c>
      <c r="R97" s="226">
        <f t="shared" si="91"/>
        <v>0</v>
      </c>
      <c r="S97" s="226">
        <f t="shared" si="92"/>
        <v>10288.053790544003</v>
      </c>
      <c r="T97" s="226">
        <f t="shared" si="93"/>
        <v>10390.934328449443</v>
      </c>
      <c r="U97" s="800">
        <f t="shared" si="94"/>
        <v>10598.753015018432</v>
      </c>
      <c r="V97" s="226">
        <f t="shared" si="95"/>
        <v>21090.510270615203</v>
      </c>
      <c r="W97" s="169">
        <f t="shared" si="38"/>
        <v>0</v>
      </c>
      <c r="X97" s="169">
        <f t="shared" si="38"/>
        <v>11431.170878382225</v>
      </c>
      <c r="Y97" s="169">
        <f t="shared" si="38"/>
        <v>34293.512635146675</v>
      </c>
      <c r="Z97" s="742">
        <f t="shared" si="38"/>
        <v>34293.512635146675</v>
      </c>
      <c r="AA97" s="798">
        <f t="shared" si="96"/>
        <v>0</v>
      </c>
      <c r="AB97" s="798">
        <f t="shared" si="97"/>
        <v>11431.170878382225</v>
      </c>
      <c r="AC97" s="798">
        <f t="shared" si="98"/>
        <v>34636.447761498144</v>
      </c>
      <c r="AD97" s="799">
        <f t="shared" si="99"/>
        <v>35329.176716728107</v>
      </c>
      <c r="AE97" s="453"/>
      <c r="AF97" s="169">
        <f t="shared" si="43"/>
        <v>0</v>
      </c>
      <c r="AG97" s="169">
        <f t="shared" si="44"/>
        <v>1017374.208176018</v>
      </c>
      <c r="AH97" s="169">
        <f t="shared" si="45"/>
        <v>992911.50249628001</v>
      </c>
      <c r="AI97" s="742">
        <f t="shared" si="46"/>
        <v>977440.5558294775</v>
      </c>
      <c r="AJ97" s="169">
        <f t="shared" si="100"/>
        <v>0</v>
      </c>
      <c r="AK97" s="169">
        <f t="shared" si="101"/>
        <v>48056.642372718867</v>
      </c>
      <c r="AL97" s="169">
        <f t="shared" si="102"/>
        <v>70381.261851364223</v>
      </c>
      <c r="AM97" s="742">
        <f t="shared" si="103"/>
        <v>70517.036726589286</v>
      </c>
      <c r="AN97" s="169">
        <f t="shared" si="104"/>
        <v>120360.16991899183</v>
      </c>
      <c r="AO97" s="169">
        <f t="shared" si="105"/>
        <v>141450.68018960702</v>
      </c>
      <c r="AP97" s="169">
        <f t="shared" si="106"/>
        <v>0</v>
      </c>
      <c r="AQ97" s="169">
        <f t="shared" si="107"/>
        <v>136782.80774334999</v>
      </c>
      <c r="AR97" s="169">
        <f t="shared" si="108"/>
        <v>4667.8724462570317</v>
      </c>
      <c r="AS97" s="169">
        <f t="shared" si="109"/>
        <v>0</v>
      </c>
      <c r="AT97" s="944"/>
      <c r="AV97" s="944"/>
    </row>
    <row r="98" spans="1:48" s="342" customFormat="1">
      <c r="A98" s="762" t="s">
        <v>1148</v>
      </c>
      <c r="B98" s="1041" t="s">
        <v>1228</v>
      </c>
      <c r="C98" s="763">
        <v>1362486.6436405669</v>
      </c>
      <c r="D98" s="760">
        <v>41639</v>
      </c>
      <c r="E98" s="1315">
        <v>15</v>
      </c>
      <c r="F98" s="944" t="s">
        <v>1251</v>
      </c>
      <c r="G98" s="761" t="s">
        <v>779</v>
      </c>
      <c r="H98" s="1251" t="s">
        <v>779</v>
      </c>
      <c r="I98" s="229">
        <f t="shared" si="27"/>
        <v>30</v>
      </c>
      <c r="J98" s="1327">
        <f t="shared" si="28"/>
        <v>0.96699999999999997</v>
      </c>
      <c r="K98" s="1327">
        <f t="shared" si="29"/>
        <v>3.3000000000000002E-2</v>
      </c>
      <c r="L98" s="1327">
        <f t="shared" si="30"/>
        <v>0</v>
      </c>
      <c r="M98" s="794">
        <f t="shared" si="31"/>
        <v>1</v>
      </c>
      <c r="N98" s="794">
        <f t="shared" si="31"/>
        <v>1.028</v>
      </c>
      <c r="O98" s="794">
        <f t="shared" si="31"/>
        <v>1.0382800000000001</v>
      </c>
      <c r="P98" s="794">
        <f t="shared" si="31"/>
        <v>1.0590455999999999</v>
      </c>
      <c r="Q98" s="786">
        <f t="shared" ref="Q98:Q110" si="110">C98*$B$6</f>
        <v>13624.866436405669</v>
      </c>
      <c r="R98" s="226">
        <f t="shared" ref="R98:R110" si="111">$Q98*M98</f>
        <v>13624.866436405669</v>
      </c>
      <c r="S98" s="226">
        <f t="shared" ref="S98:S110" si="112">$Q98*N98</f>
        <v>14006.362696625029</v>
      </c>
      <c r="T98" s="226">
        <f t="shared" ref="T98:T110" si="113">$Q98*O98</f>
        <v>14146.42632359128</v>
      </c>
      <c r="U98" s="800">
        <f t="shared" ref="U98:U110" si="114">$Q98*P98</f>
        <v>14429.354850063102</v>
      </c>
      <c r="V98" s="226">
        <f t="shared" ref="V98:V110" si="115">IF(H98="nee",T98,IF(G98="ja",S98*(1+$C$16)+T98,R98*(1+$B$16)+S98*(1+$C$16)+T98))</f>
        <v>28713.043528081304</v>
      </c>
      <c r="W98" s="169">
        <f t="shared" si="38"/>
        <v>3784.6851212237966</v>
      </c>
      <c r="X98" s="169">
        <f t="shared" si="38"/>
        <v>45416.221454685561</v>
      </c>
      <c r="Y98" s="169">
        <f t="shared" si="38"/>
        <v>45416.221454685561</v>
      </c>
      <c r="Z98" s="742">
        <f t="shared" si="38"/>
        <v>45416.221454685561</v>
      </c>
      <c r="AA98" s="798">
        <f t="shared" ref="AA98:AA110" si="116">W98*M98</f>
        <v>3784.6851212237966</v>
      </c>
      <c r="AB98" s="798">
        <f t="shared" ref="AB98:AB110" si="117">X98*N98</f>
        <v>46687.875655416756</v>
      </c>
      <c r="AC98" s="798">
        <f t="shared" ref="AC98:AC110" si="118">Y98*O98</f>
        <v>47154.754411970927</v>
      </c>
      <c r="AD98" s="799">
        <f t="shared" ref="AD98:AD110" si="119">Z98*P98</f>
        <v>48097.849500210337</v>
      </c>
      <c r="AE98" s="453"/>
      <c r="AF98" s="169">
        <f t="shared" si="43"/>
        <v>1358701.9585193431</v>
      </c>
      <c r="AG98" s="169">
        <f t="shared" si="44"/>
        <v>1350057.7377024679</v>
      </c>
      <c r="AH98" s="169">
        <f t="shared" si="45"/>
        <v>1316403.5606675218</v>
      </c>
      <c r="AI98" s="742">
        <f t="shared" si="46"/>
        <v>1294633.7823806619</v>
      </c>
      <c r="AJ98" s="169">
        <f t="shared" ref="AJ98:AJ110" si="120">AF98*$B$4+AA98</f>
        <v>82589.398715345698</v>
      </c>
      <c r="AK98" s="169">
        <f t="shared" ref="AK98:AK110" si="121">AG98*$B$5+AB98</f>
        <v>95289.954212705605</v>
      </c>
      <c r="AL98" s="169">
        <f t="shared" ref="AL98:AL110" si="122">AH98*$B$5+AC98</f>
        <v>94545.282596001707</v>
      </c>
      <c r="AM98" s="742">
        <f t="shared" ref="AM98:AM110" si="123">AI98*$B$5+AD98</f>
        <v>94704.665665914159</v>
      </c>
      <c r="AN98" s="169">
        <f t="shared" ref="AN98:AN110" si="124">IF(H98="nee",AL98,IF(G98="ja",AK98*(1+$C$16)+AL98, AJ98*(1+$B$16)+AK98*(1+$C$16)+AL98))</f>
        <v>193646.83497721551</v>
      </c>
      <c r="AO98" s="169">
        <f t="shared" ref="AO98:AO110" si="125">AN98+V98</f>
        <v>222359.8785052968</v>
      </c>
      <c r="AP98" s="169">
        <f t="shared" ref="AP98:AP110" si="126">IF(YEAR(D98)&lt;2014,$AO98*J98,0)</f>
        <v>215022.002514622</v>
      </c>
      <c r="AQ98" s="169">
        <f t="shared" ref="AQ98:AQ110" si="127">IF(YEAR(D98)&gt;2013,$AO98*J98,0)</f>
        <v>0</v>
      </c>
      <c r="AR98" s="169">
        <f t="shared" ref="AR98:AR110" si="128">$AO98*K98</f>
        <v>7337.8759906747946</v>
      </c>
      <c r="AS98" s="169">
        <f t="shared" ref="AS98:AS110" si="129">$AO98*L98</f>
        <v>0</v>
      </c>
      <c r="AT98" s="944"/>
      <c r="AV98" s="944"/>
    </row>
    <row r="99" spans="1:48" s="342" customFormat="1">
      <c r="A99" s="762" t="s">
        <v>1148</v>
      </c>
      <c r="B99" s="1041" t="s">
        <v>1224</v>
      </c>
      <c r="C99" s="763">
        <v>2617.7193086380448</v>
      </c>
      <c r="D99" s="760">
        <v>41639</v>
      </c>
      <c r="E99" s="1315">
        <v>17</v>
      </c>
      <c r="F99" s="944" t="s">
        <v>1251</v>
      </c>
      <c r="G99" s="761" t="s">
        <v>779</v>
      </c>
      <c r="H99" s="1251" t="s">
        <v>779</v>
      </c>
      <c r="I99" s="229">
        <f t="shared" si="27"/>
        <v>30</v>
      </c>
      <c r="J99" s="1327">
        <f t="shared" si="28"/>
        <v>0</v>
      </c>
      <c r="K99" s="1327">
        <f t="shared" si="29"/>
        <v>0</v>
      </c>
      <c r="L99" s="1327">
        <f t="shared" si="30"/>
        <v>1</v>
      </c>
      <c r="M99" s="794">
        <f t="shared" si="31"/>
        <v>1</v>
      </c>
      <c r="N99" s="794">
        <f t="shared" si="31"/>
        <v>1.028</v>
      </c>
      <c r="O99" s="794">
        <f t="shared" si="31"/>
        <v>1.0382800000000001</v>
      </c>
      <c r="P99" s="794">
        <f t="shared" si="31"/>
        <v>1.0590455999999999</v>
      </c>
      <c r="Q99" s="786">
        <f t="shared" si="110"/>
        <v>26.177193086380449</v>
      </c>
      <c r="R99" s="226">
        <f t="shared" si="111"/>
        <v>26.177193086380449</v>
      </c>
      <c r="S99" s="226">
        <f t="shared" si="112"/>
        <v>26.910154492799101</v>
      </c>
      <c r="T99" s="226">
        <f t="shared" si="113"/>
        <v>27.179256037727093</v>
      </c>
      <c r="U99" s="800">
        <f t="shared" si="114"/>
        <v>27.722841158481632</v>
      </c>
      <c r="V99" s="226">
        <f t="shared" si="115"/>
        <v>55.165816710238147</v>
      </c>
      <c r="W99" s="169">
        <f t="shared" si="38"/>
        <v>7.2714425239945681</v>
      </c>
      <c r="X99" s="169">
        <f t="shared" si="38"/>
        <v>87.257310287934828</v>
      </c>
      <c r="Y99" s="169">
        <f t="shared" si="38"/>
        <v>87.257310287934828</v>
      </c>
      <c r="Z99" s="742">
        <f t="shared" si="38"/>
        <v>87.257310287934828</v>
      </c>
      <c r="AA99" s="798">
        <f t="shared" si="116"/>
        <v>7.2714425239945681</v>
      </c>
      <c r="AB99" s="798">
        <f t="shared" si="117"/>
        <v>89.70051497599701</v>
      </c>
      <c r="AC99" s="798">
        <f t="shared" si="118"/>
        <v>90.597520125756986</v>
      </c>
      <c r="AD99" s="799">
        <f t="shared" si="119"/>
        <v>92.409470528272109</v>
      </c>
      <c r="AE99" s="453"/>
      <c r="AF99" s="169">
        <f t="shared" si="43"/>
        <v>2610.4478661140502</v>
      </c>
      <c r="AG99" s="169">
        <f t="shared" si="44"/>
        <v>2593.8398913892465</v>
      </c>
      <c r="AH99" s="169">
        <f t="shared" si="45"/>
        <v>2529.1807701773819</v>
      </c>
      <c r="AI99" s="742">
        <f t="shared" si="46"/>
        <v>2487.3549150526574</v>
      </c>
      <c r="AJ99" s="169">
        <f t="shared" si="120"/>
        <v>158.67741875860949</v>
      </c>
      <c r="AK99" s="169">
        <f t="shared" si="121"/>
        <v>183.07875106600989</v>
      </c>
      <c r="AL99" s="169">
        <f t="shared" si="122"/>
        <v>181.64802785214272</v>
      </c>
      <c r="AM99" s="742">
        <f t="shared" si="123"/>
        <v>181.95424747016779</v>
      </c>
      <c r="AN99" s="169">
        <f t="shared" si="124"/>
        <v>372.04992896079295</v>
      </c>
      <c r="AO99" s="169">
        <f t="shared" si="125"/>
        <v>427.21574567103107</v>
      </c>
      <c r="AP99" s="169">
        <f t="shared" si="126"/>
        <v>0</v>
      </c>
      <c r="AQ99" s="169">
        <f t="shared" si="127"/>
        <v>0</v>
      </c>
      <c r="AR99" s="169">
        <f t="shared" si="128"/>
        <v>0</v>
      </c>
      <c r="AS99" s="169">
        <f t="shared" si="129"/>
        <v>427.21574567103107</v>
      </c>
      <c r="AT99" s="944"/>
      <c r="AV99" s="944"/>
    </row>
    <row r="100" spans="1:48" s="342" customFormat="1">
      <c r="A100" s="762" t="s">
        <v>1148</v>
      </c>
      <c r="B100" s="1041" t="s">
        <v>1229</v>
      </c>
      <c r="C100" s="763">
        <v>1201195.3860887054</v>
      </c>
      <c r="D100" s="760">
        <v>41639</v>
      </c>
      <c r="E100" s="1315">
        <v>21</v>
      </c>
      <c r="F100" s="944" t="s">
        <v>1251</v>
      </c>
      <c r="G100" s="761" t="s">
        <v>779</v>
      </c>
      <c r="H100" s="1251" t="s">
        <v>779</v>
      </c>
      <c r="I100" s="229">
        <f t="shared" si="27"/>
        <v>55</v>
      </c>
      <c r="J100" s="1327">
        <f t="shared" si="28"/>
        <v>0.96699999999999997</v>
      </c>
      <c r="K100" s="1327">
        <f t="shared" si="29"/>
        <v>3.3000000000000002E-2</v>
      </c>
      <c r="L100" s="1327">
        <f t="shared" si="30"/>
        <v>0</v>
      </c>
      <c r="M100" s="794">
        <f t="shared" ref="M100:P119" si="130">IF(YEAR($D100)&gt;M$78,0,HLOOKUP(M$78,$C$9:$F$13, YEAR($D100)-2011,FALSE))</f>
        <v>1</v>
      </c>
      <c r="N100" s="794">
        <f t="shared" si="130"/>
        <v>1.028</v>
      </c>
      <c r="O100" s="794">
        <f t="shared" si="130"/>
        <v>1.0382800000000001</v>
      </c>
      <c r="P100" s="794">
        <f t="shared" si="130"/>
        <v>1.0590455999999999</v>
      </c>
      <c r="Q100" s="786">
        <f t="shared" si="110"/>
        <v>12011.953860887053</v>
      </c>
      <c r="R100" s="226">
        <f t="shared" si="111"/>
        <v>12011.953860887053</v>
      </c>
      <c r="S100" s="226">
        <f t="shared" si="112"/>
        <v>12348.288568991891</v>
      </c>
      <c r="T100" s="226">
        <f t="shared" si="113"/>
        <v>12471.771454681812</v>
      </c>
      <c r="U100" s="800">
        <f t="shared" si="114"/>
        <v>12721.206883775445</v>
      </c>
      <c r="V100" s="226">
        <f t="shared" si="115"/>
        <v>25313.991566433375</v>
      </c>
      <c r="W100" s="169">
        <f t="shared" ref="W100:Z119" si="131">IF(YEAR($D100)&lt;W$78,$C100/$I100,IF(YEAR($D100)=W$78,(13-MONTH($D100))/12*$C100/$I100,0))</f>
        <v>1819.9930092253112</v>
      </c>
      <c r="X100" s="169">
        <f t="shared" si="131"/>
        <v>21839.916110703733</v>
      </c>
      <c r="Y100" s="169">
        <f t="shared" si="131"/>
        <v>21839.916110703733</v>
      </c>
      <c r="Z100" s="742">
        <f t="shared" si="131"/>
        <v>21839.916110703733</v>
      </c>
      <c r="AA100" s="798">
        <f t="shared" si="116"/>
        <v>1819.9930092253112</v>
      </c>
      <c r="AB100" s="798">
        <f t="shared" si="117"/>
        <v>22451.433761803437</v>
      </c>
      <c r="AC100" s="798">
        <f t="shared" si="118"/>
        <v>22675.948099421472</v>
      </c>
      <c r="AD100" s="799">
        <f t="shared" si="119"/>
        <v>23129.467061409898</v>
      </c>
      <c r="AE100" s="453"/>
      <c r="AF100" s="169">
        <f t="shared" si="43"/>
        <v>1199375.3930794802</v>
      </c>
      <c r="AG100" s="169">
        <f t="shared" si="44"/>
        <v>1210506.4703239021</v>
      </c>
      <c r="AH100" s="169">
        <f t="shared" si="45"/>
        <v>1199935.5869277196</v>
      </c>
      <c r="AI100" s="742">
        <f t="shared" si="46"/>
        <v>1200804.8316048642</v>
      </c>
      <c r="AJ100" s="169">
        <f t="shared" si="120"/>
        <v>71383.765807835152</v>
      </c>
      <c r="AK100" s="169">
        <f t="shared" si="121"/>
        <v>66029.666693463907</v>
      </c>
      <c r="AL100" s="169">
        <f t="shared" si="122"/>
        <v>65873.62922881938</v>
      </c>
      <c r="AM100" s="742">
        <f t="shared" si="123"/>
        <v>66358.440999185012</v>
      </c>
      <c r="AN100" s="169">
        <f t="shared" si="124"/>
        <v>134544.4825900218</v>
      </c>
      <c r="AO100" s="169">
        <f t="shared" si="125"/>
        <v>159858.47415645517</v>
      </c>
      <c r="AP100" s="169">
        <f t="shared" si="126"/>
        <v>154583.14450929215</v>
      </c>
      <c r="AQ100" s="169">
        <f t="shared" si="127"/>
        <v>0</v>
      </c>
      <c r="AR100" s="169">
        <f t="shared" si="128"/>
        <v>5275.329647163021</v>
      </c>
      <c r="AS100" s="169">
        <f t="shared" si="129"/>
        <v>0</v>
      </c>
      <c r="AT100" s="944"/>
      <c r="AV100" s="944"/>
    </row>
    <row r="101" spans="1:48" s="342" customFormat="1">
      <c r="A101" s="762" t="s">
        <v>1148</v>
      </c>
      <c r="B101" s="1041" t="s">
        <v>1230</v>
      </c>
      <c r="C101" s="763">
        <v>74715.244170324149</v>
      </c>
      <c r="D101" s="760">
        <v>41639</v>
      </c>
      <c r="E101" s="1315">
        <v>32</v>
      </c>
      <c r="F101" s="944" t="s">
        <v>1251</v>
      </c>
      <c r="G101" s="761" t="s">
        <v>779</v>
      </c>
      <c r="H101" s="1251" t="s">
        <v>779</v>
      </c>
      <c r="I101" s="229">
        <f t="shared" si="27"/>
        <v>30</v>
      </c>
      <c r="J101" s="1327">
        <f t="shared" si="28"/>
        <v>0.96699999999999997</v>
      </c>
      <c r="K101" s="1327">
        <f t="shared" si="29"/>
        <v>3.3000000000000002E-2</v>
      </c>
      <c r="L101" s="1327">
        <f t="shared" si="30"/>
        <v>0</v>
      </c>
      <c r="M101" s="794">
        <f t="shared" si="130"/>
        <v>1</v>
      </c>
      <c r="N101" s="794">
        <f t="shared" si="130"/>
        <v>1.028</v>
      </c>
      <c r="O101" s="794">
        <f t="shared" si="130"/>
        <v>1.0382800000000001</v>
      </c>
      <c r="P101" s="794">
        <f t="shared" si="130"/>
        <v>1.0590455999999999</v>
      </c>
      <c r="Q101" s="786">
        <f t="shared" si="110"/>
        <v>747.15244170324149</v>
      </c>
      <c r="R101" s="226">
        <f t="shared" si="111"/>
        <v>747.15244170324149</v>
      </c>
      <c r="S101" s="226">
        <f t="shared" si="112"/>
        <v>768.07271007093232</v>
      </c>
      <c r="T101" s="226">
        <f t="shared" si="113"/>
        <v>775.75343717164162</v>
      </c>
      <c r="U101" s="800">
        <f t="shared" si="114"/>
        <v>791.26850591507434</v>
      </c>
      <c r="V101" s="226">
        <f t="shared" si="115"/>
        <v>1574.549055645411</v>
      </c>
      <c r="W101" s="169">
        <f t="shared" si="131"/>
        <v>207.54234491756705</v>
      </c>
      <c r="X101" s="169">
        <f t="shared" si="131"/>
        <v>2490.5081390108048</v>
      </c>
      <c r="Y101" s="169">
        <f t="shared" si="131"/>
        <v>2490.5081390108048</v>
      </c>
      <c r="Z101" s="742">
        <f t="shared" si="131"/>
        <v>2490.5081390108048</v>
      </c>
      <c r="AA101" s="798">
        <f t="shared" si="116"/>
        <v>207.54234491756705</v>
      </c>
      <c r="AB101" s="798">
        <f t="shared" si="117"/>
        <v>2560.2423669031073</v>
      </c>
      <c r="AC101" s="798">
        <f t="shared" si="118"/>
        <v>2585.8447905721387</v>
      </c>
      <c r="AD101" s="799">
        <f t="shared" si="119"/>
        <v>2637.5616863835812</v>
      </c>
      <c r="AE101" s="453"/>
      <c r="AF101" s="169">
        <f t="shared" si="43"/>
        <v>74507.701825406577</v>
      </c>
      <c r="AG101" s="169">
        <f t="shared" si="44"/>
        <v>74033.675109614851</v>
      </c>
      <c r="AH101" s="169">
        <f t="shared" si="45"/>
        <v>72188.167070138865</v>
      </c>
      <c r="AI101" s="742">
        <f t="shared" si="46"/>
        <v>70994.36872515807</v>
      </c>
      <c r="AJ101" s="169">
        <f t="shared" si="120"/>
        <v>4528.9890507911487</v>
      </c>
      <c r="AK101" s="169">
        <f t="shared" si="121"/>
        <v>5225.4546708492417</v>
      </c>
      <c r="AL101" s="169">
        <f t="shared" si="122"/>
        <v>5184.6188050971377</v>
      </c>
      <c r="AM101" s="742">
        <f t="shared" si="123"/>
        <v>5193.3589604892713</v>
      </c>
      <c r="AN101" s="169">
        <f t="shared" si="124"/>
        <v>10619.091662780347</v>
      </c>
      <c r="AO101" s="169">
        <f t="shared" si="125"/>
        <v>12193.640718425759</v>
      </c>
      <c r="AP101" s="169">
        <f t="shared" si="126"/>
        <v>11791.250574717707</v>
      </c>
      <c r="AQ101" s="169">
        <f t="shared" si="127"/>
        <v>0</v>
      </c>
      <c r="AR101" s="169">
        <f t="shared" si="128"/>
        <v>402.39014370805006</v>
      </c>
      <c r="AS101" s="169">
        <f t="shared" si="129"/>
        <v>0</v>
      </c>
      <c r="AT101" s="944"/>
      <c r="AV101" s="944"/>
    </row>
    <row r="102" spans="1:48" s="342" customFormat="1">
      <c r="A102" s="762" t="s">
        <v>1148</v>
      </c>
      <c r="B102" s="1041" t="s">
        <v>1228</v>
      </c>
      <c r="C102" s="763">
        <v>180527.81828160002</v>
      </c>
      <c r="D102" s="760">
        <v>41821</v>
      </c>
      <c r="E102" s="1315">
        <v>15</v>
      </c>
      <c r="F102" s="944" t="s">
        <v>1251</v>
      </c>
      <c r="G102" s="761"/>
      <c r="H102" s="1251" t="s">
        <v>779</v>
      </c>
      <c r="I102" s="229">
        <f t="shared" si="27"/>
        <v>30</v>
      </c>
      <c r="J102" s="1327">
        <f t="shared" si="28"/>
        <v>0.96699999999999997</v>
      </c>
      <c r="K102" s="1327">
        <f t="shared" si="29"/>
        <v>3.3000000000000002E-2</v>
      </c>
      <c r="L102" s="1327">
        <f t="shared" si="30"/>
        <v>0</v>
      </c>
      <c r="M102" s="794">
        <f t="shared" si="130"/>
        <v>0</v>
      </c>
      <c r="N102" s="794">
        <f t="shared" si="130"/>
        <v>1</v>
      </c>
      <c r="O102" s="794">
        <f t="shared" si="130"/>
        <v>1.01</v>
      </c>
      <c r="P102" s="794">
        <f t="shared" si="130"/>
        <v>1.0302</v>
      </c>
      <c r="Q102" s="786">
        <f t="shared" si="110"/>
        <v>1805.2781828160003</v>
      </c>
      <c r="R102" s="226">
        <f t="shared" si="111"/>
        <v>0</v>
      </c>
      <c r="S102" s="226">
        <f t="shared" si="112"/>
        <v>1805.2781828160003</v>
      </c>
      <c r="T102" s="226">
        <f t="shared" si="113"/>
        <v>1823.3309646441603</v>
      </c>
      <c r="U102" s="800">
        <f t="shared" si="114"/>
        <v>1859.7975839370436</v>
      </c>
      <c r="V102" s="226">
        <f t="shared" si="115"/>
        <v>3700.8202747728001</v>
      </c>
      <c r="W102" s="169">
        <f t="shared" si="131"/>
        <v>0</v>
      </c>
      <c r="X102" s="169">
        <f t="shared" si="131"/>
        <v>3008.7969713600005</v>
      </c>
      <c r="Y102" s="169">
        <f t="shared" si="131"/>
        <v>6017.593942720001</v>
      </c>
      <c r="Z102" s="742">
        <f t="shared" si="131"/>
        <v>6017.593942720001</v>
      </c>
      <c r="AA102" s="798">
        <f t="shared" si="116"/>
        <v>0</v>
      </c>
      <c r="AB102" s="798">
        <f t="shared" si="117"/>
        <v>3008.7969713600005</v>
      </c>
      <c r="AC102" s="798">
        <f t="shared" si="118"/>
        <v>6077.7698821472013</v>
      </c>
      <c r="AD102" s="799">
        <f t="shared" si="119"/>
        <v>6199.325279790145</v>
      </c>
      <c r="AE102" s="453"/>
      <c r="AF102" s="169">
        <f t="shared" si="43"/>
        <v>0</v>
      </c>
      <c r="AG102" s="169">
        <f t="shared" si="44"/>
        <v>177519.02131024003</v>
      </c>
      <c r="AH102" s="169">
        <f t="shared" si="45"/>
        <v>173216.44164119524</v>
      </c>
      <c r="AI102" s="742">
        <f t="shared" si="46"/>
        <v>170481.44519422899</v>
      </c>
      <c r="AJ102" s="169">
        <f t="shared" si="120"/>
        <v>0</v>
      </c>
      <c r="AK102" s="169">
        <f t="shared" si="121"/>
        <v>9399.4817385286406</v>
      </c>
      <c r="AL102" s="169">
        <f t="shared" si="122"/>
        <v>12313.56178123023</v>
      </c>
      <c r="AM102" s="742">
        <f t="shared" si="123"/>
        <v>12336.657306782388</v>
      </c>
      <c r="AN102" s="169">
        <f t="shared" si="124"/>
        <v>22089.022789300012</v>
      </c>
      <c r="AO102" s="169">
        <f t="shared" si="125"/>
        <v>25789.843064072811</v>
      </c>
      <c r="AP102" s="169">
        <f t="shared" si="126"/>
        <v>0</v>
      </c>
      <c r="AQ102" s="169">
        <f t="shared" si="127"/>
        <v>24938.778242958408</v>
      </c>
      <c r="AR102" s="169">
        <f t="shared" si="128"/>
        <v>851.06482111440278</v>
      </c>
      <c r="AS102" s="169">
        <f t="shared" si="129"/>
        <v>0</v>
      </c>
      <c r="AT102" s="944"/>
      <c r="AV102" s="944"/>
    </row>
    <row r="103" spans="1:48" s="342" customFormat="1">
      <c r="A103" s="762" t="s">
        <v>1148</v>
      </c>
      <c r="B103" s="1041" t="s">
        <v>1224</v>
      </c>
      <c r="C103" s="763">
        <v>-3571.1501780799999</v>
      </c>
      <c r="D103" s="760">
        <v>41821</v>
      </c>
      <c r="E103" s="1315">
        <v>17</v>
      </c>
      <c r="F103" s="944" t="s">
        <v>1251</v>
      </c>
      <c r="G103" s="761"/>
      <c r="H103" s="1251" t="s">
        <v>779</v>
      </c>
      <c r="I103" s="229">
        <f t="shared" si="27"/>
        <v>30</v>
      </c>
      <c r="J103" s="1327">
        <f t="shared" si="28"/>
        <v>0</v>
      </c>
      <c r="K103" s="1327">
        <f t="shared" si="29"/>
        <v>0</v>
      </c>
      <c r="L103" s="1327">
        <f t="shared" si="30"/>
        <v>1</v>
      </c>
      <c r="M103" s="794">
        <f t="shared" si="130"/>
        <v>0</v>
      </c>
      <c r="N103" s="794">
        <f t="shared" si="130"/>
        <v>1</v>
      </c>
      <c r="O103" s="794">
        <f t="shared" si="130"/>
        <v>1.01</v>
      </c>
      <c r="P103" s="794">
        <f t="shared" si="130"/>
        <v>1.0302</v>
      </c>
      <c r="Q103" s="786">
        <f t="shared" si="110"/>
        <v>-35.711501780799999</v>
      </c>
      <c r="R103" s="226">
        <f t="shared" si="111"/>
        <v>0</v>
      </c>
      <c r="S103" s="226">
        <f t="shared" si="112"/>
        <v>-35.711501780799999</v>
      </c>
      <c r="T103" s="226">
        <f t="shared" si="113"/>
        <v>-36.068616798607998</v>
      </c>
      <c r="U103" s="800">
        <f t="shared" si="114"/>
        <v>-36.789989134580161</v>
      </c>
      <c r="V103" s="226">
        <f t="shared" si="115"/>
        <v>-73.208578650639993</v>
      </c>
      <c r="W103" s="169">
        <f t="shared" si="131"/>
        <v>0</v>
      </c>
      <c r="X103" s="169">
        <f t="shared" si="131"/>
        <v>-59.519169634666667</v>
      </c>
      <c r="Y103" s="169">
        <f t="shared" si="131"/>
        <v>-119.03833926933333</v>
      </c>
      <c r="Z103" s="742">
        <f t="shared" si="131"/>
        <v>-119.03833926933333</v>
      </c>
      <c r="AA103" s="798">
        <f t="shared" si="116"/>
        <v>0</v>
      </c>
      <c r="AB103" s="798">
        <f t="shared" si="117"/>
        <v>-59.519169634666667</v>
      </c>
      <c r="AC103" s="798">
        <f t="shared" si="118"/>
        <v>-120.22872266202667</v>
      </c>
      <c r="AD103" s="799">
        <f t="shared" si="119"/>
        <v>-122.6332971152672</v>
      </c>
      <c r="AE103" s="453"/>
      <c r="AF103" s="169">
        <f t="shared" si="43"/>
        <v>0</v>
      </c>
      <c r="AG103" s="169">
        <f t="shared" si="44"/>
        <v>-3511.6310084453335</v>
      </c>
      <c r="AH103" s="169">
        <f t="shared" si="45"/>
        <v>-3426.5185958677603</v>
      </c>
      <c r="AI103" s="742">
        <f t="shared" si="46"/>
        <v>-3372.4156706698482</v>
      </c>
      <c r="AJ103" s="169">
        <f t="shared" si="120"/>
        <v>0</v>
      </c>
      <c r="AK103" s="169">
        <f t="shared" si="121"/>
        <v>-185.93788593869866</v>
      </c>
      <c r="AL103" s="169">
        <f t="shared" si="122"/>
        <v>-243.58339211326603</v>
      </c>
      <c r="AM103" s="742">
        <f t="shared" si="123"/>
        <v>-244.04026125938174</v>
      </c>
      <c r="AN103" s="169">
        <f t="shared" si="124"/>
        <v>-436.95879348951257</v>
      </c>
      <c r="AO103" s="169">
        <f t="shared" si="125"/>
        <v>-510.16737214015257</v>
      </c>
      <c r="AP103" s="169">
        <f t="shared" si="126"/>
        <v>0</v>
      </c>
      <c r="AQ103" s="169">
        <f t="shared" si="127"/>
        <v>0</v>
      </c>
      <c r="AR103" s="169">
        <f t="shared" si="128"/>
        <v>0</v>
      </c>
      <c r="AS103" s="169">
        <f t="shared" si="129"/>
        <v>-510.16737214015257</v>
      </c>
      <c r="AT103" s="944"/>
      <c r="AV103" s="944"/>
    </row>
    <row r="104" spans="1:48" s="342" customFormat="1">
      <c r="A104" s="762" t="s">
        <v>1148</v>
      </c>
      <c r="B104" s="1041" t="s">
        <v>1229</v>
      </c>
      <c r="C104" s="763">
        <v>337708.29360275989</v>
      </c>
      <c r="D104" s="760">
        <v>41821</v>
      </c>
      <c r="E104" s="1315">
        <v>21</v>
      </c>
      <c r="F104" s="944" t="s">
        <v>1251</v>
      </c>
      <c r="G104" s="761"/>
      <c r="H104" s="1251" t="s">
        <v>779</v>
      </c>
      <c r="I104" s="229">
        <f t="shared" si="27"/>
        <v>55</v>
      </c>
      <c r="J104" s="1327">
        <f t="shared" si="28"/>
        <v>0.96699999999999997</v>
      </c>
      <c r="K104" s="1327">
        <f t="shared" si="29"/>
        <v>3.3000000000000002E-2</v>
      </c>
      <c r="L104" s="1327">
        <f t="shared" si="30"/>
        <v>0</v>
      </c>
      <c r="M104" s="794">
        <f t="shared" si="130"/>
        <v>0</v>
      </c>
      <c r="N104" s="794">
        <f t="shared" si="130"/>
        <v>1</v>
      </c>
      <c r="O104" s="794">
        <f t="shared" si="130"/>
        <v>1.01</v>
      </c>
      <c r="P104" s="794">
        <f t="shared" si="130"/>
        <v>1.0302</v>
      </c>
      <c r="Q104" s="786">
        <f t="shared" si="110"/>
        <v>3377.0829360275989</v>
      </c>
      <c r="R104" s="226">
        <f t="shared" si="111"/>
        <v>0</v>
      </c>
      <c r="S104" s="226">
        <f t="shared" si="112"/>
        <v>3377.0829360275989</v>
      </c>
      <c r="T104" s="226">
        <f t="shared" si="113"/>
        <v>3410.8537653878748</v>
      </c>
      <c r="U104" s="800">
        <f t="shared" si="114"/>
        <v>3479.0708406956323</v>
      </c>
      <c r="V104" s="226">
        <f t="shared" si="115"/>
        <v>6923.0200188565759</v>
      </c>
      <c r="W104" s="169">
        <f t="shared" si="131"/>
        <v>0</v>
      </c>
      <c r="X104" s="169">
        <f t="shared" si="131"/>
        <v>3070.0753963887264</v>
      </c>
      <c r="Y104" s="169">
        <f t="shared" si="131"/>
        <v>6140.1507927774528</v>
      </c>
      <c r="Z104" s="742">
        <f t="shared" si="131"/>
        <v>6140.1507927774528</v>
      </c>
      <c r="AA104" s="798">
        <f t="shared" si="116"/>
        <v>0</v>
      </c>
      <c r="AB104" s="798">
        <f t="shared" si="117"/>
        <v>3070.0753963887264</v>
      </c>
      <c r="AC104" s="798">
        <f t="shared" si="118"/>
        <v>6201.552300705227</v>
      </c>
      <c r="AD104" s="799">
        <f t="shared" si="119"/>
        <v>6325.5833467193315</v>
      </c>
      <c r="AE104" s="453"/>
      <c r="AF104" s="169">
        <f t="shared" si="43"/>
        <v>0</v>
      </c>
      <c r="AG104" s="169">
        <f t="shared" si="44"/>
        <v>334638.21820637118</v>
      </c>
      <c r="AH104" s="169">
        <f t="shared" si="45"/>
        <v>331783.04808772966</v>
      </c>
      <c r="AI104" s="742">
        <f t="shared" si="46"/>
        <v>332093.12570276496</v>
      </c>
      <c r="AJ104" s="169">
        <f t="shared" si="120"/>
        <v>0</v>
      </c>
      <c r="AK104" s="169">
        <f t="shared" si="121"/>
        <v>15117.051251818088</v>
      </c>
      <c r="AL104" s="169">
        <f t="shared" si="122"/>
        <v>18145.742031863494</v>
      </c>
      <c r="AM104" s="742">
        <f t="shared" si="123"/>
        <v>18280.935872018868</v>
      </c>
      <c r="AN104" s="169">
        <f t="shared" si="124"/>
        <v>33867.475333754301</v>
      </c>
      <c r="AO104" s="169">
        <f t="shared" si="125"/>
        <v>40790.495352610873</v>
      </c>
      <c r="AP104" s="169">
        <f t="shared" si="126"/>
        <v>0</v>
      </c>
      <c r="AQ104" s="169">
        <f t="shared" si="127"/>
        <v>39444.40900597471</v>
      </c>
      <c r="AR104" s="169">
        <f t="shared" si="128"/>
        <v>1346.0863466361589</v>
      </c>
      <c r="AS104" s="169">
        <f t="shared" si="129"/>
        <v>0</v>
      </c>
      <c r="AT104" s="944"/>
      <c r="AV104" s="944"/>
    </row>
    <row r="105" spans="1:48" s="342" customFormat="1">
      <c r="A105" s="762" t="s">
        <v>1148</v>
      </c>
      <c r="B105" s="1041" t="s">
        <v>1230</v>
      </c>
      <c r="C105" s="763">
        <v>242890.94542571995</v>
      </c>
      <c r="D105" s="760">
        <v>41821</v>
      </c>
      <c r="E105" s="1315">
        <v>32</v>
      </c>
      <c r="F105" s="944" t="s">
        <v>1251</v>
      </c>
      <c r="G105" s="761"/>
      <c r="H105" s="1251" t="s">
        <v>779</v>
      </c>
      <c r="I105" s="229">
        <f t="shared" si="27"/>
        <v>30</v>
      </c>
      <c r="J105" s="1327">
        <f t="shared" si="28"/>
        <v>0.96699999999999997</v>
      </c>
      <c r="K105" s="1327">
        <f t="shared" si="29"/>
        <v>3.3000000000000002E-2</v>
      </c>
      <c r="L105" s="1327">
        <f t="shared" si="30"/>
        <v>0</v>
      </c>
      <c r="M105" s="794">
        <f t="shared" si="130"/>
        <v>0</v>
      </c>
      <c r="N105" s="794">
        <f t="shared" si="130"/>
        <v>1</v>
      </c>
      <c r="O105" s="794">
        <f t="shared" si="130"/>
        <v>1.01</v>
      </c>
      <c r="P105" s="794">
        <f t="shared" si="130"/>
        <v>1.0302</v>
      </c>
      <c r="Q105" s="786">
        <f t="shared" si="110"/>
        <v>2428.9094542571997</v>
      </c>
      <c r="R105" s="226">
        <f t="shared" si="111"/>
        <v>0</v>
      </c>
      <c r="S105" s="226">
        <f t="shared" si="112"/>
        <v>2428.9094542571997</v>
      </c>
      <c r="T105" s="226">
        <f t="shared" si="113"/>
        <v>2453.1985487997717</v>
      </c>
      <c r="U105" s="800">
        <f t="shared" si="114"/>
        <v>2502.262519775767</v>
      </c>
      <c r="V105" s="226">
        <f t="shared" si="115"/>
        <v>4979.2643812272581</v>
      </c>
      <c r="W105" s="169">
        <f t="shared" si="131"/>
        <v>0</v>
      </c>
      <c r="X105" s="169">
        <f t="shared" si="131"/>
        <v>4048.1824237619994</v>
      </c>
      <c r="Y105" s="169">
        <f t="shared" si="131"/>
        <v>8096.3648475239988</v>
      </c>
      <c r="Z105" s="742">
        <f t="shared" si="131"/>
        <v>8096.3648475239988</v>
      </c>
      <c r="AA105" s="798">
        <f t="shared" si="116"/>
        <v>0</v>
      </c>
      <c r="AB105" s="798">
        <f t="shared" si="117"/>
        <v>4048.1824237619994</v>
      </c>
      <c r="AC105" s="798">
        <f t="shared" si="118"/>
        <v>8177.3284959992388</v>
      </c>
      <c r="AD105" s="799">
        <f t="shared" si="119"/>
        <v>8340.8750659192228</v>
      </c>
      <c r="AE105" s="453"/>
      <c r="AF105" s="169">
        <f t="shared" si="43"/>
        <v>0</v>
      </c>
      <c r="AG105" s="169">
        <f t="shared" si="44"/>
        <v>238842.76300195797</v>
      </c>
      <c r="AH105" s="169">
        <f t="shared" si="45"/>
        <v>233053.8621359783</v>
      </c>
      <c r="AI105" s="742">
        <f t="shared" si="46"/>
        <v>229374.06431277865</v>
      </c>
      <c r="AJ105" s="169">
        <f t="shared" si="120"/>
        <v>0</v>
      </c>
      <c r="AK105" s="169">
        <f t="shared" si="121"/>
        <v>12646.521891832486</v>
      </c>
      <c r="AL105" s="169">
        <f t="shared" si="122"/>
        <v>16567.267532894457</v>
      </c>
      <c r="AM105" s="742">
        <f t="shared" si="123"/>
        <v>16598.341381179256</v>
      </c>
      <c r="AN105" s="169">
        <f t="shared" si="124"/>
        <v>29719.650300400237</v>
      </c>
      <c r="AO105" s="169">
        <f t="shared" si="125"/>
        <v>34698.914681627495</v>
      </c>
      <c r="AP105" s="169">
        <f t="shared" si="126"/>
        <v>0</v>
      </c>
      <c r="AQ105" s="169">
        <f t="shared" si="127"/>
        <v>33553.85049713379</v>
      </c>
      <c r="AR105" s="169">
        <f t="shared" si="128"/>
        <v>1145.0641844937074</v>
      </c>
      <c r="AS105" s="169">
        <f t="shared" si="129"/>
        <v>0</v>
      </c>
      <c r="AT105" s="944"/>
      <c r="AV105" s="944"/>
    </row>
    <row r="106" spans="1:48" s="342" customFormat="1">
      <c r="A106" s="1326" t="s">
        <v>1148</v>
      </c>
      <c r="B106" s="775" t="s">
        <v>780</v>
      </c>
      <c r="C106" s="1314">
        <v>1374.674945325</v>
      </c>
      <c r="D106" s="776">
        <v>41456</v>
      </c>
      <c r="E106" s="1317">
        <v>2</v>
      </c>
      <c r="F106" s="944" t="s">
        <v>1251</v>
      </c>
      <c r="G106" s="777" t="s">
        <v>779</v>
      </c>
      <c r="H106" s="789" t="s">
        <v>852</v>
      </c>
      <c r="I106" s="229">
        <f t="shared" si="27"/>
        <v>30</v>
      </c>
      <c r="J106" s="1327">
        <f t="shared" si="28"/>
        <v>0.96699999999999997</v>
      </c>
      <c r="K106" s="1327">
        <f t="shared" si="29"/>
        <v>3.3000000000000002E-2</v>
      </c>
      <c r="L106" s="1327">
        <f t="shared" si="30"/>
        <v>0</v>
      </c>
      <c r="M106" s="794">
        <f t="shared" si="130"/>
        <v>1</v>
      </c>
      <c r="N106" s="794">
        <f t="shared" si="130"/>
        <v>1.028</v>
      </c>
      <c r="O106" s="794">
        <f t="shared" si="130"/>
        <v>1.0382800000000001</v>
      </c>
      <c r="P106" s="794">
        <f t="shared" si="130"/>
        <v>1.0590455999999999</v>
      </c>
      <c r="Q106" s="786">
        <f t="shared" si="110"/>
        <v>13.746749453250001</v>
      </c>
      <c r="R106" s="226">
        <f t="shared" si="111"/>
        <v>13.746749453250001</v>
      </c>
      <c r="S106" s="226">
        <f t="shared" si="112"/>
        <v>14.131658437941001</v>
      </c>
      <c r="T106" s="226">
        <f t="shared" si="113"/>
        <v>14.272975022320411</v>
      </c>
      <c r="U106" s="800">
        <f t="shared" si="114"/>
        <v>14.558434522766818</v>
      </c>
      <c r="V106" s="226">
        <f t="shared" si="115"/>
        <v>14.272975022320411</v>
      </c>
      <c r="W106" s="169">
        <f t="shared" si="131"/>
        <v>22.911249088750001</v>
      </c>
      <c r="X106" s="169">
        <f t="shared" si="131"/>
        <v>45.822498177500002</v>
      </c>
      <c r="Y106" s="169">
        <f t="shared" si="131"/>
        <v>45.822498177500002</v>
      </c>
      <c r="Z106" s="742">
        <f t="shared" si="131"/>
        <v>45.822498177500002</v>
      </c>
      <c r="AA106" s="798">
        <f t="shared" si="116"/>
        <v>22.911249088750001</v>
      </c>
      <c r="AB106" s="798">
        <f t="shared" si="117"/>
        <v>47.105528126470006</v>
      </c>
      <c r="AC106" s="798">
        <f t="shared" si="118"/>
        <v>47.576583407734709</v>
      </c>
      <c r="AD106" s="799">
        <f t="shared" si="119"/>
        <v>48.528115075889389</v>
      </c>
      <c r="AE106" s="453"/>
      <c r="AF106" s="169">
        <f t="shared" si="43"/>
        <v>1351.7636962362499</v>
      </c>
      <c r="AG106" s="169">
        <f t="shared" si="44"/>
        <v>1342.5075516043948</v>
      </c>
      <c r="AH106" s="169">
        <f t="shared" si="45"/>
        <v>1308.3560437127041</v>
      </c>
      <c r="AI106" s="742">
        <f t="shared" si="46"/>
        <v>1285.9950495110688</v>
      </c>
      <c r="AJ106" s="169">
        <f t="shared" si="120"/>
        <v>101.31354347045249</v>
      </c>
      <c r="AK106" s="169">
        <f t="shared" si="121"/>
        <v>95.435799984228225</v>
      </c>
      <c r="AL106" s="169">
        <f t="shared" si="122"/>
        <v>94.677400981392054</v>
      </c>
      <c r="AM106" s="742">
        <f t="shared" si="123"/>
        <v>94.823936858287865</v>
      </c>
      <c r="AN106" s="169">
        <f t="shared" si="124"/>
        <v>94.677400981392054</v>
      </c>
      <c r="AO106" s="169">
        <f t="shared" si="125"/>
        <v>108.95037600371246</v>
      </c>
      <c r="AP106" s="169">
        <f t="shared" si="126"/>
        <v>105.35501359558995</v>
      </c>
      <c r="AQ106" s="169">
        <f t="shared" si="127"/>
        <v>0</v>
      </c>
      <c r="AR106" s="169">
        <f t="shared" si="128"/>
        <v>3.5953624081225115</v>
      </c>
      <c r="AS106" s="169">
        <f t="shared" si="129"/>
        <v>0</v>
      </c>
      <c r="AT106" s="944"/>
      <c r="AV106" s="944"/>
    </row>
    <row r="107" spans="1:48" s="342" customFormat="1">
      <c r="A107" s="1326" t="s">
        <v>1148</v>
      </c>
      <c r="B107" s="775" t="s">
        <v>773</v>
      </c>
      <c r="C107" s="1314">
        <v>238070.56390234499</v>
      </c>
      <c r="D107" s="776">
        <v>41456</v>
      </c>
      <c r="E107" s="1317">
        <v>15</v>
      </c>
      <c r="F107" s="944" t="s">
        <v>1251</v>
      </c>
      <c r="G107" s="777" t="s">
        <v>779</v>
      </c>
      <c r="H107" s="789" t="s">
        <v>852</v>
      </c>
      <c r="I107" s="229">
        <f t="shared" si="27"/>
        <v>30</v>
      </c>
      <c r="J107" s="1327">
        <f t="shared" si="28"/>
        <v>0.96699999999999997</v>
      </c>
      <c r="K107" s="1327">
        <f t="shared" si="29"/>
        <v>3.3000000000000002E-2</v>
      </c>
      <c r="L107" s="1327">
        <f t="shared" si="30"/>
        <v>0</v>
      </c>
      <c r="M107" s="794">
        <f t="shared" si="130"/>
        <v>1</v>
      </c>
      <c r="N107" s="794">
        <f t="shared" si="130"/>
        <v>1.028</v>
      </c>
      <c r="O107" s="794">
        <f t="shared" si="130"/>
        <v>1.0382800000000001</v>
      </c>
      <c r="P107" s="794">
        <f t="shared" si="130"/>
        <v>1.0590455999999999</v>
      </c>
      <c r="Q107" s="786">
        <f t="shared" si="110"/>
        <v>2380.7056390234497</v>
      </c>
      <c r="R107" s="226">
        <f t="shared" si="111"/>
        <v>2380.7056390234497</v>
      </c>
      <c r="S107" s="226">
        <f t="shared" si="112"/>
        <v>2447.3653969161064</v>
      </c>
      <c r="T107" s="226">
        <f t="shared" si="113"/>
        <v>2471.8390508852676</v>
      </c>
      <c r="U107" s="800">
        <f t="shared" si="114"/>
        <v>2521.2758319029726</v>
      </c>
      <c r="V107" s="226">
        <f t="shared" si="115"/>
        <v>2471.8390508852676</v>
      </c>
      <c r="W107" s="169">
        <f t="shared" si="131"/>
        <v>3967.8427317057499</v>
      </c>
      <c r="X107" s="169">
        <f t="shared" si="131"/>
        <v>7935.6854634114998</v>
      </c>
      <c r="Y107" s="169">
        <f t="shared" si="131"/>
        <v>7935.6854634114998</v>
      </c>
      <c r="Z107" s="742">
        <f t="shared" si="131"/>
        <v>7935.6854634114998</v>
      </c>
      <c r="AA107" s="798">
        <f t="shared" si="116"/>
        <v>3967.8427317057499</v>
      </c>
      <c r="AB107" s="798">
        <f t="shared" si="117"/>
        <v>8157.884656387022</v>
      </c>
      <c r="AC107" s="798">
        <f t="shared" si="118"/>
        <v>8239.4635029508936</v>
      </c>
      <c r="AD107" s="799">
        <f t="shared" si="119"/>
        <v>8404.25277300991</v>
      </c>
      <c r="AE107" s="453"/>
      <c r="AF107" s="169">
        <f t="shared" si="43"/>
        <v>234102.72117063924</v>
      </c>
      <c r="AG107" s="169">
        <f t="shared" si="44"/>
        <v>232499.71270703012</v>
      </c>
      <c r="AH107" s="169">
        <f t="shared" si="45"/>
        <v>226585.24633114954</v>
      </c>
      <c r="AI107" s="742">
        <f t="shared" si="46"/>
        <v>222712.69848476263</v>
      </c>
      <c r="AJ107" s="169">
        <f t="shared" si="120"/>
        <v>17545.800559602827</v>
      </c>
      <c r="AK107" s="169">
        <f t="shared" si="121"/>
        <v>16527.874313840104</v>
      </c>
      <c r="AL107" s="169">
        <f t="shared" si="122"/>
        <v>16396.532370872275</v>
      </c>
      <c r="AM107" s="742">
        <f t="shared" si="123"/>
        <v>16421.909918461366</v>
      </c>
      <c r="AN107" s="169">
        <f t="shared" si="124"/>
        <v>16396.532370872275</v>
      </c>
      <c r="AO107" s="169">
        <f t="shared" si="125"/>
        <v>18868.371421757543</v>
      </c>
      <c r="AP107" s="169">
        <f t="shared" si="126"/>
        <v>18245.715164839545</v>
      </c>
      <c r="AQ107" s="169">
        <f t="shared" si="127"/>
        <v>0</v>
      </c>
      <c r="AR107" s="169">
        <f t="shared" si="128"/>
        <v>622.65625691799892</v>
      </c>
      <c r="AS107" s="169">
        <f t="shared" si="129"/>
        <v>0</v>
      </c>
      <c r="AT107" s="944"/>
      <c r="AV107" s="944"/>
    </row>
    <row r="108" spans="1:48" s="342" customFormat="1">
      <c r="A108" s="1326" t="s">
        <v>1148</v>
      </c>
      <c r="B108" s="775" t="s">
        <v>782</v>
      </c>
      <c r="C108" s="1314">
        <v>-18500.127310335003</v>
      </c>
      <c r="D108" s="776">
        <v>41456</v>
      </c>
      <c r="E108" s="1317">
        <v>17</v>
      </c>
      <c r="F108" s="944" t="s">
        <v>1251</v>
      </c>
      <c r="G108" s="777" t="s">
        <v>779</v>
      </c>
      <c r="H108" s="789" t="s">
        <v>852</v>
      </c>
      <c r="I108" s="229">
        <f t="shared" si="27"/>
        <v>30</v>
      </c>
      <c r="J108" s="1327">
        <f t="shared" si="28"/>
        <v>0</v>
      </c>
      <c r="K108" s="1327">
        <f t="shared" si="29"/>
        <v>0</v>
      </c>
      <c r="L108" s="1327">
        <f t="shared" si="30"/>
        <v>1</v>
      </c>
      <c r="M108" s="794">
        <f t="shared" si="130"/>
        <v>1</v>
      </c>
      <c r="N108" s="794">
        <f t="shared" si="130"/>
        <v>1.028</v>
      </c>
      <c r="O108" s="794">
        <f t="shared" si="130"/>
        <v>1.0382800000000001</v>
      </c>
      <c r="P108" s="794">
        <f t="shared" si="130"/>
        <v>1.0590455999999999</v>
      </c>
      <c r="Q108" s="786">
        <f t="shared" si="110"/>
        <v>-185.00127310335003</v>
      </c>
      <c r="R108" s="226">
        <f t="shared" si="111"/>
        <v>-185.00127310335003</v>
      </c>
      <c r="S108" s="226">
        <f t="shared" si="112"/>
        <v>-190.18130875024383</v>
      </c>
      <c r="T108" s="226">
        <f t="shared" si="113"/>
        <v>-192.08312183774629</v>
      </c>
      <c r="U108" s="800">
        <f t="shared" si="114"/>
        <v>-195.92478427450118</v>
      </c>
      <c r="V108" s="226">
        <f t="shared" si="115"/>
        <v>-192.08312183774629</v>
      </c>
      <c r="W108" s="169">
        <f t="shared" si="131"/>
        <v>-308.33545517225008</v>
      </c>
      <c r="X108" s="169">
        <f t="shared" si="131"/>
        <v>-616.67091034450016</v>
      </c>
      <c r="Y108" s="169">
        <f t="shared" si="131"/>
        <v>-616.67091034450016</v>
      </c>
      <c r="Z108" s="742">
        <f t="shared" si="131"/>
        <v>-616.67091034450016</v>
      </c>
      <c r="AA108" s="798">
        <f t="shared" si="116"/>
        <v>-308.33545517225008</v>
      </c>
      <c r="AB108" s="798">
        <f t="shared" si="117"/>
        <v>-633.93769583414621</v>
      </c>
      <c r="AC108" s="798">
        <f t="shared" si="118"/>
        <v>-640.27707279248773</v>
      </c>
      <c r="AD108" s="799">
        <f t="shared" si="119"/>
        <v>-653.08261424833734</v>
      </c>
      <c r="AE108" s="453"/>
      <c r="AF108" s="169">
        <f t="shared" si="43"/>
        <v>-18191.791855162752</v>
      </c>
      <c r="AG108" s="169">
        <f t="shared" si="44"/>
        <v>-18067.224331273163</v>
      </c>
      <c r="AH108" s="169">
        <f t="shared" si="45"/>
        <v>-17607.619501793408</v>
      </c>
      <c r="AI108" s="742">
        <f t="shared" si="46"/>
        <v>-17306.689277580939</v>
      </c>
      <c r="AJ108" s="169">
        <f t="shared" si="120"/>
        <v>-1363.4593827716897</v>
      </c>
      <c r="AK108" s="169">
        <f t="shared" si="121"/>
        <v>-1284.3577717599801</v>
      </c>
      <c r="AL108" s="169">
        <f t="shared" si="122"/>
        <v>-1274.1513748570503</v>
      </c>
      <c r="AM108" s="742">
        <f t="shared" si="123"/>
        <v>-1276.1234282412511</v>
      </c>
      <c r="AN108" s="169">
        <f t="shared" si="124"/>
        <v>-1274.1513748570503</v>
      </c>
      <c r="AO108" s="169">
        <f t="shared" si="125"/>
        <v>-1466.2344966947967</v>
      </c>
      <c r="AP108" s="169">
        <f t="shared" si="126"/>
        <v>0</v>
      </c>
      <c r="AQ108" s="169">
        <f t="shared" si="127"/>
        <v>0</v>
      </c>
      <c r="AR108" s="169">
        <f t="shared" si="128"/>
        <v>0</v>
      </c>
      <c r="AS108" s="169">
        <f t="shared" si="129"/>
        <v>-1466.2344966947967</v>
      </c>
      <c r="AT108" s="944"/>
      <c r="AV108" s="944"/>
    </row>
    <row r="109" spans="1:48" s="342" customFormat="1">
      <c r="A109" s="1326" t="s">
        <v>1148</v>
      </c>
      <c r="B109" s="775" t="s">
        <v>778</v>
      </c>
      <c r="C109" s="1314">
        <v>697304.67482852994</v>
      </c>
      <c r="D109" s="776">
        <v>41456</v>
      </c>
      <c r="E109" s="1317">
        <v>21</v>
      </c>
      <c r="F109" s="944" t="s">
        <v>1251</v>
      </c>
      <c r="G109" s="777" t="s">
        <v>779</v>
      </c>
      <c r="H109" s="789" t="s">
        <v>852</v>
      </c>
      <c r="I109" s="229">
        <f t="shared" si="27"/>
        <v>55</v>
      </c>
      <c r="J109" s="1327">
        <f t="shared" si="28"/>
        <v>0.96699999999999997</v>
      </c>
      <c r="K109" s="1327">
        <f t="shared" si="29"/>
        <v>3.3000000000000002E-2</v>
      </c>
      <c r="L109" s="1327">
        <f t="shared" si="30"/>
        <v>0</v>
      </c>
      <c r="M109" s="794">
        <f t="shared" si="130"/>
        <v>1</v>
      </c>
      <c r="N109" s="794">
        <f t="shared" si="130"/>
        <v>1.028</v>
      </c>
      <c r="O109" s="794">
        <f t="shared" si="130"/>
        <v>1.0382800000000001</v>
      </c>
      <c r="P109" s="794">
        <f t="shared" si="130"/>
        <v>1.0590455999999999</v>
      </c>
      <c r="Q109" s="786">
        <f t="shared" si="110"/>
        <v>6973.0467482852991</v>
      </c>
      <c r="R109" s="226">
        <f t="shared" si="111"/>
        <v>6973.0467482852991</v>
      </c>
      <c r="S109" s="226">
        <f t="shared" si="112"/>
        <v>7168.2920572372877</v>
      </c>
      <c r="T109" s="226">
        <f t="shared" si="113"/>
        <v>7239.9749778096611</v>
      </c>
      <c r="U109" s="800">
        <f t="shared" si="114"/>
        <v>7384.7744773658533</v>
      </c>
      <c r="V109" s="226">
        <f t="shared" si="115"/>
        <v>7239.9749778096611</v>
      </c>
      <c r="W109" s="169">
        <f t="shared" si="131"/>
        <v>6339.1334075320901</v>
      </c>
      <c r="X109" s="169">
        <f t="shared" si="131"/>
        <v>12678.26681506418</v>
      </c>
      <c r="Y109" s="169">
        <f t="shared" si="131"/>
        <v>12678.26681506418</v>
      </c>
      <c r="Z109" s="742">
        <f t="shared" si="131"/>
        <v>12678.26681506418</v>
      </c>
      <c r="AA109" s="798">
        <f t="shared" si="116"/>
        <v>6339.1334075320901</v>
      </c>
      <c r="AB109" s="798">
        <f t="shared" si="117"/>
        <v>13033.258285885977</v>
      </c>
      <c r="AC109" s="798">
        <f t="shared" si="118"/>
        <v>13163.590868744839</v>
      </c>
      <c r="AD109" s="799">
        <f t="shared" si="119"/>
        <v>13426.862686119734</v>
      </c>
      <c r="AE109" s="453"/>
      <c r="AF109" s="169">
        <f t="shared" si="43"/>
        <v>690965.54142099782</v>
      </c>
      <c r="AG109" s="169">
        <f t="shared" si="44"/>
        <v>697279.31829489977</v>
      </c>
      <c r="AH109" s="169">
        <f t="shared" si="45"/>
        <v>691088.52060910384</v>
      </c>
      <c r="AI109" s="742">
        <f t="shared" si="46"/>
        <v>691483.42833516619</v>
      </c>
      <c r="AJ109" s="169">
        <f t="shared" si="120"/>
        <v>46415.134809949966</v>
      </c>
      <c r="AK109" s="169">
        <f t="shared" si="121"/>
        <v>38135.313744502368</v>
      </c>
      <c r="AL109" s="169">
        <f t="shared" si="122"/>
        <v>38042.77761067258</v>
      </c>
      <c r="AM109" s="742">
        <f t="shared" si="123"/>
        <v>38320.266106185714</v>
      </c>
      <c r="AN109" s="169">
        <f t="shared" si="124"/>
        <v>38042.77761067258</v>
      </c>
      <c r="AO109" s="169">
        <f t="shared" si="125"/>
        <v>45282.752588482239</v>
      </c>
      <c r="AP109" s="169">
        <f t="shared" si="126"/>
        <v>43788.421753062321</v>
      </c>
      <c r="AQ109" s="169">
        <f t="shared" si="127"/>
        <v>0</v>
      </c>
      <c r="AR109" s="169">
        <f t="shared" si="128"/>
        <v>1494.3308354199139</v>
      </c>
      <c r="AS109" s="169">
        <f t="shared" si="129"/>
        <v>0</v>
      </c>
      <c r="AT109" s="944"/>
      <c r="AV109" s="944"/>
    </row>
    <row r="110" spans="1:48" s="342" customFormat="1">
      <c r="A110" s="1326" t="s">
        <v>1148</v>
      </c>
      <c r="B110" s="775" t="s">
        <v>776</v>
      </c>
      <c r="C110" s="1314">
        <v>38182.855751295006</v>
      </c>
      <c r="D110" s="776">
        <v>41456</v>
      </c>
      <c r="E110" s="1317">
        <v>32</v>
      </c>
      <c r="F110" s="944" t="s">
        <v>1251</v>
      </c>
      <c r="G110" s="777" t="s">
        <v>779</v>
      </c>
      <c r="H110" s="789" t="s">
        <v>852</v>
      </c>
      <c r="I110" s="229">
        <f t="shared" si="27"/>
        <v>30</v>
      </c>
      <c r="J110" s="1327">
        <f t="shared" si="28"/>
        <v>0.96699999999999997</v>
      </c>
      <c r="K110" s="1327">
        <f t="shared" si="29"/>
        <v>3.3000000000000002E-2</v>
      </c>
      <c r="L110" s="1327">
        <f t="shared" si="30"/>
        <v>0</v>
      </c>
      <c r="M110" s="794">
        <f t="shared" si="130"/>
        <v>1</v>
      </c>
      <c r="N110" s="794">
        <f t="shared" si="130"/>
        <v>1.028</v>
      </c>
      <c r="O110" s="794">
        <f t="shared" si="130"/>
        <v>1.0382800000000001</v>
      </c>
      <c r="P110" s="794">
        <f t="shared" si="130"/>
        <v>1.0590455999999999</v>
      </c>
      <c r="Q110" s="786">
        <f t="shared" si="110"/>
        <v>381.82855751295006</v>
      </c>
      <c r="R110" s="226">
        <f t="shared" si="111"/>
        <v>381.82855751295006</v>
      </c>
      <c r="S110" s="226">
        <f t="shared" si="112"/>
        <v>392.51975712331267</v>
      </c>
      <c r="T110" s="226">
        <f t="shared" si="113"/>
        <v>396.4449546945458</v>
      </c>
      <c r="U110" s="800">
        <f t="shared" si="114"/>
        <v>404.37385378843669</v>
      </c>
      <c r="V110" s="226">
        <f t="shared" si="115"/>
        <v>396.4449546945458</v>
      </c>
      <c r="W110" s="169">
        <f t="shared" si="131"/>
        <v>636.38092918825009</v>
      </c>
      <c r="X110" s="169">
        <f t="shared" si="131"/>
        <v>1272.7618583765002</v>
      </c>
      <c r="Y110" s="169">
        <f t="shared" si="131"/>
        <v>1272.7618583765002</v>
      </c>
      <c r="Z110" s="742">
        <f t="shared" si="131"/>
        <v>1272.7618583765002</v>
      </c>
      <c r="AA110" s="798">
        <f t="shared" si="116"/>
        <v>636.38092918825009</v>
      </c>
      <c r="AB110" s="798">
        <f t="shared" si="117"/>
        <v>1308.3991904110421</v>
      </c>
      <c r="AC110" s="798">
        <f t="shared" si="118"/>
        <v>1321.4831823151528</v>
      </c>
      <c r="AD110" s="799">
        <f t="shared" si="119"/>
        <v>1347.9128459614556</v>
      </c>
      <c r="AE110" s="453"/>
      <c r="AF110" s="169">
        <f t="shared" si="43"/>
        <v>37546.474822106757</v>
      </c>
      <c r="AG110" s="169">
        <f t="shared" si="44"/>
        <v>37289.3769267147</v>
      </c>
      <c r="AH110" s="169">
        <f t="shared" si="45"/>
        <v>36340.787513666692</v>
      </c>
      <c r="AI110" s="742">
        <f t="shared" si="46"/>
        <v>35719.690417978571</v>
      </c>
      <c r="AJ110" s="169">
        <f t="shared" si="120"/>
        <v>2814.0764688704421</v>
      </c>
      <c r="AK110" s="169">
        <f t="shared" si="121"/>
        <v>2650.8167597727715</v>
      </c>
      <c r="AL110" s="169">
        <f t="shared" si="122"/>
        <v>2629.7515328071536</v>
      </c>
      <c r="AM110" s="742">
        <f t="shared" si="123"/>
        <v>2633.8217010086837</v>
      </c>
      <c r="AN110" s="169">
        <f t="shared" si="124"/>
        <v>2629.7515328071536</v>
      </c>
      <c r="AO110" s="169">
        <f t="shared" si="125"/>
        <v>3026.1964875016993</v>
      </c>
      <c r="AP110" s="169">
        <f t="shared" si="126"/>
        <v>2926.3320034141429</v>
      </c>
      <c r="AQ110" s="169">
        <f t="shared" si="127"/>
        <v>0</v>
      </c>
      <c r="AR110" s="169">
        <f t="shared" si="128"/>
        <v>99.864484087556079</v>
      </c>
      <c r="AS110" s="169">
        <f t="shared" si="129"/>
        <v>0</v>
      </c>
      <c r="AT110" s="944"/>
      <c r="AV110" s="944"/>
    </row>
    <row r="111" spans="1:48" s="342" customFormat="1">
      <c r="A111" s="1326" t="s">
        <v>1149</v>
      </c>
      <c r="B111" s="775" t="s">
        <v>774</v>
      </c>
      <c r="C111" s="1314">
        <v>138181907.50538203</v>
      </c>
      <c r="D111" s="776">
        <v>41400</v>
      </c>
      <c r="E111" s="1317">
        <v>21</v>
      </c>
      <c r="F111" s="944" t="s">
        <v>1251</v>
      </c>
      <c r="G111" s="777" t="s">
        <v>779</v>
      </c>
      <c r="H111" s="789" t="s">
        <v>852</v>
      </c>
      <c r="I111" s="229">
        <f t="shared" si="27"/>
        <v>55</v>
      </c>
      <c r="J111" s="1327">
        <f t="shared" si="28"/>
        <v>0.96699999999999997</v>
      </c>
      <c r="K111" s="1327">
        <f t="shared" si="29"/>
        <v>3.3000000000000002E-2</v>
      </c>
      <c r="L111" s="1327">
        <f t="shared" si="30"/>
        <v>0</v>
      </c>
      <c r="M111" s="794">
        <f t="shared" si="130"/>
        <v>1</v>
      </c>
      <c r="N111" s="794">
        <f t="shared" si="130"/>
        <v>1.028</v>
      </c>
      <c r="O111" s="794">
        <f t="shared" si="130"/>
        <v>1.0382800000000001</v>
      </c>
      <c r="P111" s="794">
        <f t="shared" si="130"/>
        <v>1.0590455999999999</v>
      </c>
      <c r="Q111" s="786">
        <f t="shared" ref="Q111:Q122" si="132">C111*$B$6</f>
        <v>1381819.0750538204</v>
      </c>
      <c r="R111" s="226">
        <f t="shared" ref="R111:R122" si="133">$Q111*M111</f>
        <v>1381819.0750538204</v>
      </c>
      <c r="S111" s="226">
        <f t="shared" ref="S111:S122" si="134">$Q111*N111</f>
        <v>1420510.0091553275</v>
      </c>
      <c r="T111" s="226">
        <f t="shared" ref="T111:T122" si="135">$Q111*O111</f>
        <v>1434715.1092468807</v>
      </c>
      <c r="U111" s="800">
        <f t="shared" ref="U111:U122" si="136">$Q111*P111</f>
        <v>1463409.411431818</v>
      </c>
      <c r="V111" s="226">
        <f t="shared" ref="V111:V122" si="137">IF(H111="nee",T111,IF(G111="ja",S111*(1+$C$16)+T111,R111*(1+$B$16)+S111*(1+$C$16)+T111))</f>
        <v>1434715.1092468807</v>
      </c>
      <c r="W111" s="169">
        <f t="shared" si="131"/>
        <v>1674932.2121864487</v>
      </c>
      <c r="X111" s="169">
        <f t="shared" si="131"/>
        <v>2512398.3182796733</v>
      </c>
      <c r="Y111" s="169">
        <f t="shared" si="131"/>
        <v>2512398.3182796733</v>
      </c>
      <c r="Z111" s="742">
        <f t="shared" si="131"/>
        <v>2512398.3182796733</v>
      </c>
      <c r="AA111" s="798">
        <f t="shared" ref="AA111:AA122" si="138">W111*M111</f>
        <v>1674932.2121864487</v>
      </c>
      <c r="AB111" s="798">
        <f t="shared" ref="AB111:AB122" si="139">X111*N111</f>
        <v>2582745.471191504</v>
      </c>
      <c r="AC111" s="798">
        <f t="shared" ref="AC111:AC122" si="140">Y111*O111</f>
        <v>2608572.9259034195</v>
      </c>
      <c r="AD111" s="799">
        <f t="shared" ref="AD111:AD122" si="141">Z111*P111</f>
        <v>2660744.3844214873</v>
      </c>
      <c r="AE111" s="453"/>
      <c r="AF111" s="169">
        <f t="shared" si="43"/>
        <v>136506975.29319558</v>
      </c>
      <c r="AG111" s="169">
        <f t="shared" si="44"/>
        <v>137746425.13021356</v>
      </c>
      <c r="AH111" s="169">
        <f t="shared" si="45"/>
        <v>136515316.45561227</v>
      </c>
      <c r="AI111" s="742">
        <f t="shared" si="46"/>
        <v>136584878.40030304</v>
      </c>
      <c r="AJ111" s="169">
        <f t="shared" ref="AJ111:AJ122" si="142">AF111*$B$4+AA111</f>
        <v>9592336.779191792</v>
      </c>
      <c r="AK111" s="169">
        <f t="shared" ref="AK111:AK122" si="143">AG111*$B$5+AB111</f>
        <v>7541616.7758791922</v>
      </c>
      <c r="AL111" s="169">
        <f t="shared" ref="AL111:AL122" si="144">AH111*$B$5+AC111</f>
        <v>7523124.3183054607</v>
      </c>
      <c r="AM111" s="742">
        <f t="shared" ref="AM111:AM122" si="145">AI111*$B$5+AD111</f>
        <v>7577800.0068323966</v>
      </c>
      <c r="AN111" s="169">
        <f t="shared" ref="AN111:AN122" si="146">IF(H111="nee",AL111,IF(G111="ja",AK111*(1+$C$16)+AL111, AJ111*(1+$B$16)+AK111*(1+$C$16)+AL111))</f>
        <v>7523124.3183054607</v>
      </c>
      <c r="AO111" s="169">
        <f t="shared" ref="AO111:AO122" si="147">AN111+V111</f>
        <v>8957839.4275523424</v>
      </c>
      <c r="AP111" s="169">
        <f t="shared" ref="AP111:AP122" si="148">IF(YEAR(D111)&lt;2014,$AO111*J111,0)</f>
        <v>8662230.7264431156</v>
      </c>
      <c r="AQ111" s="169">
        <f t="shared" ref="AQ111:AQ122" si="149">IF(YEAR(D111)&gt;2013,$AO111*J111,0)</f>
        <v>0</v>
      </c>
      <c r="AR111" s="169">
        <f t="shared" ref="AR111:AR122" si="150">$AO111*K111</f>
        <v>295608.70110922732</v>
      </c>
      <c r="AS111" s="169">
        <f t="shared" ref="AS111:AS122" si="151">$AO111*L111</f>
        <v>0</v>
      </c>
      <c r="AT111" s="944"/>
      <c r="AV111" s="944"/>
    </row>
    <row r="112" spans="1:48" s="342" customFormat="1">
      <c r="A112" s="1326" t="s">
        <v>1149</v>
      </c>
      <c r="B112" s="775" t="s">
        <v>783</v>
      </c>
      <c r="C112" s="1314">
        <v>1682495.2153350001</v>
      </c>
      <c r="D112" s="776">
        <v>41400</v>
      </c>
      <c r="E112" s="1317">
        <v>42</v>
      </c>
      <c r="F112" s="944" t="s">
        <v>1251</v>
      </c>
      <c r="G112" s="777" t="s">
        <v>779</v>
      </c>
      <c r="H112" s="789" t="s">
        <v>852</v>
      </c>
      <c r="I112" s="229">
        <f t="shared" si="27"/>
        <v>1000000000</v>
      </c>
      <c r="J112" s="1327">
        <f t="shared" si="28"/>
        <v>0.96699999999999997</v>
      </c>
      <c r="K112" s="1327">
        <f t="shared" si="29"/>
        <v>3.3000000000000002E-2</v>
      </c>
      <c r="L112" s="1327">
        <f t="shared" si="30"/>
        <v>0</v>
      </c>
      <c r="M112" s="794">
        <f t="shared" si="130"/>
        <v>1</v>
      </c>
      <c r="N112" s="794">
        <f t="shared" si="130"/>
        <v>1.028</v>
      </c>
      <c r="O112" s="794">
        <f t="shared" si="130"/>
        <v>1.0382800000000001</v>
      </c>
      <c r="P112" s="794">
        <f t="shared" si="130"/>
        <v>1.0590455999999999</v>
      </c>
      <c r="Q112" s="786">
        <f t="shared" si="132"/>
        <v>16824.952153350001</v>
      </c>
      <c r="R112" s="226">
        <f t="shared" si="133"/>
        <v>16824.952153350001</v>
      </c>
      <c r="S112" s="226">
        <f t="shared" si="134"/>
        <v>17296.0508136438</v>
      </c>
      <c r="T112" s="226">
        <f t="shared" si="135"/>
        <v>17469.011321780239</v>
      </c>
      <c r="U112" s="800">
        <f t="shared" si="136"/>
        <v>17818.391548215841</v>
      </c>
      <c r="V112" s="226">
        <f t="shared" si="137"/>
        <v>17469.011321780239</v>
      </c>
      <c r="W112" s="169">
        <f t="shared" si="131"/>
        <v>1.1216634768900001E-3</v>
      </c>
      <c r="X112" s="169">
        <f t="shared" si="131"/>
        <v>1.682495215335E-3</v>
      </c>
      <c r="Y112" s="169">
        <f t="shared" si="131"/>
        <v>1.682495215335E-3</v>
      </c>
      <c r="Z112" s="742">
        <f t="shared" si="131"/>
        <v>1.682495215335E-3</v>
      </c>
      <c r="AA112" s="798">
        <f t="shared" si="138"/>
        <v>1.1216634768900001E-3</v>
      </c>
      <c r="AB112" s="798">
        <f t="shared" si="139"/>
        <v>1.72960508136438E-3</v>
      </c>
      <c r="AC112" s="798">
        <f t="shared" si="140"/>
        <v>1.7469011321780241E-3</v>
      </c>
      <c r="AD112" s="799">
        <f t="shared" si="141"/>
        <v>1.7818391548215843E-3</v>
      </c>
      <c r="AE112" s="453"/>
      <c r="AF112" s="169">
        <f t="shared" ref="AF112:AF143" si="152">IF(YEAR($D112)=AF$78,$C112-AA112,IF(YEAR($D112)&lt;AF$78,AE112*$B$10-AA112,0))</f>
        <v>1682495.2142133366</v>
      </c>
      <c r="AG112" s="169">
        <f t="shared" ref="AG112:AG143" si="153">IF(YEAR($D112)=AG$78,$C112-AB112,IF(YEAR($D112)&lt;AG$78,AF112*$B$11-AB112,0))</f>
        <v>1729605.0784817049</v>
      </c>
      <c r="AH112" s="169">
        <f t="shared" ref="AH112:AH143" si="154">IF(YEAR($D112)=AH$78,$C112-AC112,IF(YEAR($D112)&lt;AH$78,AG112*$B$12-AC112,0))</f>
        <v>1746901.1275196208</v>
      </c>
      <c r="AI112" s="742">
        <f t="shared" ref="AI112:AI143" si="155">IF(YEAR($D112)=AI$78,$C112-AD112,IF(YEAR($D112)&lt;AI$78,AH112*$B$13-AD112,0))</f>
        <v>1781839.1482881741</v>
      </c>
      <c r="AJ112" s="169">
        <f t="shared" si="142"/>
        <v>97584.723546036999</v>
      </c>
      <c r="AK112" s="169">
        <f t="shared" si="143"/>
        <v>62265.784554946455</v>
      </c>
      <c r="AL112" s="169">
        <f t="shared" si="144"/>
        <v>62888.44233760747</v>
      </c>
      <c r="AM112" s="742">
        <f t="shared" si="145"/>
        <v>64146.211120213418</v>
      </c>
      <c r="AN112" s="169">
        <f t="shared" si="146"/>
        <v>62888.44233760747</v>
      </c>
      <c r="AO112" s="169">
        <f t="shared" si="147"/>
        <v>80357.453659387713</v>
      </c>
      <c r="AP112" s="169">
        <f t="shared" si="148"/>
        <v>77705.657688627922</v>
      </c>
      <c r="AQ112" s="169">
        <f t="shared" si="149"/>
        <v>0</v>
      </c>
      <c r="AR112" s="169">
        <f t="shared" si="150"/>
        <v>2651.7959707597947</v>
      </c>
      <c r="AS112" s="169">
        <f t="shared" si="151"/>
        <v>0</v>
      </c>
      <c r="AT112" s="944"/>
      <c r="AV112" s="944"/>
    </row>
    <row r="113" spans="1:48" s="342" customFormat="1">
      <c r="A113" s="758" t="s">
        <v>1149</v>
      </c>
      <c r="B113" s="1041" t="s">
        <v>1229</v>
      </c>
      <c r="C113" s="763">
        <v>4860369.9257689537</v>
      </c>
      <c r="D113" s="760">
        <v>41639</v>
      </c>
      <c r="E113" s="1315">
        <v>21</v>
      </c>
      <c r="F113" s="944" t="s">
        <v>1251</v>
      </c>
      <c r="G113" s="761" t="s">
        <v>779</v>
      </c>
      <c r="H113" s="1251" t="s">
        <v>779</v>
      </c>
      <c r="I113" s="229">
        <f t="shared" si="27"/>
        <v>55</v>
      </c>
      <c r="J113" s="1327">
        <f t="shared" si="28"/>
        <v>0.96699999999999997</v>
      </c>
      <c r="K113" s="1327">
        <f t="shared" si="29"/>
        <v>3.3000000000000002E-2</v>
      </c>
      <c r="L113" s="1327">
        <f t="shared" si="30"/>
        <v>0</v>
      </c>
      <c r="M113" s="794">
        <f t="shared" si="130"/>
        <v>1</v>
      </c>
      <c r="N113" s="794">
        <f t="shared" si="130"/>
        <v>1.028</v>
      </c>
      <c r="O113" s="794">
        <f t="shared" si="130"/>
        <v>1.0382800000000001</v>
      </c>
      <c r="P113" s="794">
        <f t="shared" si="130"/>
        <v>1.0590455999999999</v>
      </c>
      <c r="Q113" s="786">
        <f t="shared" si="132"/>
        <v>48603.699257689535</v>
      </c>
      <c r="R113" s="226">
        <f t="shared" si="133"/>
        <v>48603.699257689535</v>
      </c>
      <c r="S113" s="226">
        <f t="shared" si="134"/>
        <v>49964.602836904844</v>
      </c>
      <c r="T113" s="226">
        <f t="shared" si="135"/>
        <v>50464.248865273898</v>
      </c>
      <c r="U113" s="800">
        <f t="shared" si="136"/>
        <v>51473.533842579367</v>
      </c>
      <c r="V113" s="226">
        <f t="shared" si="137"/>
        <v>102427.43581565491</v>
      </c>
      <c r="W113" s="169">
        <f t="shared" si="131"/>
        <v>7364.1968572256874</v>
      </c>
      <c r="X113" s="169">
        <f t="shared" si="131"/>
        <v>88370.362286708245</v>
      </c>
      <c r="Y113" s="169">
        <f t="shared" si="131"/>
        <v>88370.362286708245</v>
      </c>
      <c r="Z113" s="742">
        <f t="shared" si="131"/>
        <v>88370.362286708245</v>
      </c>
      <c r="AA113" s="798">
        <f t="shared" si="138"/>
        <v>7364.1968572256874</v>
      </c>
      <c r="AB113" s="798">
        <f t="shared" si="139"/>
        <v>90844.732430736083</v>
      </c>
      <c r="AC113" s="798">
        <f t="shared" si="140"/>
        <v>91753.179755043442</v>
      </c>
      <c r="AD113" s="799">
        <f t="shared" si="141"/>
        <v>93588.243350144301</v>
      </c>
      <c r="AE113" s="453"/>
      <c r="AF113" s="169">
        <f t="shared" si="152"/>
        <v>4853005.7289117277</v>
      </c>
      <c r="AG113" s="169">
        <f t="shared" si="153"/>
        <v>4898045.1568905199</v>
      </c>
      <c r="AH113" s="169">
        <f t="shared" si="154"/>
        <v>4855272.4287043819</v>
      </c>
      <c r="AI113" s="742">
        <f t="shared" si="155"/>
        <v>4858789.633928325</v>
      </c>
      <c r="AJ113" s="169">
        <f t="shared" si="142"/>
        <v>288838.52913410589</v>
      </c>
      <c r="AK113" s="169">
        <f t="shared" si="143"/>
        <v>267174.35807879479</v>
      </c>
      <c r="AL113" s="169">
        <f t="shared" si="144"/>
        <v>266542.98718840117</v>
      </c>
      <c r="AM113" s="742">
        <f t="shared" si="145"/>
        <v>268504.67017156398</v>
      </c>
      <c r="AN113" s="169">
        <f t="shared" si="146"/>
        <v>544404.31959034759</v>
      </c>
      <c r="AO113" s="169">
        <f t="shared" si="147"/>
        <v>646831.75540600251</v>
      </c>
      <c r="AP113" s="169">
        <f t="shared" si="148"/>
        <v>625486.30747760436</v>
      </c>
      <c r="AQ113" s="169">
        <f t="shared" si="149"/>
        <v>0</v>
      </c>
      <c r="AR113" s="169">
        <f t="shared" si="150"/>
        <v>21345.447928398084</v>
      </c>
      <c r="AS113" s="169">
        <f t="shared" si="151"/>
        <v>0</v>
      </c>
      <c r="AT113" s="944"/>
      <c r="AV113" s="944"/>
    </row>
    <row r="114" spans="1:48" s="342" customFormat="1">
      <c r="A114" s="758" t="s">
        <v>1149</v>
      </c>
      <c r="B114" s="1041" t="s">
        <v>1229</v>
      </c>
      <c r="C114" s="763">
        <v>898803.78684755997</v>
      </c>
      <c r="D114" s="760">
        <v>41821</v>
      </c>
      <c r="E114" s="1315">
        <v>21</v>
      </c>
      <c r="F114" s="944" t="s">
        <v>1251</v>
      </c>
      <c r="G114" s="761"/>
      <c r="H114" s="1251" t="s">
        <v>779</v>
      </c>
      <c r="I114" s="229">
        <f t="shared" si="27"/>
        <v>55</v>
      </c>
      <c r="J114" s="1327">
        <f t="shared" si="28"/>
        <v>0.96699999999999997</v>
      </c>
      <c r="K114" s="1327">
        <f t="shared" si="29"/>
        <v>3.3000000000000002E-2</v>
      </c>
      <c r="L114" s="1327">
        <f t="shared" si="30"/>
        <v>0</v>
      </c>
      <c r="M114" s="794">
        <f t="shared" si="130"/>
        <v>0</v>
      </c>
      <c r="N114" s="794">
        <f t="shared" si="130"/>
        <v>1</v>
      </c>
      <c r="O114" s="794">
        <f t="shared" si="130"/>
        <v>1.01</v>
      </c>
      <c r="P114" s="794">
        <f t="shared" si="130"/>
        <v>1.0302</v>
      </c>
      <c r="Q114" s="786">
        <f t="shared" si="132"/>
        <v>8988.0378684755997</v>
      </c>
      <c r="R114" s="226">
        <f t="shared" si="133"/>
        <v>0</v>
      </c>
      <c r="S114" s="226">
        <f t="shared" si="134"/>
        <v>8988.0378684755997</v>
      </c>
      <c r="T114" s="226">
        <f t="shared" si="135"/>
        <v>9077.9182471603563</v>
      </c>
      <c r="U114" s="800">
        <f t="shared" si="136"/>
        <v>9259.4766121035627</v>
      </c>
      <c r="V114" s="226">
        <f t="shared" si="137"/>
        <v>18425.477630374975</v>
      </c>
      <c r="W114" s="169">
        <f t="shared" si="131"/>
        <v>0</v>
      </c>
      <c r="X114" s="169">
        <f t="shared" si="131"/>
        <v>8170.943516796</v>
      </c>
      <c r="Y114" s="169">
        <f t="shared" si="131"/>
        <v>16341.887033592</v>
      </c>
      <c r="Z114" s="742">
        <f t="shared" si="131"/>
        <v>16341.887033592</v>
      </c>
      <c r="AA114" s="798">
        <f t="shared" si="138"/>
        <v>0</v>
      </c>
      <c r="AB114" s="798">
        <f t="shared" si="139"/>
        <v>8170.943516796</v>
      </c>
      <c r="AC114" s="798">
        <f t="shared" si="140"/>
        <v>16505.305903927921</v>
      </c>
      <c r="AD114" s="799">
        <f t="shared" si="141"/>
        <v>16835.41202200648</v>
      </c>
      <c r="AE114" s="453"/>
      <c r="AF114" s="169">
        <f t="shared" si="152"/>
        <v>0</v>
      </c>
      <c r="AG114" s="169">
        <f t="shared" si="153"/>
        <v>890632.84333076398</v>
      </c>
      <c r="AH114" s="169">
        <f t="shared" si="154"/>
        <v>883033.86586014379</v>
      </c>
      <c r="AI114" s="742">
        <f t="shared" si="155"/>
        <v>883859.13115534023</v>
      </c>
      <c r="AJ114" s="169">
        <f t="shared" si="142"/>
        <v>0</v>
      </c>
      <c r="AK114" s="169">
        <f t="shared" si="143"/>
        <v>40233.725876703502</v>
      </c>
      <c r="AL114" s="169">
        <f t="shared" si="144"/>
        <v>48294.525074893099</v>
      </c>
      <c r="AM114" s="742">
        <f t="shared" si="145"/>
        <v>48654.340743598725</v>
      </c>
      <c r="AN114" s="169">
        <f t="shared" si="146"/>
        <v>90137.599986664718</v>
      </c>
      <c r="AO114" s="169">
        <f t="shared" si="147"/>
        <v>108563.0776170397</v>
      </c>
      <c r="AP114" s="169">
        <f t="shared" si="148"/>
        <v>0</v>
      </c>
      <c r="AQ114" s="169">
        <f t="shared" si="149"/>
        <v>104980.49605567739</v>
      </c>
      <c r="AR114" s="169">
        <f t="shared" si="150"/>
        <v>3582.5815613623104</v>
      </c>
      <c r="AS114" s="169">
        <f t="shared" si="151"/>
        <v>0</v>
      </c>
      <c r="AT114" s="944"/>
      <c r="AV114" s="944"/>
    </row>
    <row r="115" spans="1:48" s="342" customFormat="1">
      <c r="A115" s="1593"/>
      <c r="B115" s="1592"/>
      <c r="C115" s="763">
        <v>614483.70741879242</v>
      </c>
      <c r="D115" s="760">
        <v>41599</v>
      </c>
      <c r="E115" s="1315">
        <v>2</v>
      </c>
      <c r="F115" s="944" t="s">
        <v>1251</v>
      </c>
      <c r="G115" s="761" t="s">
        <v>779</v>
      </c>
      <c r="H115" s="1251" t="s">
        <v>779</v>
      </c>
      <c r="I115" s="229">
        <f t="shared" si="27"/>
        <v>30</v>
      </c>
      <c r="J115" s="1327">
        <f t="shared" si="28"/>
        <v>0.96699999999999997</v>
      </c>
      <c r="K115" s="1327">
        <f t="shared" si="29"/>
        <v>3.3000000000000002E-2</v>
      </c>
      <c r="L115" s="1327">
        <f t="shared" si="30"/>
        <v>0</v>
      </c>
      <c r="M115" s="794">
        <f t="shared" si="130"/>
        <v>1</v>
      </c>
      <c r="N115" s="794">
        <f t="shared" si="130"/>
        <v>1.028</v>
      </c>
      <c r="O115" s="794">
        <f t="shared" si="130"/>
        <v>1.0382800000000001</v>
      </c>
      <c r="P115" s="794">
        <f t="shared" si="130"/>
        <v>1.0590455999999999</v>
      </c>
      <c r="Q115" s="786">
        <f t="shared" si="132"/>
        <v>6144.8370741879244</v>
      </c>
      <c r="R115" s="226">
        <f t="shared" si="133"/>
        <v>6144.8370741879244</v>
      </c>
      <c r="S115" s="226">
        <f t="shared" si="134"/>
        <v>6316.8925122651863</v>
      </c>
      <c r="T115" s="226">
        <f t="shared" si="135"/>
        <v>6380.0614373878389</v>
      </c>
      <c r="U115" s="800">
        <f t="shared" si="136"/>
        <v>6507.662666135594</v>
      </c>
      <c r="V115" s="226">
        <f t="shared" si="137"/>
        <v>12949.62965014363</v>
      </c>
      <c r="W115" s="169">
        <f t="shared" si="131"/>
        <v>3413.7983745488464</v>
      </c>
      <c r="X115" s="169">
        <f t="shared" si="131"/>
        <v>20482.79024729308</v>
      </c>
      <c r="Y115" s="169">
        <f t="shared" si="131"/>
        <v>20482.79024729308</v>
      </c>
      <c r="Z115" s="742">
        <f t="shared" si="131"/>
        <v>20482.79024729308</v>
      </c>
      <c r="AA115" s="798">
        <f t="shared" si="138"/>
        <v>3413.7983745488464</v>
      </c>
      <c r="AB115" s="798">
        <f t="shared" si="139"/>
        <v>21056.308374217286</v>
      </c>
      <c r="AC115" s="798">
        <f t="shared" si="140"/>
        <v>21266.87145795946</v>
      </c>
      <c r="AD115" s="799">
        <f t="shared" si="141"/>
        <v>21692.208887118646</v>
      </c>
      <c r="AE115" s="453"/>
      <c r="AF115" s="169">
        <f t="shared" si="152"/>
        <v>611069.90904424351</v>
      </c>
      <c r="AG115" s="169">
        <f t="shared" si="153"/>
        <v>607123.55812326504</v>
      </c>
      <c r="AH115" s="169">
        <f t="shared" si="154"/>
        <v>591927.92224653834</v>
      </c>
      <c r="AI115" s="742">
        <f t="shared" si="155"/>
        <v>582074.27180435054</v>
      </c>
      <c r="AJ115" s="169">
        <f t="shared" si="142"/>
        <v>38855.853099114967</v>
      </c>
      <c r="AK115" s="169">
        <f t="shared" si="143"/>
        <v>42912.756466654828</v>
      </c>
      <c r="AL115" s="169">
        <f t="shared" si="144"/>
        <v>42576.276658834839</v>
      </c>
      <c r="AM115" s="742">
        <f t="shared" si="145"/>
        <v>42646.88267207527</v>
      </c>
      <c r="AN115" s="169">
        <f t="shared" si="146"/>
        <v>87205.543384155841</v>
      </c>
      <c r="AO115" s="169">
        <f t="shared" si="147"/>
        <v>100155.17303429947</v>
      </c>
      <c r="AP115" s="169">
        <f t="shared" si="148"/>
        <v>96850.052324167584</v>
      </c>
      <c r="AQ115" s="169">
        <f t="shared" si="149"/>
        <v>0</v>
      </c>
      <c r="AR115" s="169">
        <f t="shared" si="150"/>
        <v>3305.1207101318828</v>
      </c>
      <c r="AS115" s="169">
        <f t="shared" si="151"/>
        <v>0</v>
      </c>
      <c r="AT115" s="944"/>
      <c r="AV115" s="944"/>
    </row>
    <row r="116" spans="1:48" s="342" customFormat="1">
      <c r="A116" s="1593"/>
      <c r="B116" s="1592"/>
      <c r="C116" s="763">
        <v>307195.92048180883</v>
      </c>
      <c r="D116" s="760">
        <v>41599</v>
      </c>
      <c r="E116" s="1315">
        <v>32</v>
      </c>
      <c r="F116" s="944" t="s">
        <v>1251</v>
      </c>
      <c r="G116" s="761" t="s">
        <v>779</v>
      </c>
      <c r="H116" s="1251" t="s">
        <v>779</v>
      </c>
      <c r="I116" s="229">
        <f t="shared" si="27"/>
        <v>30</v>
      </c>
      <c r="J116" s="1327">
        <f t="shared" si="28"/>
        <v>0.96699999999999997</v>
      </c>
      <c r="K116" s="1327">
        <f t="shared" si="29"/>
        <v>3.3000000000000002E-2</v>
      </c>
      <c r="L116" s="1327">
        <f t="shared" si="30"/>
        <v>0</v>
      </c>
      <c r="M116" s="794">
        <f t="shared" si="130"/>
        <v>1</v>
      </c>
      <c r="N116" s="794">
        <f t="shared" si="130"/>
        <v>1.028</v>
      </c>
      <c r="O116" s="794">
        <f t="shared" si="130"/>
        <v>1.0382800000000001</v>
      </c>
      <c r="P116" s="794">
        <f t="shared" si="130"/>
        <v>1.0590455999999999</v>
      </c>
      <c r="Q116" s="786">
        <f t="shared" si="132"/>
        <v>3071.9592048180884</v>
      </c>
      <c r="R116" s="226">
        <f t="shared" si="133"/>
        <v>3071.9592048180884</v>
      </c>
      <c r="S116" s="226">
        <f t="shared" si="134"/>
        <v>3157.9740625529948</v>
      </c>
      <c r="T116" s="226">
        <f t="shared" si="135"/>
        <v>3189.553803178525</v>
      </c>
      <c r="U116" s="800">
        <f t="shared" si="136"/>
        <v>3253.344879242095</v>
      </c>
      <c r="V116" s="226">
        <f t="shared" si="137"/>
        <v>6473.846828233638</v>
      </c>
      <c r="W116" s="169">
        <f t="shared" si="131"/>
        <v>1706.6440026767157</v>
      </c>
      <c r="X116" s="169">
        <f t="shared" si="131"/>
        <v>10239.864016060294</v>
      </c>
      <c r="Y116" s="169">
        <f t="shared" si="131"/>
        <v>10239.864016060294</v>
      </c>
      <c r="Z116" s="742">
        <f t="shared" si="131"/>
        <v>10239.864016060294</v>
      </c>
      <c r="AA116" s="798">
        <f t="shared" si="138"/>
        <v>1706.6440026767157</v>
      </c>
      <c r="AB116" s="798">
        <f t="shared" si="139"/>
        <v>10526.580208509982</v>
      </c>
      <c r="AC116" s="798">
        <f t="shared" si="140"/>
        <v>10631.846010595082</v>
      </c>
      <c r="AD116" s="799">
        <f t="shared" si="141"/>
        <v>10844.482930806982</v>
      </c>
      <c r="AE116" s="453"/>
      <c r="AF116" s="169">
        <f t="shared" si="152"/>
        <v>305489.27647913212</v>
      </c>
      <c r="AG116" s="169">
        <f t="shared" si="153"/>
        <v>303516.39601203782</v>
      </c>
      <c r="AH116" s="169">
        <f t="shared" si="154"/>
        <v>295919.71396156313</v>
      </c>
      <c r="AI116" s="742">
        <f t="shared" si="155"/>
        <v>290993.6253099874</v>
      </c>
      <c r="AJ116" s="169">
        <f t="shared" si="142"/>
        <v>19425.022038466381</v>
      </c>
      <c r="AK116" s="169">
        <f t="shared" si="143"/>
        <v>21453.170464943345</v>
      </c>
      <c r="AL116" s="169">
        <f t="shared" si="144"/>
        <v>21284.955713211355</v>
      </c>
      <c r="AM116" s="742">
        <f t="shared" si="145"/>
        <v>21320.253441966528</v>
      </c>
      <c r="AN116" s="169">
        <f t="shared" si="146"/>
        <v>43596.252996752424</v>
      </c>
      <c r="AO116" s="169">
        <f t="shared" si="147"/>
        <v>50070.099824986064</v>
      </c>
      <c r="AP116" s="169">
        <f t="shared" si="148"/>
        <v>48417.786530761521</v>
      </c>
      <c r="AQ116" s="169">
        <f t="shared" si="149"/>
        <v>0</v>
      </c>
      <c r="AR116" s="169">
        <f t="shared" si="150"/>
        <v>1652.3132942245402</v>
      </c>
      <c r="AS116" s="169">
        <f t="shared" si="151"/>
        <v>0</v>
      </c>
      <c r="AT116" s="944"/>
      <c r="AV116" s="944"/>
    </row>
    <row r="117" spans="1:48" s="342" customFormat="1">
      <c r="A117" s="758" t="s">
        <v>1225</v>
      </c>
      <c r="B117" s="1041" t="s">
        <v>774</v>
      </c>
      <c r="C117" s="763">
        <v>4651595.4038701877</v>
      </c>
      <c r="D117" s="760">
        <v>41296</v>
      </c>
      <c r="E117" s="1315">
        <v>21</v>
      </c>
      <c r="F117" s="944" t="s">
        <v>1251</v>
      </c>
      <c r="G117" s="761" t="s">
        <v>779</v>
      </c>
      <c r="H117" s="1251" t="s">
        <v>779</v>
      </c>
      <c r="I117" s="229">
        <f t="shared" si="27"/>
        <v>55</v>
      </c>
      <c r="J117" s="1327">
        <f t="shared" si="28"/>
        <v>0.96699999999999997</v>
      </c>
      <c r="K117" s="1327">
        <f t="shared" si="29"/>
        <v>3.3000000000000002E-2</v>
      </c>
      <c r="L117" s="1327">
        <f t="shared" si="30"/>
        <v>0</v>
      </c>
      <c r="M117" s="794">
        <f t="shared" si="130"/>
        <v>1</v>
      </c>
      <c r="N117" s="794">
        <f t="shared" si="130"/>
        <v>1.028</v>
      </c>
      <c r="O117" s="794">
        <f t="shared" si="130"/>
        <v>1.0382800000000001</v>
      </c>
      <c r="P117" s="794">
        <f t="shared" si="130"/>
        <v>1.0590455999999999</v>
      </c>
      <c r="Q117" s="786">
        <f t="shared" si="132"/>
        <v>46515.954038701879</v>
      </c>
      <c r="R117" s="226">
        <f t="shared" si="133"/>
        <v>46515.954038701879</v>
      </c>
      <c r="S117" s="226">
        <f t="shared" si="134"/>
        <v>47818.400751785535</v>
      </c>
      <c r="T117" s="226">
        <f t="shared" si="135"/>
        <v>48296.58475930339</v>
      </c>
      <c r="U117" s="800">
        <f t="shared" si="136"/>
        <v>49262.516454489451</v>
      </c>
      <c r="V117" s="226">
        <f t="shared" si="137"/>
        <v>98027.721541160325</v>
      </c>
      <c r="W117" s="169">
        <f t="shared" si="131"/>
        <v>84574.461888548874</v>
      </c>
      <c r="X117" s="169">
        <f t="shared" si="131"/>
        <v>84574.461888548874</v>
      </c>
      <c r="Y117" s="169">
        <f t="shared" si="131"/>
        <v>84574.461888548874</v>
      </c>
      <c r="Z117" s="742">
        <f t="shared" si="131"/>
        <v>84574.461888548874</v>
      </c>
      <c r="AA117" s="798">
        <f t="shared" si="138"/>
        <v>84574.461888548874</v>
      </c>
      <c r="AB117" s="798">
        <f t="shared" si="139"/>
        <v>86942.546821428245</v>
      </c>
      <c r="AC117" s="798">
        <f t="shared" si="140"/>
        <v>87811.972289642537</v>
      </c>
      <c r="AD117" s="799">
        <f t="shared" si="141"/>
        <v>89568.211735435369</v>
      </c>
      <c r="AE117" s="453"/>
      <c r="AF117" s="169">
        <f t="shared" si="152"/>
        <v>4567020.9419816388</v>
      </c>
      <c r="AG117" s="169">
        <f t="shared" si="153"/>
        <v>4607954.9815356964</v>
      </c>
      <c r="AH117" s="169">
        <f t="shared" si="154"/>
        <v>4566222.5590614108</v>
      </c>
      <c r="AI117" s="742">
        <f t="shared" si="155"/>
        <v>4567978.7985072033</v>
      </c>
      <c r="AJ117" s="169">
        <f t="shared" si="142"/>
        <v>349461.67652348394</v>
      </c>
      <c r="AK117" s="169">
        <f t="shared" si="143"/>
        <v>252828.92615671328</v>
      </c>
      <c r="AL117" s="169">
        <f t="shared" si="144"/>
        <v>252195.98441585334</v>
      </c>
      <c r="AM117" s="742">
        <f t="shared" si="145"/>
        <v>254015.44848169468</v>
      </c>
      <c r="AN117" s="169">
        <f t="shared" si="146"/>
        <v>515138.06761883502</v>
      </c>
      <c r="AO117" s="169">
        <f t="shared" si="147"/>
        <v>613165.78915999539</v>
      </c>
      <c r="AP117" s="169">
        <f t="shared" si="148"/>
        <v>592931.31811771553</v>
      </c>
      <c r="AQ117" s="169">
        <f t="shared" si="149"/>
        <v>0</v>
      </c>
      <c r="AR117" s="169">
        <f t="shared" si="150"/>
        <v>20234.471042279849</v>
      </c>
      <c r="AS117" s="169">
        <f t="shared" si="151"/>
        <v>0</v>
      </c>
      <c r="AT117" s="944"/>
      <c r="AV117" s="944"/>
    </row>
    <row r="118" spans="1:48" s="342" customFormat="1">
      <c r="A118" s="758" t="s">
        <v>1225</v>
      </c>
      <c r="B118" s="1041" t="s">
        <v>1151</v>
      </c>
      <c r="C118" s="763">
        <v>226996.57132472197</v>
      </c>
      <c r="D118" s="760">
        <v>41296</v>
      </c>
      <c r="E118" s="1315">
        <v>1</v>
      </c>
      <c r="F118" s="944" t="s">
        <v>1251</v>
      </c>
      <c r="G118" s="761" t="s">
        <v>779</v>
      </c>
      <c r="H118" s="1251" t="s">
        <v>779</v>
      </c>
      <c r="I118" s="229">
        <f t="shared" si="27"/>
        <v>55</v>
      </c>
      <c r="J118" s="1327">
        <f t="shared" si="28"/>
        <v>0.96699999999999997</v>
      </c>
      <c r="K118" s="1327">
        <f t="shared" si="29"/>
        <v>3.3000000000000002E-2</v>
      </c>
      <c r="L118" s="1327">
        <f t="shared" si="30"/>
        <v>0</v>
      </c>
      <c r="M118" s="794">
        <f t="shared" si="130"/>
        <v>1</v>
      </c>
      <c r="N118" s="794">
        <f t="shared" si="130"/>
        <v>1.028</v>
      </c>
      <c r="O118" s="794">
        <f t="shared" si="130"/>
        <v>1.0382800000000001</v>
      </c>
      <c r="P118" s="794">
        <f t="shared" si="130"/>
        <v>1.0590455999999999</v>
      </c>
      <c r="Q118" s="786">
        <f t="shared" si="132"/>
        <v>2269.9657132472198</v>
      </c>
      <c r="R118" s="226">
        <f t="shared" si="133"/>
        <v>2269.9657132472198</v>
      </c>
      <c r="S118" s="226">
        <f t="shared" si="134"/>
        <v>2333.524753218142</v>
      </c>
      <c r="T118" s="226">
        <f t="shared" si="135"/>
        <v>2356.8600007503237</v>
      </c>
      <c r="U118" s="800">
        <f t="shared" si="136"/>
        <v>2403.9972007653296</v>
      </c>
      <c r="V118" s="226">
        <f t="shared" si="137"/>
        <v>4783.7257440971898</v>
      </c>
      <c r="W118" s="169">
        <f t="shared" si="131"/>
        <v>4127.210387722218</v>
      </c>
      <c r="X118" s="169">
        <f t="shared" si="131"/>
        <v>4127.210387722218</v>
      </c>
      <c r="Y118" s="169">
        <f t="shared" si="131"/>
        <v>4127.210387722218</v>
      </c>
      <c r="Z118" s="742">
        <f t="shared" si="131"/>
        <v>4127.210387722218</v>
      </c>
      <c r="AA118" s="798">
        <f t="shared" si="138"/>
        <v>4127.210387722218</v>
      </c>
      <c r="AB118" s="798">
        <f t="shared" si="139"/>
        <v>4242.7722785784399</v>
      </c>
      <c r="AC118" s="798">
        <f t="shared" si="140"/>
        <v>4285.2000013642246</v>
      </c>
      <c r="AD118" s="799">
        <f t="shared" si="141"/>
        <v>4370.9040013915082</v>
      </c>
      <c r="AE118" s="453"/>
      <c r="AF118" s="169">
        <f t="shared" si="152"/>
        <v>222869.36093699976</v>
      </c>
      <c r="AG118" s="169">
        <f t="shared" si="153"/>
        <v>224866.93076465733</v>
      </c>
      <c r="AH118" s="169">
        <f t="shared" si="154"/>
        <v>222830.40007093968</v>
      </c>
      <c r="AI118" s="742">
        <f t="shared" si="155"/>
        <v>222916.10407096695</v>
      </c>
      <c r="AJ118" s="169">
        <f t="shared" si="142"/>
        <v>17053.633322068206</v>
      </c>
      <c r="AK118" s="169">
        <f t="shared" si="143"/>
        <v>12337.981786106102</v>
      </c>
      <c r="AL118" s="169">
        <f t="shared" si="144"/>
        <v>12307.094403918052</v>
      </c>
      <c r="AM118" s="742">
        <f t="shared" si="145"/>
        <v>12395.883747946318</v>
      </c>
      <c r="AN118" s="169">
        <f t="shared" si="146"/>
        <v>25138.595461468394</v>
      </c>
      <c r="AO118" s="169">
        <f t="shared" si="147"/>
        <v>29922.321205565582</v>
      </c>
      <c r="AP118" s="169">
        <f t="shared" si="148"/>
        <v>28934.884605781917</v>
      </c>
      <c r="AQ118" s="169">
        <f t="shared" si="149"/>
        <v>0</v>
      </c>
      <c r="AR118" s="169">
        <f t="shared" si="150"/>
        <v>987.43659978366429</v>
      </c>
      <c r="AS118" s="169">
        <f t="shared" si="151"/>
        <v>0</v>
      </c>
      <c r="AT118" s="944"/>
      <c r="AV118" s="944"/>
    </row>
    <row r="119" spans="1:48" s="342" customFormat="1">
      <c r="A119" s="758" t="s">
        <v>1225</v>
      </c>
      <c r="B119" s="1041" t="s">
        <v>1152</v>
      </c>
      <c r="C119" s="763">
        <v>412723.50901168305</v>
      </c>
      <c r="D119" s="760">
        <v>41296</v>
      </c>
      <c r="E119" s="1315">
        <v>34</v>
      </c>
      <c r="F119" s="944" t="s">
        <v>1251</v>
      </c>
      <c r="G119" s="761" t="s">
        <v>779</v>
      </c>
      <c r="H119" s="1251" t="s">
        <v>779</v>
      </c>
      <c r="I119" s="229">
        <f t="shared" si="27"/>
        <v>30</v>
      </c>
      <c r="J119" s="1327">
        <f t="shared" si="28"/>
        <v>0.96699999999999997</v>
      </c>
      <c r="K119" s="1327">
        <f t="shared" si="29"/>
        <v>3.3000000000000002E-2</v>
      </c>
      <c r="L119" s="1327">
        <f t="shared" si="30"/>
        <v>0</v>
      </c>
      <c r="M119" s="794">
        <f t="shared" si="130"/>
        <v>1</v>
      </c>
      <c r="N119" s="794">
        <f t="shared" si="130"/>
        <v>1.028</v>
      </c>
      <c r="O119" s="794">
        <f t="shared" si="130"/>
        <v>1.0382800000000001</v>
      </c>
      <c r="P119" s="794">
        <f t="shared" si="130"/>
        <v>1.0590455999999999</v>
      </c>
      <c r="Q119" s="786">
        <f t="shared" si="132"/>
        <v>4127.2350901168302</v>
      </c>
      <c r="R119" s="226">
        <f t="shared" si="133"/>
        <v>4127.2350901168302</v>
      </c>
      <c r="S119" s="226">
        <f t="shared" si="134"/>
        <v>4242.7976726401012</v>
      </c>
      <c r="T119" s="226">
        <f t="shared" si="135"/>
        <v>4285.2256493665027</v>
      </c>
      <c r="U119" s="800">
        <f t="shared" si="136"/>
        <v>4370.9301623538322</v>
      </c>
      <c r="V119" s="226">
        <f t="shared" si="137"/>
        <v>8697.7352289122064</v>
      </c>
      <c r="W119" s="169">
        <f t="shared" si="131"/>
        <v>13757.450300389435</v>
      </c>
      <c r="X119" s="169">
        <f t="shared" si="131"/>
        <v>13757.450300389435</v>
      </c>
      <c r="Y119" s="169">
        <f t="shared" si="131"/>
        <v>13757.450300389435</v>
      </c>
      <c r="Z119" s="742">
        <f t="shared" si="131"/>
        <v>13757.450300389435</v>
      </c>
      <c r="AA119" s="798">
        <f t="shared" si="138"/>
        <v>13757.450300389435</v>
      </c>
      <c r="AB119" s="798">
        <f t="shared" si="139"/>
        <v>14142.65890880034</v>
      </c>
      <c r="AC119" s="798">
        <f t="shared" si="140"/>
        <v>14284.085497888344</v>
      </c>
      <c r="AD119" s="799">
        <f t="shared" si="141"/>
        <v>14569.767207846109</v>
      </c>
      <c r="AE119" s="453"/>
      <c r="AF119" s="169">
        <f t="shared" si="152"/>
        <v>398966.05871129362</v>
      </c>
      <c r="AG119" s="169">
        <f t="shared" si="153"/>
        <v>395994.44944640953</v>
      </c>
      <c r="AH119" s="169">
        <f t="shared" si="154"/>
        <v>385670.30844298529</v>
      </c>
      <c r="AI119" s="742">
        <f t="shared" si="155"/>
        <v>378813.94740399887</v>
      </c>
      <c r="AJ119" s="169">
        <f t="shared" si="142"/>
        <v>36897.481705644466</v>
      </c>
      <c r="AK119" s="169">
        <f t="shared" si="143"/>
        <v>28398.459088871081</v>
      </c>
      <c r="AL119" s="169">
        <f t="shared" si="144"/>
        <v>28168.216601835811</v>
      </c>
      <c r="AM119" s="742">
        <f t="shared" si="145"/>
        <v>28207.069314390068</v>
      </c>
      <c r="AN119" s="169">
        <f t="shared" si="146"/>
        <v>57702.614054261721</v>
      </c>
      <c r="AO119" s="169">
        <f t="shared" si="147"/>
        <v>66400.349283173928</v>
      </c>
      <c r="AP119" s="169">
        <f t="shared" si="148"/>
        <v>64209.137756829186</v>
      </c>
      <c r="AQ119" s="169">
        <f t="shared" si="149"/>
        <v>0</v>
      </c>
      <c r="AR119" s="169">
        <f t="shared" si="150"/>
        <v>2191.2115263447399</v>
      </c>
      <c r="AS119" s="169">
        <f t="shared" si="151"/>
        <v>0</v>
      </c>
      <c r="AT119" s="944"/>
      <c r="AV119" s="944"/>
    </row>
    <row r="120" spans="1:48" s="342" customFormat="1">
      <c r="A120" s="758" t="s">
        <v>1225</v>
      </c>
      <c r="B120" s="1041" t="s">
        <v>1231</v>
      </c>
      <c r="C120" s="763">
        <v>124277.96520599999</v>
      </c>
      <c r="D120" s="760">
        <v>41821</v>
      </c>
      <c r="E120" s="1315">
        <v>21</v>
      </c>
      <c r="F120" s="944" t="s">
        <v>1251</v>
      </c>
      <c r="G120" s="761"/>
      <c r="H120" s="1251" t="s">
        <v>779</v>
      </c>
      <c r="I120" s="229">
        <f t="shared" si="27"/>
        <v>55</v>
      </c>
      <c r="J120" s="1327">
        <f t="shared" si="28"/>
        <v>0.96699999999999997</v>
      </c>
      <c r="K120" s="1327">
        <f t="shared" si="29"/>
        <v>3.3000000000000002E-2</v>
      </c>
      <c r="L120" s="1327">
        <f t="shared" si="30"/>
        <v>0</v>
      </c>
      <c r="M120" s="794">
        <f t="shared" ref="M120:P139" si="156">IF(YEAR($D120)&gt;M$78,0,HLOOKUP(M$78,$C$9:$F$13, YEAR($D120)-2011,FALSE))</f>
        <v>0</v>
      </c>
      <c r="N120" s="794">
        <f t="shared" si="156"/>
        <v>1</v>
      </c>
      <c r="O120" s="794">
        <f t="shared" si="156"/>
        <v>1.01</v>
      </c>
      <c r="P120" s="794">
        <f t="shared" si="156"/>
        <v>1.0302</v>
      </c>
      <c r="Q120" s="786">
        <f t="shared" si="132"/>
        <v>1242.77965206</v>
      </c>
      <c r="R120" s="226">
        <f t="shared" si="133"/>
        <v>0</v>
      </c>
      <c r="S120" s="226">
        <f t="shared" si="134"/>
        <v>1242.77965206</v>
      </c>
      <c r="T120" s="226">
        <f t="shared" si="135"/>
        <v>1255.2074485805999</v>
      </c>
      <c r="U120" s="800">
        <f t="shared" si="136"/>
        <v>1280.3115975522121</v>
      </c>
      <c r="V120" s="226">
        <f t="shared" si="137"/>
        <v>2547.6982867229995</v>
      </c>
      <c r="W120" s="169">
        <f t="shared" ref="W120:Z126" si="157">IF(YEAR($D120)&lt;W$78,$C120/$I120,IF(YEAR($D120)=W$78,(13-MONTH($D120))/12*$C120/$I120,0))</f>
        <v>0</v>
      </c>
      <c r="X120" s="169">
        <f t="shared" si="157"/>
        <v>1129.799683690909</v>
      </c>
      <c r="Y120" s="169">
        <f t="shared" si="157"/>
        <v>2259.599367381818</v>
      </c>
      <c r="Z120" s="742">
        <f t="shared" si="157"/>
        <v>2259.599367381818</v>
      </c>
      <c r="AA120" s="798">
        <f t="shared" si="138"/>
        <v>0</v>
      </c>
      <c r="AB120" s="798">
        <f t="shared" si="139"/>
        <v>1129.799683690909</v>
      </c>
      <c r="AC120" s="798">
        <f t="shared" si="140"/>
        <v>2282.1953610556361</v>
      </c>
      <c r="AD120" s="799">
        <f t="shared" si="141"/>
        <v>2327.839268276749</v>
      </c>
      <c r="AE120" s="453"/>
      <c r="AF120" s="169">
        <f t="shared" si="152"/>
        <v>0</v>
      </c>
      <c r="AG120" s="169">
        <f t="shared" si="153"/>
        <v>123148.16552230908</v>
      </c>
      <c r="AH120" s="169">
        <f t="shared" si="154"/>
        <v>122097.45181647653</v>
      </c>
      <c r="AI120" s="742">
        <f t="shared" si="155"/>
        <v>122211.56158452932</v>
      </c>
      <c r="AJ120" s="169">
        <f t="shared" si="142"/>
        <v>0</v>
      </c>
      <c r="AK120" s="169">
        <f t="shared" si="143"/>
        <v>5563.1336424940355</v>
      </c>
      <c r="AL120" s="169">
        <f t="shared" si="144"/>
        <v>6677.7036264487906</v>
      </c>
      <c r="AM120" s="742">
        <f t="shared" si="145"/>
        <v>6727.4554853198042</v>
      </c>
      <c r="AN120" s="169">
        <f t="shared" si="146"/>
        <v>12463.362614642585</v>
      </c>
      <c r="AO120" s="169">
        <f t="shared" si="147"/>
        <v>15011.060901365585</v>
      </c>
      <c r="AP120" s="169">
        <f t="shared" si="148"/>
        <v>0</v>
      </c>
      <c r="AQ120" s="169">
        <f t="shared" si="149"/>
        <v>14515.69589162052</v>
      </c>
      <c r="AR120" s="169">
        <f t="shared" si="150"/>
        <v>495.3650097450643</v>
      </c>
      <c r="AS120" s="169">
        <f t="shared" si="151"/>
        <v>0</v>
      </c>
      <c r="AT120" s="944"/>
      <c r="AV120" s="944"/>
    </row>
    <row r="121" spans="1:48" s="342" customFormat="1">
      <c r="A121" s="758" t="s">
        <v>1225</v>
      </c>
      <c r="B121" s="1041" t="s">
        <v>1227</v>
      </c>
      <c r="C121" s="763">
        <v>6064.7886856000005</v>
      </c>
      <c r="D121" s="760">
        <v>41821</v>
      </c>
      <c r="E121" s="1315">
        <v>1</v>
      </c>
      <c r="F121" s="944" t="s">
        <v>1251</v>
      </c>
      <c r="G121" s="761"/>
      <c r="H121" s="1251" t="s">
        <v>779</v>
      </c>
      <c r="I121" s="229">
        <f t="shared" si="27"/>
        <v>55</v>
      </c>
      <c r="J121" s="1327">
        <f t="shared" si="28"/>
        <v>0.96699999999999997</v>
      </c>
      <c r="K121" s="1327">
        <f t="shared" si="29"/>
        <v>3.3000000000000002E-2</v>
      </c>
      <c r="L121" s="1327">
        <f t="shared" si="30"/>
        <v>0</v>
      </c>
      <c r="M121" s="794">
        <f t="shared" si="156"/>
        <v>0</v>
      </c>
      <c r="N121" s="794">
        <f t="shared" si="156"/>
        <v>1</v>
      </c>
      <c r="O121" s="794">
        <f t="shared" si="156"/>
        <v>1.01</v>
      </c>
      <c r="P121" s="794">
        <f t="shared" si="156"/>
        <v>1.0302</v>
      </c>
      <c r="Q121" s="786">
        <f t="shared" si="132"/>
        <v>60.647886856000007</v>
      </c>
      <c r="R121" s="226">
        <f t="shared" si="133"/>
        <v>0</v>
      </c>
      <c r="S121" s="226">
        <f t="shared" si="134"/>
        <v>60.647886856000007</v>
      </c>
      <c r="T121" s="226">
        <f t="shared" si="135"/>
        <v>61.25436572456001</v>
      </c>
      <c r="U121" s="800">
        <f t="shared" si="136"/>
        <v>62.479453039051208</v>
      </c>
      <c r="V121" s="226">
        <f t="shared" si="137"/>
        <v>124.32816805479999</v>
      </c>
      <c r="W121" s="169">
        <f t="shared" si="157"/>
        <v>0</v>
      </c>
      <c r="X121" s="169">
        <f t="shared" si="157"/>
        <v>55.134442596363641</v>
      </c>
      <c r="Y121" s="169">
        <f t="shared" si="157"/>
        <v>110.26888519272728</v>
      </c>
      <c r="Z121" s="742">
        <f t="shared" si="157"/>
        <v>110.26888519272728</v>
      </c>
      <c r="AA121" s="798">
        <f t="shared" si="138"/>
        <v>0</v>
      </c>
      <c r="AB121" s="798">
        <f t="shared" si="139"/>
        <v>55.134442596363641</v>
      </c>
      <c r="AC121" s="798">
        <f t="shared" si="140"/>
        <v>111.37157404465455</v>
      </c>
      <c r="AD121" s="799">
        <f t="shared" si="141"/>
        <v>113.59900552554765</v>
      </c>
      <c r="AE121" s="453"/>
      <c r="AF121" s="169">
        <f t="shared" si="152"/>
        <v>0</v>
      </c>
      <c r="AG121" s="169">
        <f t="shared" si="153"/>
        <v>6009.654243003637</v>
      </c>
      <c r="AH121" s="169">
        <f t="shared" si="154"/>
        <v>5958.3792113890195</v>
      </c>
      <c r="AI121" s="742">
        <f t="shared" si="155"/>
        <v>5963.9477900912525</v>
      </c>
      <c r="AJ121" s="169">
        <f t="shared" si="142"/>
        <v>0</v>
      </c>
      <c r="AK121" s="169">
        <f t="shared" si="143"/>
        <v>271.48199534449452</v>
      </c>
      <c r="AL121" s="169">
        <f t="shared" si="144"/>
        <v>325.87322565465922</v>
      </c>
      <c r="AM121" s="742">
        <f t="shared" si="145"/>
        <v>328.30112596883271</v>
      </c>
      <c r="AN121" s="169">
        <f t="shared" si="146"/>
        <v>608.21450081293347</v>
      </c>
      <c r="AO121" s="169">
        <f t="shared" si="147"/>
        <v>732.54266886773348</v>
      </c>
      <c r="AP121" s="169">
        <f t="shared" si="148"/>
        <v>0</v>
      </c>
      <c r="AQ121" s="169">
        <f t="shared" si="149"/>
        <v>708.3687607950983</v>
      </c>
      <c r="AR121" s="169">
        <f t="shared" si="150"/>
        <v>24.173908072635207</v>
      </c>
      <c r="AS121" s="169">
        <f t="shared" si="151"/>
        <v>0</v>
      </c>
      <c r="AT121" s="944"/>
      <c r="AV121" s="944"/>
    </row>
    <row r="122" spans="1:48" s="342" customFormat="1">
      <c r="A122" s="758" t="s">
        <v>1225</v>
      </c>
      <c r="B122" s="1041" t="s">
        <v>1226</v>
      </c>
      <c r="C122" s="763">
        <v>11026.73053828</v>
      </c>
      <c r="D122" s="760">
        <v>41821</v>
      </c>
      <c r="E122" s="1315">
        <v>34</v>
      </c>
      <c r="F122" s="944" t="s">
        <v>1251</v>
      </c>
      <c r="G122" s="761"/>
      <c r="H122" s="1251" t="s">
        <v>779</v>
      </c>
      <c r="I122" s="229">
        <f t="shared" si="27"/>
        <v>30</v>
      </c>
      <c r="J122" s="1327">
        <f t="shared" si="28"/>
        <v>0.96699999999999997</v>
      </c>
      <c r="K122" s="1327">
        <f t="shared" si="29"/>
        <v>3.3000000000000002E-2</v>
      </c>
      <c r="L122" s="1327">
        <f t="shared" si="30"/>
        <v>0</v>
      </c>
      <c r="M122" s="794">
        <f t="shared" si="156"/>
        <v>0</v>
      </c>
      <c r="N122" s="794">
        <f t="shared" si="156"/>
        <v>1</v>
      </c>
      <c r="O122" s="794">
        <f t="shared" si="156"/>
        <v>1.01</v>
      </c>
      <c r="P122" s="794">
        <f t="shared" si="156"/>
        <v>1.0302</v>
      </c>
      <c r="Q122" s="786">
        <f t="shared" si="132"/>
        <v>110.2673053828</v>
      </c>
      <c r="R122" s="226">
        <f t="shared" si="133"/>
        <v>0</v>
      </c>
      <c r="S122" s="226">
        <f t="shared" si="134"/>
        <v>110.2673053828</v>
      </c>
      <c r="T122" s="226">
        <f t="shared" si="135"/>
        <v>111.369978436628</v>
      </c>
      <c r="U122" s="800">
        <f t="shared" si="136"/>
        <v>113.59737800536057</v>
      </c>
      <c r="V122" s="226">
        <f t="shared" si="137"/>
        <v>226.04797603473997</v>
      </c>
      <c r="W122" s="169">
        <f t="shared" si="157"/>
        <v>0</v>
      </c>
      <c r="X122" s="169">
        <f t="shared" si="157"/>
        <v>183.77884230466668</v>
      </c>
      <c r="Y122" s="169">
        <f t="shared" si="157"/>
        <v>367.55768460933336</v>
      </c>
      <c r="Z122" s="742">
        <f t="shared" si="157"/>
        <v>367.55768460933336</v>
      </c>
      <c r="AA122" s="798">
        <f t="shared" si="138"/>
        <v>0</v>
      </c>
      <c r="AB122" s="798">
        <f t="shared" si="139"/>
        <v>183.77884230466668</v>
      </c>
      <c r="AC122" s="798">
        <f t="shared" si="140"/>
        <v>371.23326145542671</v>
      </c>
      <c r="AD122" s="799">
        <f t="shared" si="141"/>
        <v>378.65792668453525</v>
      </c>
      <c r="AE122" s="453"/>
      <c r="AF122" s="169">
        <f t="shared" si="152"/>
        <v>0</v>
      </c>
      <c r="AG122" s="169">
        <f t="shared" si="153"/>
        <v>10842.951695975335</v>
      </c>
      <c r="AH122" s="169">
        <f t="shared" si="154"/>
        <v>10580.147951479661</v>
      </c>
      <c r="AI122" s="742">
        <f t="shared" si="155"/>
        <v>10413.092983824719</v>
      </c>
      <c r="AJ122" s="169">
        <f t="shared" si="142"/>
        <v>0</v>
      </c>
      <c r="AK122" s="169">
        <f t="shared" si="143"/>
        <v>574.12510335977868</v>
      </c>
      <c r="AL122" s="169">
        <f t="shared" si="144"/>
        <v>752.11858770869446</v>
      </c>
      <c r="AM122" s="742">
        <f t="shared" si="145"/>
        <v>753.52927410222514</v>
      </c>
      <c r="AN122" s="169">
        <f t="shared" si="146"/>
        <v>1349.208695202864</v>
      </c>
      <c r="AO122" s="169">
        <f t="shared" si="147"/>
        <v>1575.256671237604</v>
      </c>
      <c r="AP122" s="169">
        <f t="shared" si="148"/>
        <v>0</v>
      </c>
      <c r="AQ122" s="169">
        <f t="shared" si="149"/>
        <v>1523.273201086763</v>
      </c>
      <c r="AR122" s="169">
        <f t="shared" si="150"/>
        <v>51.983470150840937</v>
      </c>
      <c r="AS122" s="169">
        <f t="shared" si="151"/>
        <v>0</v>
      </c>
      <c r="AT122" s="944"/>
      <c r="AV122" s="944"/>
    </row>
    <row r="123" spans="1:48" s="342" customFormat="1">
      <c r="A123" s="758" t="s">
        <v>1248</v>
      </c>
      <c r="B123" s="1041" t="s">
        <v>1150</v>
      </c>
      <c r="C123" s="763">
        <v>3230998.4343904322</v>
      </c>
      <c r="D123" s="760">
        <v>41453</v>
      </c>
      <c r="E123" s="1315">
        <v>17</v>
      </c>
      <c r="F123" s="944" t="s">
        <v>1251</v>
      </c>
      <c r="G123" s="761" t="s">
        <v>779</v>
      </c>
      <c r="H123" s="1251" t="s">
        <v>779</v>
      </c>
      <c r="I123" s="229">
        <f t="shared" si="27"/>
        <v>30</v>
      </c>
      <c r="J123" s="1327">
        <f t="shared" si="28"/>
        <v>0</v>
      </c>
      <c r="K123" s="1327">
        <f t="shared" si="29"/>
        <v>0</v>
      </c>
      <c r="L123" s="1327">
        <f t="shared" si="30"/>
        <v>1</v>
      </c>
      <c r="M123" s="794">
        <f t="shared" si="156"/>
        <v>1</v>
      </c>
      <c r="N123" s="794">
        <f t="shared" si="156"/>
        <v>1.028</v>
      </c>
      <c r="O123" s="794">
        <f t="shared" si="156"/>
        <v>1.0382800000000001</v>
      </c>
      <c r="P123" s="794">
        <f t="shared" si="156"/>
        <v>1.0590455999999999</v>
      </c>
      <c r="Q123" s="786">
        <f t="shared" ref="Q123:Q158" si="158">C123*$B$6</f>
        <v>32309.984343904322</v>
      </c>
      <c r="R123" s="226">
        <f t="shared" ref="R123:R158" si="159">$Q123*M123</f>
        <v>32309.984343904322</v>
      </c>
      <c r="S123" s="226">
        <f t="shared" ref="S123:S158" si="160">$Q123*N123</f>
        <v>33214.663905533642</v>
      </c>
      <c r="T123" s="226">
        <f t="shared" ref="T123:T158" si="161">$Q123*O123</f>
        <v>33546.810544588981</v>
      </c>
      <c r="U123" s="800">
        <f t="shared" ref="U123:U158" si="162">$Q123*P123</f>
        <v>34217.746755480759</v>
      </c>
      <c r="V123" s="226">
        <f t="shared" ref="V123:V158" si="163">IF(H123="nee",T123,IF(G123="ja",S123*(1+$C$16)+T123,R123*(1+$B$16)+S123*(1+$C$16)+T123))</f>
        <v>68090.061006343953</v>
      </c>
      <c r="W123" s="169">
        <f t="shared" si="157"/>
        <v>62824.969557591743</v>
      </c>
      <c r="X123" s="169">
        <f t="shared" si="157"/>
        <v>107699.94781301441</v>
      </c>
      <c r="Y123" s="169">
        <f t="shared" si="157"/>
        <v>107699.94781301441</v>
      </c>
      <c r="Z123" s="742">
        <f t="shared" si="157"/>
        <v>107699.94781301441</v>
      </c>
      <c r="AA123" s="798">
        <f t="shared" ref="AA123:AA158" si="164">W123*M123</f>
        <v>62824.969557591743</v>
      </c>
      <c r="AB123" s="798">
        <f t="shared" ref="AB123:AB158" si="165">X123*N123</f>
        <v>110715.54635177882</v>
      </c>
      <c r="AC123" s="798">
        <f t="shared" ref="AC123:AC158" si="166">Y123*O123</f>
        <v>111822.70181529662</v>
      </c>
      <c r="AD123" s="799">
        <f t="shared" ref="AD123:AD158" si="167">Z123*P123</f>
        <v>114059.15585160253</v>
      </c>
      <c r="AE123" s="453"/>
      <c r="AF123" s="169">
        <f t="shared" si="152"/>
        <v>3168173.4648328405</v>
      </c>
      <c r="AG123" s="169">
        <f t="shared" si="153"/>
        <v>3146166.7754963813</v>
      </c>
      <c r="AH123" s="169">
        <f t="shared" si="154"/>
        <v>3065805.7414360489</v>
      </c>
      <c r="AI123" s="742">
        <f t="shared" si="155"/>
        <v>3013062.7004131675</v>
      </c>
      <c r="AJ123" s="169">
        <f t="shared" ref="AJ123:AJ158" si="168">AF123*$B$4+AA123</f>
        <v>246579.03051789649</v>
      </c>
      <c r="AK123" s="169">
        <f t="shared" ref="AK123:AK158" si="169">AG123*$B$5+AB123</f>
        <v>223977.55026964855</v>
      </c>
      <c r="AL123" s="169">
        <f t="shared" ref="AL123:AL158" si="170">AH123*$B$5+AC123</f>
        <v>222191.70850699436</v>
      </c>
      <c r="AM123" s="742">
        <f t="shared" ref="AM123:AM158" si="171">AI123*$B$5+AD123</f>
        <v>222529.41306647653</v>
      </c>
      <c r="AN123" s="169">
        <f t="shared" ref="AN123:AN158" si="172">IF(H123="nee",AL123,IF(G123="ja",AK123*(1+$C$16)+AL123, AJ123*(1+$B$16)+AK123*(1+$C$16)+AL123))</f>
        <v>455128.3607874288</v>
      </c>
      <c r="AO123" s="169">
        <f t="shared" ref="AO123:AO158" si="173">AN123+V123</f>
        <v>523218.42179377272</v>
      </c>
      <c r="AP123" s="169">
        <f t="shared" ref="AP123:AP158" si="174">IF(YEAR(D123)&lt;2014,$AO123*J123,0)</f>
        <v>0</v>
      </c>
      <c r="AQ123" s="169">
        <f t="shared" ref="AQ123:AQ158" si="175">IF(YEAR(D123)&gt;2013,$AO123*J123,0)</f>
        <v>0</v>
      </c>
      <c r="AR123" s="169">
        <f t="shared" ref="AR123:AR158" si="176">$AO123*K123</f>
        <v>0</v>
      </c>
      <c r="AS123" s="169">
        <f t="shared" ref="AS123:AS158" si="177">$AO123*L123</f>
        <v>523218.42179377272</v>
      </c>
      <c r="AT123" s="944"/>
      <c r="AV123" s="944"/>
    </row>
    <row r="124" spans="1:48" s="342" customFormat="1">
      <c r="A124" s="758" t="s">
        <v>1248</v>
      </c>
      <c r="B124" s="1041" t="s">
        <v>1224</v>
      </c>
      <c r="C124" s="763">
        <v>94650.662523999999</v>
      </c>
      <c r="D124" s="760">
        <v>41821</v>
      </c>
      <c r="E124" s="1315">
        <v>17</v>
      </c>
      <c r="F124" s="944" t="s">
        <v>1251</v>
      </c>
      <c r="G124" s="761"/>
      <c r="H124" s="1251" t="s">
        <v>779</v>
      </c>
      <c r="I124" s="229">
        <f t="shared" si="27"/>
        <v>30</v>
      </c>
      <c r="J124" s="1327">
        <f t="shared" si="28"/>
        <v>0</v>
      </c>
      <c r="K124" s="1327">
        <f t="shared" si="29"/>
        <v>0</v>
      </c>
      <c r="L124" s="1327">
        <f t="shared" si="30"/>
        <v>1</v>
      </c>
      <c r="M124" s="794">
        <f t="shared" si="156"/>
        <v>0</v>
      </c>
      <c r="N124" s="794">
        <f t="shared" si="156"/>
        <v>1</v>
      </c>
      <c r="O124" s="794">
        <f t="shared" si="156"/>
        <v>1.01</v>
      </c>
      <c r="P124" s="794">
        <f t="shared" si="156"/>
        <v>1.0302</v>
      </c>
      <c r="Q124" s="786">
        <f t="shared" si="158"/>
        <v>946.50662524000006</v>
      </c>
      <c r="R124" s="226">
        <f t="shared" si="159"/>
        <v>0</v>
      </c>
      <c r="S124" s="226">
        <f t="shared" si="160"/>
        <v>946.50662524000006</v>
      </c>
      <c r="T124" s="226">
        <f t="shared" si="161"/>
        <v>955.97169149240005</v>
      </c>
      <c r="U124" s="800">
        <f t="shared" si="162"/>
        <v>975.0911253222481</v>
      </c>
      <c r="V124" s="226">
        <f t="shared" si="163"/>
        <v>1940.3385817419999</v>
      </c>
      <c r="W124" s="169">
        <f t="shared" si="157"/>
        <v>0</v>
      </c>
      <c r="X124" s="169">
        <f t="shared" si="157"/>
        <v>1577.5110420666667</v>
      </c>
      <c r="Y124" s="169">
        <f t="shared" si="157"/>
        <v>3155.0220841333335</v>
      </c>
      <c r="Z124" s="742">
        <f t="shared" si="157"/>
        <v>3155.0220841333335</v>
      </c>
      <c r="AA124" s="798">
        <f t="shared" si="164"/>
        <v>0</v>
      </c>
      <c r="AB124" s="798">
        <f t="shared" si="165"/>
        <v>1577.5110420666667</v>
      </c>
      <c r="AC124" s="798">
        <f t="shared" si="166"/>
        <v>3186.5723049746666</v>
      </c>
      <c r="AD124" s="799">
        <f t="shared" si="167"/>
        <v>3250.3037510741601</v>
      </c>
      <c r="AE124" s="453"/>
      <c r="AF124" s="169">
        <f t="shared" si="152"/>
        <v>0</v>
      </c>
      <c r="AG124" s="169">
        <f t="shared" si="153"/>
        <v>93073.151481933339</v>
      </c>
      <c r="AH124" s="169">
        <f t="shared" si="154"/>
        <v>90817.310691777995</v>
      </c>
      <c r="AI124" s="742">
        <f t="shared" si="155"/>
        <v>89383.353154539407</v>
      </c>
      <c r="AJ124" s="169">
        <f t="shared" si="168"/>
        <v>0</v>
      </c>
      <c r="AK124" s="169">
        <f t="shared" si="169"/>
        <v>4928.1444954162671</v>
      </c>
      <c r="AL124" s="169">
        <f t="shared" si="170"/>
        <v>6455.9954898786746</v>
      </c>
      <c r="AM124" s="742">
        <f t="shared" si="171"/>
        <v>6468.1044646375785</v>
      </c>
      <c r="AN124" s="169">
        <f t="shared" si="172"/>
        <v>11581.265765111591</v>
      </c>
      <c r="AO124" s="169">
        <f t="shared" si="173"/>
        <v>13521.604346853592</v>
      </c>
      <c r="AP124" s="169">
        <f t="shared" si="174"/>
        <v>0</v>
      </c>
      <c r="AQ124" s="169">
        <f t="shared" si="175"/>
        <v>0</v>
      </c>
      <c r="AR124" s="169">
        <f t="shared" si="176"/>
        <v>0</v>
      </c>
      <c r="AS124" s="169">
        <f t="shared" si="177"/>
        <v>13521.604346853592</v>
      </c>
      <c r="AT124" s="944"/>
      <c r="AV124" s="944"/>
    </row>
    <row r="125" spans="1:48" s="342" customFormat="1">
      <c r="A125" s="774" t="s">
        <v>1434</v>
      </c>
      <c r="B125" s="775" t="s">
        <v>775</v>
      </c>
      <c r="C125" s="1252">
        <v>120897.372267345</v>
      </c>
      <c r="D125" s="776">
        <v>41456</v>
      </c>
      <c r="E125" s="1317">
        <v>21</v>
      </c>
      <c r="F125" s="944" t="s">
        <v>1251</v>
      </c>
      <c r="G125" s="777" t="s">
        <v>852</v>
      </c>
      <c r="H125" s="789" t="s">
        <v>852</v>
      </c>
      <c r="I125" s="229">
        <f t="shared" si="27"/>
        <v>55</v>
      </c>
      <c r="J125" s="1327">
        <f t="shared" si="28"/>
        <v>0.96699999999999997</v>
      </c>
      <c r="K125" s="1327">
        <f t="shared" si="29"/>
        <v>3.3000000000000002E-2</v>
      </c>
      <c r="L125" s="1327">
        <f t="shared" si="30"/>
        <v>0</v>
      </c>
      <c r="M125" s="794">
        <f t="shared" si="156"/>
        <v>1</v>
      </c>
      <c r="N125" s="794">
        <f t="shared" si="156"/>
        <v>1.028</v>
      </c>
      <c r="O125" s="794">
        <f t="shared" si="156"/>
        <v>1.0382800000000001</v>
      </c>
      <c r="P125" s="794">
        <f t="shared" si="156"/>
        <v>1.0590455999999999</v>
      </c>
      <c r="Q125" s="786">
        <f t="shared" si="158"/>
        <v>1208.9737226734501</v>
      </c>
      <c r="R125" s="226">
        <f t="shared" si="159"/>
        <v>1208.9737226734501</v>
      </c>
      <c r="S125" s="226">
        <f t="shared" si="160"/>
        <v>1242.8249869083068</v>
      </c>
      <c r="T125" s="226">
        <f t="shared" si="161"/>
        <v>1255.2532367773899</v>
      </c>
      <c r="U125" s="800">
        <f t="shared" si="162"/>
        <v>1280.3583015129375</v>
      </c>
      <c r="V125" s="226">
        <f t="shared" si="163"/>
        <v>1255.2532367773899</v>
      </c>
      <c r="W125" s="169">
        <f t="shared" si="157"/>
        <v>1099.0670206122272</v>
      </c>
      <c r="X125" s="169">
        <f t="shared" si="157"/>
        <v>2198.1340412244544</v>
      </c>
      <c r="Y125" s="169">
        <f t="shared" si="157"/>
        <v>2198.1340412244544</v>
      </c>
      <c r="Z125" s="742">
        <f t="shared" si="157"/>
        <v>2198.1340412244544</v>
      </c>
      <c r="AA125" s="798">
        <f t="shared" si="164"/>
        <v>1099.0670206122272</v>
      </c>
      <c r="AB125" s="798">
        <f t="shared" si="165"/>
        <v>2259.6817943787391</v>
      </c>
      <c r="AC125" s="798">
        <f t="shared" si="166"/>
        <v>2282.2786123225269</v>
      </c>
      <c r="AD125" s="799">
        <f t="shared" si="167"/>
        <v>2327.9241845689771</v>
      </c>
      <c r="AE125" s="453"/>
      <c r="AF125" s="169">
        <f t="shared" si="152"/>
        <v>119798.30524673277</v>
      </c>
      <c r="AG125" s="169">
        <f t="shared" si="153"/>
        <v>120892.97599926253</v>
      </c>
      <c r="AH125" s="169">
        <f t="shared" si="154"/>
        <v>119819.62714693263</v>
      </c>
      <c r="AI125" s="742">
        <f t="shared" si="155"/>
        <v>119888.09550530231</v>
      </c>
      <c r="AJ125" s="169">
        <f t="shared" si="168"/>
        <v>8047.3687249227278</v>
      </c>
      <c r="AK125" s="169">
        <f t="shared" si="169"/>
        <v>6611.8289303521897</v>
      </c>
      <c r="AL125" s="169">
        <f t="shared" si="170"/>
        <v>6595.785189612101</v>
      </c>
      <c r="AM125" s="742">
        <f t="shared" si="171"/>
        <v>6643.8956227598592</v>
      </c>
      <c r="AN125" s="169">
        <f t="shared" si="172"/>
        <v>6595.785189612101</v>
      </c>
      <c r="AO125" s="169">
        <f t="shared" si="173"/>
        <v>7851.0384263894912</v>
      </c>
      <c r="AP125" s="169">
        <f t="shared" si="174"/>
        <v>7591.9541583186374</v>
      </c>
      <c r="AQ125" s="169">
        <f t="shared" si="175"/>
        <v>0</v>
      </c>
      <c r="AR125" s="169">
        <f t="shared" si="176"/>
        <v>259.08426807085323</v>
      </c>
      <c r="AS125" s="169">
        <f t="shared" si="177"/>
        <v>0</v>
      </c>
      <c r="AT125" s="944"/>
      <c r="AV125" s="944"/>
    </row>
    <row r="126" spans="1:48" s="342" customFormat="1">
      <c r="A126" s="774" t="s">
        <v>1434</v>
      </c>
      <c r="B126" s="775" t="s">
        <v>773</v>
      </c>
      <c r="C126" s="1252">
        <v>343549.79753015994</v>
      </c>
      <c r="D126" s="776">
        <v>41456</v>
      </c>
      <c r="E126" s="1317">
        <v>15</v>
      </c>
      <c r="F126" s="944" t="s">
        <v>1251</v>
      </c>
      <c r="G126" s="777" t="s">
        <v>852</v>
      </c>
      <c r="H126" s="789" t="s">
        <v>852</v>
      </c>
      <c r="I126" s="229">
        <f t="shared" si="27"/>
        <v>30</v>
      </c>
      <c r="J126" s="1327">
        <f t="shared" si="28"/>
        <v>0.96699999999999997</v>
      </c>
      <c r="K126" s="1327">
        <f t="shared" si="29"/>
        <v>3.3000000000000002E-2</v>
      </c>
      <c r="L126" s="1327">
        <f t="shared" si="30"/>
        <v>0</v>
      </c>
      <c r="M126" s="794">
        <f t="shared" si="156"/>
        <v>1</v>
      </c>
      <c r="N126" s="794">
        <f t="shared" si="156"/>
        <v>1.028</v>
      </c>
      <c r="O126" s="794">
        <f t="shared" si="156"/>
        <v>1.0382800000000001</v>
      </c>
      <c r="P126" s="794">
        <f t="shared" si="156"/>
        <v>1.0590455999999999</v>
      </c>
      <c r="Q126" s="786">
        <f t="shared" si="158"/>
        <v>3435.4979753015996</v>
      </c>
      <c r="R126" s="226">
        <f t="shared" si="159"/>
        <v>3435.4979753015996</v>
      </c>
      <c r="S126" s="226">
        <f t="shared" si="160"/>
        <v>3531.6919186100445</v>
      </c>
      <c r="T126" s="226">
        <f t="shared" si="161"/>
        <v>3567.0088377961451</v>
      </c>
      <c r="U126" s="800">
        <f t="shared" si="162"/>
        <v>3638.3490145520673</v>
      </c>
      <c r="V126" s="226">
        <f t="shared" si="163"/>
        <v>3567.0088377961451</v>
      </c>
      <c r="W126" s="169">
        <f t="shared" si="157"/>
        <v>5725.8299588359987</v>
      </c>
      <c r="X126" s="169">
        <f t="shared" si="157"/>
        <v>11451.659917671997</v>
      </c>
      <c r="Y126" s="169">
        <f t="shared" si="157"/>
        <v>11451.659917671997</v>
      </c>
      <c r="Z126" s="742">
        <f t="shared" si="157"/>
        <v>11451.659917671997</v>
      </c>
      <c r="AA126" s="798">
        <f t="shared" si="164"/>
        <v>5725.8299588359987</v>
      </c>
      <c r="AB126" s="798">
        <f t="shared" si="165"/>
        <v>11772.306395366813</v>
      </c>
      <c r="AC126" s="798">
        <f t="shared" si="166"/>
        <v>11890.029459320482</v>
      </c>
      <c r="AD126" s="799">
        <f t="shared" si="167"/>
        <v>12127.83004850689</v>
      </c>
      <c r="AE126" s="453"/>
      <c r="AF126" s="169">
        <f t="shared" si="152"/>
        <v>337823.96757132391</v>
      </c>
      <c r="AG126" s="169">
        <f t="shared" si="153"/>
        <v>335510.73226795421</v>
      </c>
      <c r="AH126" s="169">
        <f t="shared" si="154"/>
        <v>326975.81013131328</v>
      </c>
      <c r="AI126" s="742">
        <f t="shared" si="155"/>
        <v>321387.49628543266</v>
      </c>
      <c r="AJ126" s="169">
        <f t="shared" si="168"/>
        <v>25319.620077972788</v>
      </c>
      <c r="AK126" s="169">
        <f t="shared" si="169"/>
        <v>23850.692757013167</v>
      </c>
      <c r="AL126" s="169">
        <f t="shared" si="170"/>
        <v>23661.158624047759</v>
      </c>
      <c r="AM126" s="742">
        <f t="shared" si="171"/>
        <v>23697.779914782463</v>
      </c>
      <c r="AN126" s="169">
        <f t="shared" si="172"/>
        <v>23661.158624047759</v>
      </c>
      <c r="AO126" s="169">
        <f t="shared" si="173"/>
        <v>27228.167461843903</v>
      </c>
      <c r="AP126" s="169">
        <f t="shared" si="174"/>
        <v>26329.637935603052</v>
      </c>
      <c r="AQ126" s="169">
        <f t="shared" si="175"/>
        <v>0</v>
      </c>
      <c r="AR126" s="169">
        <f t="shared" si="176"/>
        <v>898.52952624084878</v>
      </c>
      <c r="AS126" s="169">
        <f t="shared" si="177"/>
        <v>0</v>
      </c>
      <c r="AT126" s="944"/>
      <c r="AV126" s="944"/>
    </row>
    <row r="127" spans="1:48" s="342" customFormat="1">
      <c r="A127" s="778" t="s">
        <v>1434</v>
      </c>
      <c r="B127" s="775" t="s">
        <v>776</v>
      </c>
      <c r="C127" s="1252">
        <v>18054.16293834</v>
      </c>
      <c r="D127" s="776">
        <v>41456</v>
      </c>
      <c r="E127" s="1317">
        <v>32</v>
      </c>
      <c r="F127" s="944" t="s">
        <v>1251</v>
      </c>
      <c r="G127" s="777" t="s">
        <v>852</v>
      </c>
      <c r="H127" s="789" t="s">
        <v>852</v>
      </c>
      <c r="I127" s="229">
        <f t="shared" si="27"/>
        <v>30</v>
      </c>
      <c r="J127" s="1327">
        <f t="shared" si="28"/>
        <v>0.96699999999999997</v>
      </c>
      <c r="K127" s="1327">
        <f t="shared" si="29"/>
        <v>3.3000000000000002E-2</v>
      </c>
      <c r="L127" s="1327">
        <f t="shared" si="30"/>
        <v>0</v>
      </c>
      <c r="M127" s="794">
        <f t="shared" si="156"/>
        <v>1</v>
      </c>
      <c r="N127" s="794">
        <f t="shared" si="156"/>
        <v>1.028</v>
      </c>
      <c r="O127" s="794">
        <f t="shared" si="156"/>
        <v>1.0382800000000001</v>
      </c>
      <c r="P127" s="794">
        <f t="shared" si="156"/>
        <v>1.0590455999999999</v>
      </c>
      <c r="Q127" s="786">
        <f t="shared" si="158"/>
        <v>180.54162938339999</v>
      </c>
      <c r="R127" s="226">
        <f t="shared" si="159"/>
        <v>180.54162938339999</v>
      </c>
      <c r="S127" s="226">
        <f t="shared" si="160"/>
        <v>185.59679500613521</v>
      </c>
      <c r="T127" s="226">
        <f t="shared" si="161"/>
        <v>187.45276295619655</v>
      </c>
      <c r="U127" s="800">
        <f t="shared" si="162"/>
        <v>191.20181821532046</v>
      </c>
      <c r="V127" s="226">
        <f t="shared" si="163"/>
        <v>187.45276295619655</v>
      </c>
      <c r="W127" s="169">
        <f t="shared" ref="W127:Z158" si="178">IF(YEAR($D127)&lt;W$78,$C127/$I127,IF(YEAR($D127)=W$78,(13-MONTH($D127))/12*$C127/$I127,0))</f>
        <v>300.90271563900001</v>
      </c>
      <c r="X127" s="169">
        <f t="shared" si="178"/>
        <v>601.80543127800001</v>
      </c>
      <c r="Y127" s="169">
        <f t="shared" si="178"/>
        <v>601.80543127800001</v>
      </c>
      <c r="Z127" s="742">
        <f t="shared" si="178"/>
        <v>601.80543127800001</v>
      </c>
      <c r="AA127" s="798">
        <f t="shared" si="164"/>
        <v>300.90271563900001</v>
      </c>
      <c r="AB127" s="798">
        <f t="shared" si="165"/>
        <v>618.65598335378399</v>
      </c>
      <c r="AC127" s="798">
        <f t="shared" si="166"/>
        <v>624.84254318732189</v>
      </c>
      <c r="AD127" s="799">
        <f t="shared" si="167"/>
        <v>637.33939405106821</v>
      </c>
      <c r="AE127" s="453"/>
      <c r="AF127" s="169">
        <f t="shared" si="152"/>
        <v>17753.260222700999</v>
      </c>
      <c r="AG127" s="169">
        <f t="shared" si="153"/>
        <v>17631.695525582843</v>
      </c>
      <c r="AH127" s="169">
        <f t="shared" si="154"/>
        <v>17183.16993765135</v>
      </c>
      <c r="AI127" s="742">
        <f t="shared" si="155"/>
        <v>16889.493942353307</v>
      </c>
      <c r="AJ127" s="169">
        <f t="shared" si="168"/>
        <v>1330.591808555658</v>
      </c>
      <c r="AK127" s="169">
        <f t="shared" si="169"/>
        <v>1253.3970222747662</v>
      </c>
      <c r="AL127" s="169">
        <f t="shared" si="170"/>
        <v>1243.4366609427705</v>
      </c>
      <c r="AM127" s="742">
        <f t="shared" si="171"/>
        <v>1245.3611759757873</v>
      </c>
      <c r="AN127" s="169">
        <f t="shared" si="172"/>
        <v>1243.4366609427705</v>
      </c>
      <c r="AO127" s="169">
        <f t="shared" si="173"/>
        <v>1430.8894238989669</v>
      </c>
      <c r="AP127" s="169">
        <f t="shared" si="174"/>
        <v>1383.6700729103011</v>
      </c>
      <c r="AQ127" s="169">
        <f t="shared" si="175"/>
        <v>0</v>
      </c>
      <c r="AR127" s="169">
        <f t="shared" si="176"/>
        <v>47.219350988665909</v>
      </c>
      <c r="AS127" s="169">
        <f t="shared" si="177"/>
        <v>0</v>
      </c>
      <c r="AT127" s="944"/>
      <c r="AV127" s="944"/>
    </row>
    <row r="128" spans="1:48" s="342" customFormat="1">
      <c r="A128" s="762" t="s">
        <v>1434</v>
      </c>
      <c r="B128" s="1041" t="s">
        <v>1231</v>
      </c>
      <c r="C128" s="763">
        <v>877945.01202706771</v>
      </c>
      <c r="D128" s="760">
        <v>41639</v>
      </c>
      <c r="E128" s="1315">
        <v>21</v>
      </c>
      <c r="F128" s="944" t="s">
        <v>1251</v>
      </c>
      <c r="G128" s="761" t="s">
        <v>852</v>
      </c>
      <c r="H128" s="1251" t="s">
        <v>779</v>
      </c>
      <c r="I128" s="229">
        <f t="shared" si="27"/>
        <v>55</v>
      </c>
      <c r="J128" s="1327">
        <f t="shared" si="28"/>
        <v>0.96699999999999997</v>
      </c>
      <c r="K128" s="1327">
        <f t="shared" si="29"/>
        <v>3.3000000000000002E-2</v>
      </c>
      <c r="L128" s="1327">
        <f t="shared" si="30"/>
        <v>0</v>
      </c>
      <c r="M128" s="794">
        <f t="shared" si="156"/>
        <v>1</v>
      </c>
      <c r="N128" s="794">
        <f t="shared" si="156"/>
        <v>1.028</v>
      </c>
      <c r="O128" s="794">
        <f t="shared" si="156"/>
        <v>1.0382800000000001</v>
      </c>
      <c r="P128" s="794">
        <f t="shared" si="156"/>
        <v>1.0590455999999999</v>
      </c>
      <c r="Q128" s="786">
        <f t="shared" si="158"/>
        <v>8779.4501202706779</v>
      </c>
      <c r="R128" s="226">
        <f t="shared" si="159"/>
        <v>8779.4501202706779</v>
      </c>
      <c r="S128" s="226">
        <f t="shared" si="160"/>
        <v>9025.2747236382565</v>
      </c>
      <c r="T128" s="226">
        <f t="shared" si="161"/>
        <v>9115.5274708746401</v>
      </c>
      <c r="U128" s="800">
        <f t="shared" si="162"/>
        <v>9297.8380202921308</v>
      </c>
      <c r="V128" s="226">
        <f t="shared" si="163"/>
        <v>27929.10408370844</v>
      </c>
      <c r="W128" s="169">
        <f t="shared" si="178"/>
        <v>1330.2197151925266</v>
      </c>
      <c r="X128" s="169">
        <f t="shared" si="178"/>
        <v>15962.636582310322</v>
      </c>
      <c r="Y128" s="169">
        <f t="shared" si="178"/>
        <v>15962.636582310322</v>
      </c>
      <c r="Z128" s="742">
        <f t="shared" si="178"/>
        <v>15962.636582310322</v>
      </c>
      <c r="AA128" s="798">
        <f t="shared" si="164"/>
        <v>1330.2197151925266</v>
      </c>
      <c r="AB128" s="798">
        <f t="shared" si="165"/>
        <v>16409.590406615011</v>
      </c>
      <c r="AC128" s="798">
        <f t="shared" si="166"/>
        <v>16573.686310681162</v>
      </c>
      <c r="AD128" s="799">
        <f t="shared" si="167"/>
        <v>16905.160036894784</v>
      </c>
      <c r="AE128" s="453"/>
      <c r="AF128" s="169">
        <f t="shared" si="152"/>
        <v>876614.79231187515</v>
      </c>
      <c r="AG128" s="169">
        <f t="shared" si="153"/>
        <v>884750.41608999262</v>
      </c>
      <c r="AH128" s="169">
        <f t="shared" si="154"/>
        <v>877024.23394021136</v>
      </c>
      <c r="AI128" s="742">
        <f t="shared" si="155"/>
        <v>877659.55858212081</v>
      </c>
      <c r="AJ128" s="169">
        <f t="shared" si="168"/>
        <v>52173.87766928129</v>
      </c>
      <c r="AK128" s="169">
        <f t="shared" si="169"/>
        <v>48260.605385854738</v>
      </c>
      <c r="AL128" s="169">
        <f t="shared" si="170"/>
        <v>48146.558732528763</v>
      </c>
      <c r="AM128" s="742">
        <f t="shared" si="171"/>
        <v>48500.904145851135</v>
      </c>
      <c r="AN128" s="169">
        <f t="shared" si="172"/>
        <v>154361.40707466708</v>
      </c>
      <c r="AO128" s="169">
        <f t="shared" si="173"/>
        <v>182290.51115837551</v>
      </c>
      <c r="AP128" s="169">
        <f t="shared" si="174"/>
        <v>176274.92429014912</v>
      </c>
      <c r="AQ128" s="169">
        <f t="shared" si="175"/>
        <v>0</v>
      </c>
      <c r="AR128" s="169">
        <f t="shared" si="176"/>
        <v>6015.5868682263917</v>
      </c>
      <c r="AS128" s="169">
        <f t="shared" si="177"/>
        <v>0</v>
      </c>
      <c r="AT128" s="944"/>
      <c r="AV128" s="944"/>
    </row>
    <row r="129" spans="1:48" s="342" customFormat="1">
      <c r="A129" s="762" t="s">
        <v>1434</v>
      </c>
      <c r="B129" s="1041" t="s">
        <v>1228</v>
      </c>
      <c r="C129" s="763">
        <v>1285165.3589314956</v>
      </c>
      <c r="D129" s="760">
        <v>41639</v>
      </c>
      <c r="E129" s="1315">
        <v>15</v>
      </c>
      <c r="F129" s="944" t="s">
        <v>1251</v>
      </c>
      <c r="G129" s="761" t="s">
        <v>852</v>
      </c>
      <c r="H129" s="1251" t="s">
        <v>779</v>
      </c>
      <c r="I129" s="229">
        <f t="shared" si="27"/>
        <v>30</v>
      </c>
      <c r="J129" s="1327">
        <f t="shared" si="28"/>
        <v>0.96699999999999997</v>
      </c>
      <c r="K129" s="1327">
        <f t="shared" si="29"/>
        <v>3.3000000000000002E-2</v>
      </c>
      <c r="L129" s="1327">
        <f t="shared" si="30"/>
        <v>0</v>
      </c>
      <c r="M129" s="794">
        <f t="shared" si="156"/>
        <v>1</v>
      </c>
      <c r="N129" s="794">
        <f t="shared" si="156"/>
        <v>1.028</v>
      </c>
      <c r="O129" s="794">
        <f t="shared" si="156"/>
        <v>1.0382800000000001</v>
      </c>
      <c r="P129" s="794">
        <f t="shared" si="156"/>
        <v>1.0590455999999999</v>
      </c>
      <c r="Q129" s="786">
        <f t="shared" si="158"/>
        <v>12851.653589314956</v>
      </c>
      <c r="R129" s="226">
        <f t="shared" si="159"/>
        <v>12851.653589314956</v>
      </c>
      <c r="S129" s="226">
        <f t="shared" si="160"/>
        <v>13211.499889815776</v>
      </c>
      <c r="T129" s="226">
        <f t="shared" si="161"/>
        <v>13343.614888713933</v>
      </c>
      <c r="U129" s="800">
        <f t="shared" si="162"/>
        <v>13610.48718648821</v>
      </c>
      <c r="V129" s="226">
        <f t="shared" si="163"/>
        <v>40883.559428739747</v>
      </c>
      <c r="W129" s="169">
        <f t="shared" si="178"/>
        <v>3569.9037748097098</v>
      </c>
      <c r="X129" s="169">
        <f t="shared" si="178"/>
        <v>42838.845297716522</v>
      </c>
      <c r="Y129" s="169">
        <f t="shared" si="178"/>
        <v>42838.845297716522</v>
      </c>
      <c r="Z129" s="742">
        <f t="shared" si="178"/>
        <v>42838.845297716522</v>
      </c>
      <c r="AA129" s="798">
        <f t="shared" si="164"/>
        <v>3569.9037748097098</v>
      </c>
      <c r="AB129" s="798">
        <f t="shared" si="165"/>
        <v>44038.332966052585</v>
      </c>
      <c r="AC129" s="798">
        <f t="shared" si="166"/>
        <v>44478.716295713115</v>
      </c>
      <c r="AD129" s="799">
        <f t="shared" si="167"/>
        <v>45368.29062162737</v>
      </c>
      <c r="AE129" s="453"/>
      <c r="AF129" s="169">
        <f t="shared" si="152"/>
        <v>1281595.4551566858</v>
      </c>
      <c r="AG129" s="169">
        <f t="shared" si="153"/>
        <v>1273441.7949350204</v>
      </c>
      <c r="AH129" s="169">
        <f t="shared" si="154"/>
        <v>1241697.4965886576</v>
      </c>
      <c r="AI129" s="742">
        <f t="shared" si="155"/>
        <v>1221163.1558988034</v>
      </c>
      <c r="AJ129" s="169">
        <f t="shared" si="168"/>
        <v>77902.440173897485</v>
      </c>
      <c r="AK129" s="169">
        <f t="shared" si="169"/>
        <v>89882.237583713315</v>
      </c>
      <c r="AL129" s="169">
        <f t="shared" si="170"/>
        <v>89179.826172904781</v>
      </c>
      <c r="AM129" s="742">
        <f t="shared" si="171"/>
        <v>89330.16423398428</v>
      </c>
      <c r="AN129" s="169">
        <f t="shared" si="172"/>
        <v>266308.26024137239</v>
      </c>
      <c r="AO129" s="169">
        <f t="shared" si="173"/>
        <v>307191.81967011216</v>
      </c>
      <c r="AP129" s="169">
        <f t="shared" si="174"/>
        <v>297054.48962099844</v>
      </c>
      <c r="AQ129" s="169">
        <f t="shared" si="175"/>
        <v>0</v>
      </c>
      <c r="AR129" s="169">
        <f t="shared" si="176"/>
        <v>10137.330049113702</v>
      </c>
      <c r="AS129" s="169">
        <f t="shared" si="177"/>
        <v>0</v>
      </c>
      <c r="AT129" s="944"/>
      <c r="AV129" s="944"/>
    </row>
    <row r="130" spans="1:48" s="342" customFormat="1">
      <c r="A130" s="762" t="s">
        <v>1434</v>
      </c>
      <c r="B130" s="1041" t="s">
        <v>1230</v>
      </c>
      <c r="C130" s="763">
        <v>19094.005847860171</v>
      </c>
      <c r="D130" s="760">
        <v>41639</v>
      </c>
      <c r="E130" s="1315">
        <v>32</v>
      </c>
      <c r="F130" s="944" t="s">
        <v>1251</v>
      </c>
      <c r="G130" s="761" t="s">
        <v>852</v>
      </c>
      <c r="H130" s="1251" t="s">
        <v>779</v>
      </c>
      <c r="I130" s="229">
        <f t="shared" si="27"/>
        <v>30</v>
      </c>
      <c r="J130" s="1327">
        <f t="shared" si="28"/>
        <v>0.96699999999999997</v>
      </c>
      <c r="K130" s="1327">
        <f t="shared" si="29"/>
        <v>3.3000000000000002E-2</v>
      </c>
      <c r="L130" s="1327">
        <f t="shared" si="30"/>
        <v>0</v>
      </c>
      <c r="M130" s="794">
        <f t="shared" si="156"/>
        <v>1</v>
      </c>
      <c r="N130" s="794">
        <f t="shared" si="156"/>
        <v>1.028</v>
      </c>
      <c r="O130" s="794">
        <f t="shared" si="156"/>
        <v>1.0382800000000001</v>
      </c>
      <c r="P130" s="794">
        <f t="shared" si="156"/>
        <v>1.0590455999999999</v>
      </c>
      <c r="Q130" s="786">
        <f t="shared" si="158"/>
        <v>190.94005847860171</v>
      </c>
      <c r="R130" s="226">
        <f t="shared" si="159"/>
        <v>190.94005847860171</v>
      </c>
      <c r="S130" s="226">
        <f t="shared" si="160"/>
        <v>196.28638011600256</v>
      </c>
      <c r="T130" s="226">
        <f t="shared" si="161"/>
        <v>198.2492439171626</v>
      </c>
      <c r="U130" s="800">
        <f t="shared" si="162"/>
        <v>202.21422879550582</v>
      </c>
      <c r="V130" s="226">
        <f t="shared" si="163"/>
        <v>607.4167167583189</v>
      </c>
      <c r="W130" s="169">
        <f t="shared" si="178"/>
        <v>53.038905132944919</v>
      </c>
      <c r="X130" s="169">
        <f t="shared" si="178"/>
        <v>636.46686159533908</v>
      </c>
      <c r="Y130" s="169">
        <f t="shared" si="178"/>
        <v>636.46686159533908</v>
      </c>
      <c r="Z130" s="742">
        <f t="shared" si="178"/>
        <v>636.46686159533908</v>
      </c>
      <c r="AA130" s="798">
        <f t="shared" si="164"/>
        <v>53.038905132944919</v>
      </c>
      <c r="AB130" s="798">
        <f t="shared" si="165"/>
        <v>654.2879337200086</v>
      </c>
      <c r="AC130" s="798">
        <f t="shared" si="166"/>
        <v>660.83081305720873</v>
      </c>
      <c r="AD130" s="799">
        <f t="shared" si="167"/>
        <v>674.04742931835278</v>
      </c>
      <c r="AE130" s="453"/>
      <c r="AF130" s="169">
        <f t="shared" si="152"/>
        <v>19040.966942727227</v>
      </c>
      <c r="AG130" s="169">
        <f t="shared" si="153"/>
        <v>18919.826083403579</v>
      </c>
      <c r="AH130" s="169">
        <f t="shared" si="154"/>
        <v>18448.193531180408</v>
      </c>
      <c r="AI130" s="742">
        <f t="shared" si="155"/>
        <v>18143.109972485661</v>
      </c>
      <c r="AJ130" s="169">
        <f t="shared" si="168"/>
        <v>1157.4149878111241</v>
      </c>
      <c r="AK130" s="169">
        <f t="shared" si="169"/>
        <v>1335.4016727225373</v>
      </c>
      <c r="AL130" s="169">
        <f t="shared" si="170"/>
        <v>1324.9657801797034</v>
      </c>
      <c r="AM130" s="742">
        <f t="shared" si="171"/>
        <v>1327.1993883278365</v>
      </c>
      <c r="AN130" s="169">
        <f t="shared" si="172"/>
        <v>3956.6048392479893</v>
      </c>
      <c r="AO130" s="169">
        <f t="shared" si="173"/>
        <v>4564.0215560063079</v>
      </c>
      <c r="AP130" s="169">
        <f t="shared" si="174"/>
        <v>4413.4088446581</v>
      </c>
      <c r="AQ130" s="169">
        <f t="shared" si="175"/>
        <v>0</v>
      </c>
      <c r="AR130" s="169">
        <f t="shared" si="176"/>
        <v>150.61271134820817</v>
      </c>
      <c r="AS130" s="169">
        <f t="shared" si="177"/>
        <v>0</v>
      </c>
      <c r="AT130" s="944"/>
      <c r="AV130" s="944"/>
    </row>
    <row r="131" spans="1:48" s="342" customFormat="1">
      <c r="A131" s="762" t="s">
        <v>1434</v>
      </c>
      <c r="B131" s="1041" t="s">
        <v>1231</v>
      </c>
      <c r="C131" s="763">
        <v>760531.80802612007</v>
      </c>
      <c r="D131" s="760">
        <v>41821</v>
      </c>
      <c r="E131" s="1315">
        <v>21</v>
      </c>
      <c r="F131" s="944" t="s">
        <v>1251</v>
      </c>
      <c r="G131" s="761"/>
      <c r="H131" s="1251" t="s">
        <v>779</v>
      </c>
      <c r="I131" s="229">
        <f t="shared" si="27"/>
        <v>55</v>
      </c>
      <c r="J131" s="1327">
        <f t="shared" si="28"/>
        <v>0.96699999999999997</v>
      </c>
      <c r="K131" s="1327">
        <f t="shared" si="29"/>
        <v>3.3000000000000002E-2</v>
      </c>
      <c r="L131" s="1327">
        <f t="shared" si="30"/>
        <v>0</v>
      </c>
      <c r="M131" s="794">
        <f t="shared" si="156"/>
        <v>0</v>
      </c>
      <c r="N131" s="794">
        <f t="shared" si="156"/>
        <v>1</v>
      </c>
      <c r="O131" s="794">
        <f t="shared" si="156"/>
        <v>1.01</v>
      </c>
      <c r="P131" s="794">
        <f t="shared" si="156"/>
        <v>1.0302</v>
      </c>
      <c r="Q131" s="786">
        <f t="shared" si="158"/>
        <v>7605.3180802612005</v>
      </c>
      <c r="R131" s="226">
        <f t="shared" si="159"/>
        <v>0</v>
      </c>
      <c r="S131" s="226">
        <f t="shared" si="160"/>
        <v>7605.3180802612005</v>
      </c>
      <c r="T131" s="226">
        <f t="shared" si="161"/>
        <v>7681.3712610638122</v>
      </c>
      <c r="U131" s="800">
        <f t="shared" si="162"/>
        <v>7834.9986862850892</v>
      </c>
      <c r="V131" s="226">
        <f t="shared" si="163"/>
        <v>15590.902064535458</v>
      </c>
      <c r="W131" s="169">
        <f t="shared" si="178"/>
        <v>0</v>
      </c>
      <c r="X131" s="169">
        <f t="shared" si="178"/>
        <v>6913.9255275101823</v>
      </c>
      <c r="Y131" s="169">
        <f t="shared" si="178"/>
        <v>13827.851055020365</v>
      </c>
      <c r="Z131" s="742">
        <f t="shared" si="178"/>
        <v>13827.851055020365</v>
      </c>
      <c r="AA131" s="798">
        <f t="shared" si="164"/>
        <v>0</v>
      </c>
      <c r="AB131" s="798">
        <f t="shared" si="165"/>
        <v>6913.9255275101823</v>
      </c>
      <c r="AC131" s="798">
        <f t="shared" si="166"/>
        <v>13966.129565570569</v>
      </c>
      <c r="AD131" s="799">
        <f t="shared" si="167"/>
        <v>14245.45215688198</v>
      </c>
      <c r="AE131" s="453"/>
      <c r="AF131" s="169">
        <f t="shared" si="152"/>
        <v>0</v>
      </c>
      <c r="AG131" s="169">
        <f t="shared" si="153"/>
        <v>753617.88249860983</v>
      </c>
      <c r="AH131" s="169">
        <f t="shared" si="154"/>
        <v>747187.93175802531</v>
      </c>
      <c r="AI131" s="742">
        <f t="shared" si="155"/>
        <v>747886.23823630379</v>
      </c>
      <c r="AJ131" s="169">
        <f t="shared" si="168"/>
        <v>0</v>
      </c>
      <c r="AK131" s="169">
        <f t="shared" si="169"/>
        <v>34044.169297460132</v>
      </c>
      <c r="AL131" s="169">
        <f t="shared" si="170"/>
        <v>40864.895108859477</v>
      </c>
      <c r="AM131" s="742">
        <f t="shared" si="171"/>
        <v>41169.356733388915</v>
      </c>
      <c r="AN131" s="169">
        <f t="shared" si="172"/>
        <v>76270.83117821801</v>
      </c>
      <c r="AO131" s="169">
        <f t="shared" si="173"/>
        <v>91861.733242753471</v>
      </c>
      <c r="AP131" s="169">
        <f t="shared" si="174"/>
        <v>0</v>
      </c>
      <c r="AQ131" s="169">
        <f t="shared" si="175"/>
        <v>88830.296045742609</v>
      </c>
      <c r="AR131" s="169">
        <f t="shared" si="176"/>
        <v>3031.4371970108646</v>
      </c>
      <c r="AS131" s="169">
        <f t="shared" si="177"/>
        <v>0</v>
      </c>
      <c r="AT131" s="944"/>
      <c r="AV131" s="944"/>
    </row>
    <row r="132" spans="1:48" s="342" customFormat="1">
      <c r="A132" s="762" t="s">
        <v>1434</v>
      </c>
      <c r="B132" s="1041" t="s">
        <v>1228</v>
      </c>
      <c r="C132" s="763">
        <v>86091.341029119998</v>
      </c>
      <c r="D132" s="760">
        <v>41821</v>
      </c>
      <c r="E132" s="1315">
        <v>15</v>
      </c>
      <c r="F132" s="944" t="s">
        <v>1251</v>
      </c>
      <c r="G132" s="761"/>
      <c r="H132" s="1251" t="s">
        <v>779</v>
      </c>
      <c r="I132" s="229">
        <f t="shared" si="27"/>
        <v>30</v>
      </c>
      <c r="J132" s="1327">
        <f t="shared" si="28"/>
        <v>0.96699999999999997</v>
      </c>
      <c r="K132" s="1327">
        <f t="shared" si="29"/>
        <v>3.3000000000000002E-2</v>
      </c>
      <c r="L132" s="1327">
        <f t="shared" si="30"/>
        <v>0</v>
      </c>
      <c r="M132" s="794">
        <f t="shared" si="156"/>
        <v>0</v>
      </c>
      <c r="N132" s="794">
        <f t="shared" si="156"/>
        <v>1</v>
      </c>
      <c r="O132" s="794">
        <f t="shared" si="156"/>
        <v>1.01</v>
      </c>
      <c r="P132" s="794">
        <f t="shared" si="156"/>
        <v>1.0302</v>
      </c>
      <c r="Q132" s="786">
        <f t="shared" si="158"/>
        <v>860.91341029119997</v>
      </c>
      <c r="R132" s="226">
        <f t="shared" si="159"/>
        <v>0</v>
      </c>
      <c r="S132" s="226">
        <f t="shared" si="160"/>
        <v>860.91341029119997</v>
      </c>
      <c r="T132" s="226">
        <f t="shared" si="161"/>
        <v>869.52254439411195</v>
      </c>
      <c r="U132" s="800">
        <f t="shared" si="162"/>
        <v>886.9129952819942</v>
      </c>
      <c r="V132" s="226">
        <f t="shared" si="163"/>
        <v>1764.8724910969595</v>
      </c>
      <c r="W132" s="169">
        <f t="shared" si="178"/>
        <v>0</v>
      </c>
      <c r="X132" s="169">
        <f t="shared" si="178"/>
        <v>1434.8556838186666</v>
      </c>
      <c r="Y132" s="169">
        <f t="shared" si="178"/>
        <v>2869.7113676373333</v>
      </c>
      <c r="Z132" s="742">
        <f t="shared" si="178"/>
        <v>2869.7113676373333</v>
      </c>
      <c r="AA132" s="798">
        <f t="shared" si="164"/>
        <v>0</v>
      </c>
      <c r="AB132" s="798">
        <f t="shared" si="165"/>
        <v>1434.8556838186666</v>
      </c>
      <c r="AC132" s="798">
        <f t="shared" si="166"/>
        <v>2898.4084813137065</v>
      </c>
      <c r="AD132" s="799">
        <f t="shared" si="167"/>
        <v>2956.3766509399807</v>
      </c>
      <c r="AE132" s="453"/>
      <c r="AF132" s="169">
        <f t="shared" si="152"/>
        <v>0</v>
      </c>
      <c r="AG132" s="169">
        <f t="shared" si="153"/>
        <v>84656.485345301335</v>
      </c>
      <c r="AH132" s="169">
        <f t="shared" si="154"/>
        <v>82604.641717440652</v>
      </c>
      <c r="AI132" s="742">
        <f t="shared" si="155"/>
        <v>81300.357900849485</v>
      </c>
      <c r="AJ132" s="169">
        <f t="shared" si="168"/>
        <v>0</v>
      </c>
      <c r="AK132" s="169">
        <f t="shared" si="169"/>
        <v>4482.4891562495141</v>
      </c>
      <c r="AL132" s="169">
        <f t="shared" si="170"/>
        <v>5872.1755831415703</v>
      </c>
      <c r="AM132" s="742">
        <f t="shared" si="171"/>
        <v>5883.1895353705622</v>
      </c>
      <c r="AN132" s="169">
        <f t="shared" si="172"/>
        <v>10533.964305641064</v>
      </c>
      <c r="AO132" s="169">
        <f t="shared" si="173"/>
        <v>12298.836796738024</v>
      </c>
      <c r="AP132" s="169">
        <f t="shared" si="174"/>
        <v>0</v>
      </c>
      <c r="AQ132" s="169">
        <f t="shared" si="175"/>
        <v>11892.975182445669</v>
      </c>
      <c r="AR132" s="169">
        <f t="shared" si="176"/>
        <v>405.86161429235477</v>
      </c>
      <c r="AS132" s="169">
        <f t="shared" si="177"/>
        <v>0</v>
      </c>
      <c r="AT132" s="944"/>
      <c r="AV132" s="944"/>
    </row>
    <row r="133" spans="1:48" s="342" customFormat="1">
      <c r="A133" s="762" t="s">
        <v>1434</v>
      </c>
      <c r="B133" s="1041" t="s">
        <v>1230</v>
      </c>
      <c r="C133" s="763">
        <v>17257.300412640001</v>
      </c>
      <c r="D133" s="760">
        <v>41821</v>
      </c>
      <c r="E133" s="1315">
        <v>32</v>
      </c>
      <c r="F133" s="944" t="s">
        <v>1251</v>
      </c>
      <c r="G133" s="761"/>
      <c r="H133" s="1251" t="s">
        <v>779</v>
      </c>
      <c r="I133" s="229">
        <f t="shared" si="27"/>
        <v>30</v>
      </c>
      <c r="J133" s="1327">
        <f t="shared" si="28"/>
        <v>0.96699999999999997</v>
      </c>
      <c r="K133" s="1327">
        <f t="shared" si="29"/>
        <v>3.3000000000000002E-2</v>
      </c>
      <c r="L133" s="1327">
        <f t="shared" si="30"/>
        <v>0</v>
      </c>
      <c r="M133" s="794">
        <f t="shared" si="156"/>
        <v>0</v>
      </c>
      <c r="N133" s="794">
        <f t="shared" si="156"/>
        <v>1</v>
      </c>
      <c r="O133" s="794">
        <f t="shared" si="156"/>
        <v>1.01</v>
      </c>
      <c r="P133" s="794">
        <f t="shared" si="156"/>
        <v>1.0302</v>
      </c>
      <c r="Q133" s="786">
        <f t="shared" si="158"/>
        <v>172.57300412640001</v>
      </c>
      <c r="R133" s="226">
        <f t="shared" si="159"/>
        <v>0</v>
      </c>
      <c r="S133" s="226">
        <f t="shared" si="160"/>
        <v>172.57300412640001</v>
      </c>
      <c r="T133" s="226">
        <f t="shared" si="161"/>
        <v>174.29873416766401</v>
      </c>
      <c r="U133" s="800">
        <f t="shared" si="162"/>
        <v>177.78470885101729</v>
      </c>
      <c r="V133" s="226">
        <f t="shared" si="163"/>
        <v>353.77465845911991</v>
      </c>
      <c r="W133" s="169">
        <f t="shared" si="178"/>
        <v>0</v>
      </c>
      <c r="X133" s="169">
        <f t="shared" si="178"/>
        <v>287.62167354400003</v>
      </c>
      <c r="Y133" s="169">
        <f t="shared" si="178"/>
        <v>575.24334708800006</v>
      </c>
      <c r="Z133" s="742">
        <f t="shared" si="178"/>
        <v>575.24334708800006</v>
      </c>
      <c r="AA133" s="798">
        <f t="shared" si="164"/>
        <v>0</v>
      </c>
      <c r="AB133" s="798">
        <f t="shared" si="165"/>
        <v>287.62167354400003</v>
      </c>
      <c r="AC133" s="798">
        <f t="shared" si="166"/>
        <v>580.99578055888003</v>
      </c>
      <c r="AD133" s="799">
        <f t="shared" si="167"/>
        <v>592.61569617005762</v>
      </c>
      <c r="AE133" s="453"/>
      <c r="AF133" s="169">
        <f t="shared" si="152"/>
        <v>0</v>
      </c>
      <c r="AG133" s="169">
        <f t="shared" si="153"/>
        <v>16969.678739096002</v>
      </c>
      <c r="AH133" s="169">
        <f t="shared" si="154"/>
        <v>16558.379745928083</v>
      </c>
      <c r="AI133" s="742">
        <f t="shared" si="155"/>
        <v>16296.931644676588</v>
      </c>
      <c r="AJ133" s="169">
        <f t="shared" si="168"/>
        <v>0</v>
      </c>
      <c r="AK133" s="169">
        <f t="shared" si="169"/>
        <v>898.53010815145603</v>
      </c>
      <c r="AL133" s="169">
        <f t="shared" si="170"/>
        <v>1177.0974514122909</v>
      </c>
      <c r="AM133" s="742">
        <f t="shared" si="171"/>
        <v>1179.3052353784146</v>
      </c>
      <c r="AN133" s="169">
        <f t="shared" si="172"/>
        <v>2111.5687638898048</v>
      </c>
      <c r="AO133" s="169">
        <f t="shared" si="173"/>
        <v>2465.3434223489248</v>
      </c>
      <c r="AP133" s="169">
        <f t="shared" si="174"/>
        <v>0</v>
      </c>
      <c r="AQ133" s="169">
        <f t="shared" si="175"/>
        <v>2383.9870894114101</v>
      </c>
      <c r="AR133" s="169">
        <f t="shared" si="176"/>
        <v>81.356332937514523</v>
      </c>
      <c r="AS133" s="169">
        <f t="shared" si="177"/>
        <v>0</v>
      </c>
      <c r="AT133" s="944"/>
      <c r="AV133" s="944"/>
    </row>
    <row r="134" spans="1:48" s="342" customFormat="1">
      <c r="A134" s="1591"/>
      <c r="B134" s="1592"/>
      <c r="C134" s="1252">
        <v>13880.047864184999</v>
      </c>
      <c r="D134" s="776">
        <v>41456</v>
      </c>
      <c r="E134" s="1317">
        <v>21</v>
      </c>
      <c r="F134" s="944" t="s">
        <v>1251</v>
      </c>
      <c r="G134" s="777" t="s">
        <v>779</v>
      </c>
      <c r="H134" s="789" t="s">
        <v>852</v>
      </c>
      <c r="I134" s="229">
        <f t="shared" si="27"/>
        <v>55</v>
      </c>
      <c r="J134" s="1327">
        <f t="shared" si="28"/>
        <v>0.96699999999999997</v>
      </c>
      <c r="K134" s="1327">
        <f t="shared" si="29"/>
        <v>3.3000000000000002E-2</v>
      </c>
      <c r="L134" s="1327">
        <f t="shared" si="30"/>
        <v>0</v>
      </c>
      <c r="M134" s="794">
        <f t="shared" si="156"/>
        <v>1</v>
      </c>
      <c r="N134" s="794">
        <f t="shared" si="156"/>
        <v>1.028</v>
      </c>
      <c r="O134" s="794">
        <f t="shared" si="156"/>
        <v>1.0382800000000001</v>
      </c>
      <c r="P134" s="794">
        <f t="shared" si="156"/>
        <v>1.0590455999999999</v>
      </c>
      <c r="Q134" s="786">
        <f t="shared" si="158"/>
        <v>138.80047864184999</v>
      </c>
      <c r="R134" s="226">
        <f t="shared" si="159"/>
        <v>138.80047864184999</v>
      </c>
      <c r="S134" s="226">
        <f t="shared" si="160"/>
        <v>142.68689204382179</v>
      </c>
      <c r="T134" s="226">
        <f t="shared" si="161"/>
        <v>144.11376096426002</v>
      </c>
      <c r="U134" s="800">
        <f t="shared" si="162"/>
        <v>146.99603618354519</v>
      </c>
      <c r="V134" s="226">
        <f t="shared" si="163"/>
        <v>144.11376096426002</v>
      </c>
      <c r="W134" s="169">
        <f t="shared" si="178"/>
        <v>126.18225331077271</v>
      </c>
      <c r="X134" s="169">
        <f t="shared" si="178"/>
        <v>252.36450662154542</v>
      </c>
      <c r="Y134" s="169">
        <f t="shared" si="178"/>
        <v>252.36450662154542</v>
      </c>
      <c r="Z134" s="742">
        <f t="shared" si="178"/>
        <v>252.36450662154542</v>
      </c>
      <c r="AA134" s="798">
        <f t="shared" si="164"/>
        <v>126.18225331077271</v>
      </c>
      <c r="AB134" s="798">
        <f t="shared" si="165"/>
        <v>259.43071280694869</v>
      </c>
      <c r="AC134" s="798">
        <f t="shared" si="166"/>
        <v>262.02501993501818</v>
      </c>
      <c r="AD134" s="799">
        <f t="shared" si="167"/>
        <v>267.26552033371854</v>
      </c>
      <c r="AE134" s="453"/>
      <c r="AF134" s="169">
        <f t="shared" si="152"/>
        <v>13753.865610874225</v>
      </c>
      <c r="AG134" s="169">
        <f t="shared" si="153"/>
        <v>13879.543135171756</v>
      </c>
      <c r="AH134" s="169">
        <f t="shared" si="154"/>
        <v>13756.313546588457</v>
      </c>
      <c r="AI134" s="742">
        <f t="shared" si="155"/>
        <v>13764.174297186508</v>
      </c>
      <c r="AJ134" s="169">
        <f t="shared" si="168"/>
        <v>923.90645874147776</v>
      </c>
      <c r="AK134" s="169">
        <f t="shared" si="169"/>
        <v>759.09426567313187</v>
      </c>
      <c r="AL134" s="169">
        <f t="shared" si="170"/>
        <v>757.25230761220257</v>
      </c>
      <c r="AM134" s="742">
        <f t="shared" si="171"/>
        <v>762.77579503243282</v>
      </c>
      <c r="AN134" s="169">
        <f t="shared" si="172"/>
        <v>757.25230761220257</v>
      </c>
      <c r="AO134" s="169">
        <f t="shared" si="173"/>
        <v>901.36606857646257</v>
      </c>
      <c r="AP134" s="169">
        <f t="shared" si="174"/>
        <v>871.62098831343928</v>
      </c>
      <c r="AQ134" s="169">
        <f t="shared" si="175"/>
        <v>0</v>
      </c>
      <c r="AR134" s="169">
        <f t="shared" si="176"/>
        <v>29.745080263023265</v>
      </c>
      <c r="AS134" s="169">
        <f t="shared" si="177"/>
        <v>0</v>
      </c>
      <c r="AT134" s="944"/>
      <c r="AV134" s="944"/>
    </row>
    <row r="135" spans="1:48" s="342" customFormat="1">
      <c r="A135" s="1591"/>
      <c r="B135" s="1592"/>
      <c r="C135" s="1252">
        <v>254.38043737499999</v>
      </c>
      <c r="D135" s="776">
        <v>41456</v>
      </c>
      <c r="E135" s="1317">
        <v>15</v>
      </c>
      <c r="F135" s="944" t="s">
        <v>1251</v>
      </c>
      <c r="G135" s="777" t="s">
        <v>779</v>
      </c>
      <c r="H135" s="789" t="s">
        <v>852</v>
      </c>
      <c r="I135" s="229">
        <f t="shared" si="27"/>
        <v>30</v>
      </c>
      <c r="J135" s="1327">
        <f t="shared" si="28"/>
        <v>0.96699999999999997</v>
      </c>
      <c r="K135" s="1327">
        <f t="shared" si="29"/>
        <v>3.3000000000000002E-2</v>
      </c>
      <c r="L135" s="1327">
        <f t="shared" si="30"/>
        <v>0</v>
      </c>
      <c r="M135" s="794">
        <f t="shared" si="156"/>
        <v>1</v>
      </c>
      <c r="N135" s="794">
        <f t="shared" si="156"/>
        <v>1.028</v>
      </c>
      <c r="O135" s="794">
        <f t="shared" si="156"/>
        <v>1.0382800000000001</v>
      </c>
      <c r="P135" s="794">
        <f t="shared" si="156"/>
        <v>1.0590455999999999</v>
      </c>
      <c r="Q135" s="786">
        <f t="shared" si="158"/>
        <v>2.54380437375</v>
      </c>
      <c r="R135" s="226">
        <f t="shared" si="159"/>
        <v>2.54380437375</v>
      </c>
      <c r="S135" s="226">
        <f t="shared" si="160"/>
        <v>2.615030896215</v>
      </c>
      <c r="T135" s="226">
        <f t="shared" si="161"/>
        <v>2.6411812051771504</v>
      </c>
      <c r="U135" s="800">
        <f t="shared" si="162"/>
        <v>2.6940048292806926</v>
      </c>
      <c r="V135" s="226">
        <f t="shared" si="163"/>
        <v>2.6411812051771504</v>
      </c>
      <c r="W135" s="169">
        <f t="shared" si="178"/>
        <v>4.2396739562499999</v>
      </c>
      <c r="X135" s="169">
        <f t="shared" si="178"/>
        <v>8.4793479124999998</v>
      </c>
      <c r="Y135" s="169">
        <f t="shared" si="178"/>
        <v>8.4793479124999998</v>
      </c>
      <c r="Z135" s="742">
        <f t="shared" si="178"/>
        <v>8.4793479124999998</v>
      </c>
      <c r="AA135" s="798">
        <f t="shared" si="164"/>
        <v>4.2396739562499999</v>
      </c>
      <c r="AB135" s="798">
        <f t="shared" si="165"/>
        <v>8.7167696540499993</v>
      </c>
      <c r="AC135" s="798">
        <f t="shared" si="166"/>
        <v>8.8039373505905001</v>
      </c>
      <c r="AD135" s="799">
        <f t="shared" si="167"/>
        <v>8.9800160976023093</v>
      </c>
      <c r="AE135" s="453"/>
      <c r="AF135" s="169">
        <f t="shared" si="152"/>
        <v>250.14076341875</v>
      </c>
      <c r="AG135" s="169">
        <f t="shared" si="153"/>
        <v>248.42793514042498</v>
      </c>
      <c r="AH135" s="169">
        <f t="shared" si="154"/>
        <v>242.10827714123872</v>
      </c>
      <c r="AI135" s="742">
        <f t="shared" si="155"/>
        <v>237.97042658646117</v>
      </c>
      <c r="AJ135" s="169">
        <f t="shared" si="168"/>
        <v>18.7478382345375</v>
      </c>
      <c r="AK135" s="169">
        <f t="shared" si="169"/>
        <v>17.660175319105299</v>
      </c>
      <c r="AL135" s="169">
        <f t="shared" si="170"/>
        <v>17.519835327675093</v>
      </c>
      <c r="AM135" s="742">
        <f t="shared" si="171"/>
        <v>17.546951454714911</v>
      </c>
      <c r="AN135" s="169">
        <f t="shared" si="172"/>
        <v>17.519835327675093</v>
      </c>
      <c r="AO135" s="169">
        <f t="shared" si="173"/>
        <v>20.161016532852244</v>
      </c>
      <c r="AP135" s="169">
        <f t="shared" si="174"/>
        <v>19.495702987268121</v>
      </c>
      <c r="AQ135" s="169">
        <f t="shared" si="175"/>
        <v>0</v>
      </c>
      <c r="AR135" s="169">
        <f t="shared" si="176"/>
        <v>0.66531354558412403</v>
      </c>
      <c r="AS135" s="169">
        <f t="shared" si="177"/>
        <v>0</v>
      </c>
      <c r="AT135" s="944"/>
      <c r="AV135" s="944"/>
    </row>
    <row r="136" spans="1:48" s="342" customFormat="1">
      <c r="A136" s="1591"/>
      <c r="B136" s="1592"/>
      <c r="C136" s="763">
        <v>87545.130165200026</v>
      </c>
      <c r="D136" s="760">
        <v>41821</v>
      </c>
      <c r="E136" s="1315">
        <v>21</v>
      </c>
      <c r="F136" s="944" t="s">
        <v>1251</v>
      </c>
      <c r="G136" s="761"/>
      <c r="H136" s="1251" t="s">
        <v>779</v>
      </c>
      <c r="I136" s="229">
        <f t="shared" si="27"/>
        <v>55</v>
      </c>
      <c r="J136" s="1327">
        <f t="shared" si="28"/>
        <v>0.96699999999999997</v>
      </c>
      <c r="K136" s="1327">
        <f t="shared" si="29"/>
        <v>3.3000000000000002E-2</v>
      </c>
      <c r="L136" s="1327">
        <f t="shared" si="30"/>
        <v>0</v>
      </c>
      <c r="M136" s="794">
        <f t="shared" si="156"/>
        <v>0</v>
      </c>
      <c r="N136" s="794">
        <f t="shared" si="156"/>
        <v>1</v>
      </c>
      <c r="O136" s="794">
        <f t="shared" si="156"/>
        <v>1.01</v>
      </c>
      <c r="P136" s="794">
        <f t="shared" si="156"/>
        <v>1.0302</v>
      </c>
      <c r="Q136" s="786">
        <f t="shared" si="158"/>
        <v>875.45130165200032</v>
      </c>
      <c r="R136" s="226">
        <f t="shared" si="159"/>
        <v>0</v>
      </c>
      <c r="S136" s="226">
        <f t="shared" si="160"/>
        <v>875.45130165200032</v>
      </c>
      <c r="T136" s="226">
        <f t="shared" si="161"/>
        <v>884.20581466852036</v>
      </c>
      <c r="U136" s="800">
        <f t="shared" si="162"/>
        <v>901.88993096189074</v>
      </c>
      <c r="V136" s="226">
        <f t="shared" si="163"/>
        <v>1794.6751683866005</v>
      </c>
      <c r="W136" s="169">
        <f t="shared" si="178"/>
        <v>0</v>
      </c>
      <c r="X136" s="169">
        <f t="shared" si="178"/>
        <v>795.8648196836366</v>
      </c>
      <c r="Y136" s="169">
        <f t="shared" si="178"/>
        <v>1591.7296393672732</v>
      </c>
      <c r="Z136" s="742">
        <f t="shared" si="178"/>
        <v>1591.7296393672732</v>
      </c>
      <c r="AA136" s="798">
        <f t="shared" si="164"/>
        <v>0</v>
      </c>
      <c r="AB136" s="798">
        <f t="shared" si="165"/>
        <v>795.8648196836366</v>
      </c>
      <c r="AC136" s="798">
        <f t="shared" si="166"/>
        <v>1607.646935760946</v>
      </c>
      <c r="AD136" s="799">
        <f t="shared" si="167"/>
        <v>1639.7998744761649</v>
      </c>
      <c r="AE136" s="453"/>
      <c r="AF136" s="169">
        <f t="shared" si="152"/>
        <v>0</v>
      </c>
      <c r="AG136" s="169">
        <f t="shared" si="153"/>
        <v>86749.265345516382</v>
      </c>
      <c r="AH136" s="169">
        <f t="shared" si="154"/>
        <v>86009.111063210599</v>
      </c>
      <c r="AI136" s="742">
        <f t="shared" si="155"/>
        <v>86089.493409998642</v>
      </c>
      <c r="AJ136" s="169">
        <f t="shared" si="168"/>
        <v>0</v>
      </c>
      <c r="AK136" s="169">
        <f t="shared" si="169"/>
        <v>3918.8383721222262</v>
      </c>
      <c r="AL136" s="169">
        <f t="shared" si="170"/>
        <v>4703.974934036527</v>
      </c>
      <c r="AM136" s="742">
        <f t="shared" si="171"/>
        <v>4739.0216372361156</v>
      </c>
      <c r="AN136" s="169">
        <f t="shared" si="172"/>
        <v>8779.566841043641</v>
      </c>
      <c r="AO136" s="169">
        <f t="shared" si="173"/>
        <v>10574.242009430242</v>
      </c>
      <c r="AP136" s="169">
        <f t="shared" si="174"/>
        <v>0</v>
      </c>
      <c r="AQ136" s="169">
        <f t="shared" si="175"/>
        <v>10225.292023119044</v>
      </c>
      <c r="AR136" s="169">
        <f t="shared" si="176"/>
        <v>348.94998631119796</v>
      </c>
      <c r="AS136" s="169">
        <f t="shared" si="177"/>
        <v>0</v>
      </c>
      <c r="AT136" s="944"/>
      <c r="AV136" s="944"/>
    </row>
    <row r="137" spans="1:48" s="342" customFormat="1">
      <c r="A137" s="1591"/>
      <c r="B137" s="1592"/>
      <c r="C137" s="763">
        <v>1604.661908</v>
      </c>
      <c r="D137" s="760">
        <v>41821</v>
      </c>
      <c r="E137" s="1315">
        <v>15</v>
      </c>
      <c r="F137" s="944" t="s">
        <v>1251</v>
      </c>
      <c r="G137" s="761"/>
      <c r="H137" s="1251" t="s">
        <v>779</v>
      </c>
      <c r="I137" s="229">
        <f t="shared" si="27"/>
        <v>30</v>
      </c>
      <c r="J137" s="1327">
        <f t="shared" si="28"/>
        <v>0.96699999999999997</v>
      </c>
      <c r="K137" s="1327">
        <f t="shared" si="29"/>
        <v>3.3000000000000002E-2</v>
      </c>
      <c r="L137" s="1327">
        <f t="shared" si="30"/>
        <v>0</v>
      </c>
      <c r="M137" s="794">
        <f t="shared" si="156"/>
        <v>0</v>
      </c>
      <c r="N137" s="794">
        <f t="shared" si="156"/>
        <v>1</v>
      </c>
      <c r="O137" s="794">
        <f t="shared" si="156"/>
        <v>1.01</v>
      </c>
      <c r="P137" s="794">
        <f t="shared" si="156"/>
        <v>1.0302</v>
      </c>
      <c r="Q137" s="786">
        <f t="shared" si="158"/>
        <v>16.046619079999999</v>
      </c>
      <c r="R137" s="226">
        <f t="shared" si="159"/>
        <v>0</v>
      </c>
      <c r="S137" s="226">
        <f t="shared" si="160"/>
        <v>16.046619079999999</v>
      </c>
      <c r="T137" s="226">
        <f t="shared" si="161"/>
        <v>16.2070852708</v>
      </c>
      <c r="U137" s="800">
        <f t="shared" si="162"/>
        <v>16.531226976216001</v>
      </c>
      <c r="V137" s="226">
        <f t="shared" si="163"/>
        <v>32.895569113999997</v>
      </c>
      <c r="W137" s="169">
        <f t="shared" si="178"/>
        <v>0</v>
      </c>
      <c r="X137" s="169">
        <f t="shared" si="178"/>
        <v>26.744365133333336</v>
      </c>
      <c r="Y137" s="169">
        <f t="shared" si="178"/>
        <v>53.488730266666671</v>
      </c>
      <c r="Z137" s="742">
        <f t="shared" si="178"/>
        <v>53.488730266666671</v>
      </c>
      <c r="AA137" s="798">
        <f t="shared" si="164"/>
        <v>0</v>
      </c>
      <c r="AB137" s="798">
        <f t="shared" si="165"/>
        <v>26.744365133333336</v>
      </c>
      <c r="AC137" s="798">
        <f t="shared" si="166"/>
        <v>54.023617569333339</v>
      </c>
      <c r="AD137" s="799">
        <f t="shared" si="167"/>
        <v>55.104089920720007</v>
      </c>
      <c r="AE137" s="453"/>
      <c r="AF137" s="169">
        <f t="shared" si="152"/>
        <v>0</v>
      </c>
      <c r="AG137" s="169">
        <f t="shared" si="153"/>
        <v>1577.9175428666667</v>
      </c>
      <c r="AH137" s="169">
        <f t="shared" si="154"/>
        <v>1539.673100726</v>
      </c>
      <c r="AI137" s="742">
        <f t="shared" si="155"/>
        <v>1515.3624728197999</v>
      </c>
      <c r="AJ137" s="169">
        <f t="shared" si="168"/>
        <v>0</v>
      </c>
      <c r="AK137" s="169">
        <f t="shared" si="169"/>
        <v>83.549396676533334</v>
      </c>
      <c r="AL137" s="169">
        <f t="shared" si="170"/>
        <v>109.45184919546934</v>
      </c>
      <c r="AM137" s="742">
        <f t="shared" si="171"/>
        <v>109.65713894223279</v>
      </c>
      <c r="AN137" s="169">
        <f t="shared" si="172"/>
        <v>196.34322173906395</v>
      </c>
      <c r="AO137" s="169">
        <f t="shared" si="173"/>
        <v>229.23879085306396</v>
      </c>
      <c r="AP137" s="169">
        <f t="shared" si="174"/>
        <v>0</v>
      </c>
      <c r="AQ137" s="169">
        <f t="shared" si="175"/>
        <v>221.67391075491284</v>
      </c>
      <c r="AR137" s="169">
        <f t="shared" si="176"/>
        <v>7.5648800981511108</v>
      </c>
      <c r="AS137" s="169">
        <f t="shared" si="177"/>
        <v>0</v>
      </c>
      <c r="AT137" s="944"/>
      <c r="AV137" s="944"/>
    </row>
    <row r="138" spans="1:48" s="342" customFormat="1">
      <c r="A138" s="1326" t="s">
        <v>1247</v>
      </c>
      <c r="B138" s="775" t="s">
        <v>773</v>
      </c>
      <c r="C138" s="1252">
        <v>111085.12529411999</v>
      </c>
      <c r="D138" s="776">
        <v>41456</v>
      </c>
      <c r="E138" s="1317">
        <v>15</v>
      </c>
      <c r="F138" s="944" t="s">
        <v>1251</v>
      </c>
      <c r="G138" s="777" t="s">
        <v>852</v>
      </c>
      <c r="H138" s="789" t="s">
        <v>852</v>
      </c>
      <c r="I138" s="229">
        <f t="shared" si="27"/>
        <v>30</v>
      </c>
      <c r="J138" s="1327">
        <f t="shared" si="28"/>
        <v>0.96699999999999997</v>
      </c>
      <c r="K138" s="1327">
        <f t="shared" si="29"/>
        <v>3.3000000000000002E-2</v>
      </c>
      <c r="L138" s="1327">
        <f t="shared" si="30"/>
        <v>0</v>
      </c>
      <c r="M138" s="794">
        <f t="shared" si="156"/>
        <v>1</v>
      </c>
      <c r="N138" s="794">
        <f t="shared" si="156"/>
        <v>1.028</v>
      </c>
      <c r="O138" s="794">
        <f t="shared" si="156"/>
        <v>1.0382800000000001</v>
      </c>
      <c r="P138" s="794">
        <f t="shared" si="156"/>
        <v>1.0590455999999999</v>
      </c>
      <c r="Q138" s="786">
        <f t="shared" si="158"/>
        <v>1110.8512529411998</v>
      </c>
      <c r="R138" s="226">
        <f t="shared" si="159"/>
        <v>1110.8512529411998</v>
      </c>
      <c r="S138" s="226">
        <f t="shared" si="160"/>
        <v>1141.9550880235536</v>
      </c>
      <c r="T138" s="226">
        <f t="shared" si="161"/>
        <v>1153.374638903789</v>
      </c>
      <c r="U138" s="800">
        <f t="shared" si="162"/>
        <v>1176.4421316818646</v>
      </c>
      <c r="V138" s="226">
        <f t="shared" si="163"/>
        <v>1153.374638903789</v>
      </c>
      <c r="W138" s="169">
        <f t="shared" si="178"/>
        <v>1851.4187549019998</v>
      </c>
      <c r="X138" s="169">
        <f t="shared" si="178"/>
        <v>3702.8375098039996</v>
      </c>
      <c r="Y138" s="169">
        <f t="shared" si="178"/>
        <v>3702.8375098039996</v>
      </c>
      <c r="Z138" s="742">
        <f t="shared" si="178"/>
        <v>3702.8375098039996</v>
      </c>
      <c r="AA138" s="798">
        <f t="shared" si="164"/>
        <v>1851.4187549019998</v>
      </c>
      <c r="AB138" s="798">
        <f t="shared" si="165"/>
        <v>3806.5169600785116</v>
      </c>
      <c r="AC138" s="798">
        <f t="shared" si="166"/>
        <v>3844.5821296792969</v>
      </c>
      <c r="AD138" s="799">
        <f t="shared" si="167"/>
        <v>3921.4737722728823</v>
      </c>
      <c r="AE138" s="453"/>
      <c r="AF138" s="169">
        <f t="shared" si="152"/>
        <v>109233.70653921799</v>
      </c>
      <c r="AG138" s="169">
        <f t="shared" si="153"/>
        <v>108485.73336223759</v>
      </c>
      <c r="AH138" s="169">
        <f t="shared" si="154"/>
        <v>105726.00856618067</v>
      </c>
      <c r="AI138" s="742">
        <f t="shared" si="155"/>
        <v>103919.05496523139</v>
      </c>
      <c r="AJ138" s="169">
        <f t="shared" si="168"/>
        <v>8186.973734176644</v>
      </c>
      <c r="AK138" s="169">
        <f t="shared" si="169"/>
        <v>7712.0033611190647</v>
      </c>
      <c r="AL138" s="169">
        <f t="shared" si="170"/>
        <v>7650.7184380618</v>
      </c>
      <c r="AM138" s="742">
        <f t="shared" si="171"/>
        <v>7662.5597510212119</v>
      </c>
      <c r="AN138" s="169">
        <f t="shared" si="172"/>
        <v>7650.7184380618</v>
      </c>
      <c r="AO138" s="169">
        <f t="shared" si="173"/>
        <v>8804.0930769655897</v>
      </c>
      <c r="AP138" s="169">
        <f t="shared" si="174"/>
        <v>8513.5580054257243</v>
      </c>
      <c r="AQ138" s="169">
        <f t="shared" si="175"/>
        <v>0</v>
      </c>
      <c r="AR138" s="169">
        <f t="shared" si="176"/>
        <v>290.53507153986448</v>
      </c>
      <c r="AS138" s="169">
        <f t="shared" si="177"/>
        <v>0</v>
      </c>
      <c r="AT138" s="944"/>
      <c r="AV138" s="944"/>
    </row>
    <row r="139" spans="1:48" s="342" customFormat="1">
      <c r="A139" s="762" t="s">
        <v>1247</v>
      </c>
      <c r="B139" s="1041" t="s">
        <v>1228</v>
      </c>
      <c r="C139" s="763">
        <v>-447926.83807400282</v>
      </c>
      <c r="D139" s="760">
        <v>41639</v>
      </c>
      <c r="E139" s="1315">
        <v>15</v>
      </c>
      <c r="F139" s="944" t="s">
        <v>1251</v>
      </c>
      <c r="G139" s="761" t="s">
        <v>852</v>
      </c>
      <c r="H139" s="1251" t="s">
        <v>779</v>
      </c>
      <c r="I139" s="229">
        <f t="shared" si="27"/>
        <v>30</v>
      </c>
      <c r="J139" s="1327">
        <f t="shared" si="28"/>
        <v>0.96699999999999997</v>
      </c>
      <c r="K139" s="1327">
        <f t="shared" si="29"/>
        <v>3.3000000000000002E-2</v>
      </c>
      <c r="L139" s="1327">
        <f t="shared" si="30"/>
        <v>0</v>
      </c>
      <c r="M139" s="794">
        <f t="shared" si="156"/>
        <v>1</v>
      </c>
      <c r="N139" s="794">
        <f t="shared" si="156"/>
        <v>1.028</v>
      </c>
      <c r="O139" s="794">
        <f t="shared" si="156"/>
        <v>1.0382800000000001</v>
      </c>
      <c r="P139" s="794">
        <f t="shared" si="156"/>
        <v>1.0590455999999999</v>
      </c>
      <c r="Q139" s="786">
        <f t="shared" si="158"/>
        <v>-4479.2683807400281</v>
      </c>
      <c r="R139" s="226">
        <f t="shared" si="159"/>
        <v>-4479.2683807400281</v>
      </c>
      <c r="S139" s="226">
        <f t="shared" si="160"/>
        <v>-4604.6878954007489</v>
      </c>
      <c r="T139" s="226">
        <f t="shared" si="161"/>
        <v>-4650.7347743547571</v>
      </c>
      <c r="U139" s="800">
        <f t="shared" si="162"/>
        <v>-4743.7494698418514</v>
      </c>
      <c r="V139" s="226">
        <f t="shared" si="163"/>
        <v>-14249.406410511667</v>
      </c>
      <c r="W139" s="169">
        <f t="shared" si="178"/>
        <v>-1244.2412168722299</v>
      </c>
      <c r="X139" s="169">
        <f t="shared" si="178"/>
        <v>-14930.89460246676</v>
      </c>
      <c r="Y139" s="169">
        <f t="shared" si="178"/>
        <v>-14930.89460246676</v>
      </c>
      <c r="Z139" s="742">
        <f t="shared" si="178"/>
        <v>-14930.89460246676</v>
      </c>
      <c r="AA139" s="798">
        <f t="shared" si="164"/>
        <v>-1244.2412168722299</v>
      </c>
      <c r="AB139" s="798">
        <f t="shared" si="165"/>
        <v>-15348.95965133583</v>
      </c>
      <c r="AC139" s="798">
        <f t="shared" si="166"/>
        <v>-15502.449247849188</v>
      </c>
      <c r="AD139" s="799">
        <f t="shared" si="167"/>
        <v>-15812.498232806171</v>
      </c>
      <c r="AE139" s="453"/>
      <c r="AF139" s="169">
        <f t="shared" si="152"/>
        <v>-446682.59685713059</v>
      </c>
      <c r="AG139" s="169">
        <f t="shared" si="153"/>
        <v>-443840.74991779443</v>
      </c>
      <c r="AH139" s="169">
        <f t="shared" si="154"/>
        <v>-432776.70816912322</v>
      </c>
      <c r="AI139" s="742">
        <f t="shared" si="155"/>
        <v>-425619.74409969954</v>
      </c>
      <c r="AJ139" s="169">
        <f t="shared" si="168"/>
        <v>-27151.831834585806</v>
      </c>
      <c r="AK139" s="169">
        <f t="shared" si="169"/>
        <v>-31327.226648376429</v>
      </c>
      <c r="AL139" s="169">
        <f t="shared" si="170"/>
        <v>-31082.410741937623</v>
      </c>
      <c r="AM139" s="742">
        <f t="shared" si="171"/>
        <v>-31134.809020395354</v>
      </c>
      <c r="AN139" s="169">
        <f t="shared" si="172"/>
        <v>-92818.10790642786</v>
      </c>
      <c r="AO139" s="169">
        <f t="shared" si="173"/>
        <v>-107067.51431693953</v>
      </c>
      <c r="AP139" s="169">
        <f t="shared" si="174"/>
        <v>-103534.28634448053</v>
      </c>
      <c r="AQ139" s="169">
        <f t="shared" si="175"/>
        <v>0</v>
      </c>
      <c r="AR139" s="169">
        <f t="shared" si="176"/>
        <v>-3533.2279724590048</v>
      </c>
      <c r="AS139" s="169">
        <f t="shared" si="177"/>
        <v>0</v>
      </c>
      <c r="AT139" s="944"/>
      <c r="AV139" s="944"/>
    </row>
    <row r="140" spans="1:48" s="342" customFormat="1">
      <c r="A140" s="762" t="s">
        <v>1247</v>
      </c>
      <c r="B140" s="1041" t="s">
        <v>1228</v>
      </c>
      <c r="C140" s="763">
        <v>972758.28430367995</v>
      </c>
      <c r="D140" s="760">
        <v>41821</v>
      </c>
      <c r="E140" s="1315">
        <v>15</v>
      </c>
      <c r="F140" s="944" t="s">
        <v>1251</v>
      </c>
      <c r="G140" s="761"/>
      <c r="H140" s="1251" t="s">
        <v>779</v>
      </c>
      <c r="I140" s="229">
        <f t="shared" si="27"/>
        <v>30</v>
      </c>
      <c r="J140" s="1327">
        <f t="shared" si="28"/>
        <v>0.96699999999999997</v>
      </c>
      <c r="K140" s="1327">
        <f t="shared" si="29"/>
        <v>3.3000000000000002E-2</v>
      </c>
      <c r="L140" s="1327">
        <f t="shared" si="30"/>
        <v>0</v>
      </c>
      <c r="M140" s="794">
        <f t="shared" ref="M140:P158" si="179">IF(YEAR($D140)&gt;M$78,0,HLOOKUP(M$78,$C$9:$F$13, YEAR($D140)-2011,FALSE))</f>
        <v>0</v>
      </c>
      <c r="N140" s="794">
        <f t="shared" si="179"/>
        <v>1</v>
      </c>
      <c r="O140" s="794">
        <f t="shared" si="179"/>
        <v>1.01</v>
      </c>
      <c r="P140" s="794">
        <f t="shared" si="179"/>
        <v>1.0302</v>
      </c>
      <c r="Q140" s="786">
        <f t="shared" si="158"/>
        <v>9727.5828430368001</v>
      </c>
      <c r="R140" s="226">
        <f t="shared" si="159"/>
        <v>0</v>
      </c>
      <c r="S140" s="226">
        <f t="shared" si="160"/>
        <v>9727.5828430368001</v>
      </c>
      <c r="T140" s="226">
        <f t="shared" si="161"/>
        <v>9824.8586714671674</v>
      </c>
      <c r="U140" s="800">
        <f t="shared" si="162"/>
        <v>10021.355844896512</v>
      </c>
      <c r="V140" s="226">
        <f t="shared" si="163"/>
        <v>19941.544828225437</v>
      </c>
      <c r="W140" s="169">
        <f t="shared" si="178"/>
        <v>0</v>
      </c>
      <c r="X140" s="169">
        <f t="shared" si="178"/>
        <v>16212.638071727999</v>
      </c>
      <c r="Y140" s="169">
        <f t="shared" si="178"/>
        <v>32425.276143455998</v>
      </c>
      <c r="Z140" s="742">
        <f t="shared" si="178"/>
        <v>32425.276143455998</v>
      </c>
      <c r="AA140" s="798">
        <f t="shared" si="164"/>
        <v>0</v>
      </c>
      <c r="AB140" s="798">
        <f t="shared" si="165"/>
        <v>16212.638071727999</v>
      </c>
      <c r="AC140" s="798">
        <f t="shared" si="166"/>
        <v>32749.528904890558</v>
      </c>
      <c r="AD140" s="799">
        <f t="shared" si="167"/>
        <v>33404.519482988369</v>
      </c>
      <c r="AE140" s="453"/>
      <c r="AF140" s="169">
        <f t="shared" si="152"/>
        <v>0</v>
      </c>
      <c r="AG140" s="169">
        <f t="shared" si="153"/>
        <v>956545.64623195189</v>
      </c>
      <c r="AH140" s="169">
        <f t="shared" si="154"/>
        <v>933361.57378938084</v>
      </c>
      <c r="AI140" s="742">
        <f t="shared" si="155"/>
        <v>918624.28578218003</v>
      </c>
      <c r="AJ140" s="169">
        <f t="shared" si="168"/>
        <v>0</v>
      </c>
      <c r="AK140" s="169">
        <f t="shared" si="169"/>
        <v>50648.28133607826</v>
      </c>
      <c r="AL140" s="169">
        <f t="shared" si="170"/>
        <v>66350.545561308259</v>
      </c>
      <c r="AM140" s="742">
        <f t="shared" si="171"/>
        <v>66474.993771146837</v>
      </c>
      <c r="AN140" s="169">
        <f t="shared" si="172"/>
        <v>119024.75815082963</v>
      </c>
      <c r="AO140" s="169">
        <f t="shared" si="173"/>
        <v>138966.30297905506</v>
      </c>
      <c r="AP140" s="169">
        <f t="shared" si="174"/>
        <v>0</v>
      </c>
      <c r="AQ140" s="169">
        <f t="shared" si="175"/>
        <v>134380.41498074625</v>
      </c>
      <c r="AR140" s="169">
        <f t="shared" si="176"/>
        <v>4585.8879983088173</v>
      </c>
      <c r="AS140" s="169">
        <f t="shared" si="177"/>
        <v>0</v>
      </c>
      <c r="AT140" s="944"/>
      <c r="AV140" s="944"/>
    </row>
    <row r="141" spans="1:48" s="342" customFormat="1">
      <c r="A141" s="778" t="s">
        <v>1147</v>
      </c>
      <c r="B141" s="775" t="s">
        <v>777</v>
      </c>
      <c r="C141" s="1252">
        <v>553594.01588065492</v>
      </c>
      <c r="D141" s="776">
        <v>41456</v>
      </c>
      <c r="E141" s="1317">
        <v>32</v>
      </c>
      <c r="F141" s="944" t="s">
        <v>1251</v>
      </c>
      <c r="G141" s="777" t="s">
        <v>852</v>
      </c>
      <c r="H141" s="789" t="s">
        <v>852</v>
      </c>
      <c r="I141" s="229">
        <f t="shared" si="27"/>
        <v>30</v>
      </c>
      <c r="J141" s="1327">
        <f t="shared" si="28"/>
        <v>0.96699999999999997</v>
      </c>
      <c r="K141" s="1327">
        <f t="shared" si="29"/>
        <v>3.3000000000000002E-2</v>
      </c>
      <c r="L141" s="1327">
        <f t="shared" si="30"/>
        <v>0</v>
      </c>
      <c r="M141" s="794">
        <f t="shared" si="179"/>
        <v>1</v>
      </c>
      <c r="N141" s="794">
        <f t="shared" si="179"/>
        <v>1.028</v>
      </c>
      <c r="O141" s="794">
        <f t="shared" si="179"/>
        <v>1.0382800000000001</v>
      </c>
      <c r="P141" s="794">
        <f t="shared" si="179"/>
        <v>1.0590455999999999</v>
      </c>
      <c r="Q141" s="786">
        <f t="shared" si="158"/>
        <v>5535.9401588065493</v>
      </c>
      <c r="R141" s="226">
        <f t="shared" si="159"/>
        <v>5535.9401588065493</v>
      </c>
      <c r="S141" s="226">
        <f t="shared" si="160"/>
        <v>5690.946483253133</v>
      </c>
      <c r="T141" s="226">
        <f t="shared" si="161"/>
        <v>5747.8559480856647</v>
      </c>
      <c r="U141" s="800">
        <f t="shared" si="162"/>
        <v>5862.8130670473765</v>
      </c>
      <c r="V141" s="226">
        <f t="shared" si="163"/>
        <v>5747.8559480856647</v>
      </c>
      <c r="W141" s="169">
        <f t="shared" si="178"/>
        <v>9226.5669313442486</v>
      </c>
      <c r="X141" s="169">
        <f t="shared" si="178"/>
        <v>18453.133862688497</v>
      </c>
      <c r="Y141" s="169">
        <f t="shared" si="178"/>
        <v>18453.133862688497</v>
      </c>
      <c r="Z141" s="742">
        <f t="shared" si="178"/>
        <v>18453.133862688497</v>
      </c>
      <c r="AA141" s="798">
        <f t="shared" si="164"/>
        <v>9226.5669313442486</v>
      </c>
      <c r="AB141" s="798">
        <f t="shared" si="165"/>
        <v>18969.821610843777</v>
      </c>
      <c r="AC141" s="798">
        <f t="shared" si="166"/>
        <v>19159.519826952215</v>
      </c>
      <c r="AD141" s="799">
        <f t="shared" si="167"/>
        <v>19542.710223491256</v>
      </c>
      <c r="AE141" s="453"/>
      <c r="AF141" s="169">
        <f t="shared" si="152"/>
        <v>544367.4489493107</v>
      </c>
      <c r="AG141" s="169">
        <f t="shared" si="153"/>
        <v>540639.9159090477</v>
      </c>
      <c r="AH141" s="169">
        <f t="shared" si="154"/>
        <v>526886.79524118593</v>
      </c>
      <c r="AI141" s="742">
        <f t="shared" si="155"/>
        <v>517881.82092251844</v>
      </c>
      <c r="AJ141" s="169">
        <f t="shared" si="168"/>
        <v>40799.878970404272</v>
      </c>
      <c r="AK141" s="169">
        <f t="shared" si="169"/>
        <v>38432.858583569498</v>
      </c>
      <c r="AL141" s="169">
        <f t="shared" si="170"/>
        <v>38127.444455634904</v>
      </c>
      <c r="AM141" s="742">
        <f t="shared" si="171"/>
        <v>38186.455776701914</v>
      </c>
      <c r="AN141" s="169">
        <f t="shared" si="172"/>
        <v>38127.444455634904</v>
      </c>
      <c r="AO141" s="169">
        <f t="shared" si="173"/>
        <v>43875.300403720568</v>
      </c>
      <c r="AP141" s="169">
        <f t="shared" si="174"/>
        <v>42427.415490397791</v>
      </c>
      <c r="AQ141" s="169">
        <f t="shared" si="175"/>
        <v>0</v>
      </c>
      <c r="AR141" s="169">
        <f t="shared" si="176"/>
        <v>1447.8849133227789</v>
      </c>
      <c r="AS141" s="169">
        <f t="shared" si="177"/>
        <v>0</v>
      </c>
      <c r="AT141" s="944"/>
      <c r="AV141" s="944"/>
    </row>
    <row r="142" spans="1:48" s="342" customFormat="1">
      <c r="A142" s="762" t="s">
        <v>1147</v>
      </c>
      <c r="B142" s="1041" t="s">
        <v>1232</v>
      </c>
      <c r="C142" s="763">
        <v>577166.82785311306</v>
      </c>
      <c r="D142" s="760">
        <v>41639</v>
      </c>
      <c r="E142" s="1315">
        <v>32</v>
      </c>
      <c r="F142" s="944" t="s">
        <v>1251</v>
      </c>
      <c r="G142" s="761" t="s">
        <v>852</v>
      </c>
      <c r="H142" s="1251" t="s">
        <v>779</v>
      </c>
      <c r="I142" s="229">
        <f t="shared" si="27"/>
        <v>30</v>
      </c>
      <c r="J142" s="1327">
        <f t="shared" si="28"/>
        <v>0.96699999999999997</v>
      </c>
      <c r="K142" s="1327">
        <f t="shared" si="29"/>
        <v>3.3000000000000002E-2</v>
      </c>
      <c r="L142" s="1327">
        <f t="shared" si="30"/>
        <v>0</v>
      </c>
      <c r="M142" s="794">
        <f t="shared" si="179"/>
        <v>1</v>
      </c>
      <c r="N142" s="794">
        <f t="shared" si="179"/>
        <v>1.028</v>
      </c>
      <c r="O142" s="794">
        <f t="shared" si="179"/>
        <v>1.0382800000000001</v>
      </c>
      <c r="P142" s="794">
        <f t="shared" si="179"/>
        <v>1.0590455999999999</v>
      </c>
      <c r="Q142" s="786">
        <f t="shared" si="158"/>
        <v>5771.6682785311305</v>
      </c>
      <c r="R142" s="226">
        <f t="shared" si="159"/>
        <v>5771.6682785311305</v>
      </c>
      <c r="S142" s="226">
        <f t="shared" si="160"/>
        <v>5933.2749903300019</v>
      </c>
      <c r="T142" s="226">
        <f t="shared" si="161"/>
        <v>5992.607740233303</v>
      </c>
      <c r="U142" s="800">
        <f t="shared" si="162"/>
        <v>6112.4598950379677</v>
      </c>
      <c r="V142" s="226">
        <f t="shared" si="163"/>
        <v>18360.776800308809</v>
      </c>
      <c r="W142" s="169">
        <f t="shared" si="178"/>
        <v>1603.2411884808694</v>
      </c>
      <c r="X142" s="169">
        <f t="shared" si="178"/>
        <v>19238.894261770434</v>
      </c>
      <c r="Y142" s="169">
        <f t="shared" si="178"/>
        <v>19238.894261770434</v>
      </c>
      <c r="Z142" s="742">
        <f t="shared" si="178"/>
        <v>19238.894261770434</v>
      </c>
      <c r="AA142" s="798">
        <f t="shared" si="164"/>
        <v>1603.2411884808694</v>
      </c>
      <c r="AB142" s="798">
        <f t="shared" si="165"/>
        <v>19777.583301100007</v>
      </c>
      <c r="AC142" s="798">
        <f t="shared" si="166"/>
        <v>19975.359134111008</v>
      </c>
      <c r="AD142" s="799">
        <f t="shared" si="167"/>
        <v>20374.866316793225</v>
      </c>
      <c r="AE142" s="453"/>
      <c r="AF142" s="169">
        <f t="shared" si="152"/>
        <v>575563.5866646322</v>
      </c>
      <c r="AG142" s="169">
        <f t="shared" si="153"/>
        <v>571901.78379014181</v>
      </c>
      <c r="AH142" s="169">
        <f t="shared" si="154"/>
        <v>557645.44249393221</v>
      </c>
      <c r="AI142" s="742">
        <f t="shared" si="155"/>
        <v>548423.48502701765</v>
      </c>
      <c r="AJ142" s="169">
        <f t="shared" si="168"/>
        <v>34985.929215029537</v>
      </c>
      <c r="AK142" s="169">
        <f t="shared" si="169"/>
        <v>40366.047517545114</v>
      </c>
      <c r="AL142" s="169">
        <f t="shared" si="170"/>
        <v>40050.595063892564</v>
      </c>
      <c r="AM142" s="742">
        <f t="shared" si="171"/>
        <v>40118.111777765858</v>
      </c>
      <c r="AN142" s="169">
        <f t="shared" si="172"/>
        <v>119598.84595892479</v>
      </c>
      <c r="AO142" s="169">
        <f t="shared" si="173"/>
        <v>137959.62275923361</v>
      </c>
      <c r="AP142" s="169">
        <f t="shared" si="174"/>
        <v>133406.9552081789</v>
      </c>
      <c r="AQ142" s="169">
        <f t="shared" si="175"/>
        <v>0</v>
      </c>
      <c r="AR142" s="169">
        <f t="shared" si="176"/>
        <v>4552.6675510547093</v>
      </c>
      <c r="AS142" s="169">
        <f t="shared" si="177"/>
        <v>0</v>
      </c>
      <c r="AT142" s="944"/>
      <c r="AV142" s="944"/>
    </row>
    <row r="143" spans="1:48" s="342" customFormat="1">
      <c r="A143" s="778" t="s">
        <v>781</v>
      </c>
      <c r="B143" s="775" t="s">
        <v>1222</v>
      </c>
      <c r="C143" s="1252">
        <v>84118.727147864993</v>
      </c>
      <c r="D143" s="776">
        <v>41456</v>
      </c>
      <c r="E143" s="1317">
        <v>41</v>
      </c>
      <c r="F143" s="944" t="s">
        <v>1251</v>
      </c>
      <c r="G143" s="777" t="s">
        <v>852</v>
      </c>
      <c r="H143" s="789" t="s">
        <v>852</v>
      </c>
      <c r="I143" s="229">
        <f t="shared" si="27"/>
        <v>30</v>
      </c>
      <c r="J143" s="1327">
        <f t="shared" si="28"/>
        <v>0</v>
      </c>
      <c r="K143" s="1327">
        <f t="shared" si="29"/>
        <v>0</v>
      </c>
      <c r="L143" s="1327">
        <f t="shared" si="30"/>
        <v>1</v>
      </c>
      <c r="M143" s="794">
        <f t="shared" si="179"/>
        <v>1</v>
      </c>
      <c r="N143" s="794">
        <f t="shared" si="179"/>
        <v>1.028</v>
      </c>
      <c r="O143" s="794">
        <f t="shared" si="179"/>
        <v>1.0382800000000001</v>
      </c>
      <c r="P143" s="794">
        <f t="shared" si="179"/>
        <v>1.0590455999999999</v>
      </c>
      <c r="Q143" s="786">
        <f t="shared" si="158"/>
        <v>841.1872714786499</v>
      </c>
      <c r="R143" s="226">
        <f t="shared" si="159"/>
        <v>841.1872714786499</v>
      </c>
      <c r="S143" s="226">
        <f t="shared" si="160"/>
        <v>864.74051508005209</v>
      </c>
      <c r="T143" s="226">
        <f t="shared" si="161"/>
        <v>873.38792023085273</v>
      </c>
      <c r="U143" s="800">
        <f t="shared" si="162"/>
        <v>890.85567863546964</v>
      </c>
      <c r="V143" s="226">
        <f t="shared" si="163"/>
        <v>873.38792023085273</v>
      </c>
      <c r="W143" s="169">
        <f t="shared" si="178"/>
        <v>1401.9787857977499</v>
      </c>
      <c r="X143" s="169">
        <f t="shared" si="178"/>
        <v>2803.9575715954998</v>
      </c>
      <c r="Y143" s="169">
        <f t="shared" si="178"/>
        <v>2803.9575715954998</v>
      </c>
      <c r="Z143" s="742">
        <f t="shared" si="178"/>
        <v>2803.9575715954998</v>
      </c>
      <c r="AA143" s="798">
        <f t="shared" si="164"/>
        <v>1401.9787857977499</v>
      </c>
      <c r="AB143" s="798">
        <f t="shared" si="165"/>
        <v>2882.4683836001736</v>
      </c>
      <c r="AC143" s="798">
        <f t="shared" si="166"/>
        <v>2911.2930674361755</v>
      </c>
      <c r="AD143" s="799">
        <f t="shared" si="167"/>
        <v>2969.5189287848989</v>
      </c>
      <c r="AE143" s="453"/>
      <c r="AF143" s="169">
        <f t="shared" si="152"/>
        <v>82716.748362067243</v>
      </c>
      <c r="AG143" s="169">
        <f t="shared" si="153"/>
        <v>82150.348932604946</v>
      </c>
      <c r="AH143" s="169">
        <f t="shared" si="154"/>
        <v>80060.559354494821</v>
      </c>
      <c r="AI143" s="742">
        <f t="shared" si="155"/>
        <v>78692.251612799824</v>
      </c>
      <c r="AJ143" s="169">
        <f t="shared" si="168"/>
        <v>6199.5501907976504</v>
      </c>
      <c r="AK143" s="169">
        <f t="shared" si="169"/>
        <v>5839.8809451739517</v>
      </c>
      <c r="AL143" s="169">
        <f t="shared" si="170"/>
        <v>5793.4732041979887</v>
      </c>
      <c r="AM143" s="742">
        <f t="shared" si="171"/>
        <v>5802.4399868456921</v>
      </c>
      <c r="AN143" s="169">
        <f t="shared" si="172"/>
        <v>5793.4732041979887</v>
      </c>
      <c r="AO143" s="169">
        <f t="shared" si="173"/>
        <v>6666.8611244288413</v>
      </c>
      <c r="AP143" s="169">
        <f t="shared" si="174"/>
        <v>0</v>
      </c>
      <c r="AQ143" s="169">
        <f t="shared" si="175"/>
        <v>0</v>
      </c>
      <c r="AR143" s="169">
        <f t="shared" si="176"/>
        <v>0</v>
      </c>
      <c r="AS143" s="169">
        <f t="shared" si="177"/>
        <v>6666.8611244288413</v>
      </c>
      <c r="AT143" s="944"/>
      <c r="AV143" s="944"/>
    </row>
    <row r="144" spans="1:48" s="342" customFormat="1">
      <c r="A144" s="762" t="s">
        <v>781</v>
      </c>
      <c r="B144" s="1041" t="s">
        <v>1233</v>
      </c>
      <c r="C144" s="763">
        <v>-63985.963567920277</v>
      </c>
      <c r="D144" s="760">
        <v>41639</v>
      </c>
      <c r="E144" s="1315">
        <v>41</v>
      </c>
      <c r="F144" s="944" t="s">
        <v>1251</v>
      </c>
      <c r="G144" s="761" t="s">
        <v>852</v>
      </c>
      <c r="H144" s="1251" t="s">
        <v>779</v>
      </c>
      <c r="I144" s="229">
        <f t="shared" si="27"/>
        <v>30</v>
      </c>
      <c r="J144" s="1327">
        <f t="shared" si="28"/>
        <v>0</v>
      </c>
      <c r="K144" s="1327">
        <f t="shared" si="29"/>
        <v>0</v>
      </c>
      <c r="L144" s="1327">
        <f t="shared" si="30"/>
        <v>1</v>
      </c>
      <c r="M144" s="794">
        <f t="shared" si="179"/>
        <v>1</v>
      </c>
      <c r="N144" s="794">
        <f t="shared" si="179"/>
        <v>1.028</v>
      </c>
      <c r="O144" s="794">
        <f t="shared" si="179"/>
        <v>1.0382800000000001</v>
      </c>
      <c r="P144" s="794">
        <f t="shared" si="179"/>
        <v>1.0590455999999999</v>
      </c>
      <c r="Q144" s="786">
        <f t="shared" si="158"/>
        <v>-639.85963567920282</v>
      </c>
      <c r="R144" s="226">
        <f t="shared" si="159"/>
        <v>-639.85963567920282</v>
      </c>
      <c r="S144" s="226">
        <f t="shared" si="160"/>
        <v>-657.77570547822052</v>
      </c>
      <c r="T144" s="226">
        <f t="shared" si="161"/>
        <v>-664.35346253300281</v>
      </c>
      <c r="U144" s="800">
        <f t="shared" si="162"/>
        <v>-677.64053178366271</v>
      </c>
      <c r="V144" s="226">
        <f t="shared" si="163"/>
        <v>-2035.5154501746003</v>
      </c>
      <c r="W144" s="169">
        <f t="shared" si="178"/>
        <v>-177.73878768866743</v>
      </c>
      <c r="X144" s="169">
        <f t="shared" si="178"/>
        <v>-2132.865452264009</v>
      </c>
      <c r="Y144" s="169">
        <f t="shared" si="178"/>
        <v>-2132.865452264009</v>
      </c>
      <c r="Z144" s="742">
        <f t="shared" si="178"/>
        <v>-2132.865452264009</v>
      </c>
      <c r="AA144" s="798">
        <f t="shared" si="164"/>
        <v>-177.73878768866743</v>
      </c>
      <c r="AB144" s="798">
        <f t="shared" si="165"/>
        <v>-2192.5856849274014</v>
      </c>
      <c r="AC144" s="798">
        <f t="shared" si="166"/>
        <v>-2214.5115417766756</v>
      </c>
      <c r="AD144" s="799">
        <f t="shared" si="167"/>
        <v>-2258.8017726122084</v>
      </c>
      <c r="AE144" s="453"/>
      <c r="AF144" s="169">
        <f t="shared" ref="AF144:AF158" si="180">IF(YEAR($D144)=AF$78,$C144-AA144,IF(YEAR($D144)&lt;AF$78,AE144*$B$10-AA144,0))</f>
        <v>-63808.224780231612</v>
      </c>
      <c r="AG144" s="169">
        <f t="shared" ref="AG144:AG158" si="181">IF(YEAR($D144)=AG$78,$C144-AB144,IF(YEAR($D144)&lt;AG$78,AF144*$B$11-AB144,0))</f>
        <v>-63402.269389150693</v>
      </c>
      <c r="AH144" s="169">
        <f t="shared" ref="AH144:AH158" si="182">IF(YEAR($D144)=AH$78,$C144-AC144,IF(YEAR($D144)&lt;AH$78,AG144*$B$12-AC144,0))</f>
        <v>-61821.780541265529</v>
      </c>
      <c r="AI144" s="742">
        <f t="shared" ref="AI144:AI158" si="183">IF(YEAR($D144)=AI$78,$C144-AD144,IF(YEAR($D144)&lt;AI$78,AH144*$B$13-AD144,0))</f>
        <v>-60799.414379478636</v>
      </c>
      <c r="AJ144" s="169">
        <f t="shared" si="168"/>
        <v>-3878.615824942101</v>
      </c>
      <c r="AK144" s="169">
        <f t="shared" si="169"/>
        <v>-4475.0673829368261</v>
      </c>
      <c r="AL144" s="169">
        <f t="shared" si="170"/>
        <v>-4440.0956412622345</v>
      </c>
      <c r="AM144" s="742">
        <f t="shared" si="171"/>
        <v>-4447.5806902734394</v>
      </c>
      <c r="AN144" s="169">
        <f t="shared" si="172"/>
        <v>-13258.986883841917</v>
      </c>
      <c r="AO144" s="169">
        <f t="shared" si="173"/>
        <v>-15294.502334016517</v>
      </c>
      <c r="AP144" s="169">
        <f t="shared" si="174"/>
        <v>0</v>
      </c>
      <c r="AQ144" s="169">
        <f t="shared" si="175"/>
        <v>0</v>
      </c>
      <c r="AR144" s="169">
        <f t="shared" si="176"/>
        <v>0</v>
      </c>
      <c r="AS144" s="169">
        <f t="shared" si="177"/>
        <v>-15294.502334016517</v>
      </c>
      <c r="AT144" s="944"/>
      <c r="AV144" s="944"/>
    </row>
    <row r="145" spans="1:48" s="342" customFormat="1">
      <c r="A145" s="762" t="s">
        <v>781</v>
      </c>
      <c r="B145" s="1041" t="s">
        <v>1233</v>
      </c>
      <c r="C145" s="763">
        <v>324051.31996311998</v>
      </c>
      <c r="D145" s="760">
        <v>41821</v>
      </c>
      <c r="E145" s="1315">
        <v>41</v>
      </c>
      <c r="F145" s="944" t="s">
        <v>1251</v>
      </c>
      <c r="G145" s="761"/>
      <c r="H145" s="1251" t="s">
        <v>779</v>
      </c>
      <c r="I145" s="229">
        <f t="shared" si="27"/>
        <v>30</v>
      </c>
      <c r="J145" s="1327">
        <f t="shared" si="28"/>
        <v>0</v>
      </c>
      <c r="K145" s="1327">
        <f t="shared" si="29"/>
        <v>0</v>
      </c>
      <c r="L145" s="1327">
        <f t="shared" si="30"/>
        <v>1</v>
      </c>
      <c r="M145" s="794">
        <f t="shared" si="179"/>
        <v>0</v>
      </c>
      <c r="N145" s="794">
        <f t="shared" si="179"/>
        <v>1</v>
      </c>
      <c r="O145" s="794">
        <f t="shared" si="179"/>
        <v>1.01</v>
      </c>
      <c r="P145" s="794">
        <f t="shared" si="179"/>
        <v>1.0302</v>
      </c>
      <c r="Q145" s="786">
        <f t="shared" si="158"/>
        <v>3240.5131996311998</v>
      </c>
      <c r="R145" s="226">
        <f t="shared" si="159"/>
        <v>0</v>
      </c>
      <c r="S145" s="226">
        <f t="shared" si="160"/>
        <v>3240.5131996311998</v>
      </c>
      <c r="T145" s="226">
        <f t="shared" si="161"/>
        <v>3272.9183316275116</v>
      </c>
      <c r="U145" s="800">
        <f t="shared" si="162"/>
        <v>3338.3766982600619</v>
      </c>
      <c r="V145" s="226">
        <f t="shared" si="163"/>
        <v>6643.052059243958</v>
      </c>
      <c r="W145" s="169">
        <f t="shared" si="178"/>
        <v>0</v>
      </c>
      <c r="X145" s="169">
        <f t="shared" si="178"/>
        <v>5400.8553327186664</v>
      </c>
      <c r="Y145" s="169">
        <f t="shared" si="178"/>
        <v>10801.710665437333</v>
      </c>
      <c r="Z145" s="742">
        <f t="shared" si="178"/>
        <v>10801.710665437333</v>
      </c>
      <c r="AA145" s="798">
        <f t="shared" si="164"/>
        <v>0</v>
      </c>
      <c r="AB145" s="798">
        <f t="shared" si="165"/>
        <v>5400.8553327186664</v>
      </c>
      <c r="AC145" s="798">
        <f t="shared" si="166"/>
        <v>10909.727772091706</v>
      </c>
      <c r="AD145" s="799">
        <f t="shared" si="167"/>
        <v>11127.922327533541</v>
      </c>
      <c r="AE145" s="453"/>
      <c r="AF145" s="169">
        <f t="shared" si="180"/>
        <v>0</v>
      </c>
      <c r="AG145" s="169">
        <f t="shared" si="181"/>
        <v>318650.46463040134</v>
      </c>
      <c r="AH145" s="169">
        <f t="shared" si="182"/>
        <v>310927.24150461366</v>
      </c>
      <c r="AI145" s="742">
        <f t="shared" si="183"/>
        <v>306017.86400717241</v>
      </c>
      <c r="AJ145" s="169">
        <f t="shared" si="168"/>
        <v>0</v>
      </c>
      <c r="AK145" s="169">
        <f t="shared" si="169"/>
        <v>16872.272059413113</v>
      </c>
      <c r="AL145" s="169">
        <f t="shared" si="170"/>
        <v>22103.1084662578</v>
      </c>
      <c r="AM145" s="742">
        <f t="shared" si="171"/>
        <v>22144.565431791747</v>
      </c>
      <c r="AN145" s="169">
        <f t="shared" si="172"/>
        <v>39650.271408047425</v>
      </c>
      <c r="AO145" s="169">
        <f t="shared" si="173"/>
        <v>46293.323467291382</v>
      </c>
      <c r="AP145" s="169">
        <f t="shared" si="174"/>
        <v>0</v>
      </c>
      <c r="AQ145" s="169">
        <f t="shared" si="175"/>
        <v>0</v>
      </c>
      <c r="AR145" s="169">
        <f t="shared" si="176"/>
        <v>0</v>
      </c>
      <c r="AS145" s="169">
        <f t="shared" si="177"/>
        <v>46293.323467291382</v>
      </c>
      <c r="AT145" s="944"/>
      <c r="AV145" s="944"/>
    </row>
    <row r="146" spans="1:48" s="342" customFormat="1">
      <c r="A146" s="1591"/>
      <c r="B146" s="1592"/>
      <c r="C146" s="1252">
        <v>98200.942397564999</v>
      </c>
      <c r="D146" s="776">
        <v>41456</v>
      </c>
      <c r="E146" s="1317">
        <v>21</v>
      </c>
      <c r="F146" s="944" t="s">
        <v>1251</v>
      </c>
      <c r="G146" s="777" t="s">
        <v>852</v>
      </c>
      <c r="H146" s="789" t="s">
        <v>852</v>
      </c>
      <c r="I146" s="229">
        <f t="shared" si="27"/>
        <v>55</v>
      </c>
      <c r="J146" s="1327">
        <f t="shared" si="28"/>
        <v>0.96699999999999997</v>
      </c>
      <c r="K146" s="1327">
        <f t="shared" si="29"/>
        <v>3.3000000000000002E-2</v>
      </c>
      <c r="L146" s="1327">
        <f t="shared" si="30"/>
        <v>0</v>
      </c>
      <c r="M146" s="794">
        <f t="shared" si="179"/>
        <v>1</v>
      </c>
      <c r="N146" s="794">
        <f t="shared" si="179"/>
        <v>1.028</v>
      </c>
      <c r="O146" s="794">
        <f t="shared" si="179"/>
        <v>1.0382800000000001</v>
      </c>
      <c r="P146" s="794">
        <f t="shared" si="179"/>
        <v>1.0590455999999999</v>
      </c>
      <c r="Q146" s="786">
        <f t="shared" si="158"/>
        <v>982.00942397564995</v>
      </c>
      <c r="R146" s="226">
        <f t="shared" si="159"/>
        <v>982.00942397564995</v>
      </c>
      <c r="S146" s="226">
        <f t="shared" si="160"/>
        <v>1009.5056878469682</v>
      </c>
      <c r="T146" s="226">
        <f t="shared" si="161"/>
        <v>1019.6007447254379</v>
      </c>
      <c r="U146" s="800">
        <f t="shared" si="162"/>
        <v>1039.9927596199466</v>
      </c>
      <c r="V146" s="226">
        <f t="shared" si="163"/>
        <v>1019.6007447254379</v>
      </c>
      <c r="W146" s="169">
        <f t="shared" si="178"/>
        <v>892.73583997786363</v>
      </c>
      <c r="X146" s="169">
        <f t="shared" si="178"/>
        <v>1785.4716799557273</v>
      </c>
      <c r="Y146" s="169">
        <f t="shared" si="178"/>
        <v>1785.4716799557273</v>
      </c>
      <c r="Z146" s="742">
        <f t="shared" si="178"/>
        <v>1785.4716799557273</v>
      </c>
      <c r="AA146" s="798">
        <f t="shared" si="164"/>
        <v>892.73583997786363</v>
      </c>
      <c r="AB146" s="798">
        <f t="shared" si="165"/>
        <v>1835.4648869944876</v>
      </c>
      <c r="AC146" s="798">
        <f t="shared" si="166"/>
        <v>1853.8195358644327</v>
      </c>
      <c r="AD146" s="799">
        <f t="shared" si="167"/>
        <v>1890.8959265817209</v>
      </c>
      <c r="AE146" s="453"/>
      <c r="AF146" s="169">
        <f t="shared" si="180"/>
        <v>97308.206557587138</v>
      </c>
      <c r="AG146" s="169">
        <f t="shared" si="181"/>
        <v>98197.371454205088</v>
      </c>
      <c r="AH146" s="169">
        <f t="shared" si="182"/>
        <v>97325.525632882709</v>
      </c>
      <c r="AI146" s="742">
        <f t="shared" si="183"/>
        <v>97381.140218958637</v>
      </c>
      <c r="AJ146" s="169">
        <f t="shared" si="168"/>
        <v>6536.6118203179176</v>
      </c>
      <c r="AK146" s="169">
        <f t="shared" si="169"/>
        <v>5370.57025934587</v>
      </c>
      <c r="AL146" s="169">
        <f t="shared" si="170"/>
        <v>5357.5384586482096</v>
      </c>
      <c r="AM146" s="742">
        <f t="shared" si="171"/>
        <v>5396.6169744642311</v>
      </c>
      <c r="AN146" s="169">
        <f t="shared" si="172"/>
        <v>5357.5384586482096</v>
      </c>
      <c r="AO146" s="169">
        <f t="shared" si="173"/>
        <v>6377.1392033736474</v>
      </c>
      <c r="AP146" s="169">
        <f t="shared" si="174"/>
        <v>6166.6936096623167</v>
      </c>
      <c r="AQ146" s="169">
        <f t="shared" si="175"/>
        <v>0</v>
      </c>
      <c r="AR146" s="169">
        <f t="shared" si="176"/>
        <v>210.44559371133039</v>
      </c>
      <c r="AS146" s="169">
        <f t="shared" si="177"/>
        <v>0</v>
      </c>
      <c r="AT146" s="944"/>
      <c r="AV146" s="944"/>
    </row>
    <row r="147" spans="1:48" s="342" customFormat="1">
      <c r="A147" s="1591"/>
      <c r="B147" s="1592"/>
      <c r="C147" s="763">
        <v>109057.6056242256</v>
      </c>
      <c r="D147" s="760">
        <v>41639</v>
      </c>
      <c r="E147" s="1315">
        <v>21</v>
      </c>
      <c r="F147" s="944" t="s">
        <v>1251</v>
      </c>
      <c r="G147" s="761" t="s">
        <v>852</v>
      </c>
      <c r="H147" s="1251" t="s">
        <v>779</v>
      </c>
      <c r="I147" s="229">
        <f t="shared" si="27"/>
        <v>55</v>
      </c>
      <c r="J147" s="1327">
        <f t="shared" si="28"/>
        <v>0.96699999999999997</v>
      </c>
      <c r="K147" s="1327">
        <f t="shared" si="29"/>
        <v>3.3000000000000002E-2</v>
      </c>
      <c r="L147" s="1327">
        <f t="shared" si="30"/>
        <v>0</v>
      </c>
      <c r="M147" s="794">
        <f t="shared" si="179"/>
        <v>1</v>
      </c>
      <c r="N147" s="794">
        <f t="shared" si="179"/>
        <v>1.028</v>
      </c>
      <c r="O147" s="794">
        <f t="shared" si="179"/>
        <v>1.0382800000000001</v>
      </c>
      <c r="P147" s="794">
        <f t="shared" si="179"/>
        <v>1.0590455999999999</v>
      </c>
      <c r="Q147" s="786">
        <f t="shared" si="158"/>
        <v>1090.5760562422561</v>
      </c>
      <c r="R147" s="226">
        <f t="shared" si="159"/>
        <v>1090.5760562422561</v>
      </c>
      <c r="S147" s="226">
        <f t="shared" si="160"/>
        <v>1121.1121858170393</v>
      </c>
      <c r="T147" s="226">
        <f t="shared" si="161"/>
        <v>1132.3233076752097</v>
      </c>
      <c r="U147" s="800">
        <f t="shared" si="162"/>
        <v>1154.9697738287136</v>
      </c>
      <c r="V147" s="226">
        <f t="shared" si="163"/>
        <v>3469.3302847822506</v>
      </c>
      <c r="W147" s="169">
        <f t="shared" si="178"/>
        <v>165.23879640034181</v>
      </c>
      <c r="X147" s="169">
        <f t="shared" si="178"/>
        <v>1982.8655568041017</v>
      </c>
      <c r="Y147" s="169">
        <f t="shared" si="178"/>
        <v>1982.8655568041017</v>
      </c>
      <c r="Z147" s="742">
        <f t="shared" si="178"/>
        <v>1982.8655568041017</v>
      </c>
      <c r="AA147" s="798">
        <f t="shared" si="164"/>
        <v>165.23879640034181</v>
      </c>
      <c r="AB147" s="798">
        <f t="shared" si="165"/>
        <v>2038.3857923946166</v>
      </c>
      <c r="AC147" s="798">
        <f t="shared" si="166"/>
        <v>2058.769650318563</v>
      </c>
      <c r="AD147" s="799">
        <f t="shared" si="167"/>
        <v>2099.945043324934</v>
      </c>
      <c r="AE147" s="453"/>
      <c r="AF147" s="169">
        <f t="shared" si="180"/>
        <v>108892.36682782526</v>
      </c>
      <c r="AG147" s="169">
        <f t="shared" si="181"/>
        <v>109902.96730660975</v>
      </c>
      <c r="AH147" s="169">
        <f t="shared" si="182"/>
        <v>108943.22732935728</v>
      </c>
      <c r="AI147" s="742">
        <f t="shared" si="183"/>
        <v>109022.1468326195</v>
      </c>
      <c r="AJ147" s="169">
        <f t="shared" si="168"/>
        <v>6480.9960724142074</v>
      </c>
      <c r="AK147" s="169">
        <f t="shared" si="169"/>
        <v>5994.8926154325673</v>
      </c>
      <c r="AL147" s="169">
        <f t="shared" si="170"/>
        <v>5980.7258341754241</v>
      </c>
      <c r="AM147" s="742">
        <f t="shared" si="171"/>
        <v>6024.7423292992353</v>
      </c>
      <c r="AN147" s="169">
        <f t="shared" si="172"/>
        <v>19174.646732693753</v>
      </c>
      <c r="AO147" s="169">
        <f t="shared" si="173"/>
        <v>22643.977017476005</v>
      </c>
      <c r="AP147" s="169">
        <f t="shared" si="174"/>
        <v>21896.725775899296</v>
      </c>
      <c r="AQ147" s="169">
        <f t="shared" si="175"/>
        <v>0</v>
      </c>
      <c r="AR147" s="169">
        <f t="shared" si="176"/>
        <v>747.25124157670825</v>
      </c>
      <c r="AS147" s="169">
        <f t="shared" si="177"/>
        <v>0</v>
      </c>
      <c r="AT147" s="944"/>
      <c r="AV147" s="944"/>
    </row>
    <row r="148" spans="1:48" s="342" customFormat="1">
      <c r="A148" s="1591"/>
      <c r="B148" s="1592"/>
      <c r="C148" s="763">
        <v>38843.204269040005</v>
      </c>
      <c r="D148" s="760">
        <v>41821</v>
      </c>
      <c r="E148" s="1315">
        <v>21</v>
      </c>
      <c r="F148" s="944" t="s">
        <v>1251</v>
      </c>
      <c r="G148" s="761"/>
      <c r="H148" s="1251" t="s">
        <v>779</v>
      </c>
      <c r="I148" s="229">
        <f t="shared" si="27"/>
        <v>55</v>
      </c>
      <c r="J148" s="1327">
        <f t="shared" si="28"/>
        <v>0.96699999999999997</v>
      </c>
      <c r="K148" s="1327">
        <f t="shared" si="29"/>
        <v>3.3000000000000002E-2</v>
      </c>
      <c r="L148" s="1327">
        <f t="shared" si="30"/>
        <v>0</v>
      </c>
      <c r="M148" s="794">
        <f t="shared" si="179"/>
        <v>0</v>
      </c>
      <c r="N148" s="794">
        <f t="shared" si="179"/>
        <v>1</v>
      </c>
      <c r="O148" s="794">
        <f t="shared" si="179"/>
        <v>1.01</v>
      </c>
      <c r="P148" s="794">
        <f t="shared" si="179"/>
        <v>1.0302</v>
      </c>
      <c r="Q148" s="786">
        <f t="shared" si="158"/>
        <v>388.43204269040007</v>
      </c>
      <c r="R148" s="226">
        <f t="shared" si="159"/>
        <v>0</v>
      </c>
      <c r="S148" s="226">
        <f t="shared" si="160"/>
        <v>388.43204269040007</v>
      </c>
      <c r="T148" s="226">
        <f t="shared" si="161"/>
        <v>392.31636311730409</v>
      </c>
      <c r="U148" s="800">
        <f t="shared" si="162"/>
        <v>400.16269037965014</v>
      </c>
      <c r="V148" s="226">
        <f t="shared" si="163"/>
        <v>796.28568751531998</v>
      </c>
      <c r="W148" s="169">
        <f t="shared" si="178"/>
        <v>0</v>
      </c>
      <c r="X148" s="169">
        <f t="shared" si="178"/>
        <v>353.12003880945457</v>
      </c>
      <c r="Y148" s="169">
        <f t="shared" si="178"/>
        <v>706.24007761890914</v>
      </c>
      <c r="Z148" s="742">
        <f t="shared" si="178"/>
        <v>706.24007761890914</v>
      </c>
      <c r="AA148" s="798">
        <f t="shared" si="164"/>
        <v>0</v>
      </c>
      <c r="AB148" s="798">
        <f t="shared" si="165"/>
        <v>353.12003880945457</v>
      </c>
      <c r="AC148" s="798">
        <f t="shared" si="166"/>
        <v>713.30247839509821</v>
      </c>
      <c r="AD148" s="799">
        <f t="shared" si="167"/>
        <v>727.56852796300018</v>
      </c>
      <c r="AE148" s="453"/>
      <c r="AF148" s="169">
        <f t="shared" si="180"/>
        <v>0</v>
      </c>
      <c r="AG148" s="169">
        <f t="shared" si="181"/>
        <v>38490.084230230554</v>
      </c>
      <c r="AH148" s="169">
        <f t="shared" si="182"/>
        <v>38161.682594137761</v>
      </c>
      <c r="AI148" s="742">
        <f t="shared" si="183"/>
        <v>38197.347718057521</v>
      </c>
      <c r="AJ148" s="169">
        <f t="shared" si="168"/>
        <v>0</v>
      </c>
      <c r="AK148" s="169">
        <f t="shared" si="169"/>
        <v>1738.7630710977544</v>
      </c>
      <c r="AL148" s="169">
        <f t="shared" si="170"/>
        <v>2087.1230517840577</v>
      </c>
      <c r="AM148" s="742">
        <f t="shared" si="171"/>
        <v>2102.6730458130705</v>
      </c>
      <c r="AN148" s="169">
        <f t="shared" si="172"/>
        <v>3895.4366457257215</v>
      </c>
      <c r="AO148" s="169">
        <f t="shared" si="173"/>
        <v>4691.7223332410413</v>
      </c>
      <c r="AP148" s="169">
        <f t="shared" si="174"/>
        <v>0</v>
      </c>
      <c r="AQ148" s="169">
        <f t="shared" si="175"/>
        <v>4536.8954962440866</v>
      </c>
      <c r="AR148" s="169">
        <f t="shared" si="176"/>
        <v>154.82683699695437</v>
      </c>
      <c r="AS148" s="169">
        <f t="shared" si="177"/>
        <v>0</v>
      </c>
      <c r="AT148" s="944"/>
      <c r="AV148" s="944"/>
    </row>
    <row r="149" spans="1:48" s="342" customFormat="1">
      <c r="A149" s="1591"/>
      <c r="B149" s="1592"/>
      <c r="C149" s="1252">
        <v>-13626.555334454999</v>
      </c>
      <c r="D149" s="776">
        <v>41456</v>
      </c>
      <c r="E149" s="1317">
        <v>21</v>
      </c>
      <c r="F149" s="944" t="s">
        <v>1251</v>
      </c>
      <c r="G149" s="777" t="s">
        <v>779</v>
      </c>
      <c r="H149" s="789" t="s">
        <v>852</v>
      </c>
      <c r="I149" s="229">
        <f t="shared" si="27"/>
        <v>55</v>
      </c>
      <c r="J149" s="1327">
        <f t="shared" si="28"/>
        <v>0.96699999999999997</v>
      </c>
      <c r="K149" s="1327">
        <f t="shared" si="29"/>
        <v>3.3000000000000002E-2</v>
      </c>
      <c r="L149" s="1327">
        <f t="shared" si="30"/>
        <v>0</v>
      </c>
      <c r="M149" s="794">
        <f t="shared" si="179"/>
        <v>1</v>
      </c>
      <c r="N149" s="794">
        <f t="shared" si="179"/>
        <v>1.028</v>
      </c>
      <c r="O149" s="794">
        <f t="shared" si="179"/>
        <v>1.0382800000000001</v>
      </c>
      <c r="P149" s="794">
        <f t="shared" si="179"/>
        <v>1.0590455999999999</v>
      </c>
      <c r="Q149" s="786">
        <f t="shared" si="158"/>
        <v>-136.26555334455</v>
      </c>
      <c r="R149" s="226">
        <f t="shared" si="159"/>
        <v>-136.26555334455</v>
      </c>
      <c r="S149" s="226">
        <f t="shared" si="160"/>
        <v>-140.08098883819741</v>
      </c>
      <c r="T149" s="226">
        <f t="shared" si="161"/>
        <v>-141.4817987265794</v>
      </c>
      <c r="U149" s="800">
        <f t="shared" si="162"/>
        <v>-144.31143470111095</v>
      </c>
      <c r="V149" s="226">
        <f t="shared" si="163"/>
        <v>-141.4817987265794</v>
      </c>
      <c r="W149" s="169">
        <f t="shared" si="178"/>
        <v>-123.87777576777272</v>
      </c>
      <c r="X149" s="169">
        <f t="shared" si="178"/>
        <v>-247.75555153554544</v>
      </c>
      <c r="Y149" s="169">
        <f t="shared" si="178"/>
        <v>-247.75555153554544</v>
      </c>
      <c r="Z149" s="742">
        <f t="shared" si="178"/>
        <v>-247.75555153554544</v>
      </c>
      <c r="AA149" s="798">
        <f t="shared" si="164"/>
        <v>-123.87777576777272</v>
      </c>
      <c r="AB149" s="798">
        <f t="shared" si="165"/>
        <v>-254.69270697854071</v>
      </c>
      <c r="AC149" s="798">
        <f t="shared" si="166"/>
        <v>-257.23963404832614</v>
      </c>
      <c r="AD149" s="799">
        <f t="shared" si="167"/>
        <v>-262.38442672929261</v>
      </c>
      <c r="AE149" s="453"/>
      <c r="AF149" s="169">
        <f t="shared" si="180"/>
        <v>-13502.677558687226</v>
      </c>
      <c r="AG149" s="169">
        <f t="shared" si="181"/>
        <v>-13626.059823351927</v>
      </c>
      <c r="AH149" s="169">
        <f t="shared" si="182"/>
        <v>-13505.080787537119</v>
      </c>
      <c r="AI149" s="742">
        <f t="shared" si="183"/>
        <v>-13512.797976558568</v>
      </c>
      <c r="AJ149" s="169">
        <f t="shared" si="168"/>
        <v>-907.03307417163194</v>
      </c>
      <c r="AK149" s="169">
        <f t="shared" si="169"/>
        <v>-745.23086061921003</v>
      </c>
      <c r="AL149" s="169">
        <f t="shared" si="170"/>
        <v>-743.42254239966246</v>
      </c>
      <c r="AM149" s="742">
        <f t="shared" si="171"/>
        <v>-748.84515388540103</v>
      </c>
      <c r="AN149" s="169">
        <f t="shared" si="172"/>
        <v>-743.42254239966246</v>
      </c>
      <c r="AO149" s="169">
        <f t="shared" si="173"/>
        <v>-884.90434112624189</v>
      </c>
      <c r="AP149" s="169">
        <f t="shared" si="174"/>
        <v>-855.70249786907584</v>
      </c>
      <c r="AQ149" s="169">
        <f t="shared" si="175"/>
        <v>0</v>
      </c>
      <c r="AR149" s="169">
        <f t="shared" si="176"/>
        <v>-29.201843257165983</v>
      </c>
      <c r="AS149" s="169">
        <f t="shared" si="177"/>
        <v>0</v>
      </c>
      <c r="AT149" s="944"/>
      <c r="AV149" s="944"/>
    </row>
    <row r="150" spans="1:48" s="342" customFormat="1">
      <c r="A150" s="1591"/>
      <c r="B150" s="1592"/>
      <c r="C150" s="1252">
        <v>-15832.96500894</v>
      </c>
      <c r="D150" s="776">
        <v>41456</v>
      </c>
      <c r="E150" s="1317">
        <v>15</v>
      </c>
      <c r="F150" s="944" t="s">
        <v>1251</v>
      </c>
      <c r="G150" s="777" t="s">
        <v>779</v>
      </c>
      <c r="H150" s="789" t="s">
        <v>852</v>
      </c>
      <c r="I150" s="229">
        <f t="shared" si="27"/>
        <v>30</v>
      </c>
      <c r="J150" s="1327">
        <f t="shared" si="28"/>
        <v>0.96699999999999997</v>
      </c>
      <c r="K150" s="1327">
        <f t="shared" si="29"/>
        <v>3.3000000000000002E-2</v>
      </c>
      <c r="L150" s="1327">
        <f t="shared" si="30"/>
        <v>0</v>
      </c>
      <c r="M150" s="794">
        <f t="shared" si="179"/>
        <v>1</v>
      </c>
      <c r="N150" s="794">
        <f t="shared" si="179"/>
        <v>1.028</v>
      </c>
      <c r="O150" s="794">
        <f t="shared" si="179"/>
        <v>1.0382800000000001</v>
      </c>
      <c r="P150" s="794">
        <f t="shared" si="179"/>
        <v>1.0590455999999999</v>
      </c>
      <c r="Q150" s="786">
        <f t="shared" si="158"/>
        <v>-158.32965008940002</v>
      </c>
      <c r="R150" s="226">
        <f t="shared" si="159"/>
        <v>-158.32965008940002</v>
      </c>
      <c r="S150" s="226">
        <f t="shared" si="160"/>
        <v>-162.76288029190323</v>
      </c>
      <c r="T150" s="226">
        <f t="shared" si="161"/>
        <v>-164.39050909482228</v>
      </c>
      <c r="U150" s="800">
        <f t="shared" si="162"/>
        <v>-167.6783192767187</v>
      </c>
      <c r="V150" s="226">
        <f t="shared" si="163"/>
        <v>-164.39050909482228</v>
      </c>
      <c r="W150" s="169">
        <f t="shared" si="178"/>
        <v>-263.882750149</v>
      </c>
      <c r="X150" s="169">
        <f t="shared" si="178"/>
        <v>-527.76550029800001</v>
      </c>
      <c r="Y150" s="169">
        <f t="shared" si="178"/>
        <v>-527.76550029800001</v>
      </c>
      <c r="Z150" s="742">
        <f t="shared" si="178"/>
        <v>-527.76550029800001</v>
      </c>
      <c r="AA150" s="798">
        <f t="shared" si="164"/>
        <v>-263.882750149</v>
      </c>
      <c r="AB150" s="798">
        <f t="shared" si="165"/>
        <v>-542.54293430634402</v>
      </c>
      <c r="AC150" s="798">
        <f t="shared" si="166"/>
        <v>-547.96836364940748</v>
      </c>
      <c r="AD150" s="799">
        <f t="shared" si="167"/>
        <v>-558.92773092239554</v>
      </c>
      <c r="AE150" s="453"/>
      <c r="AF150" s="169">
        <f t="shared" si="180"/>
        <v>-15569.082258791001</v>
      </c>
      <c r="AG150" s="169">
        <f t="shared" si="181"/>
        <v>-15462.473627730806</v>
      </c>
      <c r="AH150" s="169">
        <f t="shared" si="182"/>
        <v>-15069.130000358706</v>
      </c>
      <c r="AI150" s="742">
        <f t="shared" si="183"/>
        <v>-14811.584869443484</v>
      </c>
      <c r="AJ150" s="169">
        <f t="shared" si="168"/>
        <v>-1166.8895211588781</v>
      </c>
      <c r="AK150" s="169">
        <f t="shared" si="169"/>
        <v>-1099.1919849046531</v>
      </c>
      <c r="AL150" s="169">
        <f t="shared" si="170"/>
        <v>-1090.4570436623208</v>
      </c>
      <c r="AM150" s="742">
        <f t="shared" si="171"/>
        <v>-1092.1447862223608</v>
      </c>
      <c r="AN150" s="169">
        <f t="shared" si="172"/>
        <v>-1090.4570436623208</v>
      </c>
      <c r="AO150" s="169">
        <f t="shared" si="173"/>
        <v>-1254.8475527571431</v>
      </c>
      <c r="AP150" s="169">
        <f t="shared" si="174"/>
        <v>-1213.4375835161575</v>
      </c>
      <c r="AQ150" s="169">
        <f t="shared" si="175"/>
        <v>0</v>
      </c>
      <c r="AR150" s="169">
        <f t="shared" si="176"/>
        <v>-41.409969240985724</v>
      </c>
      <c r="AS150" s="169">
        <f t="shared" si="177"/>
        <v>0</v>
      </c>
      <c r="AT150" s="944"/>
      <c r="AV150" s="944"/>
    </row>
    <row r="151" spans="1:48" s="342" customFormat="1">
      <c r="A151" s="1591"/>
      <c r="B151" s="1592"/>
      <c r="C151" s="1252">
        <v>-3064.4448404400005</v>
      </c>
      <c r="D151" s="776">
        <v>41456</v>
      </c>
      <c r="E151" s="1317">
        <v>2</v>
      </c>
      <c r="F151" s="944" t="s">
        <v>1251</v>
      </c>
      <c r="G151" s="777" t="s">
        <v>779</v>
      </c>
      <c r="H151" s="789" t="s">
        <v>852</v>
      </c>
      <c r="I151" s="229">
        <f t="shared" si="27"/>
        <v>30</v>
      </c>
      <c r="J151" s="1327">
        <f t="shared" si="28"/>
        <v>0.96699999999999997</v>
      </c>
      <c r="K151" s="1327">
        <f t="shared" si="29"/>
        <v>3.3000000000000002E-2</v>
      </c>
      <c r="L151" s="1327">
        <f t="shared" si="30"/>
        <v>0</v>
      </c>
      <c r="M151" s="794">
        <f t="shared" si="179"/>
        <v>1</v>
      </c>
      <c r="N151" s="794">
        <f t="shared" si="179"/>
        <v>1.028</v>
      </c>
      <c r="O151" s="794">
        <f t="shared" si="179"/>
        <v>1.0382800000000001</v>
      </c>
      <c r="P151" s="794">
        <f t="shared" si="179"/>
        <v>1.0590455999999999</v>
      </c>
      <c r="Q151" s="786">
        <f t="shared" si="158"/>
        <v>-30.644448404400006</v>
      </c>
      <c r="R151" s="226">
        <f t="shared" si="159"/>
        <v>-30.644448404400006</v>
      </c>
      <c r="S151" s="226">
        <f t="shared" si="160"/>
        <v>-31.502492959723206</v>
      </c>
      <c r="T151" s="226">
        <f t="shared" si="161"/>
        <v>-31.817517889320442</v>
      </c>
      <c r="U151" s="800">
        <f t="shared" si="162"/>
        <v>-32.453868247106847</v>
      </c>
      <c r="V151" s="226">
        <f t="shared" si="163"/>
        <v>-31.817517889320442</v>
      </c>
      <c r="W151" s="169">
        <f t="shared" si="178"/>
        <v>-51.074080674000008</v>
      </c>
      <c r="X151" s="169">
        <f t="shared" si="178"/>
        <v>-102.14816134800002</v>
      </c>
      <c r="Y151" s="169">
        <f t="shared" si="178"/>
        <v>-102.14816134800002</v>
      </c>
      <c r="Z151" s="742">
        <f t="shared" si="178"/>
        <v>-102.14816134800002</v>
      </c>
      <c r="AA151" s="798">
        <f t="shared" si="164"/>
        <v>-51.074080674000008</v>
      </c>
      <c r="AB151" s="798">
        <f t="shared" si="165"/>
        <v>-105.00830986574402</v>
      </c>
      <c r="AC151" s="798">
        <f t="shared" si="166"/>
        <v>-106.05839296440146</v>
      </c>
      <c r="AD151" s="799">
        <f t="shared" si="167"/>
        <v>-108.17956082368949</v>
      </c>
      <c r="AE151" s="453"/>
      <c r="AF151" s="169">
        <f t="shared" si="180"/>
        <v>-3013.3707597660004</v>
      </c>
      <c r="AG151" s="169">
        <f t="shared" si="181"/>
        <v>-2992.7368311737046</v>
      </c>
      <c r="AH151" s="169">
        <f t="shared" si="182"/>
        <v>-2916.6058065210404</v>
      </c>
      <c r="AI151" s="742">
        <f t="shared" si="183"/>
        <v>-2866.7583618277718</v>
      </c>
      <c r="AJ151" s="169">
        <f t="shared" si="168"/>
        <v>-225.84958474042804</v>
      </c>
      <c r="AK151" s="169">
        <f t="shared" si="169"/>
        <v>-212.74683578799738</v>
      </c>
      <c r="AL151" s="169">
        <f t="shared" si="170"/>
        <v>-211.05620199915893</v>
      </c>
      <c r="AM151" s="742">
        <f t="shared" si="171"/>
        <v>-211.38286184948925</v>
      </c>
      <c r="AN151" s="169">
        <f t="shared" si="172"/>
        <v>-211.05620199915893</v>
      </c>
      <c r="AO151" s="169">
        <f t="shared" si="173"/>
        <v>-242.87371988847937</v>
      </c>
      <c r="AP151" s="169">
        <f t="shared" si="174"/>
        <v>-234.85888713215954</v>
      </c>
      <c r="AQ151" s="169">
        <f t="shared" si="175"/>
        <v>0</v>
      </c>
      <c r="AR151" s="169">
        <f t="shared" si="176"/>
        <v>-8.0148327563198194</v>
      </c>
      <c r="AS151" s="169">
        <f t="shared" si="177"/>
        <v>0</v>
      </c>
      <c r="AT151" s="944"/>
      <c r="AV151" s="944"/>
    </row>
    <row r="152" spans="1:48" s="342" customFormat="1">
      <c r="A152" s="1591"/>
      <c r="B152" s="1592"/>
      <c r="C152" s="1252">
        <v>-18550.084872659998</v>
      </c>
      <c r="D152" s="776">
        <v>41456</v>
      </c>
      <c r="E152" s="1317">
        <v>32</v>
      </c>
      <c r="F152" s="944" t="s">
        <v>1251</v>
      </c>
      <c r="G152" s="777" t="s">
        <v>779</v>
      </c>
      <c r="H152" s="789" t="s">
        <v>852</v>
      </c>
      <c r="I152" s="229">
        <f t="shared" si="27"/>
        <v>30</v>
      </c>
      <c r="J152" s="1327">
        <f t="shared" si="28"/>
        <v>0.96699999999999997</v>
      </c>
      <c r="K152" s="1327">
        <f t="shared" si="29"/>
        <v>3.3000000000000002E-2</v>
      </c>
      <c r="L152" s="1327">
        <f t="shared" si="30"/>
        <v>0</v>
      </c>
      <c r="M152" s="794">
        <f t="shared" si="179"/>
        <v>1</v>
      </c>
      <c r="N152" s="794">
        <f t="shared" si="179"/>
        <v>1.028</v>
      </c>
      <c r="O152" s="794">
        <f t="shared" si="179"/>
        <v>1.0382800000000001</v>
      </c>
      <c r="P152" s="794">
        <f t="shared" si="179"/>
        <v>1.0590455999999999</v>
      </c>
      <c r="Q152" s="786">
        <f t="shared" si="158"/>
        <v>-185.50084872659997</v>
      </c>
      <c r="R152" s="226">
        <f t="shared" si="159"/>
        <v>-185.50084872659997</v>
      </c>
      <c r="S152" s="226">
        <f t="shared" si="160"/>
        <v>-190.69487249094476</v>
      </c>
      <c r="T152" s="226">
        <f t="shared" si="161"/>
        <v>-192.60182121585424</v>
      </c>
      <c r="U152" s="800">
        <f t="shared" si="162"/>
        <v>-196.45385764017129</v>
      </c>
      <c r="V152" s="226">
        <f t="shared" si="163"/>
        <v>-192.60182121585424</v>
      </c>
      <c r="W152" s="169">
        <f t="shared" si="178"/>
        <v>-309.16808121099996</v>
      </c>
      <c r="X152" s="169">
        <f t="shared" si="178"/>
        <v>-618.33616242199992</v>
      </c>
      <c r="Y152" s="169">
        <f t="shared" si="178"/>
        <v>-618.33616242199992</v>
      </c>
      <c r="Z152" s="742">
        <f t="shared" si="178"/>
        <v>-618.33616242199992</v>
      </c>
      <c r="AA152" s="798">
        <f t="shared" si="164"/>
        <v>-309.16808121099996</v>
      </c>
      <c r="AB152" s="798">
        <f t="shared" si="165"/>
        <v>-635.64957496981594</v>
      </c>
      <c r="AC152" s="798">
        <f t="shared" si="166"/>
        <v>-642.00607071951413</v>
      </c>
      <c r="AD152" s="799">
        <f t="shared" si="167"/>
        <v>-654.84619213390431</v>
      </c>
      <c r="AE152" s="453"/>
      <c r="AF152" s="169">
        <f t="shared" si="180"/>
        <v>-18240.916791448999</v>
      </c>
      <c r="AG152" s="169">
        <f t="shared" si="181"/>
        <v>-18116.012886639757</v>
      </c>
      <c r="AH152" s="169">
        <f t="shared" si="182"/>
        <v>-17655.166944786641</v>
      </c>
      <c r="AI152" s="742">
        <f t="shared" si="183"/>
        <v>-17353.42409154847</v>
      </c>
      <c r="AJ152" s="169">
        <f t="shared" si="168"/>
        <v>-1367.141255115042</v>
      </c>
      <c r="AK152" s="169">
        <f t="shared" si="169"/>
        <v>-1287.8260388888471</v>
      </c>
      <c r="AL152" s="169">
        <f t="shared" si="170"/>
        <v>-1277.592080731833</v>
      </c>
      <c r="AM152" s="742">
        <f t="shared" si="171"/>
        <v>-1279.5694594296492</v>
      </c>
      <c r="AN152" s="169">
        <f t="shared" si="172"/>
        <v>-1277.592080731833</v>
      </c>
      <c r="AO152" s="169">
        <f t="shared" si="173"/>
        <v>-1470.1939019476872</v>
      </c>
      <c r="AP152" s="169">
        <f t="shared" si="174"/>
        <v>-1421.6775031834136</v>
      </c>
      <c r="AQ152" s="169">
        <f t="shared" si="175"/>
        <v>0</v>
      </c>
      <c r="AR152" s="169">
        <f t="shared" si="176"/>
        <v>-48.516398764273681</v>
      </c>
      <c r="AS152" s="169">
        <f t="shared" si="177"/>
        <v>0</v>
      </c>
      <c r="AT152" s="944"/>
      <c r="AV152" s="944"/>
    </row>
    <row r="153" spans="1:48" s="342" customFormat="1">
      <c r="A153" s="774" t="s">
        <v>1435</v>
      </c>
      <c r="B153" s="775" t="s">
        <v>778</v>
      </c>
      <c r="C153" s="1252">
        <v>67768.673302815005</v>
      </c>
      <c r="D153" s="776">
        <v>41456</v>
      </c>
      <c r="E153" s="1317">
        <v>21</v>
      </c>
      <c r="F153" s="944" t="s">
        <v>1251</v>
      </c>
      <c r="G153" s="777" t="s">
        <v>779</v>
      </c>
      <c r="H153" s="789" t="s">
        <v>852</v>
      </c>
      <c r="I153" s="229">
        <f t="shared" si="27"/>
        <v>55</v>
      </c>
      <c r="J153" s="1327">
        <f t="shared" si="28"/>
        <v>0.96699999999999997</v>
      </c>
      <c r="K153" s="1327">
        <f t="shared" si="29"/>
        <v>3.3000000000000002E-2</v>
      </c>
      <c r="L153" s="1327">
        <f t="shared" si="30"/>
        <v>0</v>
      </c>
      <c r="M153" s="794">
        <f t="shared" si="179"/>
        <v>1</v>
      </c>
      <c r="N153" s="794">
        <f t="shared" si="179"/>
        <v>1.028</v>
      </c>
      <c r="O153" s="794">
        <f t="shared" si="179"/>
        <v>1.0382800000000001</v>
      </c>
      <c r="P153" s="794">
        <f t="shared" si="179"/>
        <v>1.0590455999999999</v>
      </c>
      <c r="Q153" s="786">
        <f t="shared" si="158"/>
        <v>677.68673302815012</v>
      </c>
      <c r="R153" s="226">
        <f t="shared" si="159"/>
        <v>677.68673302815012</v>
      </c>
      <c r="S153" s="226">
        <f t="shared" si="160"/>
        <v>696.66196155293835</v>
      </c>
      <c r="T153" s="226">
        <f t="shared" si="161"/>
        <v>703.6285811684678</v>
      </c>
      <c r="U153" s="800">
        <f t="shared" si="162"/>
        <v>717.70115279183699</v>
      </c>
      <c r="V153" s="226">
        <f t="shared" si="163"/>
        <v>703.6285811684678</v>
      </c>
      <c r="W153" s="169">
        <f t="shared" si="178"/>
        <v>616.07884820740912</v>
      </c>
      <c r="X153" s="169">
        <f t="shared" si="178"/>
        <v>1232.1576964148182</v>
      </c>
      <c r="Y153" s="169">
        <f t="shared" si="178"/>
        <v>1232.1576964148182</v>
      </c>
      <c r="Z153" s="742">
        <f t="shared" si="178"/>
        <v>1232.1576964148182</v>
      </c>
      <c r="AA153" s="798">
        <f t="shared" si="164"/>
        <v>616.07884820740912</v>
      </c>
      <c r="AB153" s="798">
        <f t="shared" si="165"/>
        <v>1266.6581119144332</v>
      </c>
      <c r="AC153" s="798">
        <f t="shared" si="166"/>
        <v>1279.3246930335777</v>
      </c>
      <c r="AD153" s="799">
        <f t="shared" si="167"/>
        <v>1304.9111868942489</v>
      </c>
      <c r="AE153" s="453"/>
      <c r="AF153" s="169">
        <f t="shared" si="180"/>
        <v>67152.594454607592</v>
      </c>
      <c r="AG153" s="169">
        <f t="shared" si="181"/>
        <v>67766.208987422171</v>
      </c>
      <c r="AH153" s="169">
        <f t="shared" si="182"/>
        <v>67164.546384262823</v>
      </c>
      <c r="AI153" s="742">
        <f t="shared" si="183"/>
        <v>67202.92612505384</v>
      </c>
      <c r="AJ153" s="169">
        <f t="shared" si="168"/>
        <v>4510.9293265746501</v>
      </c>
      <c r="AK153" s="169">
        <f t="shared" si="169"/>
        <v>3706.2416354616316</v>
      </c>
      <c r="AL153" s="169">
        <f t="shared" si="170"/>
        <v>3697.2483628670393</v>
      </c>
      <c r="AM153" s="742">
        <f t="shared" si="171"/>
        <v>3724.2165273961873</v>
      </c>
      <c r="AN153" s="169">
        <f t="shared" si="172"/>
        <v>3697.2483628670393</v>
      </c>
      <c r="AO153" s="169">
        <f t="shared" si="173"/>
        <v>4400.8769440355072</v>
      </c>
      <c r="AP153" s="169">
        <f t="shared" si="174"/>
        <v>4255.648004882335</v>
      </c>
      <c r="AQ153" s="169">
        <f t="shared" si="175"/>
        <v>0</v>
      </c>
      <c r="AR153" s="169">
        <f t="shared" si="176"/>
        <v>145.22893915317175</v>
      </c>
      <c r="AS153" s="169">
        <f t="shared" si="177"/>
        <v>0</v>
      </c>
      <c r="AT153" s="944"/>
      <c r="AV153" s="944"/>
    </row>
    <row r="154" spans="1:48" s="342" customFormat="1">
      <c r="A154" s="774" t="s">
        <v>1435</v>
      </c>
      <c r="B154" s="775" t="s">
        <v>776</v>
      </c>
      <c r="C154" s="1252">
        <v>31829.896962989998</v>
      </c>
      <c r="D154" s="776">
        <v>41456</v>
      </c>
      <c r="E154" s="1317">
        <v>32</v>
      </c>
      <c r="F154" s="944" t="s">
        <v>1251</v>
      </c>
      <c r="G154" s="777" t="s">
        <v>779</v>
      </c>
      <c r="H154" s="789" t="s">
        <v>852</v>
      </c>
      <c r="I154" s="229">
        <f t="shared" si="27"/>
        <v>30</v>
      </c>
      <c r="J154" s="1327">
        <f t="shared" si="28"/>
        <v>0.96699999999999997</v>
      </c>
      <c r="K154" s="1327">
        <f t="shared" si="29"/>
        <v>3.3000000000000002E-2</v>
      </c>
      <c r="L154" s="1327">
        <f t="shared" si="30"/>
        <v>0</v>
      </c>
      <c r="M154" s="794">
        <f t="shared" si="179"/>
        <v>1</v>
      </c>
      <c r="N154" s="794">
        <f t="shared" si="179"/>
        <v>1.028</v>
      </c>
      <c r="O154" s="794">
        <f t="shared" si="179"/>
        <v>1.0382800000000001</v>
      </c>
      <c r="P154" s="794">
        <f t="shared" si="179"/>
        <v>1.0590455999999999</v>
      </c>
      <c r="Q154" s="786">
        <f t="shared" si="158"/>
        <v>318.2989696299</v>
      </c>
      <c r="R154" s="226">
        <f t="shared" si="159"/>
        <v>318.2989696299</v>
      </c>
      <c r="S154" s="226">
        <f t="shared" si="160"/>
        <v>327.21134077953718</v>
      </c>
      <c r="T154" s="226">
        <f t="shared" si="161"/>
        <v>330.4834541873326</v>
      </c>
      <c r="U154" s="800">
        <f t="shared" si="162"/>
        <v>337.09312327107921</v>
      </c>
      <c r="V154" s="226">
        <f t="shared" si="163"/>
        <v>330.4834541873326</v>
      </c>
      <c r="W154" s="169">
        <f t="shared" si="178"/>
        <v>530.49828271649994</v>
      </c>
      <c r="X154" s="169">
        <f t="shared" si="178"/>
        <v>1060.9965654329999</v>
      </c>
      <c r="Y154" s="169">
        <f t="shared" si="178"/>
        <v>1060.9965654329999</v>
      </c>
      <c r="Z154" s="742">
        <f t="shared" si="178"/>
        <v>1060.9965654329999</v>
      </c>
      <c r="AA154" s="798">
        <f t="shared" si="164"/>
        <v>530.49828271649994</v>
      </c>
      <c r="AB154" s="798">
        <f t="shared" si="165"/>
        <v>1090.7044692651239</v>
      </c>
      <c r="AC154" s="798">
        <f t="shared" si="166"/>
        <v>1101.6115139577753</v>
      </c>
      <c r="AD154" s="799">
        <f t="shared" si="167"/>
        <v>1123.6437442369306</v>
      </c>
      <c r="AE154" s="453"/>
      <c r="AF154" s="169">
        <f t="shared" si="180"/>
        <v>31299.398680273498</v>
      </c>
      <c r="AG154" s="169">
        <f t="shared" si="181"/>
        <v>31085.077374056033</v>
      </c>
      <c r="AH154" s="169">
        <f t="shared" si="182"/>
        <v>30294.316633838818</v>
      </c>
      <c r="AI154" s="742">
        <f t="shared" si="183"/>
        <v>29776.559222278665</v>
      </c>
      <c r="AJ154" s="169">
        <f t="shared" si="168"/>
        <v>2345.8634061723628</v>
      </c>
      <c r="AK154" s="169">
        <f t="shared" si="169"/>
        <v>2209.7672547311408</v>
      </c>
      <c r="AL154" s="169">
        <f t="shared" si="170"/>
        <v>2192.2069127759723</v>
      </c>
      <c r="AM154" s="742">
        <f t="shared" si="171"/>
        <v>2195.5998762389627</v>
      </c>
      <c r="AN154" s="169">
        <f t="shared" si="172"/>
        <v>2192.2069127759723</v>
      </c>
      <c r="AO154" s="169">
        <f t="shared" si="173"/>
        <v>2522.6903669633048</v>
      </c>
      <c r="AP154" s="169">
        <f t="shared" si="174"/>
        <v>2439.4415848535155</v>
      </c>
      <c r="AQ154" s="169">
        <f t="shared" si="175"/>
        <v>0</v>
      </c>
      <c r="AR154" s="169">
        <f t="shared" si="176"/>
        <v>83.248782109789062</v>
      </c>
      <c r="AS154" s="169">
        <f t="shared" si="177"/>
        <v>0</v>
      </c>
      <c r="AT154" s="944"/>
      <c r="AV154" s="944"/>
    </row>
    <row r="155" spans="1:48" s="342" customFormat="1">
      <c r="A155" s="1041" t="s">
        <v>1435</v>
      </c>
      <c r="B155" s="1040" t="s">
        <v>1229</v>
      </c>
      <c r="C155" s="763">
        <v>500046.86665712117</v>
      </c>
      <c r="D155" s="780">
        <v>41639</v>
      </c>
      <c r="E155" s="1315">
        <v>21</v>
      </c>
      <c r="F155" s="944" t="s">
        <v>1251</v>
      </c>
      <c r="G155" s="761" t="s">
        <v>779</v>
      </c>
      <c r="H155" s="1251" t="s">
        <v>779</v>
      </c>
      <c r="I155" s="229">
        <f t="shared" si="27"/>
        <v>55</v>
      </c>
      <c r="J155" s="1327">
        <f t="shared" si="28"/>
        <v>0.96699999999999997</v>
      </c>
      <c r="K155" s="1327">
        <f t="shared" si="29"/>
        <v>3.3000000000000002E-2</v>
      </c>
      <c r="L155" s="1327">
        <f t="shared" si="30"/>
        <v>0</v>
      </c>
      <c r="M155" s="794">
        <f t="shared" si="179"/>
        <v>1</v>
      </c>
      <c r="N155" s="794">
        <f t="shared" si="179"/>
        <v>1.028</v>
      </c>
      <c r="O155" s="794">
        <f t="shared" si="179"/>
        <v>1.0382800000000001</v>
      </c>
      <c r="P155" s="794">
        <f t="shared" si="179"/>
        <v>1.0590455999999999</v>
      </c>
      <c r="Q155" s="786">
        <f t="shared" si="158"/>
        <v>5000.4686665712115</v>
      </c>
      <c r="R155" s="226">
        <f t="shared" si="159"/>
        <v>5000.4686665712115</v>
      </c>
      <c r="S155" s="226">
        <f t="shared" si="160"/>
        <v>5140.4817892352057</v>
      </c>
      <c r="T155" s="226">
        <f t="shared" si="161"/>
        <v>5191.8866071275579</v>
      </c>
      <c r="U155" s="800">
        <f t="shared" si="162"/>
        <v>5295.7243392701084</v>
      </c>
      <c r="V155" s="226">
        <f t="shared" si="163"/>
        <v>10537.98766793217</v>
      </c>
      <c r="W155" s="169">
        <f t="shared" si="178"/>
        <v>757.64676766230468</v>
      </c>
      <c r="X155" s="169">
        <f t="shared" si="178"/>
        <v>9091.761211947658</v>
      </c>
      <c r="Y155" s="169">
        <f t="shared" si="178"/>
        <v>9091.761211947658</v>
      </c>
      <c r="Z155" s="742">
        <f t="shared" si="178"/>
        <v>9091.761211947658</v>
      </c>
      <c r="AA155" s="798">
        <f t="shared" si="164"/>
        <v>757.64676766230468</v>
      </c>
      <c r="AB155" s="798">
        <f t="shared" si="165"/>
        <v>9346.3305258821929</v>
      </c>
      <c r="AC155" s="798">
        <f t="shared" si="166"/>
        <v>9439.7938311410144</v>
      </c>
      <c r="AD155" s="799">
        <f t="shared" si="167"/>
        <v>9628.5897077638347</v>
      </c>
      <c r="AE155" s="453"/>
      <c r="AF155" s="169">
        <f t="shared" si="180"/>
        <v>499289.21988945885</v>
      </c>
      <c r="AG155" s="169">
        <f t="shared" si="181"/>
        <v>503922.98752048152</v>
      </c>
      <c r="AH155" s="169">
        <f t="shared" si="182"/>
        <v>499522.42356454529</v>
      </c>
      <c r="AI155" s="742">
        <f t="shared" si="183"/>
        <v>499884.28232807241</v>
      </c>
      <c r="AJ155" s="169">
        <f t="shared" si="168"/>
        <v>29716.421521250919</v>
      </c>
      <c r="AK155" s="169">
        <f t="shared" si="169"/>
        <v>27487.558076619527</v>
      </c>
      <c r="AL155" s="169">
        <f t="shared" si="170"/>
        <v>27422.601079464643</v>
      </c>
      <c r="AM155" s="742">
        <f t="shared" si="171"/>
        <v>27624.423871574443</v>
      </c>
      <c r="AN155" s="169">
        <f t="shared" si="172"/>
        <v>56009.661479148941</v>
      </c>
      <c r="AO155" s="169">
        <f t="shared" si="173"/>
        <v>66547.649147081116</v>
      </c>
      <c r="AP155" s="169">
        <f t="shared" si="174"/>
        <v>64351.576725227438</v>
      </c>
      <c r="AQ155" s="169">
        <f t="shared" si="175"/>
        <v>0</v>
      </c>
      <c r="AR155" s="169">
        <f t="shared" si="176"/>
        <v>2196.072421853677</v>
      </c>
      <c r="AS155" s="169">
        <f t="shared" si="177"/>
        <v>0</v>
      </c>
      <c r="AT155" s="944"/>
      <c r="AV155" s="944"/>
    </row>
    <row r="156" spans="1:48" s="342" customFormat="1">
      <c r="A156" s="1041" t="s">
        <v>1435</v>
      </c>
      <c r="B156" s="1040" t="s">
        <v>1230</v>
      </c>
      <c r="C156" s="763">
        <v>46950.832133210992</v>
      </c>
      <c r="D156" s="780">
        <v>41639</v>
      </c>
      <c r="E156" s="1315">
        <v>32</v>
      </c>
      <c r="F156" s="944" t="s">
        <v>1251</v>
      </c>
      <c r="G156" s="761" t="s">
        <v>779</v>
      </c>
      <c r="H156" s="1251" t="s">
        <v>779</v>
      </c>
      <c r="I156" s="229">
        <f t="shared" si="27"/>
        <v>30</v>
      </c>
      <c r="J156" s="1327">
        <f t="shared" si="28"/>
        <v>0.96699999999999997</v>
      </c>
      <c r="K156" s="1327">
        <f t="shared" si="29"/>
        <v>3.3000000000000002E-2</v>
      </c>
      <c r="L156" s="1327">
        <f t="shared" si="30"/>
        <v>0</v>
      </c>
      <c r="M156" s="794">
        <f t="shared" si="179"/>
        <v>1</v>
      </c>
      <c r="N156" s="794">
        <f t="shared" si="179"/>
        <v>1.028</v>
      </c>
      <c r="O156" s="794">
        <f t="shared" si="179"/>
        <v>1.0382800000000001</v>
      </c>
      <c r="P156" s="794">
        <f t="shared" si="179"/>
        <v>1.0590455999999999</v>
      </c>
      <c r="Q156" s="786">
        <f t="shared" si="158"/>
        <v>469.50832133210992</v>
      </c>
      <c r="R156" s="226">
        <f t="shared" si="159"/>
        <v>469.50832133210992</v>
      </c>
      <c r="S156" s="226">
        <f t="shared" si="160"/>
        <v>482.654554329409</v>
      </c>
      <c r="T156" s="226">
        <f t="shared" si="161"/>
        <v>487.48109987270311</v>
      </c>
      <c r="U156" s="800">
        <f t="shared" si="162"/>
        <v>497.23072187015708</v>
      </c>
      <c r="V156" s="226">
        <f t="shared" si="163"/>
        <v>989.44183637528829</v>
      </c>
      <c r="W156" s="169">
        <f t="shared" si="178"/>
        <v>130.4189781478083</v>
      </c>
      <c r="X156" s="169">
        <f t="shared" si="178"/>
        <v>1565.0277377736998</v>
      </c>
      <c r="Y156" s="169">
        <f t="shared" si="178"/>
        <v>1565.0277377736998</v>
      </c>
      <c r="Z156" s="742">
        <f t="shared" si="178"/>
        <v>1565.0277377736998</v>
      </c>
      <c r="AA156" s="798">
        <f t="shared" si="164"/>
        <v>130.4189781478083</v>
      </c>
      <c r="AB156" s="798">
        <f t="shared" si="165"/>
        <v>1608.8485144313634</v>
      </c>
      <c r="AC156" s="798">
        <f t="shared" si="166"/>
        <v>1624.9369995756772</v>
      </c>
      <c r="AD156" s="799">
        <f t="shared" si="167"/>
        <v>1657.4357395671905</v>
      </c>
      <c r="AE156" s="453"/>
      <c r="AF156" s="169">
        <f t="shared" si="180"/>
        <v>46820.413155063186</v>
      </c>
      <c r="AG156" s="169">
        <f t="shared" si="181"/>
        <v>46522.536208973594</v>
      </c>
      <c r="AH156" s="169">
        <f t="shared" si="182"/>
        <v>45362.824571487654</v>
      </c>
      <c r="AI156" s="742">
        <f t="shared" si="183"/>
        <v>44612.645323350218</v>
      </c>
      <c r="AJ156" s="169">
        <f t="shared" si="168"/>
        <v>2846.0029411414735</v>
      </c>
      <c r="AK156" s="169">
        <f t="shared" si="169"/>
        <v>3283.6598179544126</v>
      </c>
      <c r="AL156" s="169">
        <f t="shared" si="170"/>
        <v>3257.9986841492328</v>
      </c>
      <c r="AM156" s="742">
        <f t="shared" si="171"/>
        <v>3263.4909712077979</v>
      </c>
      <c r="AN156" s="169">
        <f t="shared" si="172"/>
        <v>6673.0048948218209</v>
      </c>
      <c r="AO156" s="169">
        <f t="shared" si="173"/>
        <v>7662.4467311971093</v>
      </c>
      <c r="AP156" s="169">
        <f t="shared" si="174"/>
        <v>7409.5859890676047</v>
      </c>
      <c r="AQ156" s="169">
        <f t="shared" si="175"/>
        <v>0</v>
      </c>
      <c r="AR156" s="169">
        <f t="shared" si="176"/>
        <v>252.86074212950462</v>
      </c>
      <c r="AS156" s="169">
        <f t="shared" si="177"/>
        <v>0</v>
      </c>
      <c r="AT156" s="944"/>
      <c r="AV156" s="944"/>
    </row>
    <row r="157" spans="1:48" s="342" customFormat="1">
      <c r="A157" s="1041" t="s">
        <v>1435</v>
      </c>
      <c r="B157" s="1040" t="s">
        <v>1229</v>
      </c>
      <c r="C157" s="763">
        <v>59152.390737840004</v>
      </c>
      <c r="D157" s="780">
        <v>41821</v>
      </c>
      <c r="E157" s="1315">
        <v>21</v>
      </c>
      <c r="F157" s="944" t="s">
        <v>1251</v>
      </c>
      <c r="G157" s="761"/>
      <c r="H157" s="1251" t="s">
        <v>779</v>
      </c>
      <c r="I157" s="229">
        <f t="shared" si="27"/>
        <v>55</v>
      </c>
      <c r="J157" s="1327">
        <f t="shared" si="28"/>
        <v>0.96699999999999997</v>
      </c>
      <c r="K157" s="1327">
        <f t="shared" si="29"/>
        <v>3.3000000000000002E-2</v>
      </c>
      <c r="L157" s="1327">
        <f t="shared" si="30"/>
        <v>0</v>
      </c>
      <c r="M157" s="794">
        <f t="shared" si="179"/>
        <v>0</v>
      </c>
      <c r="N157" s="794">
        <f t="shared" si="179"/>
        <v>1</v>
      </c>
      <c r="O157" s="794">
        <f t="shared" si="179"/>
        <v>1.01</v>
      </c>
      <c r="P157" s="794">
        <f t="shared" si="179"/>
        <v>1.0302</v>
      </c>
      <c r="Q157" s="786">
        <f t="shared" si="158"/>
        <v>591.52390737840005</v>
      </c>
      <c r="R157" s="226">
        <f t="shared" si="159"/>
        <v>0</v>
      </c>
      <c r="S157" s="226">
        <f t="shared" si="160"/>
        <v>591.52390737840005</v>
      </c>
      <c r="T157" s="226">
        <f t="shared" si="161"/>
        <v>597.4391464521841</v>
      </c>
      <c r="U157" s="800">
        <f t="shared" si="162"/>
        <v>609.38792938122776</v>
      </c>
      <c r="V157" s="226">
        <f t="shared" si="163"/>
        <v>1212.6240101257199</v>
      </c>
      <c r="W157" s="169">
        <f t="shared" si="178"/>
        <v>0</v>
      </c>
      <c r="X157" s="169">
        <f t="shared" si="178"/>
        <v>537.74900670763634</v>
      </c>
      <c r="Y157" s="169">
        <f t="shared" si="178"/>
        <v>1075.4980134152727</v>
      </c>
      <c r="Z157" s="742">
        <f t="shared" si="178"/>
        <v>1075.4980134152727</v>
      </c>
      <c r="AA157" s="798">
        <f t="shared" si="164"/>
        <v>0</v>
      </c>
      <c r="AB157" s="798">
        <f t="shared" si="165"/>
        <v>537.74900670763634</v>
      </c>
      <c r="AC157" s="798">
        <f t="shared" si="166"/>
        <v>1086.2529935494254</v>
      </c>
      <c r="AD157" s="799">
        <f t="shared" si="167"/>
        <v>1107.978053420414</v>
      </c>
      <c r="AE157" s="453"/>
      <c r="AF157" s="169">
        <f t="shared" si="180"/>
        <v>0</v>
      </c>
      <c r="AG157" s="169">
        <f t="shared" si="181"/>
        <v>58614.641731132368</v>
      </c>
      <c r="AH157" s="169">
        <f t="shared" si="182"/>
        <v>58114.535154894271</v>
      </c>
      <c r="AI157" s="742">
        <f t="shared" si="183"/>
        <v>58168.847804571749</v>
      </c>
      <c r="AJ157" s="169">
        <f t="shared" si="168"/>
        <v>0</v>
      </c>
      <c r="AK157" s="169">
        <f t="shared" si="169"/>
        <v>2647.8761090284015</v>
      </c>
      <c r="AL157" s="169">
        <f t="shared" si="170"/>
        <v>3178.3762591256191</v>
      </c>
      <c r="AM157" s="742">
        <f t="shared" si="171"/>
        <v>3202.0565743849966</v>
      </c>
      <c r="AN157" s="169">
        <f t="shared" si="172"/>
        <v>5932.1674125151558</v>
      </c>
      <c r="AO157" s="169">
        <f t="shared" si="173"/>
        <v>7144.7914226408757</v>
      </c>
      <c r="AP157" s="169">
        <f t="shared" si="174"/>
        <v>0</v>
      </c>
      <c r="AQ157" s="169">
        <f t="shared" si="175"/>
        <v>6909.0133056937266</v>
      </c>
      <c r="AR157" s="169">
        <f t="shared" si="176"/>
        <v>235.7781169471489</v>
      </c>
      <c r="AS157" s="169">
        <f t="shared" si="177"/>
        <v>0</v>
      </c>
      <c r="AT157" s="944"/>
      <c r="AV157" s="944"/>
    </row>
    <row r="158" spans="1:48" s="342" customFormat="1">
      <c r="A158" s="1041" t="s">
        <v>1435</v>
      </c>
      <c r="B158" s="1040" t="s">
        <v>1230</v>
      </c>
      <c r="C158" s="763">
        <v>32781.596452199999</v>
      </c>
      <c r="D158" s="780">
        <v>41821</v>
      </c>
      <c r="E158" s="1315">
        <v>32</v>
      </c>
      <c r="F158" s="944" t="s">
        <v>1251</v>
      </c>
      <c r="G158" s="761"/>
      <c r="H158" s="1251" t="s">
        <v>779</v>
      </c>
      <c r="I158" s="229">
        <f t="shared" si="27"/>
        <v>30</v>
      </c>
      <c r="J158" s="1327">
        <f t="shared" si="28"/>
        <v>0.96699999999999997</v>
      </c>
      <c r="K158" s="1327">
        <f t="shared" si="29"/>
        <v>3.3000000000000002E-2</v>
      </c>
      <c r="L158" s="1327">
        <f t="shared" si="30"/>
        <v>0</v>
      </c>
      <c r="M158" s="794">
        <f t="shared" si="179"/>
        <v>0</v>
      </c>
      <c r="N158" s="794">
        <f t="shared" si="179"/>
        <v>1</v>
      </c>
      <c r="O158" s="794">
        <f t="shared" si="179"/>
        <v>1.01</v>
      </c>
      <c r="P158" s="794">
        <f t="shared" si="179"/>
        <v>1.0302</v>
      </c>
      <c r="Q158" s="786">
        <f t="shared" si="158"/>
        <v>327.815964522</v>
      </c>
      <c r="R158" s="226">
        <f t="shared" si="159"/>
        <v>0</v>
      </c>
      <c r="S158" s="226">
        <f t="shared" si="160"/>
        <v>327.815964522</v>
      </c>
      <c r="T158" s="226">
        <f t="shared" si="161"/>
        <v>331.09412416722</v>
      </c>
      <c r="U158" s="800">
        <f t="shared" si="162"/>
        <v>337.7160066505644</v>
      </c>
      <c r="V158" s="226">
        <f t="shared" si="163"/>
        <v>672.02272727009995</v>
      </c>
      <c r="W158" s="169">
        <f t="shared" si="178"/>
        <v>0</v>
      </c>
      <c r="X158" s="169">
        <f t="shared" si="178"/>
        <v>546.35994086999995</v>
      </c>
      <c r="Y158" s="169">
        <f t="shared" si="178"/>
        <v>1092.7198817399999</v>
      </c>
      <c r="Z158" s="742">
        <f t="shared" si="178"/>
        <v>1092.7198817399999</v>
      </c>
      <c r="AA158" s="798">
        <f t="shared" si="164"/>
        <v>0</v>
      </c>
      <c r="AB158" s="798">
        <f t="shared" si="165"/>
        <v>546.35994086999995</v>
      </c>
      <c r="AC158" s="798">
        <f t="shared" si="166"/>
        <v>1103.6470805573999</v>
      </c>
      <c r="AD158" s="799">
        <f t="shared" si="167"/>
        <v>1125.720022168548</v>
      </c>
      <c r="AE158" s="453"/>
      <c r="AF158" s="169">
        <f t="shared" si="180"/>
        <v>0</v>
      </c>
      <c r="AG158" s="169">
        <f t="shared" si="181"/>
        <v>32235.23651133</v>
      </c>
      <c r="AH158" s="169">
        <f t="shared" si="182"/>
        <v>31453.941795885901</v>
      </c>
      <c r="AI158" s="742">
        <f t="shared" si="183"/>
        <v>30957.300609635069</v>
      </c>
      <c r="AJ158" s="169">
        <f t="shared" si="168"/>
        <v>0</v>
      </c>
      <c r="AK158" s="169">
        <f t="shared" si="169"/>
        <v>1706.8284552778798</v>
      </c>
      <c r="AL158" s="169">
        <f t="shared" si="170"/>
        <v>2235.988985209292</v>
      </c>
      <c r="AM158" s="742">
        <f t="shared" si="171"/>
        <v>2240.1828441154103</v>
      </c>
      <c r="AN158" s="169">
        <f t="shared" si="172"/>
        <v>4011.0905786982862</v>
      </c>
      <c r="AO158" s="169">
        <f t="shared" si="173"/>
        <v>4683.1133059683862</v>
      </c>
      <c r="AP158" s="169">
        <f t="shared" si="174"/>
        <v>0</v>
      </c>
      <c r="AQ158" s="169">
        <f t="shared" si="175"/>
        <v>4528.570566871429</v>
      </c>
      <c r="AR158" s="169">
        <f t="shared" si="176"/>
        <v>154.54273909695675</v>
      </c>
      <c r="AS158" s="169">
        <f t="shared" si="177"/>
        <v>0</v>
      </c>
      <c r="AT158" s="944"/>
      <c r="AV158" s="944"/>
    </row>
    <row r="159" spans="1:48" s="182" customFormat="1">
      <c r="A159" s="219"/>
      <c r="B159" s="350"/>
      <c r="C159" s="350"/>
      <c r="D159" s="350"/>
      <c r="E159" s="350"/>
      <c r="G159" s="350"/>
      <c r="I159" s="350"/>
      <c r="J159" s="350"/>
      <c r="Q159" s="787"/>
      <c r="R159" s="787"/>
      <c r="S159" s="787"/>
      <c r="T159" s="787"/>
      <c r="V159" s="787"/>
      <c r="AK159" s="772"/>
      <c r="AL159" s="772"/>
      <c r="AM159" s="772"/>
      <c r="AN159" s="772"/>
      <c r="AO159" s="772"/>
      <c r="AP159" s="788">
        <f>SUM(AP80:AP158)</f>
        <v>11719096.276500164</v>
      </c>
      <c r="AQ159" s="788">
        <f>SUM(AQ80:AQ158)</f>
        <v>46533842.164741054</v>
      </c>
      <c r="AR159" s="788">
        <f>SUM(AR80:AR158)</f>
        <v>1987949.2953060598</v>
      </c>
      <c r="AS159" s="788">
        <f>SUM(AS80:AS158)</f>
        <v>3280803.6178090256</v>
      </c>
      <c r="AT159" s="245"/>
      <c r="AV159" s="944"/>
    </row>
    <row r="160" spans="1:48" s="172" customFormat="1">
      <c r="A160" s="218"/>
      <c r="B160" s="350"/>
      <c r="C160" s="350"/>
      <c r="D160" s="350"/>
      <c r="E160" s="350"/>
      <c r="G160" s="350"/>
      <c r="I160" s="350"/>
      <c r="J160" s="350"/>
      <c r="Q160" s="1130"/>
      <c r="R160" s="1130"/>
      <c r="S160" s="1130"/>
      <c r="T160" s="1130"/>
      <c r="V160" s="1130"/>
      <c r="AK160" s="1130"/>
      <c r="AL160" s="1130"/>
      <c r="AM160" s="1130"/>
      <c r="AN160" s="1130"/>
      <c r="AO160" s="1130"/>
      <c r="AP160" s="1130"/>
      <c r="AQ160" s="1130"/>
      <c r="AR160" s="1130"/>
      <c r="AS160" s="1130"/>
      <c r="AT160" s="347"/>
      <c r="AV160" s="944"/>
    </row>
    <row r="161" spans="1:48" s="355" customFormat="1">
      <c r="A161" s="461"/>
      <c r="B161" s="399"/>
      <c r="C161" s="399"/>
      <c r="D161" s="399"/>
      <c r="E161" s="399"/>
      <c r="F161" s="399"/>
      <c r="G161" s="399"/>
      <c r="H161" s="399"/>
      <c r="K161" s="138"/>
      <c r="O161" s="138"/>
      <c r="R161" s="138"/>
      <c r="U161" s="138"/>
      <c r="AH161" s="400"/>
      <c r="AI161" s="400"/>
      <c r="AJ161" s="400"/>
      <c r="AK161" s="400"/>
      <c r="AL161" s="400"/>
      <c r="AM161" s="400"/>
      <c r="AN161" s="400"/>
      <c r="AO161" s="772"/>
      <c r="AP161" s="770"/>
      <c r="AQ161" s="138"/>
      <c r="AR161" s="138"/>
      <c r="AT161" s="431"/>
      <c r="AV161" s="944"/>
    </row>
    <row r="162" spans="1:48" s="76" customFormat="1" ht="12.75" customHeight="1">
      <c r="A162" s="272" t="s">
        <v>724</v>
      </c>
      <c r="B162" s="228"/>
      <c r="C162" s="228"/>
      <c r="D162" s="228"/>
      <c r="E162" s="75"/>
      <c r="F162" s="122"/>
      <c r="G162" s="75"/>
      <c r="H162" s="75"/>
      <c r="I162" s="122"/>
      <c r="J162" s="75"/>
      <c r="K162" s="75"/>
      <c r="L162" s="122"/>
      <c r="M162" s="75"/>
      <c r="N162" s="75"/>
      <c r="O162" s="75"/>
      <c r="P162" s="75"/>
      <c r="Q162" s="75"/>
      <c r="R162" s="75"/>
      <c r="S162" s="75"/>
      <c r="T162" s="75"/>
      <c r="U162" s="75"/>
      <c r="V162" s="75"/>
      <c r="W162" s="75"/>
      <c r="X162" s="75"/>
      <c r="Y162" s="75"/>
      <c r="Z162" s="75"/>
      <c r="AA162" s="75"/>
      <c r="AB162" s="75"/>
      <c r="AC162" s="75"/>
      <c r="AD162" s="273"/>
      <c r="AE162" s="75"/>
      <c r="AF162" s="75"/>
      <c r="AG162" s="75"/>
      <c r="AH162" s="75"/>
      <c r="AI162" s="75"/>
      <c r="AJ162" s="75"/>
      <c r="AK162" s="75"/>
      <c r="AL162" s="75"/>
      <c r="AM162" s="411"/>
      <c r="AN162" s="411"/>
      <c r="AO162" s="75"/>
      <c r="AP162" s="874"/>
      <c r="AQ162" s="874"/>
      <c r="AR162" s="874"/>
      <c r="AS162" s="874"/>
      <c r="AT162" s="893"/>
      <c r="AV162" s="944"/>
    </row>
    <row r="163" spans="1:48" s="76" customFormat="1">
      <c r="A163" s="272" t="s">
        <v>540</v>
      </c>
      <c r="B163" s="227" t="s">
        <v>675</v>
      </c>
      <c r="C163" s="227" t="s">
        <v>676</v>
      </c>
      <c r="D163" s="227" t="s">
        <v>677</v>
      </c>
      <c r="E163" s="70" t="s">
        <v>166</v>
      </c>
      <c r="F163" s="117"/>
      <c r="I163" s="117"/>
      <c r="L163" s="125"/>
      <c r="M163" s="125"/>
      <c r="N163" s="125"/>
      <c r="AD163" s="274"/>
      <c r="AM163" s="413"/>
      <c r="AN163" s="413"/>
      <c r="AT163" s="894"/>
      <c r="AV163" s="944"/>
    </row>
    <row r="164" spans="1:48" s="76" customFormat="1">
      <c r="A164" s="1007"/>
      <c r="B164" s="1008"/>
      <c r="C164" s="1008"/>
      <c r="D164" s="805">
        <f>IF(ISNUMBER(SEARCH("Connection",A164)),0,0.598)</f>
        <v>0.59799999999999998</v>
      </c>
      <c r="E164" s="1010"/>
      <c r="F164" s="117"/>
      <c r="I164" s="117"/>
      <c r="L164" s="125"/>
      <c r="M164" s="125"/>
      <c r="N164" s="125"/>
      <c r="AD164" s="274"/>
      <c r="AM164" s="413"/>
      <c r="AN164" s="413"/>
      <c r="AT164" s="894"/>
      <c r="AV164" s="944"/>
    </row>
    <row r="165" spans="1:48" s="76" customFormat="1" ht="13.5" thickBot="1">
      <c r="A165" s="1009"/>
      <c r="B165" s="801"/>
      <c r="C165" s="802"/>
      <c r="D165" s="803">
        <f t="shared" ref="D165" si="184">IF(ISNUMBER(SEARCH("Connection",A165)),0,0.598)</f>
        <v>0.59799999999999998</v>
      </c>
      <c r="E165" s="1011"/>
      <c r="F165" s="117"/>
      <c r="I165" s="117"/>
      <c r="L165" s="117"/>
      <c r="AD165" s="274"/>
      <c r="AM165" s="413"/>
      <c r="AN165" s="413"/>
      <c r="AT165" s="894"/>
      <c r="AV165" s="944"/>
    </row>
    <row r="166" spans="1:48" s="76" customFormat="1" ht="13.5" thickTop="1">
      <c r="A166" s="275" t="s">
        <v>19</v>
      </c>
      <c r="B166" s="498"/>
      <c r="C166" s="479">
        <f>SUMPRODUCT($B164:$B165,C164:C165)</f>
        <v>0</v>
      </c>
      <c r="D166" s="479">
        <f>SUMPRODUCT($B164:$B165,D164:D165)</f>
        <v>0</v>
      </c>
      <c r="E166" s="500"/>
      <c r="F166" s="117"/>
      <c r="I166" s="117"/>
      <c r="L166" s="117"/>
      <c r="N166" s="125"/>
      <c r="AD166" s="274"/>
      <c r="AM166" s="413"/>
      <c r="AN166" s="413"/>
      <c r="AT166" s="894"/>
      <c r="AV166" s="944"/>
    </row>
    <row r="167" spans="1:48" s="172" customFormat="1">
      <c r="A167" s="40"/>
      <c r="B167" s="501"/>
      <c r="C167" s="100"/>
      <c r="K167" s="117"/>
      <c r="O167" s="117"/>
      <c r="R167" s="117"/>
      <c r="U167" s="117"/>
      <c r="AM167" s="485"/>
      <c r="AN167" s="409"/>
      <c r="AP167" s="138"/>
      <c r="AQ167" s="138"/>
      <c r="AR167" s="138"/>
      <c r="AT167" s="347"/>
      <c r="AV167" s="944"/>
    </row>
    <row r="168" spans="1:48" s="172" customFormat="1">
      <c r="A168" s="40"/>
      <c r="B168" s="501"/>
      <c r="C168" s="100"/>
      <c r="K168" s="117"/>
      <c r="O168" s="117"/>
      <c r="R168" s="117"/>
      <c r="U168" s="117"/>
      <c r="AM168" s="485"/>
      <c r="AN168" s="409"/>
      <c r="AP168" s="138"/>
      <c r="AQ168" s="138"/>
      <c r="AR168" s="138"/>
      <c r="AT168" s="347"/>
      <c r="AV168" s="944"/>
    </row>
    <row r="169" spans="1:48" s="182" customFormat="1">
      <c r="A169" s="230" t="s">
        <v>882</v>
      </c>
      <c r="B169" s="228"/>
      <c r="C169" s="228"/>
      <c r="D169" s="228"/>
      <c r="E169" s="122"/>
      <c r="F169" s="122"/>
      <c r="G169" s="630"/>
      <c r="H169" s="630"/>
      <c r="I169" s="630"/>
      <c r="J169" s="630"/>
      <c r="K169" s="896"/>
      <c r="L169" s="630"/>
      <c r="M169" s="630"/>
      <c r="N169" s="630"/>
      <c r="O169" s="896"/>
      <c r="P169" s="630"/>
      <c r="Q169" s="630"/>
      <c r="R169" s="896"/>
      <c r="S169" s="630"/>
      <c r="T169" s="630"/>
      <c r="U169" s="896"/>
      <c r="V169" s="630"/>
      <c r="W169" s="630"/>
      <c r="X169" s="630"/>
      <c r="Y169" s="630"/>
      <c r="Z169" s="630"/>
      <c r="AA169" s="630"/>
      <c r="AB169" s="630"/>
      <c r="AC169" s="630"/>
      <c r="AD169" s="630"/>
      <c r="AE169" s="630"/>
      <c r="AF169" s="630"/>
      <c r="AG169" s="630"/>
      <c r="AH169" s="630"/>
      <c r="AI169" s="630"/>
      <c r="AJ169" s="630"/>
      <c r="AK169" s="630"/>
      <c r="AL169" s="630"/>
      <c r="AM169" s="897"/>
      <c r="AN169" s="897"/>
      <c r="AO169" s="630"/>
      <c r="AP169" s="875"/>
      <c r="AQ169" s="875"/>
      <c r="AR169" s="875"/>
      <c r="AS169" s="875"/>
      <c r="AT169" s="891"/>
      <c r="AV169" s="944"/>
    </row>
    <row r="170" spans="1:48" s="172" customFormat="1">
      <c r="A170" s="279"/>
      <c r="B170" s="1107" t="s">
        <v>685</v>
      </c>
      <c r="C170" s="790" t="s">
        <v>948</v>
      </c>
      <c r="D170" s="843" t="s">
        <v>583</v>
      </c>
      <c r="E170" s="843" t="s">
        <v>545</v>
      </c>
      <c r="F170" s="182"/>
      <c r="K170" s="117"/>
      <c r="L170" s="847"/>
      <c r="M170" s="847"/>
      <c r="N170" s="847"/>
      <c r="S170" s="1694"/>
      <c r="T170" s="1694"/>
      <c r="U170" s="1694"/>
      <c r="V170" s="1694"/>
      <c r="W170" s="1694"/>
      <c r="X170" s="1694"/>
      <c r="Y170" s="1694"/>
      <c r="AM170" s="409"/>
      <c r="AN170" s="409"/>
      <c r="AT170" s="347"/>
      <c r="AV170" s="944"/>
    </row>
    <row r="171" spans="1:48" s="182" customFormat="1">
      <c r="A171" s="277" t="s">
        <v>938</v>
      </c>
      <c r="B171" s="806">
        <f>Q69+AP159</f>
        <v>13078280.23034638</v>
      </c>
      <c r="C171" s="250">
        <f>AQ159</f>
        <v>46533842.164741054</v>
      </c>
      <c r="D171" s="806">
        <f>R69+AR159</f>
        <v>2034333.0289947104</v>
      </c>
      <c r="E171" s="812">
        <f>S69+AS159</f>
        <v>3280803.6178090256</v>
      </c>
      <c r="F171" s="173"/>
      <c r="K171" s="123"/>
      <c r="L171" s="495"/>
      <c r="M171" s="495"/>
      <c r="N171" s="495"/>
      <c r="O171" s="495"/>
      <c r="P171" s="495"/>
      <c r="Q171" s="495"/>
      <c r="R171" s="495"/>
      <c r="S171" s="495"/>
      <c r="T171" s="495"/>
      <c r="U171" s="495"/>
      <c r="V171" s="495"/>
      <c r="W171" s="495"/>
      <c r="AM171" s="497"/>
      <c r="AN171" s="484"/>
      <c r="AT171" s="245"/>
      <c r="AV171" s="944"/>
    </row>
    <row r="172" spans="1:48" s="182" customFormat="1">
      <c r="A172" s="219"/>
      <c r="B172" s="770"/>
      <c r="D172" s="810"/>
      <c r="E172" s="808"/>
      <c r="K172" s="123"/>
      <c r="L172" s="495"/>
      <c r="M172" s="495"/>
      <c r="N172" s="495"/>
      <c r="O172" s="495"/>
      <c r="P172" s="495"/>
      <c r="Q172" s="495"/>
      <c r="R172" s="495"/>
      <c r="S172" s="495"/>
      <c r="T172" s="495"/>
      <c r="U172" s="495"/>
      <c r="V172" s="495"/>
      <c r="W172" s="495"/>
      <c r="AM172" s="497"/>
      <c r="AN172" s="484"/>
      <c r="AT172" s="245"/>
      <c r="AV172" s="944"/>
    </row>
    <row r="173" spans="1:48" s="182" customFormat="1">
      <c r="A173" s="277" t="s">
        <v>883</v>
      </c>
      <c r="B173" s="806">
        <f>(C75+C166)*(Parameters!$B$65+Parameters!$B$67)</f>
        <v>0</v>
      </c>
      <c r="C173" s="378"/>
      <c r="D173" s="1091">
        <f>(C75+C166)*Parameters!B66</f>
        <v>0</v>
      </c>
      <c r="E173" s="812">
        <f>D75+D166</f>
        <v>0</v>
      </c>
      <c r="F173" s="176"/>
      <c r="K173" s="123"/>
      <c r="L173" s="495"/>
      <c r="M173" s="495"/>
      <c r="N173" s="495"/>
      <c r="O173" s="495"/>
      <c r="P173" s="495"/>
      <c r="Q173" s="495"/>
      <c r="R173" s="495"/>
      <c r="S173" s="495"/>
      <c r="T173" s="495"/>
      <c r="U173" s="495"/>
      <c r="V173" s="495"/>
      <c r="W173" s="495"/>
      <c r="AM173" s="497"/>
      <c r="AN173" s="484"/>
      <c r="AT173" s="245"/>
      <c r="AV173" s="944"/>
    </row>
    <row r="174" spans="1:48" s="182" customFormat="1">
      <c r="A174" s="277" t="s">
        <v>884</v>
      </c>
      <c r="B174" s="806">
        <f>B173*(1+B16)</f>
        <v>0</v>
      </c>
      <c r="C174" s="378"/>
      <c r="D174" s="811">
        <f>D173*(1+B16)</f>
        <v>0</v>
      </c>
      <c r="E174" s="812">
        <f>E173*(1+B16)</f>
        <v>0</v>
      </c>
      <c r="F174" s="176"/>
      <c r="K174" s="123"/>
      <c r="L174" s="495"/>
      <c r="M174" s="495"/>
      <c r="N174" s="495"/>
      <c r="O174" s="495"/>
      <c r="P174" s="495"/>
      <c r="Q174" s="495"/>
      <c r="R174" s="495"/>
      <c r="S174" s="495"/>
      <c r="T174" s="495"/>
      <c r="U174" s="495"/>
      <c r="V174" s="495"/>
      <c r="W174" s="495"/>
      <c r="AM174" s="497"/>
      <c r="AN174" s="484"/>
      <c r="AT174" s="245"/>
      <c r="AV174" s="944"/>
    </row>
    <row r="175" spans="1:48" s="182" customFormat="1">
      <c r="A175" s="809"/>
      <c r="B175" s="810"/>
      <c r="D175" s="810"/>
      <c r="E175" s="808"/>
      <c r="K175" s="123"/>
      <c r="L175" s="495"/>
      <c r="M175" s="495"/>
      <c r="N175" s="495"/>
      <c r="O175" s="495"/>
      <c r="P175" s="495"/>
      <c r="Q175" s="495"/>
      <c r="R175" s="495"/>
      <c r="S175" s="495"/>
      <c r="T175" s="495"/>
      <c r="U175" s="495"/>
      <c r="V175" s="495"/>
      <c r="W175" s="495"/>
      <c r="AM175" s="497"/>
      <c r="AN175" s="484"/>
      <c r="AT175" s="245"/>
      <c r="AV175" s="944"/>
    </row>
    <row r="176" spans="1:48" s="182" customFormat="1">
      <c r="A176" s="277" t="s">
        <v>969</v>
      </c>
      <c r="B176" s="1092">
        <f>B171-B174</f>
        <v>13078280.23034638</v>
      </c>
      <c r="C176" s="250">
        <f>C171</f>
        <v>46533842.164741054</v>
      </c>
      <c r="D176" s="1092">
        <f>D171-D174</f>
        <v>2034333.0289947104</v>
      </c>
      <c r="E176" s="812">
        <f t="shared" ref="E176" si="185">E171-E174</f>
        <v>3280803.6178090256</v>
      </c>
      <c r="K176" s="123"/>
      <c r="L176" s="495"/>
      <c r="M176" s="495"/>
      <c r="N176" s="495"/>
      <c r="O176" s="495"/>
      <c r="P176" s="495"/>
      <c r="Q176" s="495"/>
      <c r="R176" s="495"/>
      <c r="S176" s="495"/>
      <c r="T176" s="495"/>
      <c r="U176" s="495"/>
      <c r="V176" s="495"/>
      <c r="W176" s="495"/>
      <c r="AM176" s="497"/>
      <c r="AN176" s="484"/>
      <c r="AT176" s="245"/>
      <c r="AV176" s="944"/>
    </row>
    <row r="177" spans="1:48" s="1143" customFormat="1" ht="22.5" customHeight="1">
      <c r="A177" s="1141"/>
      <c r="B177" s="1142"/>
      <c r="C177" s="1142"/>
      <c r="D177" s="1142"/>
      <c r="E177" s="1142"/>
      <c r="L177" s="1142"/>
      <c r="M177" s="1142"/>
      <c r="N177" s="1142"/>
      <c r="O177" s="1142"/>
      <c r="P177" s="1142"/>
      <c r="Q177" s="1142"/>
      <c r="R177" s="1142"/>
      <c r="S177" s="1142"/>
      <c r="T177" s="1142"/>
      <c r="U177" s="1142"/>
      <c r="V177" s="1142"/>
      <c r="W177" s="1142"/>
      <c r="AM177" s="1144"/>
      <c r="AN177" s="1145"/>
      <c r="AT177" s="1146"/>
      <c r="AV177" s="944"/>
    </row>
    <row r="178" spans="1:48" s="182" customFormat="1">
      <c r="A178" s="1692" t="s">
        <v>991</v>
      </c>
      <c r="B178" s="1693"/>
      <c r="C178" s="1693"/>
      <c r="D178" s="977"/>
      <c r="E178" s="977"/>
      <c r="F178" s="875"/>
      <c r="G178" s="875"/>
      <c r="H178" s="875"/>
      <c r="I178" s="875"/>
      <c r="J178" s="875"/>
      <c r="K178" s="877"/>
      <c r="L178" s="977"/>
      <c r="M178" s="977"/>
      <c r="N178" s="977"/>
      <c r="O178" s="977"/>
      <c r="P178" s="977"/>
      <c r="Q178" s="977"/>
      <c r="R178" s="977"/>
      <c r="S178" s="977"/>
      <c r="T178" s="977"/>
      <c r="U178" s="977"/>
      <c r="V178" s="977"/>
      <c r="W178" s="977"/>
      <c r="X178" s="875"/>
      <c r="Y178" s="875"/>
      <c r="Z178" s="875"/>
      <c r="AA178" s="875"/>
      <c r="AB178" s="875"/>
      <c r="AC178" s="875"/>
      <c r="AD178" s="875"/>
      <c r="AE178" s="875"/>
      <c r="AF178" s="875"/>
      <c r="AG178" s="875"/>
      <c r="AH178" s="875"/>
      <c r="AI178" s="875"/>
      <c r="AJ178" s="875"/>
      <c r="AK178" s="875"/>
      <c r="AL178" s="875"/>
      <c r="AM178" s="1131"/>
      <c r="AN178" s="1132"/>
      <c r="AO178" s="875"/>
      <c r="AP178" s="875"/>
      <c r="AQ178" s="875"/>
      <c r="AR178" s="875"/>
      <c r="AS178" s="875"/>
      <c r="AT178" s="891"/>
      <c r="AV178" s="944"/>
    </row>
    <row r="179" spans="1:48" s="172" customFormat="1">
      <c r="A179" s="875"/>
      <c r="B179" s="1138" t="s">
        <v>685</v>
      </c>
      <c r="C179" s="1139" t="s">
        <v>948</v>
      </c>
      <c r="D179" s="875"/>
      <c r="E179" s="875"/>
      <c r="F179" s="875"/>
      <c r="G179" s="875"/>
      <c r="H179" s="875"/>
      <c r="I179" s="875"/>
      <c r="J179" s="875"/>
      <c r="K179" s="877"/>
      <c r="L179" s="875"/>
      <c r="M179" s="875"/>
      <c r="N179" s="875"/>
      <c r="O179" s="877"/>
      <c r="P179" s="875"/>
      <c r="Q179" s="875"/>
      <c r="R179" s="877"/>
      <c r="S179" s="875"/>
      <c r="T179" s="875"/>
      <c r="U179" s="877"/>
      <c r="V179" s="875"/>
      <c r="W179" s="875"/>
      <c r="X179" s="875"/>
      <c r="Y179" s="875"/>
      <c r="Z179" s="875"/>
      <c r="AA179" s="875"/>
      <c r="AB179" s="875"/>
      <c r="AC179" s="875"/>
      <c r="AD179" s="875"/>
      <c r="AE179" s="875"/>
      <c r="AF179" s="875"/>
      <c r="AG179" s="875"/>
      <c r="AH179" s="875"/>
      <c r="AI179" s="875"/>
      <c r="AJ179" s="875"/>
      <c r="AK179" s="875"/>
      <c r="AL179" s="875"/>
      <c r="AM179" s="1131"/>
      <c r="AN179" s="1132"/>
      <c r="AO179" s="875"/>
      <c r="AP179" s="877"/>
      <c r="AQ179" s="877"/>
      <c r="AR179" s="877"/>
      <c r="AS179" s="875"/>
      <c r="AT179" s="891"/>
      <c r="AV179" s="944"/>
    </row>
    <row r="180" spans="1:48" s="172" customFormat="1">
      <c r="A180" s="1133" t="s">
        <v>990</v>
      </c>
      <c r="B180" s="1524">
        <f>B176</f>
        <v>13078280.23034638</v>
      </c>
      <c r="C180" s="455">
        <f>C176</f>
        <v>46533842.164741054</v>
      </c>
      <c r="K180" s="117"/>
      <c r="O180" s="117"/>
      <c r="R180" s="117"/>
      <c r="U180" s="117"/>
      <c r="AM180" s="485"/>
      <c r="AN180" s="409"/>
      <c r="AP180" s="138"/>
      <c r="AQ180" s="138"/>
      <c r="AR180" s="138"/>
      <c r="AT180" s="347"/>
      <c r="AV180" s="1323" t="s">
        <v>1246</v>
      </c>
    </row>
    <row r="181" spans="1:48" s="172" customFormat="1">
      <c r="A181" s="1134" t="s">
        <v>985</v>
      </c>
      <c r="B181" s="1136">
        <f>Parameters!B65/(Parameters!B65+Parameters!B67)</f>
        <v>0.96380558428128227</v>
      </c>
      <c r="C181" s="1135">
        <v>1</v>
      </c>
      <c r="K181" s="117"/>
      <c r="O181" s="117"/>
      <c r="R181" s="117"/>
      <c r="U181" s="117"/>
      <c r="AM181" s="485"/>
      <c r="AN181" s="409"/>
      <c r="AP181" s="138"/>
      <c r="AQ181" s="138"/>
      <c r="AR181" s="138"/>
      <c r="AT181" s="347"/>
      <c r="AV181" s="944"/>
    </row>
    <row r="182" spans="1:48" s="172" customFormat="1">
      <c r="A182" s="449" t="s">
        <v>986</v>
      </c>
      <c r="B182" s="903">
        <f>1-B181</f>
        <v>3.6194415718717732E-2</v>
      </c>
      <c r="C182" s="1137">
        <v>0</v>
      </c>
      <c r="K182" s="117"/>
      <c r="O182" s="117"/>
      <c r="R182" s="117"/>
      <c r="U182" s="117"/>
      <c r="AM182" s="485"/>
      <c r="AN182" s="409"/>
      <c r="AP182" s="138"/>
      <c r="AQ182" s="138"/>
      <c r="AR182" s="138"/>
      <c r="AT182" s="347"/>
      <c r="AV182" s="944"/>
    </row>
    <row r="183" spans="1:48" s="172" customFormat="1">
      <c r="A183" s="1133" t="s">
        <v>987</v>
      </c>
      <c r="B183" s="467">
        <f>B180*B181</f>
        <v>12604919.518803336</v>
      </c>
      <c r="C183" s="467">
        <f>C180*C181</f>
        <v>46533842.164741054</v>
      </c>
      <c r="K183" s="117"/>
      <c r="O183" s="117"/>
      <c r="R183" s="117"/>
      <c r="U183" s="117"/>
      <c r="AM183" s="485"/>
      <c r="AN183" s="409"/>
      <c r="AP183" s="138"/>
      <c r="AQ183" s="138"/>
      <c r="AR183" s="138"/>
      <c r="AT183" s="347"/>
      <c r="AV183" s="944"/>
    </row>
    <row r="184" spans="1:48" s="172" customFormat="1">
      <c r="A184" s="1133" t="s">
        <v>988</v>
      </c>
      <c r="B184" s="467">
        <f>B180*B182</f>
        <v>473360.71154304437</v>
      </c>
      <c r="C184" s="467">
        <f>C180*C182</f>
        <v>0</v>
      </c>
      <c r="K184" s="117"/>
      <c r="O184" s="117"/>
      <c r="R184" s="117"/>
      <c r="U184" s="117"/>
      <c r="AM184" s="485"/>
      <c r="AN184" s="409"/>
      <c r="AP184" s="138"/>
      <c r="AQ184" s="138"/>
      <c r="AR184" s="138"/>
      <c r="AT184" s="347"/>
      <c r="AV184" s="944"/>
    </row>
    <row r="185" spans="1:48" s="172" customFormat="1">
      <c r="A185" s="278"/>
      <c r="B185" s="355"/>
      <c r="C185" s="807"/>
      <c r="D185" s="807"/>
      <c r="K185" s="117"/>
      <c r="L185" s="495"/>
      <c r="M185" s="495"/>
      <c r="N185" s="495"/>
      <c r="O185" s="495"/>
      <c r="P185" s="495"/>
      <c r="Q185" s="495"/>
      <c r="R185" s="495"/>
      <c r="S185" s="495"/>
      <c r="T185" s="495"/>
      <c r="U185" s="495"/>
      <c r="V185" s="495"/>
      <c r="W185" s="495"/>
      <c r="AM185" s="485"/>
      <c r="AN185" s="409"/>
      <c r="AV185" s="944"/>
    </row>
    <row r="186" spans="1:48" s="172" customFormat="1">
      <c r="A186" s="1148" t="s">
        <v>970</v>
      </c>
      <c r="B186" s="1149"/>
      <c r="C186" s="877"/>
      <c r="D186" s="1094"/>
      <c r="E186" s="874"/>
      <c r="F186" s="874"/>
      <c r="G186" s="874"/>
      <c r="H186" s="874"/>
      <c r="I186" s="874"/>
      <c r="J186" s="874"/>
      <c r="K186" s="874"/>
      <c r="L186" s="874"/>
      <c r="M186" s="874"/>
      <c r="N186" s="874"/>
      <c r="O186" s="874"/>
      <c r="P186" s="874"/>
      <c r="Q186" s="874"/>
      <c r="R186" s="874"/>
      <c r="S186" s="874"/>
      <c r="T186" s="874"/>
      <c r="U186" s="874"/>
      <c r="V186" s="874"/>
      <c r="W186" s="874"/>
      <c r="X186" s="874"/>
      <c r="Y186" s="874"/>
      <c r="Z186" s="874"/>
      <c r="AA186" s="874"/>
      <c r="AB186" s="874"/>
      <c r="AC186" s="874"/>
      <c r="AD186" s="874"/>
      <c r="AE186" s="874"/>
      <c r="AF186" s="874"/>
      <c r="AG186" s="874"/>
      <c r="AH186" s="874"/>
      <c r="AI186" s="874"/>
      <c r="AJ186" s="874"/>
      <c r="AK186" s="874"/>
      <c r="AL186" s="874"/>
      <c r="AM186" s="1095"/>
      <c r="AN186" s="1095"/>
      <c r="AO186" s="874"/>
      <c r="AP186" s="874"/>
      <c r="AQ186" s="874"/>
      <c r="AR186" s="874"/>
      <c r="AS186" s="874"/>
      <c r="AT186" s="893"/>
      <c r="AV186" s="944"/>
    </row>
    <row r="187" spans="1:48" s="172" customFormat="1">
      <c r="A187" s="1150" t="s">
        <v>989</v>
      </c>
      <c r="B187" s="1151">
        <f>B183+C183</f>
        <v>59138761.68354439</v>
      </c>
      <c r="C187" s="765"/>
      <c r="D187" s="173"/>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c r="AD187" s="76"/>
      <c r="AE187" s="76"/>
      <c r="AF187" s="76"/>
      <c r="AG187" s="76"/>
      <c r="AH187" s="76"/>
      <c r="AI187" s="76"/>
      <c r="AJ187" s="76"/>
      <c r="AK187" s="76"/>
      <c r="AL187" s="76"/>
      <c r="AM187" s="413"/>
      <c r="AN187" s="413"/>
      <c r="AO187" s="76"/>
      <c r="AP187" s="403"/>
      <c r="AQ187" s="403"/>
      <c r="AR187" s="403"/>
      <c r="AS187" s="76"/>
      <c r="AT187" s="894"/>
      <c r="AV187" s="944"/>
    </row>
    <row r="188" spans="1:48" s="172" customFormat="1">
      <c r="A188" s="1150" t="s">
        <v>618</v>
      </c>
      <c r="B188" s="1151">
        <f>B184+C184</f>
        <v>473360.71154304437</v>
      </c>
      <c r="C188" s="123"/>
      <c r="D188" s="173"/>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c r="AF188" s="76"/>
      <c r="AG188" s="76"/>
      <c r="AH188" s="76"/>
      <c r="AI188" s="76"/>
      <c r="AJ188" s="76"/>
      <c r="AK188" s="76"/>
      <c r="AL188" s="76"/>
      <c r="AM188" s="413"/>
      <c r="AN188" s="413"/>
      <c r="AO188" s="76"/>
      <c r="AP188" s="403"/>
      <c r="AQ188" s="403"/>
      <c r="AR188" s="403"/>
      <c r="AS188" s="76"/>
      <c r="AT188" s="894"/>
      <c r="AV188" s="944"/>
    </row>
    <row r="189" spans="1:48" s="172" customFormat="1">
      <c r="A189" s="1150" t="s">
        <v>583</v>
      </c>
      <c r="B189" s="1152">
        <f>D176</f>
        <v>2034333.0289947104</v>
      </c>
      <c r="C189" s="123"/>
      <c r="D189" s="173"/>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76"/>
      <c r="AF189" s="76"/>
      <c r="AG189" s="76"/>
      <c r="AH189" s="76"/>
      <c r="AI189" s="76"/>
      <c r="AJ189" s="76"/>
      <c r="AK189" s="76"/>
      <c r="AL189" s="76"/>
      <c r="AM189" s="413"/>
      <c r="AN189" s="413"/>
      <c r="AO189" s="76"/>
      <c r="AP189" s="403"/>
      <c r="AQ189" s="403"/>
      <c r="AR189" s="403"/>
      <c r="AS189" s="76"/>
      <c r="AT189" s="894"/>
      <c r="AV189" s="944"/>
    </row>
    <row r="190" spans="1:48" s="172" customFormat="1">
      <c r="A190" s="1150" t="s">
        <v>545</v>
      </c>
      <c r="B190" s="1152">
        <f>E176</f>
        <v>3280803.6178090256</v>
      </c>
      <c r="C190" s="123"/>
      <c r="D190" s="173"/>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c r="AG190" s="76"/>
      <c r="AH190" s="76"/>
      <c r="AI190" s="76"/>
      <c r="AJ190" s="76"/>
      <c r="AK190" s="76"/>
      <c r="AL190" s="76"/>
      <c r="AM190" s="413"/>
      <c r="AN190" s="413"/>
      <c r="AO190" s="76"/>
      <c r="AP190" s="403"/>
      <c r="AQ190" s="403"/>
      <c r="AR190" s="403"/>
      <c r="AS190" s="76"/>
      <c r="AT190" s="894"/>
      <c r="AV190" s="944"/>
    </row>
    <row r="191" spans="1:48" s="172" customFormat="1">
      <c r="A191" s="278"/>
      <c r="B191" s="355"/>
      <c r="C191" s="807"/>
      <c r="D191" s="807"/>
      <c r="K191" s="117"/>
      <c r="L191" s="495"/>
      <c r="M191" s="495"/>
      <c r="N191" s="495"/>
      <c r="O191" s="495"/>
      <c r="P191" s="495"/>
      <c r="Q191" s="495"/>
      <c r="R191" s="495"/>
      <c r="S191" s="495"/>
      <c r="T191" s="495"/>
      <c r="U191" s="495"/>
      <c r="V191" s="495"/>
      <c r="W191" s="495"/>
      <c r="AM191" s="485"/>
      <c r="AN191" s="409"/>
      <c r="AV191" s="944"/>
    </row>
    <row r="192" spans="1:48" s="182" customFormat="1">
      <c r="A192" s="717" t="s">
        <v>994</v>
      </c>
      <c r="B192" s="75"/>
      <c r="C192" s="1153"/>
      <c r="D192" s="1153"/>
      <c r="E192" s="1153"/>
      <c r="F192" s="1153"/>
      <c r="G192" s="1153"/>
      <c r="H192" s="1153"/>
      <c r="I192" s="1153"/>
      <c r="J192" s="1153"/>
      <c r="K192" s="1153"/>
      <c r="L192" s="1153"/>
      <c r="M192" s="1153"/>
      <c r="N192" s="1153"/>
      <c r="O192" s="1153"/>
      <c r="P192" s="1153"/>
      <c r="Q192" s="1153"/>
      <c r="R192" s="1153"/>
      <c r="S192" s="1153"/>
      <c r="T192" s="1153"/>
      <c r="U192" s="1153"/>
      <c r="V192" s="1153"/>
      <c r="W192" s="1153"/>
      <c r="X192" s="1153"/>
      <c r="Y192" s="1153"/>
      <c r="Z192" s="1153"/>
      <c r="AA192" s="1153"/>
      <c r="AB192" s="1153"/>
      <c r="AC192" s="1153"/>
      <c r="AD192" s="1153"/>
      <c r="AE192" s="1153"/>
      <c r="AF192" s="1153"/>
      <c r="AG192" s="1153"/>
      <c r="AH192" s="1153"/>
      <c r="AI192" s="1153"/>
      <c r="AJ192" s="1153"/>
      <c r="AK192" s="1153"/>
      <c r="AL192" s="1153"/>
      <c r="AM192" s="1154"/>
      <c r="AN192" s="1154"/>
      <c r="AO192" s="1153"/>
      <c r="AP192" s="877"/>
      <c r="AQ192" s="877"/>
      <c r="AR192" s="877"/>
      <c r="AS192" s="875"/>
      <c r="AT192" s="875"/>
      <c r="AV192" s="944"/>
    </row>
    <row r="193" spans="1:48" s="123" customFormat="1">
      <c r="A193" s="1155" t="s">
        <v>942</v>
      </c>
      <c r="B193" s="1096">
        <v>914419181.44699395</v>
      </c>
      <c r="C193" s="770"/>
      <c r="D193" s="173"/>
      <c r="E193" s="173"/>
      <c r="F193" s="138"/>
      <c r="G193" s="396"/>
      <c r="H193" s="138"/>
      <c r="I193" s="138"/>
      <c r="AM193" s="416"/>
      <c r="AN193" s="417"/>
      <c r="AP193" s="138"/>
      <c r="AQ193" s="138"/>
      <c r="AR193" s="138"/>
      <c r="AV193" s="944"/>
    </row>
    <row r="194" spans="1:48" s="182" customFormat="1">
      <c r="A194" s="1155" t="s">
        <v>886</v>
      </c>
      <c r="B194" s="578">
        <f>Parameters!B87</f>
        <v>34007879.769864909</v>
      </c>
      <c r="D194" s="123"/>
      <c r="E194" s="172"/>
      <c r="F194" s="138"/>
      <c r="G194" s="396"/>
      <c r="H194" s="138"/>
      <c r="I194" s="138"/>
      <c r="J194" s="123"/>
      <c r="K194" s="123"/>
      <c r="O194" s="123"/>
      <c r="R194" s="123"/>
      <c r="U194" s="123"/>
      <c r="AM194" s="497"/>
      <c r="AN194" s="484"/>
      <c r="AP194" s="138"/>
      <c r="AQ194" s="138"/>
      <c r="AR194" s="138"/>
      <c r="AT194" s="245"/>
      <c r="AV194" s="944"/>
    </row>
    <row r="195" spans="1:48" s="182" customFormat="1">
      <c r="A195" s="1155" t="s">
        <v>885</v>
      </c>
      <c r="B195" s="578">
        <f>Parameters!B86</f>
        <v>32693297.402289145</v>
      </c>
      <c r="D195" s="123" t="s">
        <v>568</v>
      </c>
      <c r="F195" s="1156"/>
      <c r="G195" s="1156"/>
      <c r="H195" s="1156"/>
      <c r="I195" s="138"/>
      <c r="J195" s="123"/>
      <c r="K195" s="123"/>
      <c r="O195" s="123"/>
      <c r="R195" s="123"/>
      <c r="U195" s="123"/>
      <c r="AM195" s="497"/>
      <c r="AN195" s="484"/>
      <c r="AP195" s="138"/>
      <c r="AQ195" s="138"/>
      <c r="AR195" s="138"/>
      <c r="AT195" s="245"/>
      <c r="AV195" s="944"/>
    </row>
    <row r="196" spans="1:48" s="76" customFormat="1">
      <c r="A196" s="1155" t="s">
        <v>887</v>
      </c>
      <c r="B196" s="1147">
        <f>Parameters!B89</f>
        <v>84498420.460968792</v>
      </c>
      <c r="C196" s="182"/>
      <c r="D196" s="173"/>
      <c r="AM196" s="413"/>
      <c r="AN196" s="413"/>
      <c r="AP196" s="403"/>
      <c r="AQ196" s="403"/>
      <c r="AR196" s="403"/>
      <c r="AT196" s="894"/>
      <c r="AV196" s="944"/>
    </row>
    <row r="197" spans="1:48" s="76" customFormat="1">
      <c r="A197" s="220"/>
      <c r="B197" s="1093"/>
      <c r="C197" s="123"/>
      <c r="D197" s="173"/>
      <c r="AM197" s="413"/>
      <c r="AN197" s="413"/>
      <c r="AP197" s="403"/>
      <c r="AQ197" s="403"/>
      <c r="AR197" s="403"/>
      <c r="AT197" s="894"/>
      <c r="AV197" s="944"/>
    </row>
    <row r="198" spans="1:48" s="137" customFormat="1">
      <c r="A198" s="39" t="s">
        <v>159</v>
      </c>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39"/>
      <c r="AK198" s="39"/>
      <c r="AL198" s="39"/>
      <c r="AM198" s="415"/>
      <c r="AN198" s="415"/>
      <c r="AO198" s="39"/>
      <c r="AP198" s="875"/>
      <c r="AQ198" s="875"/>
      <c r="AR198" s="875"/>
      <c r="AS198" s="875"/>
      <c r="AT198" s="891"/>
      <c r="AV198" s="944"/>
    </row>
    <row r="199" spans="1:48" s="114" customFormat="1">
      <c r="A199" s="404" t="s">
        <v>971</v>
      </c>
      <c r="B199" s="232">
        <f>B187/B193</f>
        <v>6.4673579561139685E-2</v>
      </c>
      <c r="C199" s="182"/>
      <c r="D199" s="1043"/>
      <c r="E199" s="765"/>
      <c r="F199" s="765"/>
      <c r="G199" s="123"/>
      <c r="H199" s="123"/>
      <c r="I199" s="123"/>
      <c r="J199" s="123"/>
      <c r="K199" s="123"/>
      <c r="L199" s="123"/>
      <c r="M199" s="123"/>
      <c r="N199" s="123"/>
      <c r="O199" s="123"/>
      <c r="P199" s="123"/>
      <c r="Q199" s="123"/>
      <c r="R199" s="123"/>
      <c r="S199" s="123"/>
      <c r="T199" s="123"/>
      <c r="U199" s="123"/>
      <c r="V199" s="123"/>
      <c r="W199" s="123"/>
      <c r="X199" s="123"/>
      <c r="Y199" s="123"/>
      <c r="Z199" s="123"/>
      <c r="AA199" s="123"/>
      <c r="AB199" s="123"/>
      <c r="AC199" s="123"/>
      <c r="AD199" s="123"/>
      <c r="AE199" s="123"/>
      <c r="AF199" s="123"/>
      <c r="AG199" s="123"/>
      <c r="AH199" s="123"/>
      <c r="AI199" s="123"/>
      <c r="AJ199" s="123"/>
      <c r="AK199" s="123"/>
      <c r="AL199" s="123"/>
      <c r="AM199" s="417"/>
      <c r="AN199" s="417"/>
      <c r="AO199" s="123"/>
      <c r="AP199" s="123"/>
      <c r="AQ199" s="123"/>
      <c r="AR199" s="123"/>
      <c r="AS199" s="123"/>
      <c r="AT199" s="280"/>
      <c r="AV199" s="944"/>
    </row>
    <row r="200" spans="1:48" s="114" customFormat="1">
      <c r="A200" s="404" t="s">
        <v>618</v>
      </c>
      <c r="B200" s="232">
        <f>B188/B194</f>
        <v>1.3919147995885917E-2</v>
      </c>
      <c r="C200" s="182"/>
      <c r="D200" s="104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c r="AA200" s="123"/>
      <c r="AB200" s="123"/>
      <c r="AC200" s="123"/>
      <c r="AD200" s="123"/>
      <c r="AE200" s="123"/>
      <c r="AF200" s="123"/>
      <c r="AG200" s="123"/>
      <c r="AH200" s="123"/>
      <c r="AI200" s="123"/>
      <c r="AJ200" s="123"/>
      <c r="AK200" s="123"/>
      <c r="AL200" s="123"/>
      <c r="AM200" s="417"/>
      <c r="AN200" s="417"/>
      <c r="AO200" s="123"/>
      <c r="AP200" s="123"/>
      <c r="AQ200" s="123"/>
      <c r="AR200" s="123"/>
      <c r="AS200" s="123"/>
      <c r="AT200" s="280"/>
      <c r="AV200" s="944"/>
    </row>
    <row r="201" spans="1:48" s="182" customFormat="1">
      <c r="A201" s="404" t="s">
        <v>583</v>
      </c>
      <c r="B201" s="232">
        <f>B189/B195</f>
        <v>6.2224773596935158E-2</v>
      </c>
      <c r="D201" s="123"/>
      <c r="AM201" s="484"/>
      <c r="AN201" s="484"/>
      <c r="AT201" s="245"/>
      <c r="AV201" s="944"/>
    </row>
    <row r="202" spans="1:48" s="182" customFormat="1">
      <c r="A202" s="405" t="s">
        <v>545</v>
      </c>
      <c r="B202" s="898">
        <f>B190/B196</f>
        <v>3.8826804097769882E-2</v>
      </c>
      <c r="C202" s="456"/>
      <c r="D202" s="899"/>
      <c r="E202" s="456"/>
      <c r="F202" s="456"/>
      <c r="G202" s="456"/>
      <c r="H202" s="456"/>
      <c r="I202" s="456"/>
      <c r="J202" s="456"/>
      <c r="K202" s="456"/>
      <c r="L202" s="456"/>
      <c r="M202" s="456"/>
      <c r="N202" s="456"/>
      <c r="O202" s="456"/>
      <c r="P202" s="456"/>
      <c r="Q202" s="456"/>
      <c r="R202" s="456"/>
      <c r="S202" s="456"/>
      <c r="T202" s="456"/>
      <c r="U202" s="456"/>
      <c r="V202" s="456"/>
      <c r="W202" s="456"/>
      <c r="X202" s="456"/>
      <c r="Y202" s="456"/>
      <c r="Z202" s="456"/>
      <c r="AA202" s="456"/>
      <c r="AB202" s="456"/>
      <c r="AC202" s="456"/>
      <c r="AD202" s="456"/>
      <c r="AE202" s="456"/>
      <c r="AF202" s="456"/>
      <c r="AG202" s="456"/>
      <c r="AH202" s="456"/>
      <c r="AI202" s="456"/>
      <c r="AJ202" s="456"/>
      <c r="AK202" s="456"/>
      <c r="AL202" s="456"/>
      <c r="AM202" s="900"/>
      <c r="AN202" s="900"/>
      <c r="AO202" s="456"/>
      <c r="AP202" s="456"/>
      <c r="AQ202" s="456"/>
      <c r="AR202" s="456"/>
      <c r="AS202" s="456"/>
      <c r="AT202" s="457"/>
      <c r="AV202" s="944"/>
    </row>
    <row r="203" spans="1:48">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410"/>
      <c r="AN203" s="410"/>
      <c r="AO203" s="25"/>
      <c r="AP203" s="25"/>
      <c r="AQ203" s="25"/>
      <c r="AR203" s="25"/>
      <c r="AS203" s="25"/>
    </row>
    <row r="204" spans="1:48">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410"/>
      <c r="AN204" s="410"/>
      <c r="AO204" s="25"/>
      <c r="AP204" s="25"/>
      <c r="AQ204" s="25"/>
      <c r="AR204" s="25"/>
      <c r="AS204" s="25"/>
    </row>
    <row r="205" spans="1:48" s="123" customFormat="1">
      <c r="A205"/>
      <c r="B205"/>
      <c r="C205"/>
      <c r="D205"/>
      <c r="AM205" s="417"/>
      <c r="AN205" s="417"/>
    </row>
    <row r="206" spans="1:48" s="123" customFormat="1">
      <c r="A206" s="34" t="s">
        <v>568</v>
      </c>
      <c r="B206"/>
      <c r="C206"/>
      <c r="D206"/>
      <c r="AM206" s="417"/>
      <c r="AN206" s="417"/>
    </row>
    <row r="207" spans="1:48">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410"/>
      <c r="AN207" s="410"/>
      <c r="AO207" s="25"/>
      <c r="AP207" s="25"/>
      <c r="AQ207" s="25"/>
      <c r="AR207" s="25"/>
      <c r="AS207" s="25"/>
    </row>
  </sheetData>
  <mergeCells count="18">
    <mergeCell ref="G56:I56"/>
    <mergeCell ref="AM56:AN56"/>
    <mergeCell ref="AI56:AJ56"/>
    <mergeCell ref="AK56:AL56"/>
    <mergeCell ref="AJ77:AM77"/>
    <mergeCell ref="M77:P77"/>
    <mergeCell ref="J77:L77"/>
    <mergeCell ref="X56:Y56"/>
    <mergeCell ref="AE56:AF56"/>
    <mergeCell ref="AG56:AH56"/>
    <mergeCell ref="Z56:AD56"/>
    <mergeCell ref="W77:Z77"/>
    <mergeCell ref="AA77:AD77"/>
    <mergeCell ref="AF77:AI77"/>
    <mergeCell ref="R77:U77"/>
    <mergeCell ref="A178:C178"/>
    <mergeCell ref="S170:U170"/>
    <mergeCell ref="V170:Y170"/>
  </mergeCells>
  <phoneticPr fontId="20" type="noConversion"/>
  <pageMargins left="0.75" right="0.75" top="1" bottom="1" header="0.5" footer="0.5"/>
  <pageSetup paperSize="9" scale="10" orientation="portrait" r:id="rId1"/>
  <headerFooter alignWithMargins="0">
    <oddFooter>&amp;LEnergiekamer NMa&amp;R&amp;F</oddFooter>
  </headerFooter>
  <colBreaks count="1" manualBreakCount="1">
    <brk id="20" max="18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9DE200AC9DD142BDF412F5C9A546E6" ma:contentTypeVersion="0" ma:contentTypeDescription="Een nieuw document maken." ma:contentTypeScope="" ma:versionID="c685e63fec8633fc34b3448237e8cb9d">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67255E-A27D-4BC7-B4D0-3B7DFBF5C0DD}">
  <ds:schemaRefs>
    <ds:schemaRef ds:uri="http://schemas.microsoft.com/office/2006/documentManagement/types"/>
    <ds:schemaRef ds:uri="http://purl.org/dc/dcmitype/"/>
    <ds:schemaRef ds:uri="http://www.w3.org/XML/1998/namespace"/>
    <ds:schemaRef ds:uri="http://purl.org/dc/elements/1.1/"/>
    <ds:schemaRef ds:uri="http://purl.org/dc/terms/"/>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D6CFB460-C129-49AD-B661-98B4188C0A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30B7346-C18A-4297-90E2-178828A42F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Werkbladen</vt:lpstr>
      </vt:variant>
      <vt:variant>
        <vt:i4>23</vt:i4>
      </vt:variant>
      <vt:variant>
        <vt:lpstr>Benoemde bereiken</vt:lpstr>
      </vt:variant>
      <vt:variant>
        <vt:i4>14</vt:i4>
      </vt:variant>
    </vt:vector>
  </HeadingPairs>
  <TitlesOfParts>
    <vt:vector size="37" baseType="lpstr">
      <vt:lpstr>Parameters</vt:lpstr>
      <vt:lpstr>Voorblad</vt:lpstr>
      <vt:lpstr>Richtlijnen en instructie</vt:lpstr>
      <vt:lpstr>TAR_Tab_1_Adresgegevens</vt:lpstr>
      <vt:lpstr>TAR_Tab 2_Volumina</vt:lpstr>
      <vt:lpstr>TAR_Tab_3_Tariefaanpassing</vt:lpstr>
      <vt:lpstr>OPSLAGEN EN NACALCULATIES --&gt;</vt:lpstr>
      <vt:lpstr>TAR_Tab_4_BESeF</vt:lpstr>
      <vt:lpstr>TAR_Tab 5_UI</vt:lpstr>
      <vt:lpstr>TAR_Tab 6_NPD</vt:lpstr>
      <vt:lpstr>TAR_Tab 7_MFA </vt:lpstr>
      <vt:lpstr>TAR-Tab_8_Nacalculaties 14-16</vt:lpstr>
      <vt:lpstr>TAR-Tab 9_incidenteel</vt:lpstr>
      <vt:lpstr>TARIEFBEREKENING --&gt;</vt:lpstr>
      <vt:lpstr>TAR_Tab 10_Entrytarieven</vt:lpstr>
      <vt:lpstr>TAR_Tab 11_Exittarieven</vt:lpstr>
      <vt:lpstr>TAR_Tab 12_Connectiontarieven</vt:lpstr>
      <vt:lpstr>TAR_Tab 13_Overige tarieven</vt:lpstr>
      <vt:lpstr>CONTROLE TOEGESTANE INKOMSTEN-&gt;</vt:lpstr>
      <vt:lpstr>TAR_Tab 14_Controle</vt:lpstr>
      <vt:lpstr>TAR_TAB_15_Toelichting</vt:lpstr>
      <vt:lpstr>TAR_TAB_16_Berek_Dtoets_Hlee</vt:lpstr>
      <vt:lpstr>TAR_TAB_17_Verwijderde MPs</vt:lpstr>
      <vt:lpstr>Parameters!Afdrukbereik</vt:lpstr>
      <vt:lpstr>'Richtlijnen en instructie'!Afdrukbereik</vt:lpstr>
      <vt:lpstr>'TAR_Tab 10_Entrytarieven'!Afdrukbereik</vt:lpstr>
      <vt:lpstr>'TAR_Tab 11_Exittarieven'!Afdrukbereik</vt:lpstr>
      <vt:lpstr>'TAR_Tab 12_Connectiontarieven'!Afdrukbereik</vt:lpstr>
      <vt:lpstr>'TAR_Tab 13_Overige tarieven'!Afdrukbereik</vt:lpstr>
      <vt:lpstr>'TAR_Tab 14_Controle'!Afdrukbereik</vt:lpstr>
      <vt:lpstr>'TAR_Tab 2_Volumina'!Afdrukbereik</vt:lpstr>
      <vt:lpstr>'TAR_Tab 5_UI'!Afdrukbereik</vt:lpstr>
      <vt:lpstr>'TAR_Tab 6_NPD'!Afdrukbereik</vt:lpstr>
      <vt:lpstr>'TAR_Tab 7_MFA '!Afdrukbereik</vt:lpstr>
      <vt:lpstr>TAR_Tab_1_Adresgegevens!Afdrukbereik</vt:lpstr>
      <vt:lpstr>TAR_Tab_4_BESeF!Afdrukbereik</vt:lpstr>
      <vt:lpstr>'TAR-Tab 9_incidenteel'!Afdrukbereik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1 Voorstel GTS tarieven 2015 netbeheer gas</dc:title>
  <dc:creator>GTS</dc:creator>
  <cp:lastModifiedBy>Muires, Mike</cp:lastModifiedBy>
  <cp:lastPrinted>2013-10-02T13:04:47Z</cp:lastPrinted>
  <dcterms:created xsi:type="dcterms:W3CDTF">1996-11-27T13:48:17Z</dcterms:created>
  <dcterms:modified xsi:type="dcterms:W3CDTF">2014-10-13T11:20:27Z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0x010100CB9DE200AC9DD142BDF412F5C9A546E6</vt:lpwstr>
  </property>
</Properties>
</file>