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020" windowHeight="12120"/>
  </bookViews>
  <sheets>
    <sheet name="Toelichting" sheetId="7" r:id="rId1"/>
    <sheet name="Maximumprijs" sheetId="6" r:id="rId2"/>
    <sheet name="Aansluitbijdrage" sheetId="9" r:id="rId3"/>
  </sheets>
  <definedNames>
    <definedName name="_xlnm.Print_Area" localSheetId="2">Aansluitbijdrage!$B$2:$F$31</definedName>
    <definedName name="_xlnm.Print_Area" localSheetId="1">Maximumprijs!$B$2:$H$215</definedName>
    <definedName name="_xlnm.Print_Area" localSheetId="0">Toelichting!$A$1:$B$17</definedName>
  </definedNames>
  <calcPr calcId="145621"/>
</workbook>
</file>

<file path=xl/calcChain.xml><?xml version="1.0" encoding="utf-8"?>
<calcChain xmlns="http://schemas.openxmlformats.org/spreadsheetml/2006/main">
  <c r="C208" i="6" l="1"/>
  <c r="C31" i="9"/>
  <c r="C16" i="9"/>
  <c r="C30" i="9"/>
  <c r="B30" i="9"/>
  <c r="C15" i="9"/>
  <c r="C29" i="9" l="1"/>
  <c r="C32" i="9" s="1"/>
  <c r="C17" i="9"/>
  <c r="C14" i="9"/>
  <c r="C19" i="6" l="1"/>
  <c r="C176" i="6" l="1"/>
  <c r="C188" i="6"/>
  <c r="C187" i="6"/>
  <c r="C186" i="6"/>
  <c r="C185" i="6"/>
  <c r="C184" i="6"/>
  <c r="C183" i="6"/>
  <c r="C178" i="6"/>
  <c r="C177" i="6"/>
  <c r="C130" i="6"/>
  <c r="C128" i="6"/>
  <c r="C108" i="6"/>
  <c r="C106" i="6"/>
  <c r="C93" i="6"/>
  <c r="C100" i="6" s="1"/>
  <c r="D57" i="6"/>
  <c r="C97" i="6" s="1"/>
  <c r="C69" i="6"/>
  <c r="C98" i="6" s="1"/>
  <c r="E80" i="6"/>
  <c r="E79" i="6"/>
  <c r="E78" i="6"/>
  <c r="E77" i="6"/>
  <c r="E76" i="6"/>
  <c r="E75" i="6"/>
  <c r="E74" i="6"/>
  <c r="E73" i="6"/>
  <c r="C37" i="6"/>
  <c r="C110" i="6" s="1"/>
  <c r="C28" i="6"/>
  <c r="C139" i="6" s="1"/>
  <c r="C26" i="6"/>
  <c r="C121" i="6" s="1"/>
  <c r="C25" i="6"/>
  <c r="C105" i="6" s="1"/>
  <c r="C107" i="6" s="1"/>
  <c r="C109" i="6" s="1"/>
  <c r="C27" i="6"/>
  <c r="C127" i="6"/>
  <c r="C129" i="6" s="1"/>
  <c r="C131" i="6" s="1"/>
  <c r="C29" i="6"/>
  <c r="C147" i="6" s="1"/>
  <c r="C189" i="6"/>
  <c r="C190" i="6" s="1"/>
  <c r="C195" i="6" s="1"/>
  <c r="C111" i="6" l="1"/>
  <c r="C112" i="6" s="1"/>
  <c r="C120" i="6" s="1"/>
  <c r="C179" i="6"/>
  <c r="C122" i="6"/>
  <c r="C123" i="6" s="1"/>
  <c r="C145" i="6" s="1"/>
  <c r="C132" i="6"/>
  <c r="C133" i="6" s="1"/>
  <c r="C134" i="6" s="1"/>
  <c r="C138" i="6" s="1"/>
  <c r="C197" i="6"/>
  <c r="E81" i="6"/>
  <c r="C99" i="6" s="1"/>
  <c r="C101" i="6" s="1"/>
  <c r="C152" i="6" s="1"/>
  <c r="C198" i="6" l="1"/>
  <c r="C209" i="6" s="1"/>
  <c r="C194" i="6"/>
  <c r="C140" i="6"/>
  <c r="C141" i="6" s="1"/>
  <c r="C146" i="6" s="1"/>
  <c r="C148" i="6" s="1"/>
  <c r="C153" i="6" s="1"/>
  <c r="C154" i="6" s="1"/>
  <c r="C155" i="6" s="1"/>
  <c r="C204" i="6" l="1"/>
  <c r="C215" i="6"/>
</calcChain>
</file>

<file path=xl/sharedStrings.xml><?xml version="1.0" encoding="utf-8"?>
<sst xmlns="http://schemas.openxmlformats.org/spreadsheetml/2006/main" count="255" uniqueCount="181">
  <si>
    <t>N.V. RENDO</t>
  </si>
  <si>
    <t>η</t>
  </si>
  <si>
    <t xml:space="preserve">VR </t>
  </si>
  <si>
    <t>LVR</t>
  </si>
  <si>
    <t>LVT</t>
  </si>
  <si>
    <t>η ruimte</t>
  </si>
  <si>
    <t>η tap</t>
  </si>
  <si>
    <t>VT</t>
  </si>
  <si>
    <t>Liander N.V.</t>
  </si>
  <si>
    <t>CPI 2010</t>
  </si>
  <si>
    <t>CPI 2011</t>
  </si>
  <si>
    <t>CPI 2012</t>
  </si>
  <si>
    <t>CPI 2013</t>
  </si>
  <si>
    <t>Cogas Infra &amp; Beheer B.V.</t>
  </si>
  <si>
    <t>Endinet B.V.</t>
  </si>
  <si>
    <t>Enexis N.V.</t>
  </si>
  <si>
    <t>Stedin B.V.</t>
  </si>
  <si>
    <t xml:space="preserve">Westland Infra Netbeheer B.V. </t>
  </si>
  <si>
    <t>Bron: www.belastingdienst.nl</t>
  </si>
  <si>
    <t>Consumentenprijsindex (CPI)</t>
  </si>
  <si>
    <t>VR</t>
  </si>
  <si>
    <t>BTW 2009</t>
  </si>
  <si>
    <t>Algemene parameters</t>
  </si>
  <si>
    <t>Aanschafwaarde cv-ketel in</t>
  </si>
  <si>
    <t>Jaarlijkse onderhoudskosten cv ketel</t>
  </si>
  <si>
    <t>Aanschafwaarde warmtewisselaar</t>
  </si>
  <si>
    <t>Gemiddelde levensduur cv-ketel (in jaren)</t>
  </si>
  <si>
    <t>Gemiddelde resterende levensduur cv-ketel (in jaren)</t>
  </si>
  <si>
    <t>Gemiddelde levensduur warmtewisselaar (in jaren)</t>
  </si>
  <si>
    <t>Gemiddelde resterende levensduur warmtewisselaar (in jaren)</t>
  </si>
  <si>
    <t>Parameters voor de berekening van het verschil in gebruikskosten gas uit Warmteregeling (artikel 2)</t>
  </si>
  <si>
    <t>Parameters voor de berekening van de energetische waarde van aardgasgebruik in de gaswoning uit Warmteregeling (artikel 3)</t>
  </si>
  <si>
    <t>Jaarlijkse onderhoudskosten warmtewisselaar</t>
  </si>
  <si>
    <t>Meerkosten van elektrisch koken</t>
  </si>
  <si>
    <t>Bron: wet van 20 december 2012, houdende regels voor de opslag duurzame energie (Wet opslag duurzame energie).</t>
  </si>
  <si>
    <t>energie g</t>
  </si>
  <si>
    <t>Berekening van de energetische waarde van aardgasgebruik in de gaswoning (energie g) en het brandstofrendement van het warmteproces (η)</t>
  </si>
  <si>
    <t>Berekening van het variabele deel van de maximumprijs (Pw) zoals bedoeld in het Warmtebesluit (artikel 4)</t>
  </si>
  <si>
    <t>CVg: de bovenwaarde van de verbrandingswaarde van aardgas</t>
  </si>
  <si>
    <t>Algemene parameters en parameters uit Warmteregeling (artikel 2 en 3)</t>
  </si>
  <si>
    <t>Berekening van het vaste deel van de maximumprijs (VKw) zoals bedoeld in het Warmtebesluit (artikel 3)</t>
  </si>
  <si>
    <t>Bron: Warmtebesluit artikel 4, lid 1.</t>
  </si>
  <si>
    <t xml:space="preserve">Toelichting: in de praktijk is het gebruikelijk om de prijs af te ronden op 2 decimalen. Dat heeft hier ook plaatsgevonden. </t>
  </si>
  <si>
    <t>Ww staat voor het jaarverbruik van de warmteverbruiker, uitgedrukt in gigajoule.</t>
  </si>
  <si>
    <t>Waarbij:</t>
  </si>
  <si>
    <t>gigajoule.</t>
  </si>
  <si>
    <t>Waarden in € (prijspeil 2009) incl. BTW</t>
  </si>
  <si>
    <t>De waarden worden hier berekend excl. BTW. Aan het einde van de berekening wordt de BTW opgeteld.</t>
  </si>
  <si>
    <t>Eventuele nadere bronvermelding en/of toelichting.</t>
  </si>
  <si>
    <t>Toelichting: de kapitaalslasten worden berekend door de jaarlijkse afschrijving te vermeerderen met de vermogensvergoeding.</t>
  </si>
  <si>
    <t>De vermogensvergoeding wordt berekend door de resterende waarde van de cv-ketel te vermenigvuldigen met de reële vermogenskostenvoet.</t>
  </si>
  <si>
    <t>De vermogensvergoeding wordt berekend door de resterende waarde van de warmtewisselaar te vermenigvuldigen met de reële vermogenskostenvoet.</t>
  </si>
  <si>
    <t>Toelichting</t>
  </si>
  <si>
    <t>Legenda celkleuren</t>
  </si>
  <si>
    <t>Brondata</t>
  </si>
  <si>
    <t>Berekende waarde</t>
  </si>
  <si>
    <t>Bij deze berekening heeft ACM specifieke onderdelen van de berekening van een nadere bronmelding en/of een toelichting voorzien.</t>
  </si>
  <si>
    <t>Voorbeeld: kosten in een jaar voor een verbruiker met bovenstaande maximumprijs en jaarverbruik van:</t>
  </si>
  <si>
    <t xml:space="preserve"> </t>
  </si>
  <si>
    <t>Toelichting: de weging van de tarieven vindt plaats op basis van de door ACM vastgestelde rekenvolumes die corresponderen met deze tarieven.</t>
  </si>
  <si>
    <t xml:space="preserve">Toelichting: prijzen uit de Warmteregeling hebben prijspeil 2009. Voor latere jaren moeten deze gecorrigeerd worden voor de relatieve wijziging van de CPI (alle huishoudens). </t>
  </si>
  <si>
    <t xml:space="preserve">De CPI is berekend uit het quotiënt van deze prijsindex, gepubliceerd in de vierde maand voorafgaand aan het kalenderjaar waarvoor de maximumprijs geldt, en van deze prijsindex, </t>
  </si>
  <si>
    <t xml:space="preserve">gepubliceerd in de zestiende maand voorafgaande aan het kalenderjaar waarvoor de maximumprijs geldt, zoals deze maandelijks wordt vastgesteld door het Centraal Bureau voor de Statistiek.  </t>
  </si>
  <si>
    <t>Deze CPI wordt ook gebruikt in de Gaswet (zie artikel 81b).</t>
  </si>
  <si>
    <t>Waarde die zonder berekening wordt overgenomen uit een andere cel</t>
  </si>
  <si>
    <t>Berekende of overgenomen waarde en tevens resultaat</t>
  </si>
  <si>
    <t>BTW 2014</t>
  </si>
  <si>
    <t>Energiebelasting per m3 0-5000 m3 2014 in € excl. BTW</t>
  </si>
  <si>
    <t>Opslag duurzame energie per m3 0-170.000 m3 2014 in € excl. BTW</t>
  </si>
  <si>
    <t>CPI 2014</t>
  </si>
  <si>
    <t>1 + CPI 2010-2014</t>
  </si>
  <si>
    <t>Toelichting: met deze factor worden de waarden uit de Warmteregeling van prijspeil 2009 naar 2014 gezet.</t>
  </si>
  <si>
    <t>Waarden in € (prijspeil 2014) excl. BTW</t>
  </si>
  <si>
    <t>Toelichting: de waarden uit de Warmteregeling hebben referentieprijs 2009. Deze waarden zijn incl. BTW uit dat jaar, welke verschilt met de BTW voor het jaar 2014.</t>
  </si>
  <si>
    <t>Reële vermogenskostenvoet 2014</t>
  </si>
  <si>
    <t>Vaste G1-tarieven gaslevering 2014 éénjaarscontracten van 3 grootste Nederlandse gasleveranciers in € excl. BTW</t>
  </si>
  <si>
    <t>VKg onderdeel a: gemiddelde van de vaste G1-tarieven voor gaslevering 2014 in € excl. BTW</t>
  </si>
  <si>
    <t>Transportonafhankelijke verbruikerstarieven (TOVT) in € excl. BTW en bijbehorende rekenvolumes (RV) voor G6 aansluitingen 2014</t>
  </si>
  <si>
    <t>TOVT 2014 (€)</t>
  </si>
  <si>
    <t>RV TOVT 2014</t>
  </si>
  <si>
    <t xml:space="preserve">VKg onderdeel b: gewogen gemiddelde TOVT voor G6 aansluiting 2014 in € excl. BTW </t>
  </si>
  <si>
    <t>Transportafhankelijke verbruikerstarieven (TAVT) in € excl. BTW en bijbehorende rekenvolumes (RV) voor G6 aansluitingen 2014</t>
  </si>
  <si>
    <t>TAVT 2014 (€)</t>
  </si>
  <si>
    <t>TAVT 2014 G6 aansluiting</t>
  </si>
  <si>
    <t>RV TAVT 2014</t>
  </si>
  <si>
    <t xml:space="preserve">VKg onderdeel c: gewogen gemiddelde TAVT voor G6 2014 aansluiting in € excl. BTW </t>
  </si>
  <si>
    <t>Periodieke aansluittarieven (PA) in € excl. BTW en bijbehorende rekenvolumes (RV) voor G6 aansluitingen 2014</t>
  </si>
  <si>
    <t>PA 2014 (€)</t>
  </si>
  <si>
    <t>RV PA 2014</t>
  </si>
  <si>
    <t>VKg onderdeel d: gewogen gemiddelde PA voor G6 aansluiting 2014 in € excl. BTW</t>
  </si>
  <si>
    <t xml:space="preserve">VKg onderdeel c: gewogen gemiddelde TAVT voor G6 aansluiting 2014 in € excl. BTW </t>
  </si>
  <si>
    <t>VKg: jaarlijkse vaste kosten van transport, de levering en de aansluiting 2014 in € excl. BTW</t>
  </si>
  <si>
    <t>Aanschafwaarde cv-ketel 2014 in € excl. BTW</t>
  </si>
  <si>
    <t>Jaarlijkse afschrijvingslasten 2014 in € excl. BTW</t>
  </si>
  <si>
    <t>Gemiddelde restwaarde cv-ketel 2014 in € excl. BTW</t>
  </si>
  <si>
    <t>Reëele vermogenskostenvoet 2014</t>
  </si>
  <si>
    <t>Vermogensvergoeding 2014 in € excl. BTW</t>
  </si>
  <si>
    <t>GKg onderdeel a: kapitaalslasten cv-ketel 2014 in € excl. BTW</t>
  </si>
  <si>
    <t>GKg onderdeel c: gewogen gemiddelde meettarieven voor G6 aansluiting 2014 in € excl. BTW</t>
  </si>
  <si>
    <t>Berekenig van de gebruikskosten bij gas (GKg) 2014 in € excl. BTW</t>
  </si>
  <si>
    <t>GKg onderdeel a: kapitaalslasten cv-ketel  2014 in € excl. BTW</t>
  </si>
  <si>
    <t>GKg onderdeel b: jaarlijkse onderhoudskosten cv-ketel  2014 in € excl. BTW</t>
  </si>
  <si>
    <t>GKg: gebruikskosten bij gas 2014 in € excl. BTW</t>
  </si>
  <si>
    <t>Berekening kapitaalslasten van een warmtewisselaar 2014 in € excl. BTW</t>
  </si>
  <si>
    <t>Aanschafwaarde warmtewisselaar 2014 in € excl. BTW</t>
  </si>
  <si>
    <t>Gemiddelde restwaarde warmtewisselaar 2014 in € excl. BTW</t>
  </si>
  <si>
    <t>GKw onderdeel a: kapitaalslasten warmtewisselaar 2014 in € excl. BTW</t>
  </si>
  <si>
    <t>Berekenig van de gebruikskosten bij warmte (GKw) 2014 in € excl. BTW</t>
  </si>
  <si>
    <t>GKw onderdeel b: jaarlijkse onderhoudskosten warmtewisselaar 2014 in € excl. BTW</t>
  </si>
  <si>
    <t>GKw onderdeel c: gewogen gemiddelde meettarieven voor G6 aansluiting 2014 in € excl. BTW</t>
  </si>
  <si>
    <t>GKw: gebruikskosten bij warmte 2014 in € excl. BTW</t>
  </si>
  <si>
    <t>Berekening van het verschil in gebruikskosten (ΔGK) 2014 in € excl. BTW</t>
  </si>
  <si>
    <t>Ke: Meerkosten van elektrisch koken 2014 in € excl. BTW</t>
  </si>
  <si>
    <t>ΔGK: verschil in gebruikskosten 2014 in € excl BTW</t>
  </si>
  <si>
    <t>Berekening van de vaste kosten (VKw) 2014 in € incl. BTW</t>
  </si>
  <si>
    <t>VKw: vaste kosten 2014 in € excl. BTW</t>
  </si>
  <si>
    <t>VKw: vaste kosten 2014 in € incl. BTW</t>
  </si>
  <si>
    <t>Gebruiksafhankelijke G1-tarieven met vaste prijs gaslevering 2014 éénjaarscontracten van 3 grootste Nederlandse gasleveranciers in € per m3 excl. BTW</t>
  </si>
  <si>
    <t>Berekening gemiddelde gebruiksafhankelijke G1-tarief (Pg) 2014 in € per m3 excl. BTW</t>
  </si>
  <si>
    <t xml:space="preserve">Gemiddelde gebruiksafhankelijke G1-tarieven 2014 in € per m3 excl. energiebelasting en oplsag duurzame energie, en excl. BTW </t>
  </si>
  <si>
    <t>Pg: gemiddelde gebruiksafhankelijke G1-tarief 2014 in € per m3 excl. BTW</t>
  </si>
  <si>
    <t>Berekening van de variabele kosten van de maximumprijs (Pw) 2014 in € per gigajoule incl. BTW</t>
  </si>
  <si>
    <t>Pg: gemiddelde gebruiksafhankelijke G1-tarief 2014 in € excl. BTW</t>
  </si>
  <si>
    <t>Pw: variable kosten 2014 in € per gigajoule excl. BTW</t>
  </si>
  <si>
    <t>Pw: variable kosten 2014 in € per gigajoule incl. BTW</t>
  </si>
  <si>
    <t>Maximumprijs 2014 (Pmaxw)</t>
  </si>
  <si>
    <t>Maximumprijs 2014 (Pmaxw in € incl. BTW)</t>
  </si>
  <si>
    <t>Voorbeeldberekening warmtekosten 2014</t>
  </si>
  <si>
    <t>Berekening kapitaalslasten van een cv-ketel 2014 in € excl. BTW</t>
  </si>
  <si>
    <t>Berekenig van de jaarlijkse vaste kosten van transport, de levering en de aansluiting 2014 in € excl. BTW (VKg)</t>
  </si>
  <si>
    <t>Productnaam</t>
  </si>
  <si>
    <t>Eneco</t>
  </si>
  <si>
    <t>Essent</t>
  </si>
  <si>
    <t>Nuon</t>
  </si>
  <si>
    <t>Een weging levert in dit geval hetzelfde op als het meettarief gas van een willekeurige regionale netbeheerder.</t>
  </si>
  <si>
    <t xml:space="preserve">Toelichting: Voor het jaar 2014 past ACM geen weging toe op de meettarieven gas van de regionale netbeheerders. Dit komt omdat de meettarieven identiek zijn. </t>
  </si>
  <si>
    <t>Meettarief in € excl. BTW voor G6 aansluitingen 2014</t>
  </si>
  <si>
    <t>Bron: Tariefbesluiten gas 2014, www.acm.nl.</t>
  </si>
  <si>
    <t>Bron rekencapaciteit: Tarievencode Gas, www.acm.nl.</t>
  </si>
  <si>
    <t>Eneco AardGas 1 jaar</t>
  </si>
  <si>
    <t>VastePrijsGas 1 jaar</t>
  </si>
  <si>
    <t>ZHG Gas 1 jr</t>
  </si>
  <si>
    <t>Regio 1</t>
  </si>
  <si>
    <t>Regio 2</t>
  </si>
  <si>
    <t>Regio 3</t>
  </si>
  <si>
    <t>Regio 4</t>
  </si>
  <si>
    <t>Regio 5</t>
  </si>
  <si>
    <t>Regio 6</t>
  </si>
  <si>
    <t>Regio 7</t>
  </si>
  <si>
    <t>Regio 8</t>
  </si>
  <si>
    <t>Regio 9</t>
  </si>
  <si>
    <t>Regio 10</t>
  </si>
  <si>
    <t>Totale kosten warmte in 2014 met ingevulde jaarverbruik in € incl. BTW.</t>
  </si>
  <si>
    <t>Eenmalige aansluitvergoeding t/m 25 meter (EAV) in € excl. BTW en bijbehorende rekenvolumes (RV) voor G6 aansluitingen 2014</t>
  </si>
  <si>
    <t>EAV 2014 (€)</t>
  </si>
  <si>
    <t>Gewogen gemiddelde EAV in € excl. BTW voor G6 aansluitingen 2014</t>
  </si>
  <si>
    <t>Gewogen gemiddelde EAV in € incl. BTW voor G6 aansluitingen 2014</t>
  </si>
  <si>
    <t>RV EAV 2014</t>
  </si>
  <si>
    <t xml:space="preserve">Maximale eenmalige aansluitbijdrage t/m 25 meter op een bestaand warmtenet in € incl. BTW </t>
  </si>
  <si>
    <t>Meerlengtevergoeding per meter lengte &gt; 25 (MV) in € excl. BTW en bijbehorende rekenvolumes (RV) voor G6 aansluitingen 2014</t>
  </si>
  <si>
    <t>MV 2014 (€)</t>
  </si>
  <si>
    <t>RV MV 2014</t>
  </si>
  <si>
    <t>Gewogen gemiddelde MV in € excl. BTW voor G6 aansluitingen 2014</t>
  </si>
  <si>
    <t>Gewogen gemiddelde MV in € incl. BTW voor G6 aansluitingen 2014</t>
  </si>
  <si>
    <t>Berekening van de maximale eenmalige aansluitbijdrage op een bestaand warmtenet zoals bedoeld in het Warmtebesluit (artikel 5)</t>
  </si>
  <si>
    <t>Toelichting: de weging van de tarieven vindt plaats op basis van de door ACM vastgestelde rekenvolumes die corresponderen met de vastgestelde tarieven.</t>
  </si>
  <si>
    <t>Bron: www.belastingdienst.nl. Heffingsrente wordt sinds 1 januari 2013 belastingrente genoemd. De belastingrente volgt de wettelijke rente voor niet-handelstransacties. Deze is per 1 juli 2012 ongewijzigd en staat op 3%.</t>
  </si>
  <si>
    <t>Laatst bekende heffingsrente (=belastingrente)</t>
  </si>
  <si>
    <t>Toelichting: de reële vermogenskostenvoet wordt berekend met de formule: (1 + heffingsrente) / (1+CPI 2014) -1.</t>
  </si>
  <si>
    <r>
      <t>Dit Excel-bestand bevat het model waarmee de maximumprijs en de aansluitbijdrage door ACM is berekend volgens het Warmtebesluit voor het jaar 2014. De berekening is conform het besluit met kenmerk ACM/DE/2013/206623</t>
    </r>
    <r>
      <rPr>
        <sz val="10"/>
        <rFont val="Arial"/>
        <family val="2"/>
      </rPr>
      <t xml:space="preserve">. </t>
    </r>
  </si>
  <si>
    <r>
      <t xml:space="preserve">Maximale eenmalige aansluitbijdrage </t>
    </r>
    <r>
      <rPr>
        <b/>
        <u/>
        <sz val="10"/>
        <rFont val="Arial"/>
        <family val="2"/>
      </rPr>
      <t>per meter</t>
    </r>
    <r>
      <rPr>
        <b/>
        <sz val="10"/>
        <rFont val="Arial"/>
        <family val="2"/>
      </rPr>
      <t xml:space="preserve"> op een bestaand warmtenet voor zover de aansluitlengte langer is dan 25 meter op een bestaand warmtenet in € incl. BTW </t>
    </r>
  </si>
  <si>
    <t xml:space="preserve">Toelichting: de weging van de tarieven vindt plaats op basis van de door ACM vastgestelde rekenvolumes die corresponderen met deze tarieven. </t>
  </si>
  <si>
    <t>Reken-capaciteit G6 aansluiting</t>
  </si>
  <si>
    <t xml:space="preserve">Bron Meettarief 2014: www.acm.nl. Besluit van 29 november 2013 met kenmerk ACM/DE/2013/206088. </t>
  </si>
  <si>
    <t>Eneco Retail B.V. (hierna: Eneco)</t>
  </si>
  <si>
    <t>Essent Retail Energie B.V. (hierna: Essent)</t>
  </si>
  <si>
    <t>N.V. Nuon Sales Nederland (hierna: Nuon)</t>
  </si>
  <si>
    <t>Bron: Gegevens die door ACM zijn ontvangen van gasleveranciers in het kader van artikel 44, tweede lid van de Gaswet.</t>
  </si>
  <si>
    <t xml:space="preserve">Toelichting: in de praktijk is het gebruikelijk om de prijs af te ronden op 2 decimaal. Dat heeft hier ook plaatsgevonden. </t>
  </si>
  <si>
    <t>Bron: www.overheid.nl</t>
  </si>
  <si>
    <t>DELTA Netwerkbedrijven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</si>
</sst>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_-* #,##0.0_-;_-* #,##0.0\-;_-* &quot;-&quot;??_-;_-@_-"/>
    <numFmt numFmtId="168" formatCode="0.00000"/>
    <numFmt numFmtId="169" formatCode="0.0000"/>
    <numFmt numFmtId="170" formatCode="0.0"/>
    <numFmt numFmtId="171" formatCode="0.0%"/>
  </numFmts>
  <fonts count="1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5"/>
      <color theme="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66">
    <xf numFmtId="0" fontId="0" fillId="0" borderId="0" xfId="0"/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left" vertical="center" wrapText="1"/>
    </xf>
    <xf numFmtId="166" fontId="2" fillId="0" borderId="0" xfId="1" applyNumberFormat="1" applyFont="1" applyBorder="1"/>
    <xf numFmtId="2" fontId="2" fillId="0" borderId="0" xfId="1" applyNumberFormat="1" applyFont="1" applyFill="1" applyBorder="1"/>
    <xf numFmtId="0" fontId="6" fillId="0" borderId="0" xfId="1" applyFont="1" applyBorder="1"/>
    <xf numFmtId="0" fontId="2" fillId="0" borderId="0" xfId="1" applyFont="1" applyFill="1" applyBorder="1"/>
    <xf numFmtId="0" fontId="5" fillId="0" borderId="0" xfId="1" applyFont="1"/>
    <xf numFmtId="0" fontId="5" fillId="0" borderId="0" xfId="1" applyFont="1" applyBorder="1"/>
    <xf numFmtId="167" fontId="2" fillId="0" borderId="0" xfId="3" applyNumberFormat="1" applyFont="1" applyFill="1" applyBorder="1"/>
    <xf numFmtId="0" fontId="5" fillId="0" borderId="0" xfId="1" applyFont="1" applyFill="1" applyBorder="1"/>
    <xf numFmtId="2" fontId="5" fillId="0" borderId="0" xfId="1" applyNumberFormat="1" applyFont="1" applyFill="1" applyBorder="1"/>
    <xf numFmtId="0" fontId="5" fillId="0" borderId="0" xfId="1" applyFont="1" applyFill="1"/>
    <xf numFmtId="0" fontId="2" fillId="0" borderId="0" xfId="1" applyFont="1" applyFill="1"/>
    <xf numFmtId="0" fontId="5" fillId="0" borderId="1" xfId="1" applyFont="1" applyBorder="1"/>
    <xf numFmtId="0" fontId="5" fillId="0" borderId="2" xfId="1" applyFont="1" applyBorder="1"/>
    <xf numFmtId="169" fontId="5" fillId="0" borderId="0" xfId="1" applyNumberFormat="1" applyFont="1" applyFill="1" applyBorder="1"/>
    <xf numFmtId="0" fontId="7" fillId="0" borderId="0" xfId="1" applyFont="1" applyBorder="1"/>
    <xf numFmtId="2" fontId="7" fillId="0" borderId="0" xfId="1" applyNumberFormat="1" applyFont="1" applyFill="1"/>
    <xf numFmtId="1" fontId="5" fillId="0" borderId="0" xfId="1" applyNumberFormat="1" applyFont="1" applyFill="1" applyBorder="1"/>
    <xf numFmtId="166" fontId="2" fillId="0" borderId="0" xfId="1" applyNumberFormat="1" applyFont="1" applyBorder="1" applyAlignment="1">
      <alignment vertical="center"/>
    </xf>
    <xf numFmtId="0" fontId="5" fillId="0" borderId="0" xfId="1" applyFont="1" applyBorder="1" applyAlignment="1"/>
    <xf numFmtId="1" fontId="2" fillId="2" borderId="0" xfId="1" applyNumberFormat="1" applyFont="1" applyFill="1" applyBorder="1"/>
    <xf numFmtId="2" fontId="2" fillId="3" borderId="0" xfId="1" applyNumberFormat="1" applyFont="1" applyFill="1" applyBorder="1"/>
    <xf numFmtId="2" fontId="5" fillId="3" borderId="0" xfId="1" applyNumberFormat="1" applyFont="1" applyFill="1" applyBorder="1"/>
    <xf numFmtId="1" fontId="5" fillId="4" borderId="0" xfId="1" applyNumberFormat="1" applyFont="1" applyFill="1" applyBorder="1"/>
    <xf numFmtId="0" fontId="5" fillId="0" borderId="2" xfId="1" applyFont="1" applyBorder="1" applyAlignment="1"/>
    <xf numFmtId="2" fontId="5" fillId="3" borderId="1" xfId="1" applyNumberFormat="1" applyFont="1" applyFill="1" applyBorder="1"/>
    <xf numFmtId="0" fontId="5" fillId="0" borderId="1" xfId="1" applyFont="1" applyBorder="1" applyAlignment="1"/>
    <xf numFmtId="0" fontId="5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" fillId="0" borderId="0" xfId="1" applyFont="1" applyBorder="1"/>
    <xf numFmtId="0" fontId="2" fillId="0" borderId="2" xfId="1" applyFont="1" applyBorder="1"/>
    <xf numFmtId="0" fontId="2" fillId="0" borderId="1" xfId="1" applyFont="1" applyBorder="1"/>
    <xf numFmtId="0" fontId="2" fillId="0" borderId="3" xfId="1" applyFont="1" applyBorder="1"/>
    <xf numFmtId="10" fontId="5" fillId="3" borderId="0" xfId="4" applyNumberFormat="1" applyFont="1" applyFill="1" applyBorder="1"/>
    <xf numFmtId="0" fontId="5" fillId="0" borderId="3" xfId="1" applyFont="1" applyBorder="1"/>
    <xf numFmtId="169" fontId="2" fillId="3" borderId="0" xfId="1" applyNumberFormat="1" applyFont="1" applyFill="1" applyBorder="1"/>
    <xf numFmtId="0" fontId="5" fillId="2" borderId="0" xfId="1" applyFont="1" applyFill="1" applyBorder="1"/>
    <xf numFmtId="0" fontId="9" fillId="0" borderId="1" xfId="1" applyFont="1" applyFill="1" applyBorder="1"/>
    <xf numFmtId="0" fontId="4" fillId="0" borderId="1" xfId="1" applyFont="1" applyBorder="1"/>
    <xf numFmtId="0" fontId="9" fillId="0" borderId="1" xfId="1" applyFont="1" applyBorder="1"/>
    <xf numFmtId="0" fontId="2" fillId="0" borderId="0" xfId="0" applyFont="1"/>
    <xf numFmtId="169" fontId="2" fillId="2" borderId="0" xfId="1" applyNumberFormat="1" applyFont="1" applyFill="1" applyBorder="1"/>
    <xf numFmtId="2" fontId="2" fillId="2" borderId="0" xfId="1" applyNumberFormat="1" applyFont="1" applyFill="1" applyBorder="1"/>
    <xf numFmtId="9" fontId="2" fillId="2" borderId="0" xfId="4" applyFont="1" applyFill="1" applyBorder="1"/>
    <xf numFmtId="2" fontId="2" fillId="2" borderId="0" xfId="3" applyNumberFormat="1" applyFont="1" applyFill="1" applyBorder="1"/>
    <xf numFmtId="0" fontId="5" fillId="5" borderId="0" xfId="1" applyFont="1" applyFill="1"/>
    <xf numFmtId="166" fontId="2" fillId="0" borderId="1" xfId="1" applyNumberFormat="1" applyFont="1" applyFill="1" applyBorder="1" applyAlignment="1">
      <alignment vertical="center"/>
    </xf>
    <xf numFmtId="1" fontId="2" fillId="2" borderId="1" xfId="1" applyNumberFormat="1" applyFont="1" applyFill="1" applyBorder="1"/>
    <xf numFmtId="2" fontId="2" fillId="2" borderId="1" xfId="1" applyNumberFormat="1" applyFont="1" applyFill="1" applyBorder="1"/>
    <xf numFmtId="167" fontId="4" fillId="0" borderId="1" xfId="3" applyNumberFormat="1" applyFont="1" applyFill="1" applyBorder="1"/>
    <xf numFmtId="170" fontId="5" fillId="4" borderId="0" xfId="1" applyNumberFormat="1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13" fillId="0" borderId="0" xfId="0" applyFont="1" applyBorder="1"/>
    <xf numFmtId="166" fontId="4" fillId="0" borderId="0" xfId="1" applyNumberFormat="1" applyFont="1" applyBorder="1"/>
    <xf numFmtId="0" fontId="5" fillId="0" borderId="1" xfId="1" applyFont="1" applyFill="1" applyBorder="1"/>
    <xf numFmtId="0" fontId="2" fillId="0" borderId="3" xfId="0" applyFont="1" applyBorder="1"/>
    <xf numFmtId="0" fontId="5" fillId="2" borderId="1" xfId="1" applyFont="1" applyFill="1" applyBorder="1"/>
    <xf numFmtId="2" fontId="2" fillId="2" borderId="2" xfId="1" applyNumberFormat="1" applyFont="1" applyFill="1" applyBorder="1"/>
    <xf numFmtId="2" fontId="5" fillId="2" borderId="0" xfId="1" applyNumberFormat="1" applyFont="1" applyFill="1" applyBorder="1"/>
    <xf numFmtId="2" fontId="2" fillId="7" borderId="2" xfId="1" applyNumberFormat="1" applyFont="1" applyFill="1" applyBorder="1"/>
    <xf numFmtId="2" fontId="2" fillId="7" borderId="0" xfId="1" applyNumberFormat="1" applyFont="1" applyFill="1" applyBorder="1"/>
    <xf numFmtId="2" fontId="2" fillId="7" borderId="1" xfId="1" applyNumberFormat="1" applyFont="1" applyFill="1" applyBorder="1"/>
    <xf numFmtId="10" fontId="2" fillId="2" borderId="2" xfId="4" applyNumberFormat="1" applyFont="1" applyFill="1" applyBorder="1"/>
    <xf numFmtId="10" fontId="2" fillId="7" borderId="1" xfId="4" applyNumberFormat="1" applyFont="1" applyFill="1" applyBorder="1"/>
    <xf numFmtId="2" fontId="2" fillId="2" borderId="1" xfId="3" applyNumberFormat="1" applyFont="1" applyFill="1" applyBorder="1"/>
    <xf numFmtId="0" fontId="11" fillId="0" borderId="0" xfId="0" applyFont="1"/>
    <xf numFmtId="0" fontId="9" fillId="0" borderId="1" xfId="1" applyFont="1" applyBorder="1" applyAlignment="1">
      <alignment wrapText="1"/>
    </xf>
    <xf numFmtId="0" fontId="9" fillId="0" borderId="3" xfId="1" applyFont="1" applyBorder="1" applyAlignment="1">
      <alignment wrapText="1"/>
    </xf>
    <xf numFmtId="1" fontId="4" fillId="0" borderId="3" xfId="1" applyNumberFormat="1" applyFont="1" applyFill="1" applyBorder="1"/>
    <xf numFmtId="3" fontId="2" fillId="2" borderId="0" xfId="1" applyNumberFormat="1" applyFont="1" applyFill="1" applyBorder="1"/>
    <xf numFmtId="3" fontId="2" fillId="2" borderId="1" xfId="1" applyNumberFormat="1" applyFont="1" applyFill="1" applyBorder="1"/>
    <xf numFmtId="3" fontId="2" fillId="2" borderId="2" xfId="1" applyNumberFormat="1" applyFont="1" applyFill="1" applyBorder="1"/>
    <xf numFmtId="2" fontId="2" fillId="7" borderId="0" xfId="1" applyNumberFormat="1" applyFont="1" applyFill="1" applyBorder="1" applyAlignment="1">
      <alignment vertical="center"/>
    </xf>
    <xf numFmtId="2" fontId="2" fillId="7" borderId="0" xfId="0" applyNumberFormat="1" applyFont="1" applyFill="1"/>
    <xf numFmtId="2" fontId="2" fillId="7" borderId="1" xfId="0" applyNumberFormat="1" applyFont="1" applyFill="1" applyBorder="1"/>
    <xf numFmtId="2" fontId="5" fillId="8" borderId="1" xfId="1" applyNumberFormat="1" applyFont="1" applyFill="1" applyBorder="1"/>
    <xf numFmtId="0" fontId="4" fillId="0" borderId="1" xfId="0" applyFont="1" applyBorder="1"/>
    <xf numFmtId="2" fontId="5" fillId="8" borderId="2" xfId="1" applyNumberFormat="1" applyFont="1" applyFill="1" applyBorder="1"/>
    <xf numFmtId="0" fontId="5" fillId="0" borderId="2" xfId="1" applyFont="1" applyBorder="1" applyAlignment="1">
      <alignment wrapText="1"/>
    </xf>
    <xf numFmtId="2" fontId="5" fillId="8" borderId="0" xfId="1" applyNumberFormat="1" applyFont="1" applyFill="1" applyBorder="1"/>
    <xf numFmtId="0" fontId="2" fillId="0" borderId="0" xfId="1" applyFont="1" applyBorder="1" applyAlignment="1">
      <alignment wrapText="1"/>
    </xf>
    <xf numFmtId="169" fontId="2" fillId="7" borderId="0" xfId="1" applyNumberFormat="1" applyFont="1" applyFill="1" applyBorder="1"/>
    <xf numFmtId="169" fontId="2" fillId="8" borderId="0" xfId="1" applyNumberFormat="1" applyFont="1" applyFill="1" applyBorder="1"/>
    <xf numFmtId="169" fontId="2" fillId="8" borderId="1" xfId="1" applyNumberFormat="1" applyFont="1" applyFill="1" applyBorder="1"/>
    <xf numFmtId="2" fontId="2" fillId="4" borderId="2" xfId="3" applyNumberFormat="1" applyFont="1" applyFill="1" applyBorder="1"/>
    <xf numFmtId="2" fontId="2" fillId="4" borderId="0" xfId="3" applyNumberFormat="1" applyFont="1" applyFill="1" applyBorder="1"/>
    <xf numFmtId="2" fontId="2" fillId="4" borderId="1" xfId="3" applyNumberFormat="1" applyFont="1" applyFill="1" applyBorder="1"/>
    <xf numFmtId="166" fontId="5" fillId="7" borderId="2" xfId="1" applyNumberFormat="1" applyFont="1" applyFill="1" applyBorder="1"/>
    <xf numFmtId="166" fontId="2" fillId="7" borderId="0" xfId="4" applyNumberFormat="1" applyFont="1" applyFill="1" applyBorder="1"/>
    <xf numFmtId="0" fontId="4" fillId="0" borderId="0" xfId="1" applyFont="1" applyBorder="1" applyAlignment="1">
      <alignment wrapText="1"/>
    </xf>
    <xf numFmtId="168" fontId="2" fillId="2" borderId="1" xfId="1" applyNumberFormat="1" applyFont="1" applyFill="1" applyBorder="1"/>
    <xf numFmtId="0" fontId="5" fillId="9" borderId="0" xfId="1" applyFont="1" applyFill="1"/>
    <xf numFmtId="0" fontId="2" fillId="9" borderId="0" xfId="0" applyFont="1" applyFill="1"/>
    <xf numFmtId="0" fontId="13" fillId="9" borderId="0" xfId="0" applyFont="1" applyFill="1"/>
    <xf numFmtId="0" fontId="4" fillId="9" borderId="0" xfId="1" applyFont="1" applyFill="1"/>
    <xf numFmtId="0" fontId="7" fillId="9" borderId="0" xfId="1" applyFont="1" applyFill="1" applyBorder="1"/>
    <xf numFmtId="0" fontId="2" fillId="9" borderId="0" xfId="1" applyFont="1" applyFill="1" applyBorder="1"/>
    <xf numFmtId="0" fontId="13" fillId="9" borderId="0" xfId="0" applyFont="1" applyFill="1" applyBorder="1"/>
    <xf numFmtId="0" fontId="2" fillId="9" borderId="0" xfId="0" applyFont="1" applyFill="1" applyBorder="1"/>
    <xf numFmtId="0" fontId="2" fillId="9" borderId="0" xfId="1" applyFont="1" applyFill="1"/>
    <xf numFmtId="2" fontId="2" fillId="9" borderId="0" xfId="1" applyNumberFormat="1" applyFont="1" applyFill="1" applyBorder="1"/>
    <xf numFmtId="0" fontId="5" fillId="9" borderId="0" xfId="1" applyFont="1" applyFill="1" applyBorder="1"/>
    <xf numFmtId="2" fontId="5" fillId="9" borderId="0" xfId="1" applyNumberFormat="1" applyFont="1" applyFill="1" applyBorder="1"/>
    <xf numFmtId="2" fontId="5" fillId="9" borderId="0" xfId="1" applyNumberFormat="1" applyFont="1" applyFill="1"/>
    <xf numFmtId="2" fontId="7" fillId="9" borderId="0" xfId="1" applyNumberFormat="1" applyFont="1" applyFill="1" applyBorder="1"/>
    <xf numFmtId="0" fontId="5" fillId="10" borderId="3" xfId="1" applyFont="1" applyFill="1" applyBorder="1"/>
    <xf numFmtId="0" fontId="8" fillId="10" borderId="3" xfId="1" applyFont="1" applyFill="1" applyBorder="1"/>
    <xf numFmtId="0" fontId="14" fillId="0" borderId="0" xfId="1" applyFont="1" applyBorder="1"/>
    <xf numFmtId="0" fontId="15" fillId="0" borderId="0" xfId="0" applyFont="1"/>
    <xf numFmtId="0" fontId="15" fillId="0" borderId="0" xfId="1" applyFont="1" applyBorder="1"/>
    <xf numFmtId="0" fontId="6" fillId="0" borderId="0" xfId="0" applyFont="1"/>
    <xf numFmtId="0" fontId="15" fillId="0" borderId="0" xfId="0" applyFont="1" applyBorder="1"/>
    <xf numFmtId="0" fontId="15" fillId="0" borderId="0" xfId="1" applyFont="1" applyFill="1"/>
    <xf numFmtId="0" fontId="16" fillId="10" borderId="3" xfId="1" applyFont="1" applyFill="1" applyBorder="1"/>
    <xf numFmtId="0" fontId="15" fillId="0" borderId="0" xfId="1" applyFont="1"/>
    <xf numFmtId="167" fontId="2" fillId="0" borderId="1" xfId="3" applyNumberFormat="1" applyFont="1" applyFill="1" applyBorder="1"/>
    <xf numFmtId="169" fontId="2" fillId="2" borderId="1" xfId="1" applyNumberFormat="1" applyFont="1" applyFill="1" applyBorder="1"/>
    <xf numFmtId="169" fontId="5" fillId="0" borderId="1" xfId="1" applyNumberFormat="1" applyFont="1" applyFill="1" applyBorder="1"/>
    <xf numFmtId="2" fontId="2" fillId="8" borderId="0" xfId="1" applyNumberFormat="1" applyFont="1" applyFill="1" applyBorder="1" applyAlignment="1">
      <alignment vertical="center"/>
    </xf>
    <xf numFmtId="2" fontId="2" fillId="8" borderId="1" xfId="1" applyNumberFormat="1" applyFont="1" applyFill="1" applyBorder="1" applyAlignment="1">
      <alignment vertical="center"/>
    </xf>
    <xf numFmtId="2" fontId="5" fillId="11" borderId="0" xfId="1" applyNumberFormat="1" applyFont="1" applyFill="1" applyBorder="1"/>
    <xf numFmtId="2" fontId="5" fillId="7" borderId="0" xfId="1" applyNumberFormat="1" applyFont="1" applyFill="1" applyBorder="1"/>
    <xf numFmtId="2" fontId="2" fillId="11" borderId="0" xfId="1" applyNumberFormat="1" applyFont="1" applyFill="1" applyBorder="1"/>
    <xf numFmtId="2" fontId="2" fillId="11" borderId="2" xfId="1" applyNumberFormat="1" applyFont="1" applyFill="1" applyBorder="1"/>
    <xf numFmtId="2" fontId="2" fillId="11" borderId="0" xfId="0" applyNumberFormat="1" applyFont="1" applyFill="1"/>
    <xf numFmtId="171" fontId="2" fillId="2" borderId="0" xfId="4" applyNumberFormat="1" applyFont="1" applyFill="1"/>
    <xf numFmtId="171" fontId="2" fillId="2" borderId="1" xfId="4" applyNumberFormat="1" applyFont="1" applyFill="1" applyBorder="1"/>
    <xf numFmtId="0" fontId="15" fillId="0" borderId="4" xfId="1" applyFont="1" applyBorder="1"/>
    <xf numFmtId="0" fontId="15" fillId="0" borderId="5" xfId="1" applyFont="1" applyBorder="1"/>
    <xf numFmtId="0" fontId="15" fillId="0" borderId="6" xfId="1" applyFont="1" applyBorder="1"/>
    <xf numFmtId="0" fontId="15" fillId="0" borderId="7" xfId="1" applyFont="1" applyBorder="1" applyAlignment="1">
      <alignment wrapText="1"/>
    </xf>
    <xf numFmtId="0" fontId="15" fillId="0" borderId="4" xfId="0" applyFont="1" applyBorder="1"/>
    <xf numFmtId="0" fontId="15" fillId="0" borderId="6" xfId="0" applyFont="1" applyBorder="1"/>
    <xf numFmtId="0" fontId="2" fillId="11" borderId="3" xfId="0" applyFont="1" applyFill="1" applyBorder="1" applyAlignment="1">
      <alignment horizontal="right"/>
    </xf>
    <xf numFmtId="2" fontId="2" fillId="11" borderId="0" xfId="0" applyNumberFormat="1" applyFont="1" applyFill="1" applyBorder="1"/>
    <xf numFmtId="0" fontId="6" fillId="0" borderId="4" xfId="0" applyFont="1" applyBorder="1"/>
    <xf numFmtId="0" fontId="6" fillId="0" borderId="6" xfId="0" applyFont="1" applyBorder="1"/>
    <xf numFmtId="0" fontId="0" fillId="9" borderId="0" xfId="0" applyFill="1"/>
    <xf numFmtId="0" fontId="5" fillId="5" borderId="0" xfId="5" applyFont="1" applyFill="1"/>
    <xf numFmtId="0" fontId="5" fillId="5" borderId="0" xfId="5" applyFont="1" applyFill="1" applyBorder="1"/>
    <xf numFmtId="0" fontId="2" fillId="5" borderId="0" xfId="5" applyFont="1" applyFill="1" applyBorder="1"/>
    <xf numFmtId="0" fontId="2" fillId="2" borderId="7" xfId="5" applyFont="1" applyFill="1" applyBorder="1"/>
    <xf numFmtId="0" fontId="2" fillId="3" borderId="7" xfId="5" applyFont="1" applyFill="1" applyBorder="1"/>
    <xf numFmtId="0" fontId="2" fillId="6" borderId="7" xfId="5" applyFont="1" applyFill="1" applyBorder="1"/>
    <xf numFmtId="0" fontId="2" fillId="5" borderId="0" xfId="5" applyFont="1" applyFill="1" applyBorder="1" applyAlignment="1">
      <alignment wrapText="1"/>
    </xf>
    <xf numFmtId="2" fontId="2" fillId="12" borderId="0" xfId="0" applyNumberFormat="1" applyFont="1" applyFill="1"/>
    <xf numFmtId="0" fontId="9" fillId="0" borderId="1" xfId="1" applyFont="1" applyFill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4" fillId="0" borderId="3" xfId="1" applyFont="1" applyBorder="1"/>
    <xf numFmtId="169" fontId="2" fillId="8" borderId="2" xfId="1" applyNumberFormat="1" applyFont="1" applyFill="1" applyBorder="1"/>
    <xf numFmtId="0" fontId="2" fillId="4" borderId="7" xfId="5" applyFont="1" applyFill="1" applyBorder="1"/>
    <xf numFmtId="171" fontId="2" fillId="2" borderId="0" xfId="4" applyNumberFormat="1" applyFont="1" applyFill="1" applyBorder="1"/>
    <xf numFmtId="0" fontId="17" fillId="0" borderId="0" xfId="0" applyFont="1"/>
    <xf numFmtId="0" fontId="4" fillId="9" borderId="3" xfId="1" applyFont="1" applyFill="1" applyBorder="1"/>
    <xf numFmtId="0" fontId="2" fillId="0" borderId="1" xfId="1" applyFont="1" applyFill="1" applyBorder="1"/>
    <xf numFmtId="169" fontId="2" fillId="12" borderId="0" xfId="1" applyNumberFormat="1" applyFont="1" applyFill="1" applyBorder="1"/>
    <xf numFmtId="2" fontId="2" fillId="7" borderId="1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 wrapText="1"/>
    </xf>
    <xf numFmtId="2" fontId="4" fillId="11" borderId="0" xfId="0" applyNumberFormat="1" applyFont="1" applyFill="1" applyBorder="1"/>
    <xf numFmtId="0" fontId="8" fillId="10" borderId="3" xfId="1" applyFont="1" applyFill="1" applyBorder="1" applyAlignment="1">
      <alignment wrapText="1"/>
    </xf>
    <xf numFmtId="9" fontId="2" fillId="8" borderId="0" xfId="4" applyFont="1" applyFill="1" applyBorder="1" applyAlignment="1">
      <alignment vertical="center"/>
    </xf>
  </cellXfs>
  <cellStyles count="6">
    <cellStyle name="_x000d__x000a_JournalTemplate=C:\COMFO\CTALK\JOURSTD.TPL_x000d__x000a_LbStateAddress=3 3 0 251 1 89 2 311_x000d__x000a_LbStateJou" xfId="1"/>
    <cellStyle name="Euro" xfId="2"/>
    <cellStyle name="Komma" xfId="3" builtinId="3"/>
    <cellStyle name="Procent" xfId="4" builtinId="5"/>
    <cellStyle name="Standaard" xfId="0" builtinId="0"/>
    <cellStyle name="Standaard_20100727 Rekenmodel NE5R v1.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3.7109375" style="141" customWidth="1"/>
    <col min="2" max="2" width="131.140625" style="141" customWidth="1"/>
    <col min="3" max="3" width="9.140625" style="141"/>
    <col min="4" max="4" width="23.28515625" style="141" bestFit="1" customWidth="1"/>
    <col min="5" max="6" width="9.140625" style="141"/>
    <col min="7" max="7" width="10.7109375" style="141" customWidth="1"/>
    <col min="8" max="8" width="11.5703125" style="141" customWidth="1"/>
    <col min="9" max="16384" width="9.140625" style="141"/>
  </cols>
  <sheetData>
    <row r="1" spans="1:2" x14ac:dyDescent="0.2">
      <c r="A1" s="142"/>
      <c r="B1" s="142"/>
    </row>
    <row r="2" spans="1:2" ht="19.5" x14ac:dyDescent="0.3">
      <c r="A2" s="110"/>
      <c r="B2" s="110" t="s">
        <v>52</v>
      </c>
    </row>
    <row r="3" spans="1:2" x14ac:dyDescent="0.2">
      <c r="A3" s="142"/>
      <c r="B3" s="142"/>
    </row>
    <row r="4" spans="1:2" ht="25.5" x14ac:dyDescent="0.2">
      <c r="A4" s="143"/>
      <c r="B4" s="148" t="s">
        <v>169</v>
      </c>
    </row>
    <row r="5" spans="1:2" x14ac:dyDescent="0.2">
      <c r="A5" s="143"/>
      <c r="B5" s="144"/>
    </row>
    <row r="6" spans="1:2" x14ac:dyDescent="0.2">
      <c r="A6" s="143"/>
      <c r="B6" s="144" t="s">
        <v>56</v>
      </c>
    </row>
    <row r="7" spans="1:2" x14ac:dyDescent="0.2">
      <c r="A7" s="143"/>
      <c r="B7" s="144"/>
    </row>
    <row r="8" spans="1:2" x14ac:dyDescent="0.2">
      <c r="A8" s="142"/>
      <c r="B8" s="142"/>
    </row>
    <row r="9" spans="1:2" ht="19.5" x14ac:dyDescent="0.3">
      <c r="A9" s="110"/>
      <c r="B9" s="110" t="s">
        <v>53</v>
      </c>
    </row>
    <row r="10" spans="1:2" x14ac:dyDescent="0.2">
      <c r="A10" s="142"/>
      <c r="B10" s="142"/>
    </row>
    <row r="11" spans="1:2" x14ac:dyDescent="0.2">
      <c r="A11" s="142"/>
      <c r="B11" s="145" t="s">
        <v>54</v>
      </c>
    </row>
    <row r="12" spans="1:2" x14ac:dyDescent="0.2">
      <c r="A12" s="142"/>
      <c r="B12" s="144"/>
    </row>
    <row r="13" spans="1:2" x14ac:dyDescent="0.2">
      <c r="A13" s="142"/>
      <c r="B13" s="154" t="s">
        <v>64</v>
      </c>
    </row>
    <row r="14" spans="1:2" x14ac:dyDescent="0.2">
      <c r="A14" s="142"/>
      <c r="B14" s="144"/>
    </row>
    <row r="15" spans="1:2" x14ac:dyDescent="0.2">
      <c r="A15" s="142"/>
      <c r="B15" s="146" t="s">
        <v>55</v>
      </c>
    </row>
    <row r="16" spans="1:2" x14ac:dyDescent="0.2">
      <c r="A16" s="142"/>
      <c r="B16" s="144"/>
    </row>
    <row r="17" spans="1:2" x14ac:dyDescent="0.2">
      <c r="A17" s="142"/>
      <c r="B17" s="147" t="s">
        <v>65</v>
      </c>
    </row>
    <row r="18" spans="1:2" x14ac:dyDescent="0.2">
      <c r="A18" s="142"/>
      <c r="B18" s="142"/>
    </row>
    <row r="20" spans="1:2" x14ac:dyDescent="0.2">
      <c r="B20" s="141" t="s">
        <v>58</v>
      </c>
    </row>
  </sheetData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pageSetUpPr fitToPage="1"/>
  </sheetPr>
  <dimension ref="A2:R215"/>
  <sheetViews>
    <sheetView showGridLines="0" topLeftCell="A67" zoomScale="85" zoomScaleNormal="85" workbookViewId="0">
      <selection activeCell="B86" sqref="B86"/>
    </sheetView>
  </sheetViews>
  <sheetFormatPr defaultRowHeight="12.75" outlineLevelRow="1" x14ac:dyDescent="0.2"/>
  <cols>
    <col min="1" max="1" width="3.7109375" style="13" customWidth="1"/>
    <col min="2" max="2" width="87.85546875" style="42" customWidth="1"/>
    <col min="3" max="3" width="21.28515625" style="42" customWidth="1"/>
    <col min="4" max="4" width="12.85546875" style="42" customWidth="1"/>
    <col min="5" max="5" width="19" style="42" customWidth="1"/>
    <col min="6" max="6" width="20" style="42" customWidth="1"/>
    <col min="7" max="7" width="5.85546875" style="42" customWidth="1"/>
    <col min="8" max="8" width="161.42578125" style="42" customWidth="1"/>
    <col min="9" max="9" width="16.28515625" style="96" bestFit="1" customWidth="1"/>
    <col min="10" max="12" width="9.5703125" style="96" bestFit="1" customWidth="1"/>
    <col min="13" max="13" width="3.140625" style="96" customWidth="1"/>
    <col min="14" max="14" width="9.5703125" style="96" bestFit="1" customWidth="1"/>
    <col min="15" max="15" width="3.7109375" style="100" customWidth="1"/>
    <col min="16" max="16" width="33" style="96" bestFit="1" customWidth="1"/>
    <col min="17" max="16384" width="9.140625" style="96"/>
  </cols>
  <sheetData>
    <row r="2" spans="1:15" ht="18" x14ac:dyDescent="0.25">
      <c r="C2" s="156"/>
      <c r="D2" s="156"/>
    </row>
    <row r="3" spans="1:15" s="95" customFormat="1" ht="19.5" x14ac:dyDescent="0.3">
      <c r="A3" s="109"/>
      <c r="B3" s="110" t="s">
        <v>39</v>
      </c>
      <c r="C3" s="109"/>
      <c r="D3" s="109"/>
      <c r="E3" s="109"/>
      <c r="F3" s="109"/>
      <c r="G3" s="109"/>
      <c r="H3" s="110" t="s">
        <v>48</v>
      </c>
    </row>
    <row r="4" spans="1:15" x14ac:dyDescent="0.2">
      <c r="E4" s="31"/>
      <c r="M4" s="97"/>
      <c r="N4" s="97"/>
      <c r="O4" s="96"/>
    </row>
    <row r="5" spans="1:15" x14ac:dyDescent="0.2">
      <c r="E5" s="31"/>
      <c r="M5" s="97"/>
      <c r="N5" s="97"/>
      <c r="O5" s="96"/>
    </row>
    <row r="6" spans="1:15" ht="15.75" x14ac:dyDescent="0.25">
      <c r="B6" s="69" t="s">
        <v>22</v>
      </c>
      <c r="E6" s="31"/>
      <c r="H6" s="112"/>
      <c r="M6" s="97"/>
      <c r="N6" s="97"/>
      <c r="O6" s="96"/>
    </row>
    <row r="7" spans="1:15" x14ac:dyDescent="0.2">
      <c r="B7" s="55"/>
      <c r="C7" s="55"/>
      <c r="E7" s="31"/>
      <c r="H7" s="112"/>
      <c r="M7" s="97"/>
      <c r="N7" s="97"/>
      <c r="O7" s="96"/>
    </row>
    <row r="8" spans="1:15" x14ac:dyDescent="0.2">
      <c r="B8" s="42" t="s">
        <v>21</v>
      </c>
      <c r="C8" s="45">
        <v>0.19</v>
      </c>
      <c r="E8" s="31"/>
      <c r="H8" s="112" t="s">
        <v>18</v>
      </c>
      <c r="M8" s="97"/>
      <c r="O8" s="96"/>
    </row>
    <row r="9" spans="1:15" x14ac:dyDescent="0.2">
      <c r="B9" s="8" t="s">
        <v>66</v>
      </c>
      <c r="C9" s="45">
        <v>0.21</v>
      </c>
      <c r="E9" s="31"/>
      <c r="H9" s="112" t="s">
        <v>18</v>
      </c>
      <c r="M9" s="97"/>
      <c r="O9" s="96"/>
    </row>
    <row r="10" spans="1:15" x14ac:dyDescent="0.2">
      <c r="B10" s="8" t="s">
        <v>67</v>
      </c>
      <c r="C10" s="43">
        <v>0.18940000000000001</v>
      </c>
      <c r="E10" s="31"/>
      <c r="H10" s="112" t="s">
        <v>179</v>
      </c>
      <c r="M10" s="97"/>
      <c r="O10" s="96"/>
    </row>
    <row r="11" spans="1:15" x14ac:dyDescent="0.2">
      <c r="B11" s="14" t="s">
        <v>68</v>
      </c>
      <c r="C11" s="120">
        <v>4.5999999999999999E-3</v>
      </c>
      <c r="E11" s="31"/>
      <c r="H11" s="112" t="s">
        <v>34</v>
      </c>
      <c r="M11" s="97"/>
      <c r="O11" s="96"/>
    </row>
    <row r="12" spans="1:15" x14ac:dyDescent="0.2">
      <c r="B12" s="8"/>
      <c r="C12" s="16"/>
      <c r="E12" s="31"/>
      <c r="H12" s="112"/>
      <c r="O12" s="96"/>
    </row>
    <row r="13" spans="1:15" x14ac:dyDescent="0.2">
      <c r="B13" s="14" t="s">
        <v>19</v>
      </c>
      <c r="C13" s="121"/>
      <c r="D13" s="17"/>
      <c r="E13" s="31"/>
      <c r="H13" s="112"/>
      <c r="O13" s="96"/>
    </row>
    <row r="14" spans="1:15" x14ac:dyDescent="0.2">
      <c r="B14" s="10" t="s">
        <v>9</v>
      </c>
      <c r="C14" s="129">
        <v>3.0000000000000001E-3</v>
      </c>
      <c r="E14" s="31"/>
      <c r="H14" s="131" t="s">
        <v>60</v>
      </c>
      <c r="L14" s="98"/>
      <c r="M14" s="99"/>
      <c r="O14" s="96"/>
    </row>
    <row r="15" spans="1:15" x14ac:dyDescent="0.2">
      <c r="B15" s="10" t="s">
        <v>10</v>
      </c>
      <c r="C15" s="129">
        <v>1.4999999999999999E-2</v>
      </c>
      <c r="E15" s="31"/>
      <c r="H15" s="132" t="s">
        <v>61</v>
      </c>
      <c r="L15" s="98"/>
      <c r="M15" s="99"/>
      <c r="O15" s="96"/>
    </row>
    <row r="16" spans="1:15" x14ac:dyDescent="0.2">
      <c r="B16" s="10" t="s">
        <v>11</v>
      </c>
      <c r="C16" s="129">
        <v>2.5999999999999999E-2</v>
      </c>
      <c r="E16" s="31"/>
      <c r="H16" s="132" t="s">
        <v>62</v>
      </c>
      <c r="L16" s="98"/>
      <c r="M16" s="99"/>
      <c r="O16" s="96"/>
    </row>
    <row r="17" spans="1:15" x14ac:dyDescent="0.2">
      <c r="B17" s="10" t="s">
        <v>12</v>
      </c>
      <c r="C17" s="155">
        <v>2.3E-2</v>
      </c>
      <c r="E17" s="31"/>
      <c r="H17" s="132"/>
      <c r="L17" s="98"/>
      <c r="M17" s="99"/>
      <c r="O17" s="96"/>
    </row>
    <row r="18" spans="1:15" x14ac:dyDescent="0.2">
      <c r="B18" s="58" t="s">
        <v>69</v>
      </c>
      <c r="C18" s="130">
        <v>2.8000000000000001E-2</v>
      </c>
      <c r="E18" s="31"/>
      <c r="H18" s="133" t="s">
        <v>63</v>
      </c>
      <c r="L18" s="98"/>
      <c r="O18" s="96"/>
    </row>
    <row r="19" spans="1:15" x14ac:dyDescent="0.2">
      <c r="B19" s="10" t="s">
        <v>70</v>
      </c>
      <c r="C19" s="24">
        <f>(1+C14)*(1+C15)*(1+C16)*(1+C17)*(1+C18)</f>
        <v>1.0984570597954797</v>
      </c>
      <c r="E19" s="31"/>
      <c r="H19" s="113" t="s">
        <v>71</v>
      </c>
      <c r="L19" s="98"/>
      <c r="M19" s="99"/>
      <c r="O19" s="96"/>
    </row>
    <row r="20" spans="1:15" x14ac:dyDescent="0.2">
      <c r="B20" s="10"/>
      <c r="C20" s="10"/>
      <c r="E20" s="31"/>
      <c r="H20" s="112"/>
      <c r="L20" s="98"/>
      <c r="M20" s="99"/>
      <c r="N20" s="99"/>
      <c r="O20" s="96"/>
    </row>
    <row r="21" spans="1:15" x14ac:dyDescent="0.2">
      <c r="B21" s="10"/>
      <c r="C21" s="10"/>
      <c r="E21" s="31"/>
      <c r="H21" s="112"/>
      <c r="L21" s="98"/>
      <c r="M21" s="99"/>
      <c r="N21" s="99"/>
      <c r="O21" s="96"/>
    </row>
    <row r="22" spans="1:15" ht="15.75" x14ac:dyDescent="0.25">
      <c r="B22" s="69" t="s">
        <v>30</v>
      </c>
      <c r="C22" s="3"/>
      <c r="E22" s="31"/>
      <c r="F22" s="31"/>
      <c r="G22" s="31"/>
      <c r="H22" s="113"/>
      <c r="I22" s="100"/>
      <c r="M22" s="99"/>
      <c r="N22" s="99"/>
      <c r="O22" s="96"/>
    </row>
    <row r="23" spans="1:15" x14ac:dyDescent="0.2">
      <c r="B23" s="57"/>
      <c r="C23" s="3"/>
      <c r="E23" s="31"/>
      <c r="F23" s="31"/>
      <c r="G23" s="31"/>
      <c r="H23" s="113"/>
      <c r="I23" s="100"/>
      <c r="J23" s="100"/>
      <c r="K23" s="100"/>
      <c r="L23" s="100"/>
      <c r="M23" s="99"/>
      <c r="N23" s="99"/>
      <c r="O23" s="96"/>
    </row>
    <row r="24" spans="1:15" ht="51" x14ac:dyDescent="0.2">
      <c r="B24" s="14"/>
      <c r="C24" s="150" t="s">
        <v>72</v>
      </c>
      <c r="D24" s="150" t="s">
        <v>46</v>
      </c>
      <c r="E24" s="31"/>
      <c r="F24" s="31"/>
      <c r="G24" s="31"/>
      <c r="I24" s="100"/>
      <c r="J24" s="100"/>
      <c r="K24" s="100"/>
      <c r="L24" s="100"/>
      <c r="M24" s="100"/>
      <c r="N24" s="100"/>
      <c r="O24" s="96"/>
    </row>
    <row r="25" spans="1:15" x14ac:dyDescent="0.2">
      <c r="B25" s="31" t="s">
        <v>23</v>
      </c>
      <c r="C25" s="63">
        <f>(D25/(1+$C$8))*$C$19</f>
        <v>2283.6829965832076</v>
      </c>
      <c r="D25" s="61">
        <v>2474</v>
      </c>
      <c r="E25" s="31"/>
      <c r="F25" s="31"/>
      <c r="G25" s="31"/>
      <c r="H25" s="131" t="s">
        <v>73</v>
      </c>
      <c r="I25" s="100"/>
      <c r="J25" s="100"/>
      <c r="K25" s="100"/>
      <c r="L25" s="100"/>
      <c r="M25" s="99"/>
      <c r="N25" s="99"/>
      <c r="O25" s="96"/>
    </row>
    <row r="26" spans="1:15" x14ac:dyDescent="0.2">
      <c r="A26" s="6"/>
      <c r="B26" s="31" t="s">
        <v>24</v>
      </c>
      <c r="C26" s="64">
        <f>(D26/(1+$C$8))*$C$19</f>
        <v>130.15331548837196</v>
      </c>
      <c r="D26" s="44">
        <v>141</v>
      </c>
      <c r="E26" s="31"/>
      <c r="F26" s="31"/>
      <c r="G26" s="31"/>
      <c r="H26" s="133" t="s">
        <v>47</v>
      </c>
      <c r="I26" s="100"/>
      <c r="J26" s="100"/>
      <c r="K26" s="100"/>
      <c r="L26" s="100"/>
      <c r="M26" s="99"/>
      <c r="N26" s="99"/>
      <c r="O26" s="96"/>
    </row>
    <row r="27" spans="1:15" x14ac:dyDescent="0.2">
      <c r="A27" s="6"/>
      <c r="B27" s="8" t="s">
        <v>25</v>
      </c>
      <c r="C27" s="64">
        <f>(D27/(1+$C$8))*$C$19</f>
        <v>2070.4530967405553</v>
      </c>
      <c r="D27" s="62">
        <v>2243</v>
      </c>
      <c r="E27" s="31"/>
      <c r="F27" s="31"/>
      <c r="G27" s="31"/>
      <c r="H27" s="113"/>
      <c r="I27" s="100"/>
      <c r="J27" s="100"/>
      <c r="K27" s="100"/>
      <c r="L27" s="100"/>
      <c r="M27" s="99"/>
      <c r="N27" s="99"/>
      <c r="O27" s="96"/>
    </row>
    <row r="28" spans="1:15" x14ac:dyDescent="0.2">
      <c r="A28" s="6"/>
      <c r="B28" s="8" t="s">
        <v>32</v>
      </c>
      <c r="C28" s="64">
        <f>(D28/(1+$C$8))*$C$19</f>
        <v>36.922926379679993</v>
      </c>
      <c r="D28" s="62">
        <v>40</v>
      </c>
      <c r="E28" s="31"/>
      <c r="F28" s="31"/>
      <c r="G28" s="31"/>
      <c r="H28" s="113"/>
      <c r="I28" s="100"/>
      <c r="J28" s="100"/>
      <c r="K28" s="100"/>
      <c r="L28" s="100"/>
      <c r="M28" s="99"/>
      <c r="N28" s="99"/>
      <c r="O28" s="96"/>
    </row>
    <row r="29" spans="1:15" x14ac:dyDescent="0.2">
      <c r="A29" s="6"/>
      <c r="B29" s="14" t="s">
        <v>33</v>
      </c>
      <c r="C29" s="65">
        <f>(D29/(1+$C$8))*$C$19</f>
        <v>46.153657974599987</v>
      </c>
      <c r="D29" s="50">
        <v>50</v>
      </c>
      <c r="E29" s="31"/>
      <c r="F29" s="31"/>
      <c r="G29" s="31"/>
      <c r="H29" s="113"/>
      <c r="I29" s="100"/>
      <c r="J29" s="100"/>
      <c r="K29" s="100"/>
      <c r="L29" s="100"/>
      <c r="M29" s="99"/>
      <c r="N29" s="99"/>
      <c r="O29" s="96"/>
    </row>
    <row r="30" spans="1:15" x14ac:dyDescent="0.2">
      <c r="A30" s="6"/>
      <c r="B30" s="34"/>
      <c r="C30" s="34"/>
      <c r="D30" s="53"/>
      <c r="E30" s="31"/>
      <c r="F30" s="31"/>
      <c r="G30" s="31"/>
      <c r="H30" s="113"/>
      <c r="I30" s="100"/>
      <c r="J30" s="100"/>
      <c r="K30" s="100"/>
      <c r="L30" s="100"/>
      <c r="M30" s="100"/>
      <c r="N30" s="100"/>
      <c r="O30" s="96"/>
    </row>
    <row r="31" spans="1:15" x14ac:dyDescent="0.2">
      <c r="A31" s="6"/>
      <c r="B31" s="8" t="s">
        <v>26</v>
      </c>
      <c r="C31" s="38">
        <v>15</v>
      </c>
      <c r="D31" s="54"/>
      <c r="E31" s="31"/>
      <c r="F31" s="54"/>
      <c r="G31" s="56"/>
      <c r="H31" s="115"/>
      <c r="I31" s="101"/>
      <c r="J31" s="101"/>
      <c r="K31" s="101"/>
      <c r="L31" s="101"/>
      <c r="M31" s="99"/>
      <c r="N31" s="99"/>
      <c r="O31" s="96"/>
    </row>
    <row r="32" spans="1:15" x14ac:dyDescent="0.2">
      <c r="A32" s="6"/>
      <c r="B32" s="8" t="s">
        <v>27</v>
      </c>
      <c r="C32" s="38">
        <v>7.5</v>
      </c>
      <c r="D32" s="54"/>
      <c r="E32" s="31"/>
      <c r="F32" s="54"/>
      <c r="G32" s="54"/>
      <c r="H32" s="115"/>
      <c r="I32" s="102"/>
      <c r="J32" s="102"/>
      <c r="K32" s="102"/>
      <c r="L32" s="102"/>
      <c r="M32" s="99"/>
      <c r="N32" s="99"/>
      <c r="O32" s="96"/>
    </row>
    <row r="33" spans="1:15" x14ac:dyDescent="0.2">
      <c r="A33" s="6"/>
      <c r="B33" s="8" t="s">
        <v>28</v>
      </c>
      <c r="C33" s="38">
        <v>15</v>
      </c>
      <c r="D33" s="54"/>
      <c r="E33" s="31"/>
      <c r="F33" s="54"/>
      <c r="G33" s="54"/>
      <c r="H33" s="115"/>
      <c r="I33" s="102"/>
      <c r="J33" s="102"/>
      <c r="K33" s="102"/>
      <c r="L33" s="102"/>
      <c r="M33" s="99"/>
      <c r="N33" s="99"/>
      <c r="O33" s="96"/>
    </row>
    <row r="34" spans="1:15" x14ac:dyDescent="0.2">
      <c r="A34" s="6"/>
      <c r="B34" s="14" t="s">
        <v>29</v>
      </c>
      <c r="C34" s="60">
        <v>7.5</v>
      </c>
      <c r="D34" s="54"/>
      <c r="E34" s="31"/>
      <c r="F34" s="54"/>
      <c r="G34" s="115"/>
      <c r="H34" s="115"/>
      <c r="I34" s="102"/>
      <c r="J34" s="102"/>
      <c r="K34" s="102"/>
      <c r="L34" s="102"/>
      <c r="M34" s="99"/>
      <c r="N34" s="99"/>
      <c r="O34" s="96"/>
    </row>
    <row r="35" spans="1:15" x14ac:dyDescent="0.2">
      <c r="A35" s="6"/>
      <c r="B35" s="36"/>
      <c r="C35" s="36"/>
      <c r="D35" s="54"/>
      <c r="E35" s="31"/>
      <c r="F35" s="54"/>
      <c r="G35" s="115"/>
      <c r="H35" s="115"/>
      <c r="I35" s="102"/>
      <c r="J35" s="102"/>
      <c r="K35" s="102"/>
      <c r="L35" s="102"/>
      <c r="M35" s="99"/>
      <c r="N35" s="99"/>
      <c r="O35" s="96"/>
    </row>
    <row r="36" spans="1:15" ht="25.5" x14ac:dyDescent="0.2">
      <c r="A36" s="6"/>
      <c r="B36" s="82" t="s">
        <v>167</v>
      </c>
      <c r="C36" s="66">
        <v>0.03</v>
      </c>
      <c r="D36" s="54"/>
      <c r="E36" s="31"/>
      <c r="F36" s="54"/>
      <c r="G36" s="115"/>
      <c r="H36" s="134" t="s">
        <v>166</v>
      </c>
      <c r="I36" s="102"/>
      <c r="J36" s="102"/>
      <c r="K36" s="102"/>
      <c r="L36" s="102"/>
      <c r="M36" s="99"/>
      <c r="O36" s="96"/>
    </row>
    <row r="37" spans="1:15" x14ac:dyDescent="0.2">
      <c r="A37" s="6"/>
      <c r="B37" s="14" t="s">
        <v>74</v>
      </c>
      <c r="C37" s="67">
        <f>(1+C36)/(1+C18)-1</f>
        <v>1.9455252918287869E-3</v>
      </c>
      <c r="D37" s="54"/>
      <c r="E37" s="31"/>
      <c r="F37" s="54"/>
      <c r="G37" s="115"/>
      <c r="H37" s="113" t="s">
        <v>168</v>
      </c>
      <c r="I37" s="102"/>
      <c r="J37" s="102"/>
      <c r="K37" s="102"/>
      <c r="L37" s="102"/>
      <c r="M37" s="99"/>
      <c r="O37" s="96"/>
    </row>
    <row r="38" spans="1:15" s="103" customFormat="1" x14ac:dyDescent="0.2">
      <c r="A38" s="6"/>
      <c r="B38" s="10"/>
      <c r="C38" s="9"/>
      <c r="D38" s="13"/>
      <c r="E38" s="6"/>
      <c r="F38" s="13"/>
      <c r="G38" s="13"/>
      <c r="H38" s="116"/>
      <c r="M38" s="99"/>
      <c r="N38" s="99"/>
    </row>
    <row r="39" spans="1:15" s="103" customFormat="1" x14ac:dyDescent="0.2">
      <c r="A39" s="158"/>
      <c r="B39" s="58"/>
      <c r="C39" s="119"/>
      <c r="D39" s="13"/>
      <c r="E39" s="6"/>
      <c r="F39" s="13"/>
      <c r="G39" s="13"/>
      <c r="H39" s="116"/>
      <c r="M39" s="99"/>
      <c r="N39" s="99"/>
    </row>
    <row r="40" spans="1:15" ht="15.75" x14ac:dyDescent="0.25">
      <c r="B40" s="69" t="s">
        <v>31</v>
      </c>
      <c r="C40" s="31"/>
      <c r="E40" s="31"/>
      <c r="H40" s="112"/>
      <c r="L40" s="102"/>
      <c r="M40" s="100"/>
      <c r="N40" s="100"/>
      <c r="O40" s="96"/>
    </row>
    <row r="41" spans="1:15" x14ac:dyDescent="0.2">
      <c r="B41" s="33"/>
      <c r="C41" s="33"/>
      <c r="E41" s="31"/>
      <c r="H41" s="112"/>
      <c r="L41" s="102"/>
      <c r="M41" s="100"/>
      <c r="N41" s="100"/>
      <c r="O41" s="96"/>
    </row>
    <row r="42" spans="1:15" x14ac:dyDescent="0.2">
      <c r="B42" s="8" t="s">
        <v>20</v>
      </c>
      <c r="C42" s="46">
        <v>0.79</v>
      </c>
      <c r="E42" s="31"/>
      <c r="H42" s="112"/>
      <c r="M42" s="99"/>
      <c r="N42" s="99"/>
      <c r="O42" s="96"/>
    </row>
    <row r="43" spans="1:15" x14ac:dyDescent="0.2">
      <c r="B43" s="8" t="s">
        <v>7</v>
      </c>
      <c r="C43" s="46">
        <v>0.21</v>
      </c>
      <c r="E43" s="31"/>
      <c r="H43" s="112"/>
      <c r="M43" s="99"/>
      <c r="N43" s="99"/>
      <c r="O43" s="96"/>
    </row>
    <row r="44" spans="1:15" x14ac:dyDescent="0.2">
      <c r="B44" s="8" t="s">
        <v>3</v>
      </c>
      <c r="C44" s="46">
        <v>0.05</v>
      </c>
      <c r="E44" s="31"/>
      <c r="H44" s="112"/>
      <c r="M44" s="99"/>
      <c r="N44" s="99"/>
      <c r="O44" s="96"/>
    </row>
    <row r="45" spans="1:15" x14ac:dyDescent="0.2">
      <c r="B45" s="8" t="s">
        <v>4</v>
      </c>
      <c r="C45" s="46">
        <v>0.1</v>
      </c>
      <c r="E45" s="31"/>
      <c r="H45" s="112"/>
      <c r="M45" s="99"/>
      <c r="N45" s="99"/>
      <c r="O45" s="96"/>
    </row>
    <row r="46" spans="1:15" x14ac:dyDescent="0.2">
      <c r="B46" s="8" t="s">
        <v>5</v>
      </c>
      <c r="C46" s="46">
        <v>0.9</v>
      </c>
      <c r="E46" s="31"/>
      <c r="H46" s="112"/>
      <c r="M46" s="99"/>
      <c r="N46" s="99"/>
      <c r="O46" s="96"/>
    </row>
    <row r="47" spans="1:15" x14ac:dyDescent="0.2">
      <c r="B47" s="14" t="s">
        <v>6</v>
      </c>
      <c r="C47" s="68">
        <v>0.65</v>
      </c>
      <c r="E47" s="31"/>
      <c r="H47" s="112"/>
      <c r="M47" s="99"/>
      <c r="N47" s="99"/>
      <c r="O47" s="96"/>
    </row>
    <row r="48" spans="1:15" s="103" customFormat="1" x14ac:dyDescent="0.2">
      <c r="A48" s="13"/>
      <c r="B48" s="10"/>
      <c r="C48" s="9"/>
      <c r="D48" s="13"/>
      <c r="E48" s="6"/>
      <c r="F48" s="13"/>
      <c r="G48" s="13"/>
      <c r="H48" s="116"/>
      <c r="M48" s="99"/>
      <c r="N48" s="99"/>
    </row>
    <row r="49" spans="1:15" s="103" customFormat="1" x14ac:dyDescent="0.2">
      <c r="A49" s="13"/>
      <c r="B49" s="10"/>
      <c r="C49" s="9"/>
      <c r="D49" s="13"/>
      <c r="E49" s="6"/>
      <c r="F49" s="13"/>
      <c r="G49" s="13"/>
      <c r="H49" s="116"/>
      <c r="M49" s="99"/>
      <c r="N49" s="99"/>
    </row>
    <row r="50" spans="1:15" s="95" customFormat="1" ht="19.5" x14ac:dyDescent="0.3">
      <c r="A50" s="109"/>
      <c r="B50" s="110" t="s">
        <v>40</v>
      </c>
      <c r="C50" s="109"/>
      <c r="D50" s="109"/>
      <c r="E50" s="109"/>
      <c r="F50" s="109"/>
      <c r="G50" s="109"/>
      <c r="H50" s="117"/>
    </row>
    <row r="51" spans="1:15" s="103" customFormat="1" x14ac:dyDescent="0.2">
      <c r="A51" s="13"/>
      <c r="B51" s="10"/>
      <c r="C51" s="9"/>
      <c r="D51" s="13"/>
      <c r="E51" s="6"/>
      <c r="F51" s="13"/>
      <c r="G51" s="13"/>
      <c r="H51" s="116"/>
      <c r="M51" s="99"/>
      <c r="N51" s="99"/>
    </row>
    <row r="52" spans="1:15" s="103" customFormat="1" x14ac:dyDescent="0.2">
      <c r="A52" s="13"/>
      <c r="B52" s="58"/>
      <c r="C52" s="119"/>
      <c r="D52" s="158"/>
      <c r="E52" s="6"/>
      <c r="F52" s="13"/>
      <c r="G52" s="13"/>
      <c r="H52" s="116"/>
      <c r="M52" s="99"/>
      <c r="N52" s="99"/>
    </row>
    <row r="53" spans="1:15" s="103" customFormat="1" ht="25.5" outlineLevel="1" x14ac:dyDescent="0.2">
      <c r="A53" s="13"/>
      <c r="B53" s="71" t="s">
        <v>75</v>
      </c>
      <c r="C53" s="157" t="s">
        <v>130</v>
      </c>
      <c r="D53" s="51"/>
      <c r="E53" s="13"/>
      <c r="F53" s="13"/>
      <c r="G53" s="13"/>
      <c r="H53" s="112" t="s">
        <v>177</v>
      </c>
      <c r="M53" s="99"/>
    </row>
    <row r="54" spans="1:15" outlineLevel="1" x14ac:dyDescent="0.2">
      <c r="B54" s="31" t="s">
        <v>174</v>
      </c>
      <c r="C54" s="42" t="s">
        <v>139</v>
      </c>
      <c r="D54" s="44">
        <v>22.86</v>
      </c>
      <c r="E54" s="13"/>
      <c r="G54" s="13"/>
      <c r="H54" s="112"/>
      <c r="M54" s="99"/>
      <c r="O54" s="96"/>
    </row>
    <row r="55" spans="1:15" outlineLevel="1" x14ac:dyDescent="0.2">
      <c r="B55" s="31" t="s">
        <v>175</v>
      </c>
      <c r="C55" s="42" t="s">
        <v>141</v>
      </c>
      <c r="D55" s="44">
        <v>39.6</v>
      </c>
      <c r="E55" s="13"/>
      <c r="G55" s="13"/>
      <c r="H55" s="112"/>
      <c r="M55" s="99"/>
      <c r="N55" s="99"/>
      <c r="O55" s="96"/>
    </row>
    <row r="56" spans="1:15" outlineLevel="1" x14ac:dyDescent="0.2">
      <c r="B56" s="33" t="s">
        <v>176</v>
      </c>
      <c r="C56" s="55" t="s">
        <v>140</v>
      </c>
      <c r="D56" s="50">
        <v>29.64</v>
      </c>
      <c r="E56" s="13"/>
      <c r="H56" s="112"/>
      <c r="M56" s="99"/>
      <c r="N56" s="99"/>
      <c r="O56" s="96"/>
    </row>
    <row r="57" spans="1:15" outlineLevel="1" x14ac:dyDescent="0.2">
      <c r="B57" s="31" t="s">
        <v>76</v>
      </c>
      <c r="D57" s="64">
        <f>AVERAGE(D54:D56)</f>
        <v>30.7</v>
      </c>
      <c r="E57" s="13"/>
      <c r="H57" s="112"/>
      <c r="M57" s="99"/>
      <c r="N57" s="99"/>
      <c r="O57" s="96"/>
    </row>
    <row r="58" spans="1:15" outlineLevel="1" x14ac:dyDescent="0.2">
      <c r="B58" s="96"/>
      <c r="C58" s="31"/>
      <c r="E58" s="31"/>
      <c r="H58" s="112"/>
      <c r="M58" s="99"/>
      <c r="N58" s="99"/>
      <c r="O58" s="96"/>
    </row>
    <row r="59" spans="1:15" outlineLevel="1" x14ac:dyDescent="0.2">
      <c r="B59" s="31"/>
      <c r="C59" s="31"/>
      <c r="D59" s="31"/>
      <c r="E59" s="31"/>
      <c r="H59" s="112"/>
      <c r="O59" s="96"/>
    </row>
    <row r="60" spans="1:15" ht="25.5" customHeight="1" outlineLevel="1" x14ac:dyDescent="0.2">
      <c r="B60" s="71" t="s">
        <v>77</v>
      </c>
      <c r="C60" s="72" t="s">
        <v>78</v>
      </c>
      <c r="D60" s="72" t="s">
        <v>79</v>
      </c>
      <c r="E60" s="31"/>
      <c r="H60" s="112" t="s">
        <v>137</v>
      </c>
      <c r="O60" s="96"/>
    </row>
    <row r="61" spans="1:15" outlineLevel="1" x14ac:dyDescent="0.2">
      <c r="B61" s="1" t="s">
        <v>13</v>
      </c>
      <c r="C61" s="44">
        <v>18</v>
      </c>
      <c r="D61" s="73">
        <v>136666.89743589741</v>
      </c>
      <c r="E61" s="31"/>
      <c r="H61" s="112" t="s">
        <v>59</v>
      </c>
      <c r="O61" s="96"/>
    </row>
    <row r="62" spans="1:15" outlineLevel="1" x14ac:dyDescent="0.2">
      <c r="B62" s="3" t="s">
        <v>180</v>
      </c>
      <c r="C62" s="44">
        <v>18</v>
      </c>
      <c r="D62" s="73">
        <v>185291.61111111112</v>
      </c>
      <c r="E62" s="31"/>
      <c r="H62" s="112"/>
      <c r="O62" s="96"/>
    </row>
    <row r="63" spans="1:15" outlineLevel="1" x14ac:dyDescent="0.2">
      <c r="B63" s="1" t="s">
        <v>14</v>
      </c>
      <c r="C63" s="43">
        <v>17.994499999999999</v>
      </c>
      <c r="D63" s="73">
        <v>389735.66666666669</v>
      </c>
      <c r="E63" s="31"/>
      <c r="H63" s="112"/>
      <c r="O63" s="96"/>
    </row>
    <row r="64" spans="1:15" outlineLevel="1" x14ac:dyDescent="0.2">
      <c r="B64" s="2" t="s">
        <v>15</v>
      </c>
      <c r="C64" s="44">
        <v>18</v>
      </c>
      <c r="D64" s="73">
        <v>2018637.8370405796</v>
      </c>
      <c r="E64" s="31"/>
      <c r="H64" s="112"/>
      <c r="O64" s="96"/>
    </row>
    <row r="65" spans="2:15" outlineLevel="1" x14ac:dyDescent="0.2">
      <c r="B65" s="20" t="s">
        <v>8</v>
      </c>
      <c r="C65" s="43">
        <v>17.994499999999999</v>
      </c>
      <c r="D65" s="73">
        <v>2211690.7388381059</v>
      </c>
      <c r="E65" s="31"/>
      <c r="H65" s="112"/>
      <c r="O65" s="96"/>
    </row>
    <row r="66" spans="2:15" outlineLevel="1" x14ac:dyDescent="0.2">
      <c r="B66" s="20" t="s">
        <v>0</v>
      </c>
      <c r="C66" s="44">
        <v>18</v>
      </c>
      <c r="D66" s="73">
        <v>101151.86666666665</v>
      </c>
      <c r="E66" s="31"/>
      <c r="H66" s="112"/>
      <c r="O66" s="96"/>
    </row>
    <row r="67" spans="2:15" outlineLevel="1" x14ac:dyDescent="0.2">
      <c r="B67" s="20" t="s">
        <v>16</v>
      </c>
      <c r="C67" s="44">
        <v>18</v>
      </c>
      <c r="D67" s="73">
        <v>1881089.1584566773</v>
      </c>
      <c r="E67" s="31"/>
      <c r="H67" s="112"/>
      <c r="O67" s="96"/>
    </row>
    <row r="68" spans="2:15" outlineLevel="1" x14ac:dyDescent="0.2">
      <c r="B68" s="48" t="s">
        <v>17</v>
      </c>
      <c r="C68" s="50">
        <v>18</v>
      </c>
      <c r="D68" s="74">
        <v>49839.226486056963</v>
      </c>
      <c r="E68" s="31"/>
      <c r="H68" s="112"/>
      <c r="O68" s="96"/>
    </row>
    <row r="69" spans="2:15" outlineLevel="1" x14ac:dyDescent="0.2">
      <c r="B69" s="1" t="s">
        <v>80</v>
      </c>
      <c r="C69" s="76">
        <f>SUMPRODUCT(C61:C68,D61:D68)/SUM(D61:D68)</f>
        <v>17.997948432189094</v>
      </c>
      <c r="D69" s="1"/>
      <c r="E69" s="31"/>
      <c r="H69" s="112"/>
      <c r="O69" s="96"/>
    </row>
    <row r="70" spans="2:15" outlineLevel="1" x14ac:dyDescent="0.2">
      <c r="B70" s="1"/>
      <c r="C70" s="1"/>
      <c r="D70" s="1"/>
      <c r="E70" s="31"/>
      <c r="H70" s="112"/>
      <c r="O70" s="96"/>
    </row>
    <row r="71" spans="2:15" outlineLevel="1" x14ac:dyDescent="0.2">
      <c r="B71" s="31"/>
      <c r="C71" s="31"/>
      <c r="D71" s="31"/>
      <c r="E71" s="31"/>
      <c r="H71" s="112"/>
      <c r="O71" s="96"/>
    </row>
    <row r="72" spans="2:15" ht="39" customHeight="1" outlineLevel="1" x14ac:dyDescent="0.2">
      <c r="B72" s="71" t="s">
        <v>81</v>
      </c>
      <c r="C72" s="72" t="s">
        <v>82</v>
      </c>
      <c r="D72" s="71" t="s">
        <v>172</v>
      </c>
      <c r="E72" s="71" t="s">
        <v>83</v>
      </c>
      <c r="F72" s="72" t="s">
        <v>84</v>
      </c>
      <c r="H72" s="112" t="s">
        <v>137</v>
      </c>
      <c r="O72" s="96"/>
    </row>
    <row r="73" spans="2:15" outlineLevel="1" x14ac:dyDescent="0.2">
      <c r="B73" s="1" t="s">
        <v>13</v>
      </c>
      <c r="C73" s="44">
        <v>26.07</v>
      </c>
      <c r="D73" s="22">
        <v>3</v>
      </c>
      <c r="E73" s="77">
        <f>C73*D73</f>
        <v>78.210000000000008</v>
      </c>
      <c r="F73" s="73">
        <v>477360.217948718</v>
      </c>
      <c r="H73" s="112" t="s">
        <v>165</v>
      </c>
      <c r="O73" s="96"/>
    </row>
    <row r="74" spans="2:15" outlineLevel="1" x14ac:dyDescent="0.2">
      <c r="B74" s="3" t="s">
        <v>180</v>
      </c>
      <c r="C74" s="44">
        <v>27.290000000000003</v>
      </c>
      <c r="D74" s="22">
        <v>3</v>
      </c>
      <c r="E74" s="77">
        <f t="shared" ref="E74:E80" si="0">C74*D74</f>
        <v>81.87</v>
      </c>
      <c r="F74" s="73">
        <v>605800.97222222213</v>
      </c>
      <c r="H74" s="113" t="s">
        <v>138</v>
      </c>
      <c r="O74" s="96"/>
    </row>
    <row r="75" spans="2:15" outlineLevel="1" x14ac:dyDescent="0.2">
      <c r="B75" s="1" t="s">
        <v>14</v>
      </c>
      <c r="C75" s="43">
        <v>25.951499999999999</v>
      </c>
      <c r="D75" s="22">
        <v>3</v>
      </c>
      <c r="E75" s="77">
        <f t="shared" si="0"/>
        <v>77.854500000000002</v>
      </c>
      <c r="F75" s="73">
        <v>1325353</v>
      </c>
      <c r="H75" s="112"/>
      <c r="O75" s="96"/>
    </row>
    <row r="76" spans="2:15" outlineLevel="1" x14ac:dyDescent="0.2">
      <c r="B76" s="2" t="s">
        <v>15</v>
      </c>
      <c r="C76" s="43">
        <v>26.517900000000001</v>
      </c>
      <c r="D76" s="22">
        <v>3</v>
      </c>
      <c r="E76" s="77">
        <f t="shared" si="0"/>
        <v>79.553700000000006</v>
      </c>
      <c r="F76" s="73">
        <v>6741460.3096565902</v>
      </c>
      <c r="H76" s="112"/>
      <c r="O76" s="96"/>
    </row>
    <row r="77" spans="2:15" outlineLevel="1" x14ac:dyDescent="0.2">
      <c r="B77" s="20" t="s">
        <v>8</v>
      </c>
      <c r="C77" s="43">
        <v>27.995500000000003</v>
      </c>
      <c r="D77" s="22">
        <v>3</v>
      </c>
      <c r="E77" s="77">
        <f t="shared" si="0"/>
        <v>83.986500000000007</v>
      </c>
      <c r="F77" s="73">
        <v>7078671.4069611887</v>
      </c>
      <c r="H77" s="112"/>
      <c r="O77" s="96"/>
    </row>
    <row r="78" spans="2:15" outlineLevel="1" x14ac:dyDescent="0.2">
      <c r="B78" s="20" t="s">
        <v>0</v>
      </c>
      <c r="C78" s="43">
        <v>35.43</v>
      </c>
      <c r="D78" s="22">
        <v>3</v>
      </c>
      <c r="E78" s="77">
        <f t="shared" si="0"/>
        <v>106.28999999999999</v>
      </c>
      <c r="F78" s="73">
        <v>342940.8</v>
      </c>
      <c r="H78" s="112"/>
      <c r="O78" s="96"/>
    </row>
    <row r="79" spans="2:15" outlineLevel="1" x14ac:dyDescent="0.2">
      <c r="B79" s="20" t="s">
        <v>16</v>
      </c>
      <c r="C79" s="43">
        <v>27.521000000000001</v>
      </c>
      <c r="D79" s="22">
        <v>3</v>
      </c>
      <c r="E79" s="77">
        <f t="shared" si="0"/>
        <v>82.563000000000002</v>
      </c>
      <c r="F79" s="73">
        <v>5880542.365597182</v>
      </c>
      <c r="H79" s="112"/>
      <c r="O79" s="96"/>
    </row>
    <row r="80" spans="2:15" outlineLevel="1" x14ac:dyDescent="0.2">
      <c r="B80" s="48" t="s">
        <v>17</v>
      </c>
      <c r="C80" s="120">
        <v>21.863499999999998</v>
      </c>
      <c r="D80" s="49">
        <v>3</v>
      </c>
      <c r="E80" s="78">
        <f t="shared" si="0"/>
        <v>65.590499999999992</v>
      </c>
      <c r="F80" s="74">
        <v>164052.37644860838</v>
      </c>
      <c r="H80" s="112"/>
      <c r="O80" s="96"/>
    </row>
    <row r="81" spans="2:15" outlineLevel="1" x14ac:dyDescent="0.2">
      <c r="B81" s="1" t="s">
        <v>85</v>
      </c>
      <c r="C81" s="1"/>
      <c r="D81" s="1"/>
      <c r="E81" s="64">
        <f>SUMPRODUCT(E73:E80,F73:F80)/SUM(F73:F81)</f>
        <v>81.961828485106807</v>
      </c>
      <c r="H81" s="112"/>
      <c r="O81" s="96"/>
    </row>
    <row r="82" spans="2:15" outlineLevel="1" x14ac:dyDescent="0.2">
      <c r="B82" s="1"/>
      <c r="C82" s="1"/>
      <c r="D82" s="96"/>
      <c r="E82" s="1"/>
      <c r="H82" s="112"/>
      <c r="O82" s="96"/>
    </row>
    <row r="83" spans="2:15" outlineLevel="1" x14ac:dyDescent="0.2">
      <c r="C83" s="31"/>
      <c r="D83" s="31"/>
      <c r="E83" s="31"/>
      <c r="H83" s="112"/>
      <c r="O83" s="96"/>
    </row>
    <row r="84" spans="2:15" ht="25.5" outlineLevel="1" x14ac:dyDescent="0.2">
      <c r="B84" s="71" t="s">
        <v>86</v>
      </c>
      <c r="C84" s="72" t="s">
        <v>87</v>
      </c>
      <c r="D84" s="72" t="s">
        <v>88</v>
      </c>
      <c r="E84" s="31"/>
      <c r="H84" s="112" t="s">
        <v>137</v>
      </c>
      <c r="O84" s="96"/>
    </row>
    <row r="85" spans="2:15" outlineLevel="1" x14ac:dyDescent="0.2">
      <c r="B85" s="1" t="s">
        <v>13</v>
      </c>
      <c r="C85" s="44">
        <v>18.57</v>
      </c>
      <c r="D85" s="75">
        <v>133669.8205128205</v>
      </c>
      <c r="E85" s="31"/>
      <c r="H85" s="112" t="s">
        <v>59</v>
      </c>
      <c r="O85" s="96"/>
    </row>
    <row r="86" spans="2:15" outlineLevel="1" x14ac:dyDescent="0.2">
      <c r="B86" s="3" t="s">
        <v>180</v>
      </c>
      <c r="C86" s="44">
        <v>17.02</v>
      </c>
      <c r="D86" s="73">
        <v>181856.27777777778</v>
      </c>
      <c r="E86" s="31"/>
      <c r="H86" s="112"/>
      <c r="O86" s="96"/>
    </row>
    <row r="87" spans="2:15" outlineLevel="1" x14ac:dyDescent="0.2">
      <c r="B87" s="1" t="s">
        <v>14</v>
      </c>
      <c r="C87" s="43">
        <v>19.089500000000001</v>
      </c>
      <c r="D87" s="73">
        <v>379622.66666666669</v>
      </c>
      <c r="E87" s="31"/>
      <c r="H87" s="112"/>
      <c r="O87" s="96"/>
    </row>
    <row r="88" spans="2:15" outlineLevel="1" x14ac:dyDescent="0.2">
      <c r="B88" s="2" t="s">
        <v>15</v>
      </c>
      <c r="C88" s="44">
        <v>17.36</v>
      </c>
      <c r="D88" s="73">
        <v>1977711.7453203599</v>
      </c>
      <c r="E88" s="31"/>
      <c r="H88" s="112"/>
      <c r="O88" s="96"/>
    </row>
    <row r="89" spans="2:15" outlineLevel="1" x14ac:dyDescent="0.2">
      <c r="B89" s="20" t="s">
        <v>8</v>
      </c>
      <c r="C89" s="43">
        <v>18.615000000000002</v>
      </c>
      <c r="D89" s="73">
        <v>2174210.75</v>
      </c>
      <c r="E89" s="31"/>
      <c r="H89" s="112"/>
      <c r="O89" s="96"/>
    </row>
    <row r="90" spans="2:15" outlineLevel="1" x14ac:dyDescent="0.2">
      <c r="B90" s="20" t="s">
        <v>0</v>
      </c>
      <c r="C90" s="44">
        <v>17.68</v>
      </c>
      <c r="D90" s="73">
        <v>98969</v>
      </c>
      <c r="E90" s="31"/>
      <c r="H90" s="112"/>
      <c r="O90" s="96"/>
    </row>
    <row r="91" spans="2:15" outlineLevel="1" x14ac:dyDescent="0.2">
      <c r="B91" s="20" t="s">
        <v>16</v>
      </c>
      <c r="C91" s="44">
        <v>17.09</v>
      </c>
      <c r="D91" s="73">
        <v>1843974.2536454611</v>
      </c>
      <c r="E91" s="31"/>
      <c r="H91" s="112"/>
      <c r="O91" s="96"/>
    </row>
    <row r="92" spans="2:15" outlineLevel="1" x14ac:dyDescent="0.2">
      <c r="B92" s="48" t="s">
        <v>17</v>
      </c>
      <c r="C92" s="50">
        <v>11.25</v>
      </c>
      <c r="D92" s="74">
        <v>49258.239698931109</v>
      </c>
      <c r="E92" s="31"/>
      <c r="H92" s="112"/>
      <c r="O92" s="96"/>
    </row>
    <row r="93" spans="2:15" outlineLevel="1" x14ac:dyDescent="0.2">
      <c r="B93" s="1" t="s">
        <v>89</v>
      </c>
      <c r="C93" s="76">
        <f>SUMPRODUCT(C85:C92,D85:D92)/SUM(D85:D92)</f>
        <v>17.757400502435281</v>
      </c>
      <c r="D93" s="1"/>
      <c r="E93" s="31"/>
      <c r="H93" s="112"/>
      <c r="O93" s="96"/>
    </row>
    <row r="94" spans="2:15" outlineLevel="1" x14ac:dyDescent="0.2">
      <c r="B94" s="1"/>
      <c r="C94" s="1"/>
      <c r="D94" s="1"/>
      <c r="E94" s="31"/>
      <c r="H94" s="112"/>
      <c r="O94" s="96"/>
    </row>
    <row r="95" spans="2:15" outlineLevel="1" x14ac:dyDescent="0.2">
      <c r="B95" s="1"/>
      <c r="C95" s="48"/>
      <c r="D95" s="1"/>
      <c r="E95" s="31"/>
      <c r="H95" s="112"/>
      <c r="O95" s="96"/>
    </row>
    <row r="96" spans="2:15" ht="25.5" x14ac:dyDescent="0.2">
      <c r="B96" s="71" t="s">
        <v>129</v>
      </c>
      <c r="C96" s="48"/>
      <c r="D96" s="1"/>
      <c r="E96" s="1"/>
      <c r="F96" s="1"/>
      <c r="H96" s="112"/>
      <c r="O96" s="96"/>
    </row>
    <row r="97" spans="1:18" x14ac:dyDescent="0.2">
      <c r="B97" s="1" t="s">
        <v>76</v>
      </c>
      <c r="C97" s="122">
        <f>D57</f>
        <v>30.7</v>
      </c>
      <c r="D97" s="1"/>
      <c r="E97" s="1"/>
      <c r="F97" s="1"/>
      <c r="H97" s="112"/>
      <c r="O97" s="96"/>
    </row>
    <row r="98" spans="1:18" x14ac:dyDescent="0.2">
      <c r="B98" s="1" t="s">
        <v>80</v>
      </c>
      <c r="C98" s="122">
        <f>C69</f>
        <v>17.997948432189094</v>
      </c>
      <c r="D98" s="1"/>
      <c r="E98" s="1"/>
      <c r="F98" s="1"/>
      <c r="H98" s="112"/>
      <c r="O98" s="96"/>
    </row>
    <row r="99" spans="1:18" x14ac:dyDescent="0.2">
      <c r="B99" s="1" t="s">
        <v>90</v>
      </c>
      <c r="C99" s="122">
        <f>E81</f>
        <v>81.961828485106807</v>
      </c>
      <c r="D99" s="1"/>
      <c r="E99" s="1"/>
      <c r="F99" s="1"/>
      <c r="H99" s="112"/>
      <c r="O99" s="96"/>
    </row>
    <row r="100" spans="1:18" x14ac:dyDescent="0.2">
      <c r="B100" s="48" t="s">
        <v>89</v>
      </c>
      <c r="C100" s="123">
        <f>C93</f>
        <v>17.757400502435281</v>
      </c>
      <c r="D100" s="1"/>
      <c r="E100" s="1"/>
      <c r="F100" s="1"/>
      <c r="H100" s="112"/>
      <c r="O100" s="96"/>
    </row>
    <row r="101" spans="1:18" x14ac:dyDescent="0.2">
      <c r="B101" s="1" t="s">
        <v>91</v>
      </c>
      <c r="C101" s="76">
        <f>SUM(C97:C100)</f>
        <v>148.41717741973119</v>
      </c>
      <c r="D101" s="1"/>
      <c r="E101" s="1"/>
      <c r="F101" s="1"/>
      <c r="H101" s="112"/>
      <c r="O101" s="96"/>
    </row>
    <row r="102" spans="1:18" x14ac:dyDescent="0.2">
      <c r="B102" s="1"/>
      <c r="C102" s="1"/>
      <c r="D102" s="1"/>
      <c r="E102" s="1"/>
      <c r="F102" s="1"/>
      <c r="H102" s="112"/>
      <c r="O102" s="96"/>
    </row>
    <row r="103" spans="1:18" s="95" customFormat="1" x14ac:dyDescent="0.2">
      <c r="A103" s="12"/>
      <c r="B103" s="41"/>
      <c r="C103" s="14"/>
      <c r="D103" s="7"/>
      <c r="E103" s="8"/>
      <c r="F103" s="17"/>
      <c r="G103" s="7"/>
      <c r="H103" s="118"/>
    </row>
    <row r="104" spans="1:18" outlineLevel="1" x14ac:dyDescent="0.2">
      <c r="B104" s="80" t="s">
        <v>128</v>
      </c>
      <c r="C104" s="33"/>
      <c r="F104" s="17"/>
      <c r="H104" s="135" t="s">
        <v>49</v>
      </c>
      <c r="O104" s="96"/>
    </row>
    <row r="105" spans="1:18" s="95" customFormat="1" outlineLevel="1" x14ac:dyDescent="0.2">
      <c r="A105" s="12"/>
      <c r="B105" s="26" t="s">
        <v>92</v>
      </c>
      <c r="C105" s="81">
        <f>C25</f>
        <v>2283.6829965832076</v>
      </c>
      <c r="D105" s="11"/>
      <c r="E105" s="11"/>
      <c r="F105" s="11"/>
      <c r="G105" s="11"/>
      <c r="H105" s="133" t="s">
        <v>50</v>
      </c>
      <c r="I105" s="104"/>
      <c r="J105" s="104"/>
      <c r="K105" s="105"/>
      <c r="L105" s="105"/>
      <c r="M105" s="105"/>
      <c r="N105" s="105"/>
      <c r="O105" s="105"/>
      <c r="P105" s="105"/>
      <c r="Q105" s="105"/>
      <c r="R105" s="105"/>
    </row>
    <row r="106" spans="1:18" s="95" customFormat="1" outlineLevel="1" x14ac:dyDescent="0.2">
      <c r="A106" s="12"/>
      <c r="B106" s="8" t="s">
        <v>26</v>
      </c>
      <c r="C106" s="25">
        <f>C31</f>
        <v>15</v>
      </c>
      <c r="D106" s="11"/>
      <c r="E106" s="11"/>
      <c r="F106" s="11"/>
      <c r="G106" s="11"/>
      <c r="H106" s="113"/>
      <c r="I106" s="104"/>
      <c r="J106" s="104"/>
      <c r="K106" s="105"/>
      <c r="L106" s="105"/>
      <c r="M106" s="105"/>
      <c r="N106" s="105"/>
      <c r="O106" s="105"/>
      <c r="P106" s="105"/>
      <c r="Q106" s="105"/>
      <c r="R106" s="105"/>
    </row>
    <row r="107" spans="1:18" s="95" customFormat="1" outlineLevel="1" x14ac:dyDescent="0.2">
      <c r="A107" s="12"/>
      <c r="B107" s="29" t="s">
        <v>93</v>
      </c>
      <c r="C107" s="24">
        <f>C105/C106</f>
        <v>152.24553310554717</v>
      </c>
      <c r="D107" s="11"/>
      <c r="E107" s="11"/>
      <c r="F107" s="11"/>
      <c r="G107" s="11"/>
      <c r="H107" s="113"/>
      <c r="I107" s="106"/>
      <c r="J107" s="106"/>
      <c r="K107" s="105"/>
      <c r="L107" s="105"/>
      <c r="M107" s="105"/>
      <c r="N107" s="105"/>
      <c r="O107" s="105"/>
      <c r="P107" s="105"/>
      <c r="Q107" s="105"/>
      <c r="R107" s="105"/>
    </row>
    <row r="108" spans="1:18" s="95" customFormat="1" outlineLevel="1" x14ac:dyDescent="0.2">
      <c r="A108" s="12"/>
      <c r="B108" s="8" t="s">
        <v>27</v>
      </c>
      <c r="C108" s="52">
        <f>C32</f>
        <v>7.5</v>
      </c>
      <c r="D108" s="11"/>
      <c r="E108" s="11"/>
      <c r="F108" s="11"/>
      <c r="G108" s="11"/>
      <c r="H108" s="113"/>
      <c r="I108" s="106"/>
      <c r="J108" s="106"/>
      <c r="K108" s="105"/>
      <c r="L108" s="105"/>
      <c r="M108" s="105"/>
      <c r="N108" s="105"/>
      <c r="O108" s="105"/>
      <c r="P108" s="105"/>
      <c r="Q108" s="105"/>
      <c r="R108" s="105"/>
    </row>
    <row r="109" spans="1:18" s="95" customFormat="1" outlineLevel="1" x14ac:dyDescent="0.2">
      <c r="A109" s="12"/>
      <c r="B109" s="28" t="s">
        <v>94</v>
      </c>
      <c r="C109" s="27">
        <f>C108*C107</f>
        <v>1141.8414982916038</v>
      </c>
      <c r="D109" s="11"/>
      <c r="E109" s="11"/>
      <c r="F109" s="11"/>
      <c r="G109" s="11"/>
      <c r="H109" s="113"/>
      <c r="I109" s="106"/>
      <c r="J109" s="106"/>
      <c r="K109" s="105"/>
      <c r="L109" s="105"/>
      <c r="M109" s="105"/>
      <c r="N109" s="105"/>
      <c r="O109" s="105"/>
      <c r="P109" s="105"/>
      <c r="Q109" s="105"/>
      <c r="R109" s="105"/>
    </row>
    <row r="110" spans="1:18" s="95" customFormat="1" outlineLevel="1" x14ac:dyDescent="0.2">
      <c r="A110" s="12"/>
      <c r="B110" s="21" t="s">
        <v>95</v>
      </c>
      <c r="C110" s="35">
        <f>C37</f>
        <v>1.9455252918287869E-3</v>
      </c>
      <c r="D110" s="11"/>
      <c r="E110" s="11"/>
      <c r="F110" s="11"/>
      <c r="G110" s="11"/>
      <c r="I110" s="106"/>
      <c r="J110" s="106"/>
      <c r="K110" s="105"/>
      <c r="L110" s="105"/>
      <c r="M110" s="105"/>
      <c r="N110" s="105"/>
      <c r="O110" s="105"/>
      <c r="P110" s="105"/>
      <c r="Q110" s="105"/>
      <c r="R110" s="105"/>
    </row>
    <row r="111" spans="1:18" s="95" customFormat="1" outlineLevel="1" x14ac:dyDescent="0.2">
      <c r="A111" s="12"/>
      <c r="B111" s="30" t="s">
        <v>96</v>
      </c>
      <c r="C111" s="27">
        <f>C109*C110</f>
        <v>2.2214815141859918</v>
      </c>
      <c r="D111" s="11"/>
      <c r="E111" s="11"/>
      <c r="F111" s="11"/>
      <c r="G111" s="11"/>
      <c r="I111" s="106"/>
      <c r="J111" s="106"/>
      <c r="K111" s="105"/>
      <c r="L111" s="105"/>
      <c r="M111" s="105"/>
      <c r="N111" s="105"/>
      <c r="O111" s="105"/>
      <c r="P111" s="105"/>
      <c r="Q111" s="105"/>
      <c r="R111" s="105"/>
    </row>
    <row r="112" spans="1:18" s="95" customFormat="1" outlineLevel="1" x14ac:dyDescent="0.2">
      <c r="A112" s="13"/>
      <c r="B112" s="31" t="s">
        <v>97</v>
      </c>
      <c r="C112" s="23">
        <f>C107+C111</f>
        <v>154.46701461973316</v>
      </c>
      <c r="D112" s="4"/>
      <c r="E112" s="11"/>
      <c r="F112" s="11"/>
      <c r="G112" s="4"/>
      <c r="I112" s="104"/>
      <c r="J112" s="104"/>
      <c r="K112" s="100"/>
      <c r="Q112" s="107"/>
    </row>
    <row r="113" spans="1:18" s="95" customFormat="1" outlineLevel="1" x14ac:dyDescent="0.2">
      <c r="A113" s="12"/>
      <c r="B113" s="21"/>
      <c r="C113" s="11"/>
      <c r="D113" s="19"/>
      <c r="E113" s="19"/>
      <c r="F113" s="11"/>
      <c r="G113" s="11"/>
      <c r="H113" s="113"/>
      <c r="I113" s="108"/>
      <c r="J113" s="108"/>
      <c r="K113" s="106"/>
      <c r="L113" s="105"/>
      <c r="M113" s="105"/>
      <c r="N113" s="105"/>
      <c r="O113" s="105"/>
      <c r="P113" s="105"/>
      <c r="Q113" s="105"/>
      <c r="R113" s="105"/>
    </row>
    <row r="114" spans="1:18" s="95" customFormat="1" outlineLevel="1" x14ac:dyDescent="0.2">
      <c r="A114" s="12"/>
      <c r="B114" s="21"/>
      <c r="C114" s="11"/>
      <c r="D114" s="19"/>
      <c r="E114" s="19"/>
      <c r="F114" s="11"/>
      <c r="G114" s="11"/>
      <c r="H114" s="113"/>
      <c r="I114" s="108"/>
      <c r="J114" s="108"/>
      <c r="K114" s="106"/>
      <c r="L114" s="105"/>
      <c r="M114" s="105"/>
      <c r="N114" s="105"/>
      <c r="O114" s="105"/>
      <c r="P114" s="105"/>
      <c r="Q114" s="105"/>
      <c r="R114" s="105"/>
    </row>
    <row r="115" spans="1:18" ht="12" customHeight="1" outlineLevel="1" x14ac:dyDescent="0.2">
      <c r="B115" s="71" t="s">
        <v>136</v>
      </c>
      <c r="C115" s="72"/>
      <c r="D115" s="19"/>
      <c r="E115" s="31"/>
      <c r="G115" s="11"/>
      <c r="H115" s="112" t="s">
        <v>173</v>
      </c>
      <c r="O115" s="96"/>
    </row>
    <row r="116" spans="1:18" s="95" customFormat="1" outlineLevel="1" x14ac:dyDescent="0.2">
      <c r="A116" s="12"/>
      <c r="B116" s="8" t="s">
        <v>98</v>
      </c>
      <c r="C116" s="44">
        <v>20.28</v>
      </c>
      <c r="D116" s="19"/>
      <c r="E116" s="19"/>
      <c r="F116" s="11"/>
      <c r="G116" s="11"/>
      <c r="H116" s="135" t="s">
        <v>135</v>
      </c>
      <c r="I116" s="108"/>
      <c r="J116" s="108"/>
      <c r="K116" s="106"/>
      <c r="L116" s="105"/>
      <c r="M116" s="105"/>
      <c r="N116" s="105"/>
      <c r="O116" s="105"/>
      <c r="P116" s="105"/>
      <c r="Q116" s="105"/>
      <c r="R116" s="105"/>
    </row>
    <row r="117" spans="1:18" s="95" customFormat="1" outlineLevel="1" x14ac:dyDescent="0.2">
      <c r="A117" s="12"/>
      <c r="B117" s="8"/>
      <c r="C117" s="8"/>
      <c r="D117" s="8"/>
      <c r="E117" s="19"/>
      <c r="F117" s="11"/>
      <c r="G117" s="11"/>
      <c r="H117" s="136" t="s">
        <v>134</v>
      </c>
      <c r="I117" s="108"/>
      <c r="J117" s="108"/>
      <c r="K117" s="106"/>
      <c r="L117" s="105"/>
      <c r="M117" s="105"/>
      <c r="N117" s="105"/>
      <c r="O117" s="105"/>
      <c r="P117" s="105"/>
      <c r="Q117" s="105"/>
      <c r="R117" s="105"/>
    </row>
    <row r="118" spans="1:18" s="95" customFormat="1" outlineLevel="1" x14ac:dyDescent="0.2">
      <c r="A118" s="12"/>
      <c r="B118" s="8"/>
      <c r="C118" s="8"/>
      <c r="D118" s="8"/>
      <c r="E118" s="19"/>
      <c r="F118" s="11"/>
      <c r="G118" s="11"/>
      <c r="H118" s="113"/>
      <c r="I118" s="108"/>
      <c r="J118" s="108"/>
      <c r="K118" s="106"/>
      <c r="L118" s="105"/>
      <c r="M118" s="105"/>
      <c r="N118" s="105"/>
      <c r="O118" s="105"/>
      <c r="P118" s="105"/>
      <c r="Q118" s="105"/>
      <c r="R118" s="105"/>
    </row>
    <row r="119" spans="1:18" x14ac:dyDescent="0.2">
      <c r="B119" s="70" t="s">
        <v>99</v>
      </c>
      <c r="C119" s="48"/>
      <c r="D119" s="1"/>
      <c r="E119" s="1"/>
      <c r="F119" s="1"/>
      <c r="H119" s="112"/>
      <c r="O119" s="96"/>
    </row>
    <row r="120" spans="1:18" x14ac:dyDescent="0.2">
      <c r="B120" s="1" t="s">
        <v>100</v>
      </c>
      <c r="C120" s="122">
        <f>C112</f>
        <v>154.46701461973316</v>
      </c>
      <c r="D120" s="1"/>
      <c r="E120" s="1"/>
      <c r="F120" s="1"/>
      <c r="H120" s="112"/>
      <c r="O120" s="96"/>
    </row>
    <row r="121" spans="1:18" x14ac:dyDescent="0.2">
      <c r="B121" s="1" t="s">
        <v>101</v>
      </c>
      <c r="C121" s="122">
        <f>C26</f>
        <v>130.15331548837196</v>
      </c>
      <c r="D121" s="1"/>
      <c r="E121" s="1"/>
      <c r="F121" s="1"/>
      <c r="H121" s="112"/>
      <c r="O121" s="96"/>
    </row>
    <row r="122" spans="1:18" x14ac:dyDescent="0.2">
      <c r="B122" s="48" t="s">
        <v>98</v>
      </c>
      <c r="C122" s="123">
        <f>C116</f>
        <v>20.28</v>
      </c>
      <c r="D122" s="1"/>
      <c r="E122" s="1"/>
      <c r="F122" s="1"/>
      <c r="H122" s="112"/>
      <c r="O122" s="96"/>
    </row>
    <row r="123" spans="1:18" x14ac:dyDescent="0.2">
      <c r="B123" s="1" t="s">
        <v>102</v>
      </c>
      <c r="C123" s="76">
        <f>SUM(C120:C122)</f>
        <v>304.90033010810509</v>
      </c>
      <c r="D123" s="1"/>
      <c r="E123" s="1"/>
      <c r="F123" s="1"/>
      <c r="H123" s="112"/>
      <c r="O123" s="96"/>
    </row>
    <row r="124" spans="1:18" s="95" customFormat="1" x14ac:dyDescent="0.2">
      <c r="A124" s="12"/>
      <c r="B124" s="8"/>
      <c r="C124" s="8"/>
      <c r="D124" s="19"/>
      <c r="E124" s="19"/>
      <c r="F124" s="11"/>
      <c r="G124" s="11"/>
      <c r="H124" s="113"/>
      <c r="I124" s="108"/>
      <c r="J124" s="108"/>
      <c r="K124" s="106"/>
      <c r="L124" s="105"/>
      <c r="M124" s="105"/>
      <c r="N124" s="105"/>
      <c r="O124" s="105"/>
      <c r="P124" s="105"/>
      <c r="Q124" s="105"/>
      <c r="R124" s="105"/>
    </row>
    <row r="125" spans="1:18" s="95" customFormat="1" x14ac:dyDescent="0.2">
      <c r="A125" s="12"/>
      <c r="B125" s="8"/>
      <c r="C125" s="8"/>
      <c r="D125" s="19"/>
      <c r="E125" s="19"/>
      <c r="F125" s="11"/>
      <c r="G125" s="11"/>
      <c r="H125" s="113"/>
      <c r="I125" s="108"/>
      <c r="J125" s="108"/>
      <c r="K125" s="106"/>
      <c r="L125" s="105"/>
      <c r="M125" s="105"/>
      <c r="N125" s="105"/>
      <c r="O125" s="105"/>
      <c r="P125" s="105"/>
      <c r="Q125" s="105"/>
      <c r="R125" s="105"/>
    </row>
    <row r="126" spans="1:18" outlineLevel="1" x14ac:dyDescent="0.2">
      <c r="B126" s="80" t="s">
        <v>103</v>
      </c>
      <c r="C126" s="33"/>
      <c r="F126" s="17"/>
      <c r="H126" s="135" t="s">
        <v>49</v>
      </c>
      <c r="O126" s="96"/>
    </row>
    <row r="127" spans="1:18" s="95" customFormat="1" outlineLevel="1" x14ac:dyDescent="0.2">
      <c r="A127" s="12"/>
      <c r="B127" s="26" t="s">
        <v>104</v>
      </c>
      <c r="C127" s="81">
        <f>C27</f>
        <v>2070.4530967405553</v>
      </c>
      <c r="D127" s="11"/>
      <c r="E127" s="11"/>
      <c r="F127" s="11"/>
      <c r="G127" s="11"/>
      <c r="H127" s="133" t="s">
        <v>51</v>
      </c>
      <c r="I127" s="104"/>
      <c r="J127" s="104"/>
      <c r="K127" s="105"/>
      <c r="L127" s="105"/>
      <c r="M127" s="105"/>
      <c r="N127" s="105"/>
      <c r="O127" s="105"/>
      <c r="P127" s="105"/>
      <c r="Q127" s="105"/>
      <c r="R127" s="105"/>
    </row>
    <row r="128" spans="1:18" s="95" customFormat="1" outlineLevel="1" x14ac:dyDescent="0.2">
      <c r="A128" s="12"/>
      <c r="B128" s="8" t="s">
        <v>28</v>
      </c>
      <c r="C128" s="25">
        <f>C33</f>
        <v>15</v>
      </c>
      <c r="D128" s="11"/>
      <c r="E128" s="11"/>
      <c r="F128" s="11"/>
      <c r="G128" s="11"/>
      <c r="H128" s="113"/>
      <c r="I128" s="104"/>
      <c r="J128" s="104"/>
      <c r="K128" s="105"/>
      <c r="L128" s="105"/>
      <c r="M128" s="105"/>
      <c r="N128" s="105"/>
      <c r="O128" s="105"/>
      <c r="P128" s="105"/>
      <c r="Q128" s="105"/>
      <c r="R128" s="105"/>
    </row>
    <row r="129" spans="1:18" s="95" customFormat="1" outlineLevel="1" x14ac:dyDescent="0.2">
      <c r="A129" s="12"/>
      <c r="B129" s="29" t="s">
        <v>93</v>
      </c>
      <c r="C129" s="24">
        <f>C127/C128</f>
        <v>138.03020644937035</v>
      </c>
      <c r="D129" s="11"/>
      <c r="E129" s="11"/>
      <c r="F129" s="11"/>
      <c r="G129" s="11"/>
      <c r="H129" s="113"/>
      <c r="I129" s="106"/>
      <c r="J129" s="106"/>
      <c r="K129" s="105"/>
      <c r="L129" s="105"/>
      <c r="M129" s="105"/>
      <c r="N129" s="105"/>
      <c r="O129" s="105"/>
      <c r="P129" s="105"/>
      <c r="Q129" s="105"/>
      <c r="R129" s="105"/>
    </row>
    <row r="130" spans="1:18" s="95" customFormat="1" outlineLevel="1" x14ac:dyDescent="0.2">
      <c r="A130" s="12"/>
      <c r="B130" s="8" t="s">
        <v>29</v>
      </c>
      <c r="C130" s="52">
        <f>C34</f>
        <v>7.5</v>
      </c>
      <c r="D130" s="11"/>
      <c r="E130" s="11"/>
      <c r="F130" s="11"/>
      <c r="G130" s="11"/>
      <c r="H130" s="113"/>
      <c r="I130" s="106"/>
      <c r="J130" s="106"/>
      <c r="K130" s="105"/>
      <c r="L130" s="105"/>
      <c r="M130" s="105"/>
      <c r="N130" s="105"/>
      <c r="O130" s="105"/>
      <c r="P130" s="105"/>
      <c r="Q130" s="105"/>
      <c r="R130" s="105"/>
    </row>
    <row r="131" spans="1:18" s="95" customFormat="1" outlineLevel="1" x14ac:dyDescent="0.2">
      <c r="A131" s="12"/>
      <c r="B131" s="28" t="s">
        <v>105</v>
      </c>
      <c r="C131" s="27">
        <f>C130*C129</f>
        <v>1035.2265483702777</v>
      </c>
      <c r="D131" s="11"/>
      <c r="E131" s="11"/>
      <c r="F131" s="11"/>
      <c r="G131" s="11"/>
      <c r="H131" s="113"/>
      <c r="I131" s="106"/>
      <c r="J131" s="106"/>
      <c r="K131" s="105"/>
      <c r="L131" s="105"/>
      <c r="M131" s="105"/>
      <c r="N131" s="105"/>
      <c r="O131" s="105"/>
      <c r="P131" s="105"/>
      <c r="Q131" s="105"/>
      <c r="R131" s="105"/>
    </row>
    <row r="132" spans="1:18" s="95" customFormat="1" outlineLevel="1" x14ac:dyDescent="0.2">
      <c r="A132" s="12"/>
      <c r="B132" s="21" t="s">
        <v>95</v>
      </c>
      <c r="C132" s="35">
        <f>C37</f>
        <v>1.9455252918287869E-3</v>
      </c>
      <c r="D132" s="11"/>
      <c r="E132" s="11"/>
      <c r="F132" s="11"/>
      <c r="G132" s="11"/>
      <c r="H132" s="113"/>
      <c r="I132" s="106"/>
      <c r="J132" s="106"/>
      <c r="K132" s="105"/>
      <c r="L132" s="105"/>
      <c r="M132" s="105"/>
      <c r="N132" s="105"/>
      <c r="O132" s="105"/>
      <c r="P132" s="105"/>
      <c r="Q132" s="105"/>
      <c r="R132" s="105"/>
    </row>
    <row r="133" spans="1:18" s="95" customFormat="1" outlineLevel="1" x14ac:dyDescent="0.2">
      <c r="A133" s="12"/>
      <c r="B133" s="30" t="s">
        <v>96</v>
      </c>
      <c r="C133" s="27">
        <f>C131*C132</f>
        <v>2.0140594326269921</v>
      </c>
      <c r="D133" s="11"/>
      <c r="E133" s="11"/>
      <c r="F133" s="11"/>
      <c r="G133" s="11"/>
      <c r="H133" s="113"/>
      <c r="I133" s="106"/>
      <c r="J133" s="106"/>
      <c r="K133" s="105"/>
      <c r="L133" s="105"/>
      <c r="M133" s="105"/>
      <c r="N133" s="105"/>
      <c r="O133" s="105"/>
      <c r="P133" s="105"/>
      <c r="Q133" s="105"/>
      <c r="R133" s="105"/>
    </row>
    <row r="134" spans="1:18" s="95" customFormat="1" outlineLevel="1" x14ac:dyDescent="0.2">
      <c r="A134" s="12"/>
      <c r="B134" s="31" t="s">
        <v>106</v>
      </c>
      <c r="C134" s="23">
        <f>C129+C133</f>
        <v>140.04426588199735</v>
      </c>
      <c r="D134" s="18"/>
      <c r="E134" s="18"/>
      <c r="F134" s="18"/>
      <c r="G134" s="18"/>
      <c r="H134" s="113"/>
      <c r="I134" s="105"/>
      <c r="J134" s="105"/>
    </row>
    <row r="135" spans="1:18" s="95" customFormat="1" outlineLevel="1" x14ac:dyDescent="0.2">
      <c r="A135" s="12"/>
      <c r="B135" s="8"/>
      <c r="C135" s="8"/>
      <c r="D135" s="7"/>
      <c r="E135" s="18"/>
      <c r="F135" s="18"/>
      <c r="G135" s="18"/>
      <c r="H135" s="113"/>
      <c r="I135" s="105"/>
      <c r="J135" s="105"/>
    </row>
    <row r="136" spans="1:18" s="95" customFormat="1" outlineLevel="1" x14ac:dyDescent="0.2">
      <c r="A136" s="12"/>
      <c r="B136" s="8"/>
      <c r="C136" s="8"/>
      <c r="D136" s="7"/>
      <c r="E136" s="18"/>
      <c r="F136" s="18"/>
      <c r="G136" s="18"/>
      <c r="H136" s="113"/>
      <c r="I136" s="105"/>
      <c r="J136" s="105"/>
    </row>
    <row r="137" spans="1:18" x14ac:dyDescent="0.2">
      <c r="B137" s="70" t="s">
        <v>107</v>
      </c>
      <c r="C137" s="48"/>
      <c r="D137" s="1"/>
      <c r="E137" s="1"/>
      <c r="F137" s="1"/>
      <c r="H137" s="112"/>
      <c r="O137" s="96"/>
    </row>
    <row r="138" spans="1:18" x14ac:dyDescent="0.2">
      <c r="B138" s="1" t="s">
        <v>106</v>
      </c>
      <c r="C138" s="122">
        <f>C134</f>
        <v>140.04426588199735</v>
      </c>
      <c r="D138" s="1"/>
      <c r="E138" s="1"/>
      <c r="F138" s="1"/>
      <c r="H138" s="112"/>
      <c r="O138" s="96"/>
    </row>
    <row r="139" spans="1:18" x14ac:dyDescent="0.2">
      <c r="B139" s="1" t="s">
        <v>108</v>
      </c>
      <c r="C139" s="122">
        <f>C28</f>
        <v>36.922926379679993</v>
      </c>
      <c r="D139" s="1"/>
      <c r="E139" s="1"/>
      <c r="F139" s="1"/>
      <c r="H139" s="112"/>
      <c r="O139" s="96"/>
    </row>
    <row r="140" spans="1:18" x14ac:dyDescent="0.2">
      <c r="B140" s="48" t="s">
        <v>109</v>
      </c>
      <c r="C140" s="123">
        <f>C116</f>
        <v>20.28</v>
      </c>
      <c r="D140" s="1"/>
      <c r="E140" s="1"/>
      <c r="F140" s="1"/>
      <c r="H140" s="112"/>
      <c r="O140" s="96"/>
    </row>
    <row r="141" spans="1:18" x14ac:dyDescent="0.2">
      <c r="B141" s="1" t="s">
        <v>110</v>
      </c>
      <c r="C141" s="76">
        <f>SUM(C138:C140)</f>
        <v>197.24719226167733</v>
      </c>
      <c r="D141" s="1"/>
      <c r="E141" s="1"/>
      <c r="F141" s="1"/>
      <c r="H141" s="112"/>
      <c r="O141" s="96"/>
    </row>
    <row r="142" spans="1:18" s="95" customFormat="1" x14ac:dyDescent="0.2">
      <c r="A142" s="12"/>
      <c r="B142" s="8"/>
      <c r="C142" s="8"/>
      <c r="D142" s="7"/>
      <c r="E142" s="18"/>
      <c r="F142" s="18"/>
      <c r="G142" s="18"/>
      <c r="H142" s="113"/>
      <c r="I142" s="105"/>
      <c r="J142" s="105"/>
    </row>
    <row r="143" spans="1:18" s="95" customFormat="1" x14ac:dyDescent="0.2">
      <c r="A143" s="12"/>
      <c r="B143" s="8"/>
      <c r="C143" s="8"/>
      <c r="D143" s="7"/>
      <c r="E143" s="18"/>
      <c r="F143" s="18"/>
      <c r="G143" s="18"/>
      <c r="H143" s="113"/>
      <c r="I143" s="105"/>
      <c r="J143" s="105"/>
    </row>
    <row r="144" spans="1:18" s="95" customFormat="1" x14ac:dyDescent="0.2">
      <c r="A144" s="12"/>
      <c r="B144" s="41" t="s">
        <v>111</v>
      </c>
      <c r="C144" s="14"/>
      <c r="D144" s="7"/>
      <c r="E144" s="18"/>
      <c r="F144" s="18"/>
      <c r="G144" s="18"/>
      <c r="H144" s="113"/>
      <c r="I144" s="105"/>
      <c r="J144" s="105"/>
    </row>
    <row r="145" spans="1:15" s="95" customFormat="1" x14ac:dyDescent="0.2">
      <c r="A145" s="12"/>
      <c r="B145" s="8" t="s">
        <v>102</v>
      </c>
      <c r="C145" s="83">
        <f>C123</f>
        <v>304.90033010810509</v>
      </c>
      <c r="D145" s="7"/>
      <c r="E145" s="18"/>
      <c r="F145" s="18"/>
      <c r="G145" s="18"/>
      <c r="H145" s="113"/>
      <c r="I145" s="105"/>
      <c r="J145" s="105"/>
    </row>
    <row r="146" spans="1:15" s="95" customFormat="1" x14ac:dyDescent="0.2">
      <c r="A146" s="12"/>
      <c r="B146" s="8" t="s">
        <v>110</v>
      </c>
      <c r="C146" s="83">
        <f>C141</f>
        <v>197.24719226167733</v>
      </c>
      <c r="D146" s="7"/>
      <c r="E146" s="18"/>
      <c r="F146" s="18"/>
      <c r="G146" s="18"/>
      <c r="H146" s="113"/>
      <c r="I146" s="105"/>
      <c r="J146" s="105"/>
    </row>
    <row r="147" spans="1:15" s="95" customFormat="1" x14ac:dyDescent="0.2">
      <c r="A147" s="12"/>
      <c r="B147" s="14" t="s">
        <v>112</v>
      </c>
      <c r="C147" s="79">
        <f>C29</f>
        <v>46.153657974599987</v>
      </c>
      <c r="D147" s="7"/>
      <c r="E147" s="18"/>
      <c r="F147" s="18"/>
      <c r="G147" s="18"/>
      <c r="H147" s="113"/>
      <c r="I147" s="105"/>
      <c r="J147" s="105"/>
    </row>
    <row r="148" spans="1:15" s="95" customFormat="1" x14ac:dyDescent="0.2">
      <c r="A148" s="12"/>
      <c r="B148" s="8" t="s">
        <v>113</v>
      </c>
      <c r="C148" s="125">
        <f>C145-C146-C147</f>
        <v>61.499479871827781</v>
      </c>
      <c r="D148" s="7"/>
      <c r="E148" s="18"/>
      <c r="F148" s="18"/>
      <c r="G148" s="18"/>
      <c r="H148" s="113"/>
      <c r="I148" s="105"/>
      <c r="J148" s="105"/>
    </row>
    <row r="149" spans="1:15" s="95" customFormat="1" x14ac:dyDescent="0.2">
      <c r="A149" s="12"/>
      <c r="B149" s="8"/>
      <c r="C149" s="8"/>
      <c r="D149" s="7"/>
      <c r="E149" s="18"/>
      <c r="F149" s="18"/>
      <c r="G149" s="18"/>
      <c r="H149" s="113"/>
      <c r="I149" s="105"/>
      <c r="J149" s="105"/>
    </row>
    <row r="150" spans="1:15" s="95" customFormat="1" x14ac:dyDescent="0.2">
      <c r="A150" s="12"/>
      <c r="B150" s="8"/>
      <c r="C150" s="8"/>
      <c r="D150" s="7"/>
      <c r="E150" s="18"/>
      <c r="F150" s="18"/>
      <c r="G150" s="18"/>
      <c r="H150" s="113"/>
      <c r="I150" s="105"/>
      <c r="J150" s="105"/>
    </row>
    <row r="151" spans="1:15" s="95" customFormat="1" x14ac:dyDescent="0.2">
      <c r="A151" s="12"/>
      <c r="B151" s="41" t="s">
        <v>114</v>
      </c>
      <c r="C151" s="14"/>
      <c r="D151" s="7"/>
      <c r="E151" s="18"/>
      <c r="F151" s="18"/>
      <c r="G151" s="18"/>
      <c r="H151" s="113"/>
      <c r="I151" s="105"/>
      <c r="J151" s="105"/>
    </row>
    <row r="152" spans="1:15" s="95" customFormat="1" x14ac:dyDescent="0.2">
      <c r="A152" s="12"/>
      <c r="B152" s="1" t="s">
        <v>91</v>
      </c>
      <c r="C152" s="83">
        <f>C101</f>
        <v>148.41717741973119</v>
      </c>
      <c r="D152" s="7"/>
      <c r="E152" s="18"/>
      <c r="F152" s="18"/>
      <c r="G152" s="18"/>
      <c r="H152" s="113"/>
      <c r="I152" s="105"/>
      <c r="J152" s="105"/>
    </row>
    <row r="153" spans="1:15" s="95" customFormat="1" x14ac:dyDescent="0.2">
      <c r="A153" s="12"/>
      <c r="B153" s="14" t="s">
        <v>113</v>
      </c>
      <c r="C153" s="79">
        <f>C148</f>
        <v>61.499479871827781</v>
      </c>
      <c r="D153" s="7"/>
      <c r="E153" s="18"/>
      <c r="F153" s="18"/>
      <c r="G153" s="18"/>
      <c r="H153" s="113"/>
      <c r="I153" s="105"/>
      <c r="J153" s="105"/>
    </row>
    <row r="154" spans="1:15" s="95" customFormat="1" x14ac:dyDescent="0.2">
      <c r="A154" s="12"/>
      <c r="B154" s="8" t="s">
        <v>115</v>
      </c>
      <c r="C154" s="124">
        <f>C152+C153</f>
        <v>209.91665729155898</v>
      </c>
      <c r="D154" s="7"/>
      <c r="E154" s="18"/>
      <c r="F154" s="18"/>
      <c r="G154" s="18"/>
      <c r="H154" s="113"/>
      <c r="I154" s="105"/>
      <c r="J154" s="105"/>
    </row>
    <row r="155" spans="1:15" s="95" customFormat="1" x14ac:dyDescent="0.2">
      <c r="A155" s="12"/>
      <c r="B155" s="8" t="s">
        <v>116</v>
      </c>
      <c r="C155" s="124">
        <f>C154*(1+C9)</f>
        <v>253.99915532278635</v>
      </c>
      <c r="D155" s="7"/>
      <c r="E155" s="18"/>
      <c r="F155" s="18"/>
      <c r="G155" s="18"/>
      <c r="H155" s="113"/>
      <c r="I155" s="105"/>
      <c r="J155" s="105"/>
    </row>
    <row r="156" spans="1:15" x14ac:dyDescent="0.2">
      <c r="B156" s="31"/>
      <c r="C156" s="31"/>
      <c r="D156" s="31"/>
      <c r="E156" s="31"/>
      <c r="H156" s="112"/>
      <c r="I156" s="100"/>
      <c r="O156" s="96"/>
    </row>
    <row r="157" spans="1:15" x14ac:dyDescent="0.2">
      <c r="B157" s="31"/>
      <c r="C157" s="31"/>
      <c r="D157" s="31"/>
      <c r="E157" s="31"/>
      <c r="H157" s="112"/>
      <c r="I157" s="100"/>
      <c r="O157" s="96"/>
    </row>
    <row r="158" spans="1:15" s="95" customFormat="1" ht="19.5" x14ac:dyDescent="0.3">
      <c r="A158" s="109"/>
      <c r="B158" s="110" t="s">
        <v>37</v>
      </c>
      <c r="C158" s="109"/>
      <c r="D158" s="109"/>
      <c r="E158" s="109"/>
      <c r="F158" s="109"/>
      <c r="G158" s="109"/>
      <c r="H158" s="117"/>
    </row>
    <row r="159" spans="1:15" x14ac:dyDescent="0.2">
      <c r="B159" s="31"/>
      <c r="C159" s="31"/>
      <c r="E159" s="31"/>
      <c r="H159" s="112"/>
      <c r="L159" s="102"/>
      <c r="M159" s="100"/>
      <c r="N159" s="100"/>
      <c r="O159" s="96"/>
    </row>
    <row r="160" spans="1:15" x14ac:dyDescent="0.2">
      <c r="B160" s="31"/>
      <c r="C160" s="31"/>
      <c r="E160" s="31"/>
      <c r="H160" s="116"/>
      <c r="L160" s="102"/>
      <c r="M160" s="100"/>
      <c r="N160" s="100"/>
      <c r="O160" s="96"/>
    </row>
    <row r="161" spans="2:15" ht="25.5" outlineLevel="1" x14ac:dyDescent="0.2">
      <c r="B161" s="151" t="s">
        <v>117</v>
      </c>
      <c r="C161" s="152" t="s">
        <v>131</v>
      </c>
      <c r="D161" s="152" t="s">
        <v>132</v>
      </c>
      <c r="E161" s="152" t="s">
        <v>133</v>
      </c>
      <c r="F161" s="99"/>
      <c r="G161" s="99"/>
      <c r="H161" s="112" t="s">
        <v>177</v>
      </c>
      <c r="I161" s="99"/>
      <c r="J161" s="99"/>
      <c r="K161" s="99"/>
      <c r="L161" s="99"/>
      <c r="M161" s="99"/>
      <c r="N161" s="99"/>
      <c r="O161" s="96"/>
    </row>
    <row r="162" spans="2:15" outlineLevel="1" x14ac:dyDescent="0.2">
      <c r="B162" s="151" t="s">
        <v>130</v>
      </c>
      <c r="C162" s="152" t="s">
        <v>139</v>
      </c>
      <c r="D162" s="152" t="s">
        <v>141</v>
      </c>
      <c r="E162" s="152" t="s">
        <v>140</v>
      </c>
      <c r="F162" s="99"/>
      <c r="G162" s="99"/>
      <c r="H162" s="113"/>
      <c r="I162" s="99"/>
      <c r="J162" s="99"/>
      <c r="K162" s="99"/>
      <c r="L162" s="99"/>
      <c r="M162" s="99"/>
      <c r="N162" s="99"/>
      <c r="O162" s="96"/>
    </row>
    <row r="163" spans="2:15" outlineLevel="1" x14ac:dyDescent="0.2">
      <c r="B163" s="8" t="s">
        <v>142</v>
      </c>
      <c r="C163" s="159">
        <v>0.35424</v>
      </c>
      <c r="D163" s="159">
        <v>0.34470000000000001</v>
      </c>
      <c r="E163" s="159">
        <v>0.34870000000000001</v>
      </c>
      <c r="F163" s="99"/>
      <c r="G163" s="99"/>
      <c r="H163" s="96"/>
      <c r="I163" s="99"/>
      <c r="J163" s="99"/>
      <c r="K163" s="99"/>
      <c r="L163" s="99"/>
      <c r="M163" s="99"/>
      <c r="N163" s="99"/>
      <c r="O163" s="96"/>
    </row>
    <row r="164" spans="2:15" outlineLevel="1" x14ac:dyDescent="0.2">
      <c r="B164" s="8" t="s">
        <v>143</v>
      </c>
      <c r="C164" s="159">
        <v>0.36791000000000001</v>
      </c>
      <c r="D164" s="159">
        <v>0.35880000000000001</v>
      </c>
      <c r="E164" s="159">
        <v>0.35899999999999999</v>
      </c>
      <c r="F164" s="99"/>
      <c r="G164" s="99"/>
      <c r="H164" s="99"/>
      <c r="I164" s="99"/>
      <c r="J164" s="99"/>
      <c r="K164" s="99"/>
      <c r="L164" s="99"/>
      <c r="M164" s="99"/>
      <c r="N164" s="99"/>
      <c r="O164" s="96"/>
    </row>
    <row r="165" spans="2:15" outlineLevel="1" x14ac:dyDescent="0.2">
      <c r="B165" s="8" t="s">
        <v>144</v>
      </c>
      <c r="C165" s="159">
        <v>0.35750999999999999</v>
      </c>
      <c r="D165" s="159">
        <v>0.34789999999999999</v>
      </c>
      <c r="E165" s="159">
        <v>0.35120000000000001</v>
      </c>
      <c r="F165" s="99"/>
      <c r="G165" s="99"/>
      <c r="H165" s="99"/>
      <c r="I165" s="99"/>
      <c r="J165" s="99"/>
      <c r="K165" s="99"/>
      <c r="L165" s="99"/>
      <c r="M165" s="99"/>
      <c r="N165" s="99"/>
      <c r="O165" s="96"/>
    </row>
    <row r="166" spans="2:15" outlineLevel="1" x14ac:dyDescent="0.2">
      <c r="B166" s="8" t="s">
        <v>145</v>
      </c>
      <c r="C166" s="159">
        <v>0.35009000000000001</v>
      </c>
      <c r="D166" s="159">
        <v>0.34</v>
      </c>
      <c r="E166" s="159">
        <v>0.34599999999999997</v>
      </c>
      <c r="F166" s="99"/>
      <c r="G166" s="99"/>
      <c r="H166" s="99"/>
      <c r="I166" s="99"/>
      <c r="J166" s="99"/>
      <c r="K166" s="99"/>
      <c r="L166" s="99"/>
      <c r="M166" s="99"/>
      <c r="N166" s="99"/>
      <c r="O166" s="96"/>
    </row>
    <row r="167" spans="2:15" outlineLevel="1" x14ac:dyDescent="0.2">
      <c r="B167" s="8" t="s">
        <v>146</v>
      </c>
      <c r="C167" s="159">
        <v>0.36075000000000002</v>
      </c>
      <c r="D167" s="159">
        <v>0.35160000000000002</v>
      </c>
      <c r="E167" s="159">
        <v>0.35360000000000003</v>
      </c>
      <c r="F167" s="99"/>
      <c r="G167" s="99"/>
      <c r="H167" s="99"/>
      <c r="I167" s="99"/>
      <c r="J167" s="99"/>
      <c r="K167" s="99"/>
      <c r="L167" s="99"/>
      <c r="M167" s="99"/>
      <c r="N167" s="99"/>
      <c r="O167" s="96"/>
    </row>
    <row r="168" spans="2:15" outlineLevel="1" x14ac:dyDescent="0.2">
      <c r="B168" s="111" t="s">
        <v>147</v>
      </c>
      <c r="C168" s="159">
        <v>0.36241000000000001</v>
      </c>
      <c r="D168" s="159">
        <v>0.3533</v>
      </c>
      <c r="E168" s="159">
        <v>0.3548</v>
      </c>
      <c r="F168" s="99"/>
      <c r="G168" s="99"/>
      <c r="H168" s="99"/>
      <c r="I168" s="99"/>
      <c r="J168" s="99"/>
      <c r="K168" s="99"/>
      <c r="L168" s="99"/>
      <c r="M168" s="99"/>
      <c r="N168" s="99"/>
      <c r="O168" s="96"/>
    </row>
    <row r="169" spans="2:15" outlineLevel="1" x14ac:dyDescent="0.2">
      <c r="B169" s="105" t="s">
        <v>148</v>
      </c>
      <c r="C169" s="159">
        <v>0.36259000000000002</v>
      </c>
      <c r="D169" s="159">
        <v>0.35349999999999998</v>
      </c>
      <c r="E169" s="159">
        <v>0.35489999999999999</v>
      </c>
      <c r="F169" s="99"/>
      <c r="G169" s="99"/>
      <c r="H169" s="99"/>
      <c r="I169" s="99"/>
      <c r="J169" s="99"/>
      <c r="K169" s="99"/>
      <c r="L169" s="99"/>
      <c r="M169" s="99"/>
      <c r="N169" s="99"/>
      <c r="O169" s="96"/>
    </row>
    <row r="170" spans="2:15" outlineLevel="1" x14ac:dyDescent="0.2">
      <c r="B170" s="105" t="s">
        <v>149</v>
      </c>
      <c r="C170" s="159">
        <v>0.35138999999999998</v>
      </c>
      <c r="D170" s="159">
        <v>0.34150000000000003</v>
      </c>
      <c r="E170" s="159">
        <v>0.34670000000000001</v>
      </c>
      <c r="F170" s="99"/>
      <c r="G170" s="99"/>
      <c r="H170" s="99"/>
      <c r="I170" s="99"/>
      <c r="J170" s="99"/>
      <c r="K170" s="99"/>
      <c r="L170" s="99"/>
      <c r="M170" s="99"/>
      <c r="N170" s="99"/>
      <c r="O170" s="96"/>
    </row>
    <row r="171" spans="2:15" outlineLevel="1" x14ac:dyDescent="0.2">
      <c r="B171" s="105" t="s">
        <v>150</v>
      </c>
      <c r="C171" s="159">
        <v>0.35870000000000002</v>
      </c>
      <c r="D171" s="159">
        <v>0.34910000000000002</v>
      </c>
      <c r="E171" s="159">
        <v>0.35199999999999998</v>
      </c>
      <c r="F171" s="99"/>
      <c r="G171" s="99"/>
      <c r="H171" s="99"/>
      <c r="I171" s="99"/>
      <c r="J171" s="99"/>
      <c r="K171" s="99"/>
      <c r="L171" s="99"/>
      <c r="M171" s="99"/>
      <c r="N171" s="99"/>
      <c r="O171" s="96"/>
    </row>
    <row r="172" spans="2:15" outlineLevel="1" x14ac:dyDescent="0.2">
      <c r="B172" s="105" t="s">
        <v>151</v>
      </c>
      <c r="C172" s="159">
        <v>0.35779</v>
      </c>
      <c r="D172" s="159">
        <v>0.34839999999999999</v>
      </c>
      <c r="E172" s="159">
        <v>0.35139999999999999</v>
      </c>
      <c r="F172" s="99"/>
      <c r="G172" s="99"/>
      <c r="H172" s="99"/>
      <c r="I172" s="99"/>
      <c r="J172" s="99"/>
      <c r="K172" s="99"/>
      <c r="L172" s="99"/>
      <c r="M172" s="99"/>
      <c r="N172" s="99"/>
      <c r="O172" s="96"/>
    </row>
    <row r="173" spans="2:15" outlineLevel="1" x14ac:dyDescent="0.2">
      <c r="B173" s="32"/>
      <c r="C173" s="32"/>
      <c r="D173" s="32"/>
      <c r="E173" s="32"/>
      <c r="F173" s="99"/>
      <c r="G173" s="99"/>
      <c r="H173" s="99"/>
      <c r="I173" s="99"/>
      <c r="J173" s="99"/>
      <c r="K173" s="99"/>
      <c r="L173" s="99"/>
      <c r="M173" s="99"/>
      <c r="N173" s="99"/>
      <c r="O173" s="96"/>
    </row>
    <row r="174" spans="2:15" outlineLevel="1" x14ac:dyDescent="0.2">
      <c r="B174" s="31"/>
      <c r="C174" s="31"/>
      <c r="D174" s="31"/>
      <c r="E174" s="31"/>
      <c r="F174" s="99"/>
      <c r="G174" s="99"/>
      <c r="H174" s="99"/>
      <c r="I174" s="99"/>
      <c r="J174" s="99"/>
      <c r="K174" s="99"/>
      <c r="L174" s="99"/>
      <c r="M174" s="99"/>
      <c r="N174" s="99"/>
      <c r="O174" s="96"/>
    </row>
    <row r="175" spans="2:15" x14ac:dyDescent="0.2">
      <c r="B175" s="40" t="s">
        <v>118</v>
      </c>
      <c r="C175" s="33"/>
      <c r="D175" s="31"/>
      <c r="E175" s="31"/>
      <c r="F175" s="31"/>
      <c r="G175" s="31"/>
      <c r="H175" s="113"/>
      <c r="I175" s="100"/>
      <c r="J175" s="100"/>
      <c r="K175" s="100"/>
      <c r="L175" s="100"/>
      <c r="M175" s="100"/>
      <c r="N175" s="99"/>
      <c r="O175" s="96"/>
    </row>
    <row r="176" spans="2:15" ht="25.5" x14ac:dyDescent="0.2">
      <c r="B176" s="84" t="s">
        <v>119</v>
      </c>
      <c r="C176" s="85">
        <f>AVERAGE(C163:E172)</f>
        <v>0.35301600000000005</v>
      </c>
      <c r="E176" s="31"/>
      <c r="H176" s="96"/>
      <c r="L176" s="102"/>
      <c r="M176" s="100"/>
      <c r="N176" s="100"/>
      <c r="O176" s="96"/>
    </row>
    <row r="177" spans="2:15" x14ac:dyDescent="0.2">
      <c r="B177" s="8" t="s">
        <v>67</v>
      </c>
      <c r="C177" s="86">
        <f>C10</f>
        <v>0.18940000000000001</v>
      </c>
      <c r="E177" s="31"/>
      <c r="H177" s="112"/>
      <c r="L177" s="102"/>
      <c r="M177" s="100"/>
      <c r="N177" s="100"/>
      <c r="O177" s="96"/>
    </row>
    <row r="178" spans="2:15" x14ac:dyDescent="0.2">
      <c r="B178" s="14" t="s">
        <v>68</v>
      </c>
      <c r="C178" s="87">
        <f>C11</f>
        <v>4.5999999999999999E-3</v>
      </c>
      <c r="E178" s="31"/>
      <c r="H178" s="112"/>
      <c r="L178" s="102"/>
      <c r="M178" s="100"/>
      <c r="N178" s="100"/>
      <c r="O178" s="96"/>
    </row>
    <row r="179" spans="2:15" x14ac:dyDescent="0.2">
      <c r="B179" s="31" t="s">
        <v>120</v>
      </c>
      <c r="C179" s="37">
        <f>SUM(C176:C178)</f>
        <v>0.54701600000000006</v>
      </c>
      <c r="E179" s="31"/>
      <c r="H179" s="112"/>
      <c r="L179" s="102"/>
      <c r="M179" s="100"/>
      <c r="N179" s="100"/>
      <c r="O179" s="96"/>
    </row>
    <row r="180" spans="2:15" x14ac:dyDescent="0.2">
      <c r="B180" s="31"/>
      <c r="C180" s="31"/>
      <c r="D180" s="31"/>
      <c r="E180" s="31"/>
      <c r="H180" s="112"/>
      <c r="L180" s="102"/>
      <c r="M180" s="100"/>
      <c r="N180" s="100"/>
      <c r="O180" s="96"/>
    </row>
    <row r="181" spans="2:15" x14ac:dyDescent="0.2">
      <c r="B181" s="31"/>
      <c r="C181" s="31"/>
      <c r="D181" s="31"/>
      <c r="E181" s="31"/>
      <c r="H181" s="112"/>
      <c r="L181" s="102"/>
      <c r="M181" s="100"/>
      <c r="N181" s="100"/>
      <c r="O181" s="96"/>
    </row>
    <row r="182" spans="2:15" ht="25.5" x14ac:dyDescent="0.2">
      <c r="B182" s="93" t="s">
        <v>36</v>
      </c>
      <c r="C182" s="31"/>
      <c r="D182" s="31"/>
      <c r="E182" s="31"/>
      <c r="H182" s="112"/>
      <c r="L182" s="102"/>
      <c r="M182" s="100"/>
      <c r="N182" s="100"/>
      <c r="O182" s="96"/>
    </row>
    <row r="183" spans="2:15" x14ac:dyDescent="0.2">
      <c r="B183" s="15" t="s">
        <v>2</v>
      </c>
      <c r="C183" s="88">
        <f t="shared" ref="C183:C188" si="1">C42</f>
        <v>0.79</v>
      </c>
      <c r="D183" s="47"/>
      <c r="E183" s="47"/>
      <c r="H183" s="112"/>
    </row>
    <row r="184" spans="2:15" x14ac:dyDescent="0.2">
      <c r="B184" s="8" t="s">
        <v>7</v>
      </c>
      <c r="C184" s="89">
        <f t="shared" si="1"/>
        <v>0.21</v>
      </c>
      <c r="D184" s="47"/>
      <c r="E184" s="47"/>
      <c r="H184" s="112"/>
    </row>
    <row r="185" spans="2:15" x14ac:dyDescent="0.2">
      <c r="B185" s="8" t="s">
        <v>3</v>
      </c>
      <c r="C185" s="89">
        <f t="shared" si="1"/>
        <v>0.05</v>
      </c>
      <c r="D185" s="47"/>
      <c r="E185" s="47"/>
      <c r="H185" s="112"/>
    </row>
    <row r="186" spans="2:15" x14ac:dyDescent="0.2">
      <c r="B186" s="8" t="s">
        <v>4</v>
      </c>
      <c r="C186" s="89">
        <f t="shared" si="1"/>
        <v>0.1</v>
      </c>
      <c r="D186" s="47"/>
      <c r="E186" s="47"/>
      <c r="H186" s="112"/>
    </row>
    <row r="187" spans="2:15" x14ac:dyDescent="0.2">
      <c r="B187" s="8" t="s">
        <v>5</v>
      </c>
      <c r="C187" s="89">
        <f t="shared" si="1"/>
        <v>0.9</v>
      </c>
      <c r="D187" s="47"/>
      <c r="E187" s="47"/>
      <c r="H187" s="112"/>
    </row>
    <row r="188" spans="2:15" x14ac:dyDescent="0.2">
      <c r="B188" s="14" t="s">
        <v>6</v>
      </c>
      <c r="C188" s="90">
        <f t="shared" si="1"/>
        <v>0.65</v>
      </c>
      <c r="D188" s="47"/>
      <c r="E188" s="47"/>
      <c r="H188" s="112"/>
    </row>
    <row r="189" spans="2:15" x14ac:dyDescent="0.2">
      <c r="B189" s="15" t="s">
        <v>35</v>
      </c>
      <c r="C189" s="91">
        <f>C183*(1+C185)/C187+C184*(1+C186)/C188</f>
        <v>1.277051282051282</v>
      </c>
      <c r="D189" s="47"/>
      <c r="E189" s="47"/>
      <c r="H189" s="112"/>
    </row>
    <row r="190" spans="2:15" x14ac:dyDescent="0.2">
      <c r="B190" s="31" t="s">
        <v>1</v>
      </c>
      <c r="C190" s="92">
        <f>1/C189</f>
        <v>0.78305391024997495</v>
      </c>
      <c r="D190" s="47"/>
      <c r="E190" s="47"/>
      <c r="H190" s="112"/>
    </row>
    <row r="191" spans="2:15" x14ac:dyDescent="0.2">
      <c r="B191" s="31"/>
      <c r="C191" s="31"/>
      <c r="D191" s="47"/>
      <c r="E191" s="47"/>
      <c r="H191" s="112"/>
    </row>
    <row r="192" spans="2:15" x14ac:dyDescent="0.2">
      <c r="B192" s="31"/>
      <c r="C192" s="31"/>
      <c r="D192" s="47"/>
      <c r="E192" s="47"/>
      <c r="H192" s="112"/>
    </row>
    <row r="193" spans="1:8" x14ac:dyDescent="0.2">
      <c r="B193" s="39" t="s">
        <v>121</v>
      </c>
      <c r="C193" s="55"/>
      <c r="D193" s="47"/>
      <c r="E193" s="47"/>
      <c r="H193" s="112"/>
    </row>
    <row r="194" spans="1:8" x14ac:dyDescent="0.2">
      <c r="B194" s="32" t="s">
        <v>122</v>
      </c>
      <c r="C194" s="153">
        <f>C179</f>
        <v>0.54701600000000006</v>
      </c>
      <c r="D194" s="47"/>
      <c r="E194" s="47"/>
      <c r="H194" s="112"/>
    </row>
    <row r="195" spans="1:8" x14ac:dyDescent="0.2">
      <c r="B195" s="31" t="s">
        <v>1</v>
      </c>
      <c r="C195" s="86">
        <f>C190</f>
        <v>0.78305391024997495</v>
      </c>
      <c r="D195" s="47"/>
      <c r="E195" s="47"/>
      <c r="H195" s="112"/>
    </row>
    <row r="196" spans="1:8" x14ac:dyDescent="0.2">
      <c r="B196" s="33" t="s">
        <v>38</v>
      </c>
      <c r="C196" s="94">
        <v>3.517E-2</v>
      </c>
      <c r="H196" s="112" t="s">
        <v>41</v>
      </c>
    </row>
    <row r="197" spans="1:8" x14ac:dyDescent="0.2">
      <c r="B197" s="15" t="s">
        <v>123</v>
      </c>
      <c r="C197" s="127">
        <f>C179/(C190*C196)</f>
        <v>19.862595510451072</v>
      </c>
      <c r="H197" s="112"/>
    </row>
    <row r="198" spans="1:8" x14ac:dyDescent="0.2">
      <c r="B198" s="8" t="s">
        <v>124</v>
      </c>
      <c r="C198" s="126">
        <f>C197*(1+C9)</f>
        <v>24.033740567645797</v>
      </c>
      <c r="H198" s="112"/>
    </row>
    <row r="199" spans="1:8" x14ac:dyDescent="0.2">
      <c r="B199" s="8"/>
      <c r="C199" s="8"/>
      <c r="H199" s="112"/>
    </row>
    <row r="200" spans="1:8" x14ac:dyDescent="0.2">
      <c r="H200" s="112"/>
    </row>
    <row r="201" spans="1:8" s="95" customFormat="1" ht="19.5" x14ac:dyDescent="0.3">
      <c r="A201" s="109"/>
      <c r="B201" s="110" t="s">
        <v>125</v>
      </c>
      <c r="C201" s="109"/>
      <c r="D201" s="109"/>
      <c r="E201" s="109"/>
      <c r="F201" s="109"/>
      <c r="G201" s="109"/>
      <c r="H201" s="117"/>
    </row>
    <row r="202" spans="1:8" s="95" customFormat="1" x14ac:dyDescent="0.2">
      <c r="A202" s="12"/>
      <c r="B202" s="5"/>
      <c r="C202" s="8"/>
      <c r="D202" s="8"/>
      <c r="E202" s="8"/>
      <c r="F202" s="7"/>
      <c r="G202" s="7"/>
      <c r="H202" s="118"/>
    </row>
    <row r="203" spans="1:8" s="95" customFormat="1" x14ac:dyDescent="0.2">
      <c r="A203" s="12"/>
      <c r="B203" s="5"/>
      <c r="C203" s="8"/>
      <c r="D203" s="8"/>
      <c r="E203" s="8"/>
      <c r="F203" s="7"/>
      <c r="G203" s="7"/>
      <c r="H203" s="118"/>
    </row>
    <row r="204" spans="1:8" x14ac:dyDescent="0.2">
      <c r="B204" s="59" t="s">
        <v>126</v>
      </c>
      <c r="C204" s="137" t="str">
        <f>C208&amp;" + "&amp; C209 &amp;" * Ww"</f>
        <v>254 + 24,03 * Ww</v>
      </c>
      <c r="H204" s="139" t="s">
        <v>178</v>
      </c>
    </row>
    <row r="205" spans="1:8" x14ac:dyDescent="0.2">
      <c r="B205" s="54"/>
      <c r="C205" s="54"/>
      <c r="H205" s="140" t="s">
        <v>43</v>
      </c>
    </row>
    <row r="206" spans="1:8" x14ac:dyDescent="0.2">
      <c r="B206" s="42" t="s">
        <v>44</v>
      </c>
      <c r="H206" s="96"/>
    </row>
    <row r="207" spans="1:8" x14ac:dyDescent="0.2">
      <c r="H207" s="114"/>
    </row>
    <row r="208" spans="1:8" x14ac:dyDescent="0.2">
      <c r="B208" s="8" t="s">
        <v>116</v>
      </c>
      <c r="C208" s="128">
        <f>ROUND(C155,2)</f>
        <v>254</v>
      </c>
    </row>
    <row r="209" spans="1:8" x14ac:dyDescent="0.2">
      <c r="B209" s="8" t="s">
        <v>124</v>
      </c>
      <c r="C209" s="138">
        <f>ROUND(C198,2)</f>
        <v>24.03</v>
      </c>
      <c r="H209" s="96"/>
    </row>
    <row r="210" spans="1:8" x14ac:dyDescent="0.2">
      <c r="B210" s="54"/>
      <c r="H210" s="96"/>
    </row>
    <row r="211" spans="1:8" x14ac:dyDescent="0.2">
      <c r="B211" s="54"/>
    </row>
    <row r="212" spans="1:8" s="95" customFormat="1" ht="19.5" x14ac:dyDescent="0.3">
      <c r="A212" s="109"/>
      <c r="B212" s="110" t="s">
        <v>127</v>
      </c>
      <c r="C212" s="109"/>
      <c r="D212" s="109"/>
      <c r="E212" s="109"/>
      <c r="F212" s="109"/>
      <c r="G212" s="109"/>
      <c r="H212" s="117"/>
    </row>
    <row r="213" spans="1:8" x14ac:dyDescent="0.2">
      <c r="B213" s="54"/>
    </row>
    <row r="214" spans="1:8" x14ac:dyDescent="0.2">
      <c r="B214" s="54" t="s">
        <v>57</v>
      </c>
      <c r="C214" s="149">
        <v>30</v>
      </c>
      <c r="D214" s="42" t="s">
        <v>45</v>
      </c>
    </row>
    <row r="215" spans="1:8" x14ac:dyDescent="0.2">
      <c r="B215" s="42" t="s">
        <v>152</v>
      </c>
      <c r="C215" s="77">
        <f>C208+C209*C214</f>
        <v>974.90000000000009</v>
      </c>
    </row>
  </sheetData>
  <phoneticPr fontId="3" type="noConversion"/>
  <pageMargins left="0.75" right="0.75" top="1" bottom="1" header="0.5" footer="0.5"/>
  <pageSetup paperSize="9" scale="40" fitToHeight="0" orientation="landscape" r:id="rId1"/>
  <headerFooter alignWithMargins="0"/>
  <rowBreaks count="2" manualBreakCount="2">
    <brk id="81" min="1" max="7" man="1"/>
    <brk id="157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showGridLines="0" zoomScale="85" zoomScaleNormal="85" workbookViewId="0">
      <selection activeCell="B22" sqref="B22"/>
    </sheetView>
  </sheetViews>
  <sheetFormatPr defaultRowHeight="12.75" x14ac:dyDescent="0.2"/>
  <cols>
    <col min="1" max="1" width="3.7109375" style="13" customWidth="1"/>
    <col min="2" max="2" width="90.7109375" style="42" customWidth="1"/>
    <col min="3" max="3" width="21.28515625" style="42" customWidth="1"/>
    <col min="4" max="4" width="12.85546875" style="42" customWidth="1"/>
    <col min="5" max="5" width="5.85546875" style="42" customWidth="1"/>
    <col min="6" max="6" width="158.85546875" style="42" customWidth="1"/>
    <col min="7" max="7" width="16.28515625" style="96" bestFit="1" customWidth="1"/>
    <col min="8" max="10" width="9.5703125" style="96" bestFit="1" customWidth="1"/>
    <col min="11" max="11" width="3.140625" style="96" customWidth="1"/>
    <col min="12" max="12" width="9.5703125" style="96" bestFit="1" customWidth="1"/>
    <col min="13" max="13" width="3.7109375" style="100" customWidth="1"/>
    <col min="14" max="14" width="33" style="96" bestFit="1" customWidth="1"/>
    <col min="15" max="16384" width="9.140625" style="96"/>
  </cols>
  <sheetData>
    <row r="2" spans="1:13" s="95" customFormat="1" ht="44.25" customHeight="1" x14ac:dyDescent="0.3">
      <c r="A2" s="109"/>
      <c r="B2" s="164" t="s">
        <v>164</v>
      </c>
      <c r="C2" s="109"/>
      <c r="D2" s="109"/>
      <c r="E2" s="109"/>
      <c r="F2" s="110" t="s">
        <v>48</v>
      </c>
    </row>
    <row r="3" spans="1:13" s="103" customFormat="1" x14ac:dyDescent="0.2">
      <c r="A3" s="13"/>
      <c r="B3" s="10"/>
      <c r="C3" s="9"/>
      <c r="D3" s="13"/>
      <c r="E3" s="13"/>
      <c r="F3" s="116"/>
      <c r="K3" s="99"/>
      <c r="L3" s="99"/>
    </row>
    <row r="4" spans="1:13" s="103" customFormat="1" x14ac:dyDescent="0.2">
      <c r="A4" s="13"/>
      <c r="B4" s="58"/>
      <c r="C4" s="119"/>
      <c r="D4" s="158"/>
      <c r="E4" s="13"/>
      <c r="F4" s="116"/>
      <c r="K4" s="99"/>
      <c r="L4" s="99"/>
    </row>
    <row r="5" spans="1:13" ht="25.5" customHeight="1" x14ac:dyDescent="0.2">
      <c r="B5" s="71" t="s">
        <v>153</v>
      </c>
      <c r="C5" s="72" t="s">
        <v>154</v>
      </c>
      <c r="D5" s="72" t="s">
        <v>157</v>
      </c>
      <c r="F5" s="112" t="s">
        <v>137</v>
      </c>
      <c r="M5" s="96"/>
    </row>
    <row r="6" spans="1:13" x14ac:dyDescent="0.2">
      <c r="B6" s="1" t="s">
        <v>13</v>
      </c>
      <c r="C6" s="44">
        <v>758.56</v>
      </c>
      <c r="D6" s="73">
        <v>1041.8183236714976</v>
      </c>
      <c r="F6" s="112" t="s">
        <v>171</v>
      </c>
      <c r="M6" s="96"/>
    </row>
    <row r="7" spans="1:13" x14ac:dyDescent="0.2">
      <c r="B7" s="3" t="s">
        <v>180</v>
      </c>
      <c r="C7" s="44">
        <v>757</v>
      </c>
      <c r="D7" s="73">
        <v>1577.3333333333333</v>
      </c>
      <c r="F7" s="112"/>
      <c r="M7" s="96"/>
    </row>
    <row r="8" spans="1:13" x14ac:dyDescent="0.2">
      <c r="B8" s="1" t="s">
        <v>14</v>
      </c>
      <c r="C8" s="44">
        <v>640</v>
      </c>
      <c r="D8" s="73">
        <v>3346.2714542463054</v>
      </c>
      <c r="F8" s="112"/>
      <c r="M8" s="96"/>
    </row>
    <row r="9" spans="1:13" x14ac:dyDescent="0.2">
      <c r="B9" s="2" t="s">
        <v>15</v>
      </c>
      <c r="C9" s="44">
        <v>684</v>
      </c>
      <c r="D9" s="73">
        <v>14397.763727903106</v>
      </c>
      <c r="F9" s="112"/>
      <c r="M9" s="96"/>
    </row>
    <row r="10" spans="1:13" x14ac:dyDescent="0.2">
      <c r="B10" s="20" t="s">
        <v>8</v>
      </c>
      <c r="C10" s="44">
        <v>710</v>
      </c>
      <c r="D10" s="73">
        <v>17141.919151138718</v>
      </c>
      <c r="F10" s="112"/>
      <c r="M10" s="96"/>
    </row>
    <row r="11" spans="1:13" x14ac:dyDescent="0.2">
      <c r="B11" s="20" t="s">
        <v>0</v>
      </c>
      <c r="C11" s="44">
        <v>550</v>
      </c>
      <c r="D11" s="73">
        <v>699</v>
      </c>
      <c r="F11" s="112"/>
      <c r="M11" s="96"/>
    </row>
    <row r="12" spans="1:13" x14ac:dyDescent="0.2">
      <c r="B12" s="20" t="s">
        <v>16</v>
      </c>
      <c r="C12" s="44">
        <v>919.64</v>
      </c>
      <c r="D12" s="73">
        <v>12947.057535017788</v>
      </c>
      <c r="F12" s="112"/>
      <c r="M12" s="96"/>
    </row>
    <row r="13" spans="1:13" x14ac:dyDescent="0.2">
      <c r="B13" s="48" t="s">
        <v>17</v>
      </c>
      <c r="C13" s="50">
        <v>925</v>
      </c>
      <c r="D13" s="74">
        <v>631.33333333333337</v>
      </c>
      <c r="F13" s="112"/>
      <c r="M13" s="96"/>
    </row>
    <row r="14" spans="1:13" x14ac:dyDescent="0.2">
      <c r="B14" s="1" t="s">
        <v>155</v>
      </c>
      <c r="C14" s="76">
        <f>SUMPRODUCT(C6:C13,D6:D13)/SUM(D6:D13)</f>
        <v>753.53328732299099</v>
      </c>
      <c r="D14" s="31"/>
      <c r="F14" s="112"/>
      <c r="M14" s="96"/>
    </row>
    <row r="15" spans="1:13" x14ac:dyDescent="0.2">
      <c r="B15" s="1" t="s">
        <v>66</v>
      </c>
      <c r="C15" s="165">
        <f>Maximumprijs!C9</f>
        <v>0.21</v>
      </c>
      <c r="D15" s="31"/>
      <c r="F15" s="112"/>
      <c r="M15" s="96"/>
    </row>
    <row r="16" spans="1:13" x14ac:dyDescent="0.2">
      <c r="B16" s="48" t="s">
        <v>156</v>
      </c>
      <c r="C16" s="160">
        <f>C14*(1+C15)</f>
        <v>911.77527766081903</v>
      </c>
      <c r="D16" s="31"/>
      <c r="F16" s="112"/>
      <c r="M16" s="96"/>
    </row>
    <row r="17" spans="2:13" x14ac:dyDescent="0.2">
      <c r="B17" s="161" t="s">
        <v>158</v>
      </c>
      <c r="C17" s="163">
        <f>ROUND(C16,2)</f>
        <v>911.78</v>
      </c>
      <c r="D17" s="1"/>
      <c r="F17" s="112" t="s">
        <v>42</v>
      </c>
      <c r="M17" s="96"/>
    </row>
    <row r="18" spans="2:13" x14ac:dyDescent="0.2">
      <c r="B18" s="1"/>
      <c r="C18" s="1"/>
      <c r="D18" s="1"/>
      <c r="F18" s="112"/>
      <c r="M18" s="96"/>
    </row>
    <row r="19" spans="2:13" x14ac:dyDescent="0.2">
      <c r="C19" s="31"/>
      <c r="D19" s="31"/>
      <c r="F19" s="112"/>
      <c r="M19" s="96"/>
    </row>
    <row r="20" spans="2:13" ht="25.5" customHeight="1" x14ac:dyDescent="0.2">
      <c r="B20" s="71" t="s">
        <v>159</v>
      </c>
      <c r="C20" s="72" t="s">
        <v>160</v>
      </c>
      <c r="D20" s="72" t="s">
        <v>161</v>
      </c>
      <c r="F20" s="112" t="s">
        <v>137</v>
      </c>
      <c r="M20" s="96"/>
    </row>
    <row r="21" spans="2:13" x14ac:dyDescent="0.2">
      <c r="B21" s="1" t="s">
        <v>13</v>
      </c>
      <c r="C21" s="44">
        <v>21.11</v>
      </c>
      <c r="D21" s="73">
        <v>1529.8022569444445</v>
      </c>
      <c r="F21" s="112" t="s">
        <v>59</v>
      </c>
      <c r="M21" s="96"/>
    </row>
    <row r="22" spans="2:13" x14ac:dyDescent="0.2">
      <c r="B22" s="3" t="s">
        <v>180</v>
      </c>
      <c r="C22" s="44">
        <v>27.65</v>
      </c>
      <c r="D22" s="73">
        <v>1370.6666666666667</v>
      </c>
      <c r="F22" s="112"/>
      <c r="M22" s="96"/>
    </row>
    <row r="23" spans="2:13" x14ac:dyDescent="0.2">
      <c r="B23" s="1" t="s">
        <v>14</v>
      </c>
      <c r="C23" s="44">
        <v>19.600000000000001</v>
      </c>
      <c r="D23" s="73">
        <v>3372.5588862119498</v>
      </c>
      <c r="F23" s="112"/>
      <c r="M23" s="96"/>
    </row>
    <row r="24" spans="2:13" x14ac:dyDescent="0.2">
      <c r="B24" s="2" t="s">
        <v>15</v>
      </c>
      <c r="C24" s="44">
        <v>20.5</v>
      </c>
      <c r="D24" s="73">
        <v>26755.346681058374</v>
      </c>
      <c r="F24" s="112"/>
      <c r="M24" s="96"/>
    </row>
    <row r="25" spans="2:13" x14ac:dyDescent="0.2">
      <c r="B25" s="20" t="s">
        <v>8</v>
      </c>
      <c r="C25" s="44">
        <v>27</v>
      </c>
      <c r="D25" s="73">
        <v>17560.136363636364</v>
      </c>
      <c r="F25" s="112"/>
      <c r="M25" s="96"/>
    </row>
    <row r="26" spans="2:13" x14ac:dyDescent="0.2">
      <c r="B26" s="20" t="s">
        <v>0</v>
      </c>
      <c r="C26" s="44">
        <v>14.5</v>
      </c>
      <c r="D26" s="73">
        <v>1394.6666666666667</v>
      </c>
      <c r="F26" s="112"/>
      <c r="M26" s="96"/>
    </row>
    <row r="27" spans="2:13" x14ac:dyDescent="0.2">
      <c r="B27" s="20" t="s">
        <v>16</v>
      </c>
      <c r="C27" s="44">
        <v>40.450000000000003</v>
      </c>
      <c r="D27" s="73">
        <v>9701.2804239434936</v>
      </c>
      <c r="F27" s="112"/>
      <c r="M27" s="96"/>
    </row>
    <row r="28" spans="2:13" x14ac:dyDescent="0.2">
      <c r="B28" s="48" t="s">
        <v>17</v>
      </c>
      <c r="C28" s="50">
        <v>56.08</v>
      </c>
      <c r="D28" s="74">
        <v>820.16666666666663</v>
      </c>
      <c r="F28" s="112"/>
      <c r="M28" s="96"/>
    </row>
    <row r="29" spans="2:13" x14ac:dyDescent="0.2">
      <c r="B29" s="1" t="s">
        <v>162</v>
      </c>
      <c r="C29" s="76">
        <f>SUMPRODUCT(C21:C28,D21:D28)/SUM(D21:D28)</f>
        <v>25.878691672098803</v>
      </c>
      <c r="D29" s="31"/>
      <c r="F29" s="112"/>
      <c r="M29" s="96"/>
    </row>
    <row r="30" spans="2:13" x14ac:dyDescent="0.2">
      <c r="B30" s="1" t="str">
        <f>Maximumprijs!B9</f>
        <v>BTW 2014</v>
      </c>
      <c r="C30" s="165">
        <f>Maximumprijs!C9</f>
        <v>0.21</v>
      </c>
      <c r="D30" s="31"/>
      <c r="F30" s="112"/>
      <c r="M30" s="96"/>
    </row>
    <row r="31" spans="2:13" x14ac:dyDescent="0.2">
      <c r="B31" s="48" t="s">
        <v>163</v>
      </c>
      <c r="C31" s="160">
        <f>C29*(1+C30)</f>
        <v>31.313216923239551</v>
      </c>
      <c r="D31" s="31"/>
      <c r="F31" s="112"/>
      <c r="M31" s="96"/>
    </row>
    <row r="32" spans="2:13" ht="25.5" x14ac:dyDescent="0.2">
      <c r="B32" s="162" t="s">
        <v>170</v>
      </c>
      <c r="C32" s="163">
        <f>ROUND(C31,2)</f>
        <v>31.31</v>
      </c>
      <c r="D32" s="1"/>
      <c r="F32" s="112" t="s">
        <v>42</v>
      </c>
      <c r="M32" s="96"/>
    </row>
  </sheetData>
  <pageMargins left="0.75" right="0.75" top="1" bottom="1" header="0.5" footer="0.5"/>
  <pageSetup paperSize="9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Toelichting</vt:lpstr>
      <vt:lpstr>Maximumprijs</vt:lpstr>
      <vt:lpstr>Aansluitbijdrage</vt:lpstr>
      <vt:lpstr>Aansluitbijdrage!Afdrukbereik</vt:lpstr>
      <vt:lpstr>Maximumprijs!Afdrukbereik</vt:lpstr>
      <vt:lpstr>Toelichting!Afdrukbereik</vt:lpstr>
    </vt:vector>
  </TitlesOfParts>
  <Company>Nederlandse Mededingingsautoriteit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</dc:creator>
  <cp:lastModifiedBy>Pallas, Nathalie</cp:lastModifiedBy>
  <cp:lastPrinted>2013-12-16T14:23:31Z</cp:lastPrinted>
  <dcterms:created xsi:type="dcterms:W3CDTF">2010-01-27T14:52:36Z</dcterms:created>
  <dcterms:modified xsi:type="dcterms:W3CDTF">2014-01-10T11:03:02Z</dcterms:modified>
</cp:coreProperties>
</file>