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3160" windowHeight="13080"/>
  </bookViews>
  <sheets>
    <sheet name="Titelblad" sheetId="5" r:id="rId1"/>
    <sheet name="Toelichting" sheetId="6" r:id="rId2"/>
    <sheet name="Bronnen en toepassingen" sheetId="7" r:id="rId3"/>
    <sheet name="Afschrijven en stelsel-------&gt; " sheetId="22" r:id="rId4"/>
    <sheet name=" Afschrijven en stelsel" sheetId="23" r:id="rId5"/>
    <sheet name="RFR 17-21 -------&gt;" sheetId="18" r:id="rId6"/>
    <sheet name="10 Y Bonds" sheetId="14" r:id="rId7"/>
    <sheet name="RFR 17-21" sheetId="9" r:id="rId8"/>
    <sheet name="GTS financiering" sheetId="8" r:id="rId9"/>
    <sheet name="RFR 22-26 ------&gt;" sheetId="19" r:id="rId10"/>
    <sheet name="RFR 22-26" sheetId="13" r:id="rId11"/>
    <sheet name="Rente opslag" sheetId="16" r:id="rId12"/>
    <sheet name="Kapitaalkosten -------&gt;" sheetId="20" r:id="rId13"/>
    <sheet name="Ideaalcomplex 17-21" sheetId="3" r:id="rId14"/>
    <sheet name="GTS IP 22-26" sheetId="11" r:id="rId15"/>
    <sheet name="Nacalculatie 17 - 19 -------&gt;" sheetId="21" r:id="rId16"/>
    <sheet name="Nacalculatie" sheetId="12" r:id="rId17"/>
  </sheets>
  <definedNames>
    <definedName name="comments" localSheetId="4">' Afschrijven en stelsel'!$L$80</definedName>
    <definedName name="comments" localSheetId="11">'Rente opslag'!$M$75</definedName>
    <definedName name="comments" localSheetId="7">'RFR 17-21'!$M$140</definedName>
    <definedName name="comments" localSheetId="10">'RFR 22-26'!$M$116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23" l="1"/>
  <c r="F15" i="23"/>
  <c r="E15" i="23"/>
  <c r="D15" i="23"/>
  <c r="C15" i="23"/>
  <c r="C18" i="23" l="1"/>
  <c r="C27" i="23" s="1"/>
  <c r="C49" i="9"/>
  <c r="D18" i="23" l="1"/>
  <c r="C26" i="23"/>
  <c r="C30" i="23" s="1"/>
  <c r="G17" i="23"/>
  <c r="E37" i="11"/>
  <c r="F37" i="11"/>
  <c r="G37" i="11"/>
  <c r="H37" i="11"/>
  <c r="D37" i="11"/>
  <c r="D26" i="23" l="1"/>
  <c r="D30" i="23" s="1"/>
  <c r="E18" i="23"/>
  <c r="D27" i="23"/>
  <c r="C17" i="23"/>
  <c r="F17" i="23"/>
  <c r="E17" i="23"/>
  <c r="D17" i="23"/>
  <c r="D17" i="11"/>
  <c r="E17" i="11" s="1"/>
  <c r="F17" i="11" s="1"/>
  <c r="G17" i="11" s="1"/>
  <c r="H17" i="11" s="1"/>
  <c r="F18" i="23" l="1"/>
  <c r="E26" i="23"/>
  <c r="E30" i="23" s="1"/>
  <c r="E27" i="23"/>
  <c r="D31" i="23"/>
  <c r="D32" i="23" s="1"/>
  <c r="E31" i="23"/>
  <c r="C31" i="23"/>
  <c r="C32" i="23" s="1"/>
  <c r="D23" i="8"/>
  <c r="G18" i="23" l="1"/>
  <c r="F27" i="23"/>
  <c r="F31" i="23" s="1"/>
  <c r="F26" i="23"/>
  <c r="F30" i="23" s="1"/>
  <c r="E32" i="23"/>
  <c r="F56" i="3"/>
  <c r="F55" i="3"/>
  <c r="J21" i="3"/>
  <c r="C23" i="16"/>
  <c r="C40" i="9"/>
  <c r="J84" i="9"/>
  <c r="H62" i="9" s="1"/>
  <c r="D61" i="9"/>
  <c r="C18" i="16"/>
  <c r="C17" i="16"/>
  <c r="W26" i="14"/>
  <c r="D18" i="11"/>
  <c r="E18" i="11"/>
  <c r="F32" i="23" l="1"/>
  <c r="G27" i="23"/>
  <c r="G31" i="23" s="1"/>
  <c r="G26" i="23"/>
  <c r="G30" i="23" s="1"/>
  <c r="E20" i="11"/>
  <c r="E25" i="11" s="1"/>
  <c r="E26" i="11" s="1"/>
  <c r="E33" i="11" s="1"/>
  <c r="E19" i="11"/>
  <c r="E22" i="11" s="1"/>
  <c r="D20" i="11"/>
  <c r="D25" i="11" s="1"/>
  <c r="D26" i="11" s="1"/>
  <c r="D19" i="11"/>
  <c r="D22" i="11" s="1"/>
  <c r="D23" i="11" s="1"/>
  <c r="D31" i="11" s="1"/>
  <c r="C62" i="9"/>
  <c r="E27" i="13"/>
  <c r="F27" i="13"/>
  <c r="G27" i="13"/>
  <c r="H27" i="13"/>
  <c r="D27" i="13"/>
  <c r="H41" i="13"/>
  <c r="C41" i="13"/>
  <c r="H38" i="13"/>
  <c r="C38" i="13"/>
  <c r="C34" i="13"/>
  <c r="E22" i="13"/>
  <c r="E23" i="13" s="1"/>
  <c r="E26" i="13" s="1"/>
  <c r="F22" i="13"/>
  <c r="F23" i="13" s="1"/>
  <c r="F26" i="13" s="1"/>
  <c r="G22" i="13"/>
  <c r="G23" i="13" s="1"/>
  <c r="G26" i="13" s="1"/>
  <c r="H22" i="13"/>
  <c r="H23" i="13" s="1"/>
  <c r="H26" i="13" s="1"/>
  <c r="H52" i="13" s="1"/>
  <c r="D22" i="13"/>
  <c r="D23" i="13" s="1"/>
  <c r="D26" i="13" s="1"/>
  <c r="E18" i="13"/>
  <c r="F18" i="13"/>
  <c r="G18" i="13"/>
  <c r="H18" i="13"/>
  <c r="D18" i="13"/>
  <c r="G32" i="23" l="1"/>
  <c r="C34" i="23" s="1"/>
  <c r="D27" i="11"/>
  <c r="D33" i="11"/>
  <c r="G62" i="9"/>
  <c r="F62" i="9"/>
  <c r="E62" i="9"/>
  <c r="D62" i="9"/>
  <c r="F18" i="11"/>
  <c r="F52" i="13"/>
  <c r="E52" i="13"/>
  <c r="D52" i="13"/>
  <c r="G52" i="13"/>
  <c r="D32" i="11" l="1"/>
  <c r="E27" i="11"/>
  <c r="F20" i="11"/>
  <c r="F25" i="11" s="1"/>
  <c r="F26" i="11" s="1"/>
  <c r="F33" i="11" s="1"/>
  <c r="F19" i="11"/>
  <c r="F22" i="11" s="1"/>
  <c r="H18" i="11"/>
  <c r="G18" i="11"/>
  <c r="H20" i="11" l="1"/>
  <c r="H25" i="11" s="1"/>
  <c r="H26" i="11" s="1"/>
  <c r="H33" i="11" s="1"/>
  <c r="H19" i="11"/>
  <c r="H22" i="11" s="1"/>
  <c r="F27" i="11"/>
  <c r="E32" i="11"/>
  <c r="G19" i="11"/>
  <c r="G22" i="11" s="1"/>
  <c r="G20" i="11"/>
  <c r="G25" i="11" s="1"/>
  <c r="G26" i="11" s="1"/>
  <c r="G33" i="11" s="1"/>
  <c r="Q27" i="9"/>
  <c r="P26" i="9"/>
  <c r="AA16" i="14"/>
  <c r="AA18" i="14" s="1"/>
  <c r="AB18" i="14" s="1"/>
  <c r="AA17" i="14"/>
  <c r="W12" i="14"/>
  <c r="AC18" i="14" s="1"/>
  <c r="V12" i="14"/>
  <c r="G27" i="11" l="1"/>
  <c r="F32" i="11"/>
  <c r="G26" i="3"/>
  <c r="H26" i="3"/>
  <c r="I26" i="3"/>
  <c r="J26" i="3"/>
  <c r="F26" i="3"/>
  <c r="E65" i="13"/>
  <c r="F65" i="13"/>
  <c r="G65" i="13"/>
  <c r="H65" i="13"/>
  <c r="D65" i="13"/>
  <c r="E64" i="13"/>
  <c r="F64" i="13"/>
  <c r="G64" i="13"/>
  <c r="H64" i="13"/>
  <c r="D64" i="13"/>
  <c r="H27" i="11" l="1"/>
  <c r="H32" i="11" s="1"/>
  <c r="G32" i="11"/>
  <c r="E27" i="8"/>
  <c r="F27" i="8"/>
  <c r="D27" i="8"/>
  <c r="F29" i="3"/>
  <c r="J29" i="3"/>
  <c r="F30" i="3"/>
  <c r="F31" i="3" l="1"/>
  <c r="F35" i="3" s="1"/>
  <c r="I29" i="3"/>
  <c r="H29" i="3"/>
  <c r="G29" i="3"/>
  <c r="J31" i="3"/>
  <c r="J35" i="3" s="1"/>
  <c r="I30" i="3" l="1"/>
  <c r="I31" i="3" s="1"/>
  <c r="I35" i="3" s="1"/>
  <c r="H30" i="3"/>
  <c r="H31" i="3" s="1"/>
  <c r="H35" i="3" s="1"/>
  <c r="G30" i="3"/>
  <c r="G31" i="3" s="1"/>
  <c r="G35" i="3" s="1"/>
  <c r="G56" i="3" l="1"/>
  <c r="G55" i="3"/>
  <c r="G20" i="3"/>
  <c r="H20" i="3"/>
  <c r="I20" i="3"/>
  <c r="F20" i="3"/>
  <c r="E15" i="3"/>
  <c r="E17" i="3" s="1"/>
  <c r="E18" i="3"/>
  <c r="F18" i="3" s="1"/>
  <c r="G18" i="3" s="1"/>
  <c r="H18" i="3" s="1"/>
  <c r="I18" i="3" s="1"/>
  <c r="J18" i="3" s="1"/>
  <c r="E19" i="3"/>
  <c r="F19" i="3" s="1"/>
  <c r="G19" i="3" s="1"/>
  <c r="H19" i="3" s="1"/>
  <c r="I19" i="3" s="1"/>
  <c r="J19" i="3" s="1"/>
  <c r="I16" i="3"/>
  <c r="H16" i="3"/>
  <c r="G16" i="3"/>
  <c r="F16" i="3"/>
  <c r="G57" i="3" l="1"/>
  <c r="J22" i="3" s="1"/>
  <c r="I22" i="3" s="1"/>
  <c r="F15" i="3"/>
  <c r="G15" i="3" s="1"/>
  <c r="H15" i="3" s="1"/>
  <c r="J36" i="3" l="1"/>
  <c r="G36" i="3" s="1"/>
  <c r="G37" i="3" s="1"/>
  <c r="F22" i="3"/>
  <c r="F23" i="3" s="1"/>
  <c r="G22" i="3"/>
  <c r="H22" i="3"/>
  <c r="F17" i="3"/>
  <c r="F21" i="3" s="1"/>
  <c r="I15" i="3"/>
  <c r="H17" i="3"/>
  <c r="H21" i="3" s="1"/>
  <c r="G17" i="3"/>
  <c r="G21" i="3" s="1"/>
  <c r="J37" i="3" l="1"/>
  <c r="H36" i="3"/>
  <c r="H37" i="3" s="1"/>
  <c r="F36" i="3"/>
  <c r="F37" i="3" s="1"/>
  <c r="F39" i="3" s="1"/>
  <c r="I36" i="3"/>
  <c r="I37" i="3" s="1"/>
  <c r="H23" i="3"/>
  <c r="G23" i="3"/>
  <c r="G39" i="3" s="1"/>
  <c r="J15" i="3"/>
  <c r="J17" i="3" s="1"/>
  <c r="I17" i="3"/>
  <c r="H39" i="3" l="1"/>
  <c r="I21" i="3"/>
  <c r="I23" i="3" s="1"/>
  <c r="I39" i="3" s="1"/>
  <c r="J23" i="3"/>
  <c r="J39" i="3" s="1"/>
  <c r="F23" i="11" l="1"/>
  <c r="F31" i="11" s="1"/>
  <c r="E23" i="11"/>
  <c r="E31" i="11" s="1"/>
  <c r="H23" i="11"/>
  <c r="H31" i="11" s="1"/>
  <c r="G23" i="11"/>
  <c r="G31" i="11" s="1"/>
  <c r="D24" i="11" l="1"/>
  <c r="E24" i="11" l="1"/>
  <c r="E30" i="11" s="1"/>
  <c r="E34" i="11" s="1"/>
  <c r="D30" i="11"/>
  <c r="D34" i="11" s="1"/>
  <c r="F24" i="11"/>
  <c r="F30" i="11" s="1"/>
  <c r="F34" i="11" s="1"/>
  <c r="G24" i="11" l="1"/>
  <c r="G30" i="11" s="1"/>
  <c r="G34" i="11" s="1"/>
  <c r="H24" i="11" l="1"/>
  <c r="H30" i="11" s="1"/>
  <c r="H34" i="11" s="1"/>
  <c r="G40" i="3"/>
  <c r="G41" i="3" s="1"/>
  <c r="H40" i="3"/>
  <c r="H41" i="3" s="1"/>
  <c r="I40" i="3"/>
  <c r="I41" i="3" s="1"/>
  <c r="J40" i="3"/>
  <c r="J41" i="3" s="1"/>
  <c r="F40" i="3"/>
  <c r="F41" i="3" s="1"/>
  <c r="F43" i="3" l="1"/>
  <c r="E65" i="9" l="1"/>
  <c r="F65" i="9"/>
  <c r="G65" i="9"/>
  <c r="H65" i="9"/>
  <c r="D65" i="9"/>
  <c r="H34" i="13"/>
  <c r="Z17" i="14"/>
  <c r="Z16" i="14"/>
  <c r="Y17" i="14"/>
  <c r="Y16" i="14"/>
  <c r="X17" i="14"/>
  <c r="X16" i="14"/>
  <c r="W17" i="14"/>
  <c r="W16" i="14"/>
  <c r="Z18" i="14" l="1"/>
  <c r="X18" i="14"/>
  <c r="W18" i="14"/>
  <c r="Y18" i="14"/>
  <c r="D27" i="16"/>
  <c r="C27" i="16"/>
  <c r="L22" i="9" l="1"/>
  <c r="F14" i="16"/>
  <c r="N24" i="9"/>
  <c r="H14" i="16"/>
  <c r="M23" i="9"/>
  <c r="G14" i="16"/>
  <c r="O25" i="9"/>
  <c r="I14" i="16"/>
  <c r="D49" i="12"/>
  <c r="E15" i="16"/>
  <c r="D15" i="16"/>
  <c r="C15" i="16"/>
  <c r="C42" i="13" l="1"/>
  <c r="C45" i="13" s="1"/>
  <c r="L28" i="9" l="1"/>
  <c r="F15" i="16"/>
  <c r="H15" i="16"/>
  <c r="I15" i="16"/>
  <c r="G15" i="16"/>
  <c r="H42" i="13"/>
  <c r="H45" i="13" s="1"/>
  <c r="E61" i="9"/>
  <c r="F61" i="9"/>
  <c r="G61" i="9"/>
  <c r="D48" i="12"/>
  <c r="D23" i="16" l="1"/>
  <c r="H35" i="13" s="1"/>
  <c r="H37" i="13" s="1"/>
  <c r="H46" i="13" s="1"/>
  <c r="C35" i="13"/>
  <c r="C37" i="13" s="1"/>
  <c r="C46" i="13" s="1"/>
  <c r="H53" i="13" l="1"/>
  <c r="C53" i="13"/>
  <c r="E53" i="13" l="1"/>
  <c r="E54" i="13" s="1"/>
  <c r="D53" i="13"/>
  <c r="G53" i="13"/>
  <c r="F53" i="13"/>
  <c r="E67" i="13" l="1"/>
  <c r="E66" i="13"/>
  <c r="F54" i="13"/>
  <c r="H54" i="13"/>
  <c r="E68" i="13" l="1"/>
  <c r="H67" i="13"/>
  <c r="H66" i="13"/>
  <c r="F66" i="13"/>
  <c r="F67" i="13"/>
  <c r="G54" i="13"/>
  <c r="G66" i="13" l="1"/>
  <c r="G67" i="13"/>
  <c r="F68" i="13"/>
  <c r="H68" i="13"/>
  <c r="D52" i="12"/>
  <c r="D51" i="12"/>
  <c r="D44" i="12"/>
  <c r="D45" i="12"/>
  <c r="D46" i="12"/>
  <c r="D47" i="12"/>
  <c r="D43" i="12"/>
  <c r="G68" i="13" l="1"/>
  <c r="D39" i="11" l="1"/>
  <c r="E13" i="8"/>
  <c r="E22" i="8" s="1"/>
  <c r="F13" i="8"/>
  <c r="F22" i="8" s="1"/>
  <c r="D13" i="8"/>
  <c r="D22" i="8" s="1"/>
  <c r="E14" i="8"/>
  <c r="F14" i="8"/>
  <c r="D14" i="8"/>
  <c r="H40" i="9"/>
  <c r="H44" i="9" s="1"/>
  <c r="C28" i="9"/>
  <c r="D28" i="9"/>
  <c r="E28" i="9"/>
  <c r="F28" i="9"/>
  <c r="G28" i="9"/>
  <c r="H28" i="9"/>
  <c r="N37" i="9" l="1"/>
  <c r="O37" i="9"/>
  <c r="P37" i="9"/>
  <c r="M37" i="9"/>
  <c r="M42" i="9"/>
  <c r="N42" i="9"/>
  <c r="O42" i="9"/>
  <c r="P42" i="9"/>
  <c r="N43" i="9" l="1"/>
  <c r="O43" i="9"/>
  <c r="P43" i="9"/>
  <c r="M43" i="9"/>
  <c r="C44" i="9"/>
  <c r="E23" i="8" l="1"/>
  <c r="E24" i="8" s="1"/>
  <c r="F23" i="8"/>
  <c r="F24" i="8" s="1"/>
  <c r="D24" i="8"/>
  <c r="Q40" i="9" l="1"/>
  <c r="O40" i="9" l="1"/>
  <c r="P40" i="9"/>
  <c r="M40" i="9"/>
  <c r="N40" i="9"/>
  <c r="Q44" i="9"/>
  <c r="H36" i="9"/>
  <c r="H39" i="9" s="1"/>
  <c r="C36" i="9"/>
  <c r="C39" i="9" s="1"/>
  <c r="Q26" i="9"/>
  <c r="O24" i="9"/>
  <c r="P24" i="9" s="1"/>
  <c r="Q24" i="9" s="1"/>
  <c r="P25" i="9"/>
  <c r="Q25" i="9" s="1"/>
  <c r="N23" i="9"/>
  <c r="O23" i="9" s="1"/>
  <c r="P23" i="9" s="1"/>
  <c r="Q23" i="9" s="1"/>
  <c r="E39" i="9" l="1"/>
  <c r="E15" i="8" s="1"/>
  <c r="E16" i="8" s="1"/>
  <c r="E17" i="8" s="1"/>
  <c r="E26" i="8" s="1"/>
  <c r="E28" i="8" s="1"/>
  <c r="F39" i="9"/>
  <c r="F15" i="8" s="1"/>
  <c r="F16" i="8" s="1"/>
  <c r="F17" i="8" s="1"/>
  <c r="F26" i="8" s="1"/>
  <c r="F28" i="8" s="1"/>
  <c r="G39" i="9"/>
  <c r="D39" i="9"/>
  <c r="D15" i="8" s="1"/>
  <c r="D16" i="8" s="1"/>
  <c r="H47" i="9"/>
  <c r="L36" i="9"/>
  <c r="L39" i="9" s="1"/>
  <c r="L40" i="9"/>
  <c r="L44" i="9" s="1"/>
  <c r="C47" i="9"/>
  <c r="M22" i="9"/>
  <c r="C54" i="9" l="1"/>
  <c r="H49" i="9"/>
  <c r="H54" i="9" s="1"/>
  <c r="N22" i="9"/>
  <c r="M28" i="9"/>
  <c r="M36" i="9" s="1"/>
  <c r="L47" i="9"/>
  <c r="D17" i="8"/>
  <c r="D26" i="8" s="1"/>
  <c r="D28" i="8" s="1"/>
  <c r="D29" i="8" s="1"/>
  <c r="B26" i="6"/>
  <c r="B14" i="6"/>
  <c r="B21" i="6" s="1"/>
  <c r="F54" i="9" l="1"/>
  <c r="E54" i="9"/>
  <c r="D54" i="9"/>
  <c r="G54" i="9"/>
  <c r="L49" i="9"/>
  <c r="C55" i="9" s="1"/>
  <c r="C56" i="9" s="1"/>
  <c r="M38" i="9"/>
  <c r="M39" i="9" s="1"/>
  <c r="O22" i="9"/>
  <c r="N28" i="9"/>
  <c r="N36" i="9" s="1"/>
  <c r="B15" i="6"/>
  <c r="B16" i="6" s="1"/>
  <c r="B20" i="6" s="1"/>
  <c r="M41" i="9" l="1"/>
  <c r="M44" i="9" s="1"/>
  <c r="M47" i="9" s="1"/>
  <c r="N38" i="9"/>
  <c r="N39" i="9" s="1"/>
  <c r="P22" i="9"/>
  <c r="O28" i="9"/>
  <c r="O36" i="9" s="1"/>
  <c r="M49" i="9" l="1"/>
  <c r="D55" i="9" s="1"/>
  <c r="D56" i="9" s="1"/>
  <c r="D58" i="9" s="1"/>
  <c r="N41" i="9"/>
  <c r="N44" i="9" s="1"/>
  <c r="N47" i="9" s="1"/>
  <c r="Q22" i="9"/>
  <c r="Q28" i="9" s="1"/>
  <c r="P28" i="9"/>
  <c r="P36" i="9" s="1"/>
  <c r="O38" i="9"/>
  <c r="O39" i="9" s="1"/>
  <c r="D63" i="9" l="1"/>
  <c r="D66" i="9" s="1"/>
  <c r="N49" i="9"/>
  <c r="E55" i="9" s="1"/>
  <c r="E56" i="9" s="1"/>
  <c r="E58" i="9" s="1"/>
  <c r="E63" i="9" s="1"/>
  <c r="E66" i="9" s="1"/>
  <c r="O41" i="9"/>
  <c r="O44" i="9" s="1"/>
  <c r="O47" i="9" s="1"/>
  <c r="P38" i="9"/>
  <c r="P39" i="9" s="1"/>
  <c r="Q36" i="9"/>
  <c r="Q39" i="9" s="1"/>
  <c r="Q47" i="9" s="1"/>
  <c r="Q49" i="9" l="1"/>
  <c r="H55" i="9" s="1"/>
  <c r="H56" i="9" s="1"/>
  <c r="H58" i="9" s="1"/>
  <c r="H63" i="9" s="1"/>
  <c r="H66" i="9" s="1"/>
  <c r="O49" i="9"/>
  <c r="F55" i="9" s="1"/>
  <c r="F56" i="9" s="1"/>
  <c r="F58" i="9" s="1"/>
  <c r="F63" i="9" s="1"/>
  <c r="F66" i="9" s="1"/>
  <c r="P41" i="9"/>
  <c r="P44" i="9" s="1"/>
  <c r="P47" i="9" s="1"/>
  <c r="P49" i="9" l="1"/>
  <c r="G55" i="9" s="1"/>
  <c r="G56" i="9" s="1"/>
  <c r="G58" i="9" s="1"/>
  <c r="G63" i="9" s="1"/>
  <c r="G66" i="9" l="1"/>
  <c r="C69" i="9" s="1"/>
  <c r="D54" i="12" s="1"/>
  <c r="D55" i="12" l="1"/>
  <c r="D54" i="13" l="1"/>
  <c r="D66" i="13" l="1"/>
  <c r="D67" i="13"/>
  <c r="D68" i="13" l="1"/>
  <c r="C70" i="13" s="1"/>
</calcChain>
</file>

<file path=xl/comments1.xml><?xml version="1.0" encoding="utf-8"?>
<comments xmlns="http://schemas.openxmlformats.org/spreadsheetml/2006/main">
  <authors>
    <author>Author</author>
  </authors>
  <commentList>
    <comment ref="B20" authorId="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<sst xmlns="http://schemas.openxmlformats.org/spreadsheetml/2006/main" count="623" uniqueCount="452">
  <si>
    <t>WACC</t>
  </si>
  <si>
    <t>Titelblad</t>
  </si>
  <si>
    <t>Over dit bestand</t>
  </si>
  <si>
    <t>Zaaknummer</t>
  </si>
  <si>
    <t>Titel</t>
  </si>
  <si>
    <t>Ondertitel</t>
  </si>
  <si>
    <t>Hoort bij besluit(en):</t>
  </si>
  <si>
    <t>Overig opmerkingen</t>
  </si>
  <si>
    <t>Over de status van dit bestand</t>
  </si>
  <si>
    <t>Definitief? (j/n)</t>
  </si>
  <si>
    <t>n</t>
  </si>
  <si>
    <t>Is of wordt gepubliceerd? (j/n)</t>
  </si>
  <si>
    <t>Juridisch integraal onderdeel van bovenstaande besluit(en) (j/n)?</t>
  </si>
  <si>
    <t>Bevat bedrijfsvertrouwelijke gegevens? (j/n)</t>
  </si>
  <si>
    <t>Opmerkingen openbare versiegeschiedenis</t>
  </si>
  <si>
    <t>Disclaimer</t>
  </si>
  <si>
    <t>Toelichting bij dit bestand</t>
  </si>
  <si>
    <t>Legenda voor gebruik van celkleuren en tabkleuren</t>
  </si>
  <si>
    <t>Celkleur getallen</t>
  </si>
  <si>
    <t>Beschrijving</t>
  </si>
  <si>
    <t>Data en input (bron wordt vermeld)</t>
  </si>
  <si>
    <t>Waarde die zonder berekening wordt overgenomen uit een andere cel</t>
  </si>
  <si>
    <t>Berekende waarde</t>
  </si>
  <si>
    <t>Berekende waarde die wordt opgehaald op een ander tabblad, incl. (eind)resultaat van berekening</t>
  </si>
  <si>
    <t>Cel is niet van toepassing (dus leeg, niet nul), maar er wordt door een formule wel naar verwezen</t>
  </si>
  <si>
    <t>Bijzonderheden:</t>
  </si>
  <si>
    <t>Waarde of berekening die speciale aandacht vraagt (zie toelichting in opmerking)</t>
  </si>
  <si>
    <t>Ingevoerde waarde of berekening die nog niet juist is (indien van toepassing)</t>
  </si>
  <si>
    <t>Eventueel te gebruiken:</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</si>
  <si>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</si>
  <si>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</si>
  <si>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Grijze cijfers geven de uitkomt van een check berekening; dit is geen resultaat waarmee verder wordt gerekend</t>
  </si>
  <si>
    <t>Tabkleur</t>
  </si>
  <si>
    <t>Tabbladen die het model vormen</t>
  </si>
  <si>
    <t>Resultaat</t>
  </si>
  <si>
    <t>Tabblad met resultaten/output</t>
  </si>
  <si>
    <t>Data</t>
  </si>
  <si>
    <t>Tabblad met input</t>
  </si>
  <si>
    <t>Berekening</t>
  </si>
  <si>
    <t>Tabblad met berekeningen</t>
  </si>
  <si>
    <t>Tabblad dat als geheel nog onjuist of niet up to date is</t>
  </si>
  <si>
    <t>Tabbladen ten behoeve van begrip</t>
  </si>
  <si>
    <t>Input --&gt;</t>
  </si>
  <si>
    <t>Leeg tabblad dat wordt gebruikt als index/markering voor een serie tabbladen (kleur: licht grijs)</t>
  </si>
  <si>
    <t>Toelichting</t>
  </si>
  <si>
    <t>Gestandaardiseerde tabbladen, omvat tenminste: 'Titelblad', 'Toelichting' en 'Bronnen en toepassingen' (kleur: ACM-lichtpaars)</t>
  </si>
  <si>
    <t>Bronnenoverzicht en specifieke toepassingen</t>
  </si>
  <si>
    <t>Bronnenoverzicht</t>
  </si>
  <si>
    <t>Ieder inputblad heeft een kolom 'bronverwijzing', waarin gebruikte bronnen met een verkorte naam worden aangeduid. Deze bronnen worden verder toegelicht in deze tabel.</t>
  </si>
  <si>
    <t>Nr.</t>
  </si>
  <si>
    <t xml:space="preserve">Verkorte naam </t>
  </si>
  <si>
    <t>Naam bestand extern</t>
  </si>
  <si>
    <t>Zaaknummer en/of kenmerk ACM</t>
  </si>
  <si>
    <t>Aanvullende gegevens bestand extern</t>
  </si>
  <si>
    <t>Zoals gebruikt in dit bestand</t>
  </si>
  <si>
    <t>Exacte bestandsnaam</t>
  </si>
  <si>
    <t>Indien van toepassing</t>
  </si>
  <si>
    <t>Datum ontvangst, versie nr., opmerkingen</t>
  </si>
  <si>
    <t>Duiding van specifieke Excel-toepassingen en overige bijzonderheden</t>
  </si>
  <si>
    <t>Wanneer toch gebruik wordt gemaakt van cel- en rangenamen, macro's of andere bijzondere functies in Excel wordt de werking ervan hier toegelicht</t>
  </si>
  <si>
    <t>j</t>
  </si>
  <si>
    <t>€M</t>
  </si>
  <si>
    <t>Financiering lasten</t>
  </si>
  <si>
    <t>Gemiddeld</t>
  </si>
  <si>
    <t>Punt schatting ACM van RFR voor MB GTS 2017-2021</t>
  </si>
  <si>
    <t>Gearing</t>
  </si>
  <si>
    <t>GAW Einde jaar</t>
  </si>
  <si>
    <t>GAW</t>
  </si>
  <si>
    <t>Voordeel GTS</t>
  </si>
  <si>
    <t>Pro Rata GTS lasten</t>
  </si>
  <si>
    <t>Voordeel Gasunie/GTS tov ACM model</t>
  </si>
  <si>
    <t>Afschrijvingen</t>
  </si>
  <si>
    <t>Te veel aan kapitaal kosten</t>
  </si>
  <si>
    <t>Correctie voor Theta</t>
  </si>
  <si>
    <t>Theta</t>
  </si>
  <si>
    <t>Inscope</t>
  </si>
  <si>
    <t>GTS IP</t>
  </si>
  <si>
    <t>Nominale Risico vrije rente voor KVV</t>
  </si>
  <si>
    <t>Renteopslag</t>
  </si>
  <si>
    <t>Opslag Transactiekosten</t>
  </si>
  <si>
    <t>Nominale Risico vrije rente voor KEV</t>
  </si>
  <si>
    <t>marktrisicopremie</t>
  </si>
  <si>
    <t>Asset beta</t>
  </si>
  <si>
    <t>Equity beta</t>
  </si>
  <si>
    <t>Kostenvoet vreemd vermogen</t>
  </si>
  <si>
    <t>Kostenvoet eigen vermogen</t>
  </si>
  <si>
    <t>Belastingvoet</t>
  </si>
  <si>
    <t>Nominale WACC voor belastingen</t>
  </si>
  <si>
    <t>Inflatie</t>
  </si>
  <si>
    <t>Reele WACC voor belastingen (WACC)</t>
  </si>
  <si>
    <t>Verhouding Netto schuld t.o.v het totale vermogen</t>
  </si>
  <si>
    <t>Impact inkomsten GTS</t>
  </si>
  <si>
    <t>Totale impact GTS inkomsten</t>
  </si>
  <si>
    <t>Verschil in reele WACC</t>
  </si>
  <si>
    <t>Jaar</t>
  </si>
  <si>
    <t>Berekende Risk Free Rate volgens het trapjes model van de ACM systematiek zoals gehanteerd voor het MB GTS 2017-2021</t>
  </si>
  <si>
    <t xml:space="preserve">Berekening van de Nominale WACC zoals gedaan door de ACM in herstel uitwerking WACC </t>
  </si>
  <si>
    <t>Gebaseerd op het trapjesmodel met de actuele markt rente per jaar</t>
  </si>
  <si>
    <t>Lineaire interpolatie, analoog aan de ACM methode</t>
  </si>
  <si>
    <t>Historische markt waarden; conform data in ACM WACC besluit</t>
  </si>
  <si>
    <t>Uit ACM GAW model</t>
  </si>
  <si>
    <t>Uit het Trapjes model</t>
  </si>
  <si>
    <t>Gemiddeld (%)</t>
  </si>
  <si>
    <t>Rente lasten volgens ACM model</t>
  </si>
  <si>
    <t>Activa Gasunie</t>
  </si>
  <si>
    <t>Berekening voordeel Gasunie / GTS ten opzichte van het financieringsmodel van de ACM</t>
  </si>
  <si>
    <t>In dit tabblad wordt het verschil berekend tussen de GTS inkomsten zoals bepaald in het herstel uitwerking van de methode van de WACC (ACM/UIT/505475), bijlage 2 bij het methodebelsuit GTS 2017-2021</t>
  </si>
  <si>
    <t>In dit tabblad wordt het verschil berekend tussen de GTS rente lasten zoals berekende in het ACM model en de geschatte werkelijke rente kosten</t>
  </si>
  <si>
    <t>GTS voordeel tov ACM model</t>
  </si>
  <si>
    <t>Voordeel Gasunie</t>
  </si>
  <si>
    <t>Gasunie marge GTS rentelasten</t>
  </si>
  <si>
    <t>Aangenomen dat de rente lasten voor Gasunie en GTS activa gelijk zijn , dit is conservatief aangezien de andere activiteiten van Gasunie risicovoller zijn dan die van GTS</t>
  </si>
  <si>
    <t>Totaal voordeel 2017-2019</t>
  </si>
  <si>
    <t>Berekening extra kosten voor gebruikers vanwege aanname van het ideaalcomplex</t>
  </si>
  <si>
    <t>CPI</t>
  </si>
  <si>
    <t>Frontier shift</t>
  </si>
  <si>
    <t>Bron</t>
  </si>
  <si>
    <t>Op het tabblad "Eindinkomsten" worden in regel 244, 245, 248 en 249 de CPI en frontier shift meegenomen</t>
  </si>
  <si>
    <t>Totaal</t>
  </si>
  <si>
    <t>Voor de berekening is het gemiddelde genomen van de twee benchmarks</t>
  </si>
  <si>
    <t>Totaal extra kosten voor gebruikers 2017-2021</t>
  </si>
  <si>
    <t>Investeringen</t>
  </si>
  <si>
    <t>In dit tabblad worden de extra kosten voor de gebruikers berekend omdat de ACM geen nacalculatie heeft gedaan op de kapitaalskosten</t>
  </si>
  <si>
    <t>Berekening van het verschil tussen de ACM methodiek en de markt benchmark</t>
  </si>
  <si>
    <t>De ACM gebruikt twee benchmarks; ieder met een eigen verdeling in scope - uit scope en een eigen theta</t>
  </si>
  <si>
    <t>Berekening extra kosten voor gebruikers vanwege historische data als schatter van kapitaalskosten in plaats van GTS IP</t>
  </si>
  <si>
    <t>In dit tabblad worden de extra kosten voor de gebruikers berekend omdat de ACM een historische schatter gebruikt voor kapitaalskosten in plaats van het GTS IP</t>
  </si>
  <si>
    <t>De berekening gaat uit van het model zoals de ACM heeft voorgesteld met een nominale WACC en een versneld afschrijven factor van 1.3</t>
  </si>
  <si>
    <t>ACM OMB</t>
  </si>
  <si>
    <t>Nominale WACC</t>
  </si>
  <si>
    <t>Voor de extra afschrijvingen wordt uitgegaan van een versnellings factor van 1.3 en een afschrijvingstermijn van 30 jaar</t>
  </si>
  <si>
    <t>Daar vind geen nacalculatie op plaats</t>
  </si>
  <si>
    <t>Dat betekent dat de extra investeringen die de ACM gebruikt als schatter gedeeltelijk al in de periode 22-26 worden afgeschreven</t>
  </si>
  <si>
    <t>Extra kosten gebruikers 2022-2026</t>
  </si>
  <si>
    <t>Vergelijking tussen de verschillende nacalculatie posten zoals gebruikt in het MB 2017-2021</t>
  </si>
  <si>
    <t>Tariefcorrectie voor kosten van niet-reguliere uitbreidingsinvesteringen</t>
  </si>
  <si>
    <t>TT</t>
  </si>
  <si>
    <t>BT</t>
  </si>
  <si>
    <t>BAT</t>
  </si>
  <si>
    <t>AT</t>
  </si>
  <si>
    <t>KC</t>
  </si>
  <si>
    <t>Omzetregulering (conform paragraaf 9.3 van het methodebesluit 2017-2021)</t>
  </si>
  <si>
    <t>Overboeking- en terugkoopregeling (conform paragraaf 9.4.3 van het methodebesluit 2017-2021)</t>
  </si>
  <si>
    <t>Veilinggelden (conform paragraaf 9.4.2 van het methodebesluit 2017-2021)</t>
  </si>
  <si>
    <t>Inkoopkosten energie (conform paragraaf 9.2.1 van het methodebesluit 2017-2021)</t>
  </si>
  <si>
    <t>Administratieve onbalans (conform paragraaf 9.2.4 van het methodebesluit 2017-2021)</t>
  </si>
  <si>
    <t>Post</t>
  </si>
  <si>
    <t>Totale incidentele correcties</t>
  </si>
  <si>
    <t>NRUI</t>
  </si>
  <si>
    <t>Nacalculatie omzetregulering</t>
  </si>
  <si>
    <t>Nacalculatie overboek- en terugkoopregeling</t>
  </si>
  <si>
    <t>Nacalculatie veilinggelden</t>
  </si>
  <si>
    <t>Nacalculatie inkoopkosten energie</t>
  </si>
  <si>
    <t>Nacalculatie administratieve onbalans</t>
  </si>
  <si>
    <t>Incidentele correcties</t>
  </si>
  <si>
    <t>AT*</t>
  </si>
  <si>
    <t>Herstel Methode besluit</t>
  </si>
  <si>
    <t>Gewijzigd X-factor besluit</t>
  </si>
  <si>
    <t>Exclusief herstel Methode besluit</t>
  </si>
  <si>
    <t>Exclusief gewijzigd X factor besluit</t>
  </si>
  <si>
    <t>Opmerkingen</t>
  </si>
  <si>
    <t>Ideaalcomplex</t>
  </si>
  <si>
    <t>Herstel Methodebesluit (impact per jaar)</t>
  </si>
  <si>
    <t>Gewijzigd X-Factor Besluit (impact per jaar)</t>
  </si>
  <si>
    <t>Risk Free Rate</t>
  </si>
  <si>
    <t>Omzetregulering</t>
  </si>
  <si>
    <t>Overboek- en terugkoopregeling</t>
  </si>
  <si>
    <t>Niet Reguliere Uitbreidings Investeringen</t>
  </si>
  <si>
    <t>Veilinggelden</t>
  </si>
  <si>
    <t>Inkoopkosten energie</t>
  </si>
  <si>
    <t>Administratieve onbalans</t>
  </si>
  <si>
    <t>Dit is de helft van de verwachte kosten over 2020; Niet meegenomen om een goede jaar vergelijking te maken</t>
  </si>
  <si>
    <t>Nacalculatie inkoopkosten energie over 2020</t>
  </si>
  <si>
    <t>Nacalculatie administratieve onbalans over 2020</t>
  </si>
  <si>
    <t>Rij 49, L-Q</t>
  </si>
  <si>
    <t>Rij 49C-H, met lineaire interpolatie</t>
  </si>
  <si>
    <t>In dit tabblad wordt het verschil berekend in WACC op basis van de historische RFR (Brattle report) en de huidige markt RFR</t>
  </si>
  <si>
    <t>Berekening van de Nominale WACC zoals gedaan door Brattle</t>
  </si>
  <si>
    <t>WACC Historische RFR</t>
  </si>
  <si>
    <t>Verschil in Nominale WACC</t>
  </si>
  <si>
    <t>Brattle bepaalt de renteopslag rechtstreeks uit de Utility yields (voor A rating)</t>
  </si>
  <si>
    <t xml:space="preserve">ACM model </t>
  </si>
  <si>
    <t>Index model</t>
  </si>
  <si>
    <t>Rij 29, L-Q, met lineaire interpolatie</t>
  </si>
  <si>
    <t>Utility Index (A)</t>
  </si>
  <si>
    <t>RFR</t>
  </si>
  <si>
    <t>Berekening rente opslag voor Utility Index A</t>
  </si>
  <si>
    <t>In dit tabblad wordt de rente oplsag berekend voor Utility index A</t>
  </si>
  <si>
    <t>2012-2015 : Tabel 2 uit Herstel uitwerking van de Methode voor de WACC; 2016 -2019 op basis van de 10 Y bonds</t>
  </si>
  <si>
    <t>Rente opslag berekening</t>
  </si>
  <si>
    <t>Rente opslag voor (A)</t>
  </si>
  <si>
    <t>AT* betreft de aangepaste aansluitingen taak</t>
  </si>
  <si>
    <t>Totaal na correctie Theta</t>
  </si>
  <si>
    <t>Berekening van de nominale WACC op basis van de markt Risk Free Rate en gemiddelde rente opslag</t>
  </si>
  <si>
    <t>Gemiddelde 2017-2019</t>
  </si>
  <si>
    <t>Gedeelte historische leningen</t>
  </si>
  <si>
    <t>Gedeelte nieuwe leningen</t>
  </si>
  <si>
    <t>Rente opslag bestaand kapitaal</t>
  </si>
  <si>
    <t>Conform Brattle methodiek</t>
  </si>
  <si>
    <t>WACC Markt - Index RFR</t>
  </si>
  <si>
    <t>Bron / Opmerkingen</t>
  </si>
  <si>
    <t>Activa GTS / GAW</t>
  </si>
  <si>
    <t>Datum</t>
  </si>
  <si>
    <t>Is onderdeel van de zienswijze van de Gebruikers met betrekking tot het OMB GTS 2022 - 2026</t>
  </si>
  <si>
    <t>In onderstaand overzicht houden de Gebruikers bij welke bronnen gebruikt zijn voor de data en berekeningen in dit bestand.</t>
  </si>
  <si>
    <t>Nederland</t>
  </si>
  <si>
    <t>Duitsland</t>
  </si>
  <si>
    <t>Rente opslag volgens Brattle</t>
  </si>
  <si>
    <t>Correctie voor RFR volgens Brattle</t>
  </si>
  <si>
    <t>Impliciete Rente opslag voor Utility Index A zoals gebruikt door Brattle</t>
  </si>
  <si>
    <t>In rekenmodellen proberen de Gebruikers zoveel mogelijk eenvoudige, navolgbare berekeningen te maken en geen ingewikkelde functies of toepassingen te gebruiken.</t>
  </si>
  <si>
    <t>Gemiddelde</t>
  </si>
  <si>
    <t>Historische data met betrekking tot rendement op de 10 jaars Nederlandse en Duitse staatsobligaties</t>
  </si>
  <si>
    <t>Berekening van de nominale WACC op basis van de werkelijke Risk Free Rate en Inflatie</t>
  </si>
  <si>
    <t>markt</t>
  </si>
  <si>
    <t>Reele WACC is (1+NomWacc)/(1+Inflatie)-1</t>
  </si>
  <si>
    <t>Totaal te verrekenen</t>
  </si>
  <si>
    <t>Berekening van het verschil tussen de ACM methodiek en de markt index</t>
  </si>
  <si>
    <t>De theta neemt lineair af van 2016 tot 2021; zo berekent de ACM ook de uiteindelijke X-factor</t>
  </si>
  <si>
    <t>Rente verrekening (naar 2022)</t>
  </si>
  <si>
    <t>Rente zoals gebruikt door de ACM voor verrekeningen op basis van de belasting dienst. Vanaf 2015 is de rente ieder kwartaal vastgesteld op 4%, 4% ook gebruikt voor restant 2020 en 2021</t>
  </si>
  <si>
    <t>Bedrag op basis van rente verhoogd naar eerst mogelijke verrekeningsjaar 2022</t>
  </si>
  <si>
    <t>Dit is het verschil tussen de kosten die Gasunie feitelijk gemaakt heeft om GTS te financieren en de financiering die Gasunie bij GTS in rekening gebracht heeft</t>
  </si>
  <si>
    <t>Dit is de som van voordeel  ACM Model - Feitelijke Financiering lasten GTS + Voordeel dat Gasunie behaald heeft op de financiering</t>
  </si>
  <si>
    <t>Theta voor in scope TT, BT en AT</t>
  </si>
  <si>
    <t>GAW bijschatten KC (buiten scope)</t>
  </si>
  <si>
    <t>GAW doorrollen in scope TTBTAT</t>
  </si>
  <si>
    <t>GAW doorrollen buiten scope TTBTAT</t>
  </si>
  <si>
    <t>GAW doorrollen buiten scope KC</t>
  </si>
  <si>
    <t>Gemiddelde nacalculatie per jaar per categorie (nacalculatie uit jaren 2017-2019, verrekend in tarieven 2019-21)</t>
  </si>
  <si>
    <t>Desinvesteringen</t>
  </si>
  <si>
    <t>RFR voor MB GTS 2017-2021 op basis van 10 Y Bonds index</t>
  </si>
  <si>
    <t>Totaal inclusief belastingrente</t>
  </si>
  <si>
    <t>Investeringen + infl.</t>
  </si>
  <si>
    <t>Afschrijving is in 30 jaar met versnellingsfactor 1.3 eerste jaar wordt de helft afgeschreven</t>
  </si>
  <si>
    <t>Berekening kapitaalskosten volgens ACM MB 17-21</t>
  </si>
  <si>
    <t>RUI</t>
  </si>
  <si>
    <t>GAW * WACC</t>
  </si>
  <si>
    <t>GAW wordt geindexeerd op basis van CPI en Frontier shift</t>
  </si>
  <si>
    <t>CEER</t>
  </si>
  <si>
    <t>BNetzA</t>
  </si>
  <si>
    <t>In Scope</t>
  </si>
  <si>
    <t>Netto effect</t>
  </si>
  <si>
    <t>Kapitaalkosten</t>
  </si>
  <si>
    <t>Dus bij de berekening van de kapitaalskosten, desinvesteringen, RUI en de afschrijvingen worden geindexeerd op basis van CPI en frontiershift</t>
  </si>
  <si>
    <t>Zoals in werkelijkheid op basis van nacalculatie op de GAW en afschrijvingen</t>
  </si>
  <si>
    <t>Voor begin RUI is pp 2016, "Begininkomsten 2016"; cell H142; voor eind is op basis pp 2016 "Eindinkomsten 2021" cell H236 gecorrigeerd op basis van CPI en Frontier shift naar 2021 (let op hier is nieuwe WACC op van toepassing)</t>
  </si>
  <si>
    <t>Geen informatie in het GAW model</t>
  </si>
  <si>
    <t>Benchmark</t>
  </si>
  <si>
    <t>In de ACM berekening worden de GAW en Afschijvingen niet expliciet berekend.</t>
  </si>
  <si>
    <t>WUI Afschrijving</t>
  </si>
  <si>
    <t>WUI in GAW</t>
  </si>
  <si>
    <t>GAW zonder WUI</t>
  </si>
  <si>
    <t>GAW(-WUI) * WACC</t>
  </si>
  <si>
    <t>Dit is berekend voor vergelijkbaarheid met de bedragen uit het RFR 17-21 tabblad, alles naar 2022 berekend</t>
  </si>
  <si>
    <t>GAW bijschatten inscope TTBTAT</t>
  </si>
  <si>
    <t>GAW bijschatten buiten scope TTBTAT</t>
  </si>
  <si>
    <t>GAW in Scope</t>
  </si>
  <si>
    <t>GAW buiten Scope</t>
  </si>
  <si>
    <t>Impact Verschil in WACC in scope</t>
  </si>
  <si>
    <t>Impact Verschil in WACC buiten scope</t>
  </si>
  <si>
    <t>Berekening impact inclusief Theta</t>
  </si>
  <si>
    <t>Totale GAW</t>
  </si>
  <si>
    <t>Netto Theta</t>
  </si>
  <si>
    <t>Theta neemt lineair af  in de loop van de tijd; op basis van in scope GAW</t>
  </si>
  <si>
    <t>Investeringen in scope</t>
  </si>
  <si>
    <t>Investeringen buiten scope</t>
  </si>
  <si>
    <t>Concept GAW model GTS 2_Concept GAW model GTS 2022-2026 bij Ontwerpmethodebesluit GTS 2022-2026</t>
  </si>
  <si>
    <t>31 Augustus 2020</t>
  </si>
  <si>
    <t>GAW Model</t>
  </si>
  <si>
    <t>Concept X-factormod_Concept X-factormodel GTS 2022-2026 bij Ontwerpmethodebesluit GTS 2022-2026</t>
  </si>
  <si>
    <t>X-factor model</t>
  </si>
  <si>
    <t>bijlage-3-wacc-model</t>
  </si>
  <si>
    <t>WACC model</t>
  </si>
  <si>
    <t>Berekening versnellingsfactor</t>
  </si>
  <si>
    <t>Versnellingsfactor</t>
  </si>
  <si>
    <t>berekening-bij-tweede-gewijzigde-x-factorbesluit-gts-2017-2021</t>
  </si>
  <si>
    <t>X factor 17-21</t>
  </si>
  <si>
    <t>ACM/UIT/524843</t>
  </si>
  <si>
    <t>9 Januari 2020</t>
  </si>
  <si>
    <t>ACM/19/035346, kenmerk ACM/UIT/535148</t>
  </si>
  <si>
    <t>Data over 2020 t/m 31 Augustus</t>
  </si>
  <si>
    <t>2020*</t>
  </si>
  <si>
    <t xml:space="preserve">2020* is de verwachte gemiddeld rendementen waarbij t/m 31 augustus de gerealiseerde rendementen zijn genomen en voor de rest van het jaar de markt </t>
  </si>
  <si>
    <t>2021*</t>
  </si>
  <si>
    <t>2021* is de huidige markt genomen</t>
  </si>
  <si>
    <t>Gerealiseerde gemiddelde per land en per jaar</t>
  </si>
  <si>
    <t>X factor 17-21: "reguleringsparameters", gemiddelde van cell H58 en H62</t>
  </si>
  <si>
    <t>Verwachte kosten 2021 o.b.v. WACC 2021 met onderscheid voor BNetzA benchmark</t>
  </si>
  <si>
    <t>In scope</t>
  </si>
  <si>
    <t>Verwachte kosten 2021 binnen scope BNetzA o.b.v. WACC 2021</t>
  </si>
  <si>
    <t>EUR, pp 2021</t>
  </si>
  <si>
    <t>Verwachte kosten 2021 buiten scope BNetzA o.b.v. WACC 2021</t>
  </si>
  <si>
    <t>Verwachte kosten 2021 o.b.v. WACC 2021 met onderscheid voor CEER benchmark</t>
  </si>
  <si>
    <t>Verwachte kosten 2021 binnen scope CEER o.b.v. WACC 2021</t>
  </si>
  <si>
    <t>Verwachte kosten 2021 buiten scope CEER o.b.v. WACC 2021</t>
  </si>
  <si>
    <t>X factor 17-21: "eindinkomsten", regels 244 - 249; geeft gemiddelde in scope van GAW van 76%</t>
  </si>
  <si>
    <t>Onderstaande de relevante data uit X factor 17 21</t>
  </si>
  <si>
    <t>GAW model, hier overgenomen van "RFR 17-21"</t>
  </si>
  <si>
    <t>WACC model, lineaire interpolatie. Berekend in "RFR 17-21</t>
  </si>
  <si>
    <t xml:space="preserve">Uit "Herstel uitwerking methode van de WACC", randnummer 81 </t>
  </si>
  <si>
    <t>Dit zijn rentelasten die de ACM impliciet heeft meegenomen in zijn berekening van de toegestane inkomsten voor GTS</t>
  </si>
  <si>
    <t>Verschil tussen de werkelijke financieringslasten van  GTS tov rentelasten die zijn meegenomen in de berekening van de toegestane inkomsten in het ACM model</t>
  </si>
  <si>
    <t>Tevens wordt berekend wat de extra inkomsten van GTS zijn omdat de RFR te hoog is vastgesteld</t>
  </si>
  <si>
    <t>WACC model, "Brondata", Regel 25; dit is voor bestaand vermogen</t>
  </si>
  <si>
    <t>WACC model, "Brondata" regel 20</t>
  </si>
  <si>
    <t>WACC model, "Brondata" regel 21</t>
  </si>
  <si>
    <t>WACC model, "Brondata" regel 22</t>
  </si>
  <si>
    <t>WACC model, "Brondata" regel 25</t>
  </si>
  <si>
    <t>Niet gebruikt door Brattle om KEV te bepalen</t>
  </si>
  <si>
    <t>WACC model, "Brondata" regel 26</t>
  </si>
  <si>
    <t>WACC model, "Brondata" regel 16</t>
  </si>
  <si>
    <t>WACC model, "Brondata" regel 17</t>
  </si>
  <si>
    <r>
      <t xml:space="preserve">Formule in voetnoot 54 in </t>
    </r>
    <r>
      <rPr>
        <i/>
        <sz val="10"/>
        <rFont val="Arial"/>
        <family val="2"/>
      </rPr>
      <t>bijlage 3 uitwerking van de methode van het redelijk rendement (WACC)</t>
    </r>
  </si>
  <si>
    <t>Kostenvoet eigen vermogen (voor belasting)</t>
  </si>
  <si>
    <r>
      <t xml:space="preserve">Formule in voetnoot 2 in </t>
    </r>
    <r>
      <rPr>
        <i/>
        <sz val="10"/>
        <rFont val="Arial"/>
        <family val="2"/>
      </rPr>
      <t>bijlage 3 uitwerking van de methode van het redelijk rendement (WACC)</t>
    </r>
  </si>
  <si>
    <t>Op basis markt data (10 Y bonds)</t>
  </si>
  <si>
    <t>Rij 29, C-H</t>
  </si>
  <si>
    <t>Zoals berekend in tabblad "Rente opslag</t>
  </si>
  <si>
    <t>De ACM rondt af op 1 decimaal achter de komma, maar omdat het om een percentage gaat rondt de formule af op 3 decimalen.</t>
  </si>
  <si>
    <t>Berekening verschil WACC en Inkomsten op basis historische RFR en Markt RFR</t>
  </si>
  <si>
    <t>X-factor model; "GAW model" regel 13</t>
  </si>
  <si>
    <t>X-factor model; "GAW model" regel 15</t>
  </si>
  <si>
    <t>X-factor model; "GAW model" regel 22</t>
  </si>
  <si>
    <t>X-factor model; "GAW model" regel 27</t>
  </si>
  <si>
    <t>X-factor model; "GAW model" regel 29</t>
  </si>
  <si>
    <t>X-factor model; "GAW model" regel 40</t>
  </si>
  <si>
    <t>Hier wordt ook de theta verekend; Door de theta is de impact op de GTS inkomsten lager</t>
  </si>
  <si>
    <t>Om de impact mbt RFR te bepalen moet je de impliciete opslag eerst uitrekenen</t>
  </si>
  <si>
    <t>Deze vervolgens toepassen op de markt RFR. Dit is gedaan in tabblad "Rente oplsag".</t>
  </si>
  <si>
    <t>X-factor 17-21, "reguleringsparameters", Cell H33-H39</t>
  </si>
  <si>
    <t>X-factor 17-21 "reguleringsparameters", Cell H46-H52</t>
  </si>
  <si>
    <t>X-factor 17-21, "Begininkomsten 2016", Cell H49</t>
  </si>
  <si>
    <t>X-factor 17-21, "Begininkomsten 2016", Cell H114</t>
  </si>
  <si>
    <r>
      <t xml:space="preserve">RUI wordt in 2021 </t>
    </r>
    <r>
      <rPr>
        <b/>
        <sz val="11"/>
        <color theme="1"/>
        <rFont val="Calibri"/>
        <family val="2"/>
        <scheme val="minor"/>
      </rPr>
      <t>6 x</t>
    </r>
    <r>
      <rPr>
        <sz val="11"/>
        <color theme="1"/>
        <rFont val="Calibri"/>
        <family val="2"/>
        <scheme val="minor"/>
      </rPr>
      <t xml:space="preserve"> meegenomen (zie ook formule in "Eindinkomsten 2021" Cell L245); dus cumulatief meegenomen hier</t>
    </r>
  </si>
  <si>
    <t>GAW model ; hier overgenomen van RFR 17-21 tabblad</t>
  </si>
  <si>
    <t>Netto GAW waar GTS zijn inkomsten voor krijgt volgens het ACM model MB 2017-2021</t>
  </si>
  <si>
    <t>X-factor 17-21, "Regulerings parameters"; cell H11-12; WACC voor bestaand kapitaal</t>
  </si>
  <si>
    <t>Theta komt van X-factor 17-21, "Eindinkomsten 2021" cell H35-36</t>
  </si>
  <si>
    <t>X-factor model, "Reguleringsparameters" rij 19</t>
  </si>
  <si>
    <t>verwachte inflatie</t>
  </si>
  <si>
    <t>Correctie factor</t>
  </si>
  <si>
    <t xml:space="preserve">Uit GTS IP 2 juli 2020; Table 5.11; Aanname dat dit reeel investeringsbedragen zijn </t>
  </si>
  <si>
    <t>GAW model, "Resultaat", kolom R; voor alle investeringen; nominale bedragen</t>
  </si>
  <si>
    <t>GAW model, "Resultaat", kolom T; voor alle investeringen; nominale bedragen</t>
  </si>
  <si>
    <t>X-factor model, "regulerings parameters" cell  M-Q12; geen nieuw kapitaal nodig</t>
  </si>
  <si>
    <t>Terug rekenen naar jaar 2022</t>
  </si>
  <si>
    <t>Terugreken met verwachte inflatie factor naar jaar 2022</t>
  </si>
  <si>
    <t>ACM/19/035346</t>
  </si>
  <si>
    <t>Methodebesluit GTS 2022-2026</t>
  </si>
  <si>
    <t>Dit bestand bevat een aantal berekening ter onderbouwing van de zienswijze van de Gebruikers ten aanzien van het OMB van de ACM met betrekking tot GTS over de periode 2022 - 2026
Voor eenduidigheid is in dit bestand dezelfde kleurcodering gebruikt als de ACM gebruikt in zijn excel bestanden
Voor de bronnen worden de verkorte namen gebruikt zoals aangegeven in tabblad "Bronnen en toepassingen"; Tabbladen worden aangegeven tussn ".....".</t>
  </si>
  <si>
    <t>Voor de huidige en toekomstige verwachtingen van de RFR wordt de laatst beschikbare marktdata gebruikt (31 Augustus 2020)</t>
  </si>
  <si>
    <t>Actuele Risk Free Rate volgens de markt waarden voor 2016-2019; voor 2020 en 2021 schatting op basis van de huidige RFR</t>
  </si>
  <si>
    <t>X-factor model; "Reguleringsparameters" regel 18</t>
  </si>
  <si>
    <t>GAW model: "resultaat" cell J168-173; selectie van alle investeringen</t>
  </si>
  <si>
    <t>De GTS rentelasten worden berekend volgens het GAW - WACC model van de ACM; de werkelijke kosten worden geschat op basis van de jaarverslagen van Gasunie en GTS</t>
  </si>
  <si>
    <t>Brattle bepaalt de renteopslag rechtstreeks uit de Utility yields (voor A rating). Om de impact mbt RFR te bepalen moet je eerst de impliciete opslag uitrekenen tov de RFR</t>
  </si>
  <si>
    <t>GAW model; tabblad "resultaat", kolom I; alle investeringen</t>
  </si>
  <si>
    <t>In dit tabblad worden de regulier nacalculatie posten uit het MB 2017-21 vergeleken met de RFR en ideaalcomplex nacalculaties</t>
  </si>
  <si>
    <t>De data wordt gebruikt voor het berekenen van de risk free rate (RFR)</t>
  </si>
  <si>
    <t>Bron van de data is de website:  nl.investing.com</t>
  </si>
  <si>
    <t>Vergelijking met Brattle RFR</t>
  </si>
  <si>
    <t>Periode 16 juni 2017 - 15 juni 2020</t>
  </si>
  <si>
    <t>Brattle</t>
  </si>
  <si>
    <t>The WACC for the Dutch gas TSO, Brattle, 27th Juli, Page 7</t>
  </si>
  <si>
    <t>nl.investing.com</t>
  </si>
  <si>
    <t>Tabel 11 uit Brattle report : The WACC for the Dutch Gas TSO, 27 Juli</t>
  </si>
  <si>
    <t>Gemiddelde 2013-2019</t>
  </si>
  <si>
    <t>Het verschil wordt berekend tov een marktbenchmark voor de Risk Free Rate en de werkelijke CPI</t>
  </si>
  <si>
    <t>Rente opslag incl RFR volgens Brattle</t>
  </si>
  <si>
    <t>Bron/Opmerking</t>
  </si>
  <si>
    <t>Bron/Opmerkingen</t>
  </si>
  <si>
    <t>Verschil in kapitaalkosten tussen ACM model en de werkelijkheid</t>
  </si>
  <si>
    <t>Werkelijke kapitaalkosten</t>
  </si>
  <si>
    <t>In Scope is bepaald op basis van gemiddelde kapitaalskosten; zie tabblad RFR 17-21</t>
  </si>
  <si>
    <r>
      <t xml:space="preserve">Extra kosten gebruikers door historische schatting RFR en geen nacalculatie, zie "RFR 17-21"; kosten per </t>
    </r>
    <r>
      <rPr>
        <u/>
        <sz val="11"/>
        <color theme="1"/>
        <rFont val="Calibri"/>
        <family val="2"/>
        <scheme val="minor"/>
      </rPr>
      <t>jaar</t>
    </r>
  </si>
  <si>
    <r>
      <t xml:space="preserve">Extra kosten gebruikers door ideaalcomplex en geen nacalculatie, zie "Ideaalcomplex 17-21", kosten per </t>
    </r>
    <r>
      <rPr>
        <u/>
        <sz val="11"/>
        <color theme="1"/>
        <rFont val="Calibri"/>
        <family val="2"/>
        <scheme val="minor"/>
      </rPr>
      <t>jaar</t>
    </r>
  </si>
  <si>
    <t>Berekening verschil WACC methodebesluit en markt-index methode voor RfR en CPI</t>
  </si>
  <si>
    <t>GTS jaarverslag 2018 (pagina 7) en jaarverslag 2019 (pagina 9), de financieringslasten zijn intern betaalt aan Gasunie</t>
  </si>
  <si>
    <t>Uit Gasunie annual report 2018 (pagina 77) en Gasunie jaarverslag 2019 (pagina 81)</t>
  </si>
  <si>
    <t>Total fixed assets uit  Gasunie jaarverslag 2018 (pagina 112) en Gasunie jaarverslag 2019 (pagina 115)</t>
  </si>
  <si>
    <t>bijlage-3-rekenmodule-tarieven-gts-2019</t>
  </si>
  <si>
    <t>Tareiven 2019</t>
  </si>
  <si>
    <t>Tarieven 2020</t>
  </si>
  <si>
    <t>Tarieven 2021</t>
  </si>
  <si>
    <t>Tarieven 2019; tabblad "TAR_Tab_6_Nacalculaties 17-19"; cell B16 - G16</t>
  </si>
  <si>
    <t>Tarieven 2019; tabblad "TAR_Tab_6_Nacalculaties 17-19"; cell B25 - G25</t>
  </si>
  <si>
    <t>Tarieven 2019; tabblad "TAR_Tab_6_Nacalculaties 17-19"; cell B36 - G36</t>
  </si>
  <si>
    <t>Tarieven 2019; tabblad "TAR_Tab_6_Nacalculaties 17-19"; cell B51 - G51</t>
  </si>
  <si>
    <t>Tarieven 2019; tabblad "TAR_Tab_6_Nacalculaties 17-19"; cell B59 - G59</t>
  </si>
  <si>
    <t>Tarieven 2019; tabblad "TAR_Tab_8_Incidenteel"; cell B17 - J17</t>
  </si>
  <si>
    <t>Tarieven 2019; tabblad "TAR_Tab 5_NRUI"; cell B151 - G151</t>
  </si>
  <si>
    <t>rekenmodule-tarieven-gts-2020</t>
  </si>
  <si>
    <t>ACM/18/033801 en ACM/UIT/508383</t>
  </si>
  <si>
    <t>rekenmodule-tarieven-gts-2021</t>
  </si>
  <si>
    <t>Tarieven 2020; tabblad "15. Toegestane inkomsten"; cell B54-O60</t>
  </si>
  <si>
    <t>Tarieven 2020; tabblad "14. Incidentele correctie"; cell J21-O21 en J26-O26</t>
  </si>
  <si>
    <t>Tarieven 2020; tabblad "14. Incidentele correctie"; cell J33-O33</t>
  </si>
  <si>
    <t>ACM/19/036512</t>
  </si>
  <si>
    <t>ACM/17/023171</t>
  </si>
  <si>
    <t>Tarieven 2021; tabblad "15. Toegestane inkomsten"; cell B56-O64</t>
  </si>
  <si>
    <t>Tarieven 2021; tabblad "14. Incidentele correcties"; cell J22-O22 en J26-O26</t>
  </si>
  <si>
    <t>Tarieven 2021; tabblad "14. Incidentele correcties"; cell J24-O34</t>
  </si>
  <si>
    <t>Risicovrije rente : WACC model, "Brondata", Regel 20</t>
  </si>
  <si>
    <t>Uit X-factormodel, theta is 86.2% voor in scope voor de taken TT, BT en AT "2. Reguleringparameters", Cell F23</t>
  </si>
  <si>
    <t>GAW model; "Resultaat" rij 169:173 met in "6. Selectie" WUI uit jaren 2016-2019</t>
  </si>
  <si>
    <t>Nominale investering uit GTS IP ; pp berekend tov jaar 2020</t>
  </si>
  <si>
    <t>Tarieven 2020; tabblad "15. Toegestane inkomsten"; cell B54-O61</t>
  </si>
  <si>
    <t>Aanname is dat GTS IP getallen pp 2020 zijn; omgerekend naar pp van het betreffende jaar met 2020 1.6% en 2021 1.7 % inflatie</t>
  </si>
  <si>
    <t>Dit bestand is bijlage 2 en een integraal onderdeel van de Gebruikers zienswijze met betrekking tot het OMB GTS 2022 - 2026</t>
  </si>
  <si>
    <t>Verdeeld over inscope en buiten scope in dezelfde verhouding als de ACM</t>
  </si>
  <si>
    <t>Bruto Extra  GAW buiten scope</t>
  </si>
  <si>
    <t>Bruto Extra  GAW in Scope</t>
  </si>
  <si>
    <t>Extra Afschrijvingen in scope</t>
  </si>
  <si>
    <t>Netto Extra GAW in Scope</t>
  </si>
  <si>
    <t>Extra Afschrijvingen buiten scope</t>
  </si>
  <si>
    <t>Netto Extra GAW buiten scope</t>
  </si>
  <si>
    <t>Extra Vermogenskosten in scope</t>
  </si>
  <si>
    <t>Extra Vermogenskosten buiten scope</t>
  </si>
  <si>
    <t>Totaal extra kapitaalkosten</t>
  </si>
  <si>
    <t>Totaal extra kosten zijn de extra afschrijvingen plus de extra kapitaalskosten</t>
  </si>
  <si>
    <t>Dit is de extra GAW in scope in een specifiek jaar omdat de ACM een historische schatter gebruikt ipv GTS IP</t>
  </si>
  <si>
    <t>Dit is de cumulatieve toename van de GAW in scope, na correctie voor de extra afschrijvingen</t>
  </si>
  <si>
    <t>Dit is de extra GAW buiten scope in een specifiek jaar omdat de ACM een historische schatter gebruikt ipv GTS IP</t>
  </si>
  <si>
    <t>Dit is de cumulatieve toename van de GAW buiten scope, na correctie voor de extra afschrijvingen</t>
  </si>
  <si>
    <t>Te veel aan afschrijvingen en kapitaal kosten</t>
  </si>
  <si>
    <t>Ontwikkeling bij versnellingsfactor 1.3</t>
  </si>
  <si>
    <t xml:space="preserve">Nominale WACC </t>
  </si>
  <si>
    <t xml:space="preserve">CPI </t>
  </si>
  <si>
    <t>GAW model; "1. Resultaat" cell I174 -178; bij versnellingsfactor = 1.3 ("2. Reguleringsparameters, cell D76)</t>
  </si>
  <si>
    <t>GAW model; "1. Resultaat" cell I174 -178; bij versnellingsfactor = 1 ("2. Reguleringsparameters, cell D76)</t>
  </si>
  <si>
    <t>GAW model; "1. Resultaat" cell J174 -178; bij versnellingsfactor = 1 ("2. Reguleringsparameters, cell D76)</t>
  </si>
  <si>
    <t>GAW model; "1. Resultaat" cell J174 -178; bij versnellingsfactor = 1.3 ("2. Reguleringsparameters, cell D76)</t>
  </si>
  <si>
    <t>GAW model;"2. Reguleringsparameters", cell CA98-CE98</t>
  </si>
  <si>
    <t>Extra kosten gebruikers</t>
  </si>
  <si>
    <t>Vermogenskosten</t>
  </si>
  <si>
    <t>Totaal extra kosten gebruikers</t>
  </si>
  <si>
    <t>Nominale WACC volgens Brattle; hier overgenomen van "RFR 22-26" cell D27 - H27</t>
  </si>
  <si>
    <t>Berekening extra kosten gebruikers</t>
  </si>
  <si>
    <t>Verschil in vermogenskosten</t>
  </si>
  <si>
    <t>Verschil in afschrijvingen tussen versnellingsfactor 1.3 en 1.0</t>
  </si>
  <si>
    <t>GAW plus inflatie</t>
  </si>
  <si>
    <t>Afschrijvingen plus inflatie</t>
  </si>
  <si>
    <t>In het GAW model worden de afschrijvingen en GAW niet geindexeerd (het is een nominaal model); hiervoor moet je corrigeren in het reeele stelsel</t>
  </si>
  <si>
    <t>Berekening extra kosten versneld afschrijven en verandering van stelsel</t>
  </si>
  <si>
    <r>
      <t>In dit tabblad worden de extra kosten berekend die gebruikers gaan betalen als gevolg van het versneld afschrijven en de verandering van re</t>
    </r>
    <r>
      <rPr>
        <sz val="11"/>
        <color theme="1"/>
        <rFont val="Calibri"/>
        <family val="2"/>
      </rPr>
      <t>ë</t>
    </r>
    <r>
      <rPr>
        <sz val="11"/>
        <color theme="1"/>
        <rFont val="Calibri"/>
        <family val="2"/>
        <scheme val="minor"/>
      </rPr>
      <t>el naar nominaal stelsel</t>
    </r>
  </si>
  <si>
    <r>
      <t>Ontwikkeling bij versnellingsfactor 1 &amp; Re</t>
    </r>
    <r>
      <rPr>
        <sz val="11"/>
        <color theme="1"/>
        <rFont val="Calibri"/>
        <family val="2"/>
      </rPr>
      <t>ë</t>
    </r>
    <r>
      <rPr>
        <sz val="11"/>
        <color theme="1"/>
        <rFont val="Calibri"/>
        <family val="2"/>
        <scheme val="minor"/>
      </rPr>
      <t>le stelsel</t>
    </r>
  </si>
  <si>
    <r>
      <t>Re</t>
    </r>
    <r>
      <rPr>
        <sz val="11"/>
        <color theme="1"/>
        <rFont val="Calibri"/>
        <family val="2"/>
      </rPr>
      <t>ë</t>
    </r>
    <r>
      <rPr>
        <sz val="11"/>
        <color theme="1"/>
        <rFont val="Calibri"/>
        <family val="2"/>
        <scheme val="minor"/>
      </rPr>
      <t>le WACC</t>
    </r>
  </si>
  <si>
    <r>
      <t>Berekeningen ter onderbouwing zienswijze Energie Nederland, NOGEPA en VGN  ("</t>
    </r>
    <r>
      <rPr>
        <b/>
        <sz val="10"/>
        <rFont val="Arial"/>
        <family val="2"/>
      </rPr>
      <t>de Gebruikers</t>
    </r>
    <r>
      <rPr>
        <sz val="10"/>
        <rFont val="Arial"/>
        <family val="2"/>
      </rPr>
      <t>") op Ontwerp Methode Besluit GTS 2022-2026</t>
    </r>
  </si>
  <si>
    <t>Cumulatieve CPI</t>
  </si>
  <si>
    <t>Cumulatieve CPI is nodig voor de omrekening van het nominale stelsel naar het reele stelsel</t>
  </si>
  <si>
    <t>Finale versie zienswijze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</si>
</sst>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 * #,##0_ ;_ * \-#,##0_ ;_ * &quot;-&quot;??_ ;_ @_ "/>
    <numFmt numFmtId="165" formatCode="0.0%"/>
    <numFmt numFmtId="166" formatCode="_(* #,##0_);_(* \(#,##0\);_(* &quot;-&quot;_);_(@_)"/>
    <numFmt numFmtId="167" formatCode="_(* #,##0.00_);_(* \(#,##0.00\);_(* &quot;-&quot;??_);_(@_)"/>
    <numFmt numFmtId="168" formatCode="0.0"/>
    <numFmt numFmtId="169" formatCode="_(* #,##0.00_);_(* \(#,##0.00\);_(* &quot;-&quot;_);_(@_)"/>
    <numFmt numFmtId="170" formatCode="_(* #,##0.0_);_(* \(#,##0.0\);_(* &quot;-&quot;_);_(@_)"/>
    <numFmt numFmtId="171" formatCode="_ * #,##0_ ;_ * \-#,##0_ ;_ * &quot;-&quot;??_ ;_ @_ \ "/>
    <numFmt numFmtId="172" formatCode="_ * #,##0.00_ ;_ * \-#,##0.00_ ;_ * &quot;-&quot;_ ;_ @_ "/>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b/>
      <sz val="14"/>
      <color theme="0"/>
      <name val="Arial"/>
      <family val="2"/>
    </font>
    <font>
      <b/>
      <sz val="10"/>
      <name val="Arial"/>
      <family val="2"/>
    </font>
    <font>
      <b/>
      <sz val="10"/>
      <color rgb="FFFF0000"/>
      <name val="Arial"/>
      <family val="2"/>
    </font>
    <font>
      <i/>
      <sz val="10"/>
      <name val="Arial"/>
      <family val="2"/>
    </font>
    <font>
      <sz val="10"/>
      <color indexed="55"/>
      <name val="Arial"/>
      <family val="2"/>
    </font>
    <font>
      <sz val="8"/>
      <color indexed="81"/>
      <name val="Tahoma"/>
      <family val="2"/>
    </font>
    <font>
      <u/>
      <sz val="10"/>
      <color theme="10"/>
      <name val="Arial"/>
      <family val="2"/>
    </font>
    <font>
      <sz val="11"/>
      <color theme="1"/>
      <name val="Calibri"/>
      <family val="2"/>
    </font>
    <font>
      <b/>
      <sz val="11"/>
      <color theme="1"/>
      <name val="Calibri"/>
      <family val="2"/>
    </font>
    <font>
      <sz val="10"/>
      <color indexed="8"/>
      <name val="Arial"/>
      <family val="2"/>
    </font>
    <font>
      <sz val="8"/>
      <name val="Calibri"/>
      <family val="2"/>
      <scheme val="minor"/>
    </font>
    <font>
      <sz val="10"/>
      <color theme="0" tint="-0.499984740745262"/>
      <name val="Arial"/>
      <family val="2"/>
    </font>
    <font>
      <b/>
      <sz val="10"/>
      <color theme="1"/>
      <name val="Arial"/>
      <family val="2"/>
    </font>
    <font>
      <u/>
      <sz val="11"/>
      <color theme="1"/>
      <name val="Calibri"/>
      <family val="2"/>
      <scheme val="minor"/>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solid">
        <fgColor theme="5" tint="0.39997558519241921"/>
        <bgColor indexed="64"/>
      </patternFill>
    </fill>
    <fill>
      <patternFill patternType="solid">
        <fgColor rgb="FF5F1F7A"/>
        <bgColor indexed="64"/>
      </patternFill>
    </fill>
    <fill>
      <patternFill patternType="solid">
        <fgColor rgb="FFCCC8D9"/>
        <bgColor indexed="64"/>
      </patternFill>
    </fill>
    <fill>
      <patternFill patternType="solid">
        <fgColor rgb="FFFFFFFF"/>
        <bgColor indexed="64"/>
      </patternFill>
    </fill>
    <fill>
      <patternFill patternType="solid">
        <fgColor rgb="FFCCFFFF"/>
        <bgColor indexed="64"/>
      </patternFill>
    </fill>
    <fill>
      <patternFill patternType="solid">
        <fgColor rgb="FFE1FFE1"/>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00FF"/>
        <bgColor indexed="64"/>
      </patternFill>
    </fill>
    <fill>
      <patternFill patternType="solid">
        <fgColor rgb="FF99FF99"/>
        <bgColor indexed="64"/>
      </patternFill>
    </fill>
    <fill>
      <patternFill patternType="solid">
        <fgColor indexed="41"/>
        <bgColor indexed="64"/>
      </patternFill>
    </fill>
    <fill>
      <patternFill patternType="solid">
        <fgColor indexed="14"/>
        <bgColor indexed="64"/>
      </patternFill>
    </fill>
    <fill>
      <patternFill patternType="solid">
        <fgColor theme="0" tint="-4.9989318521683403E-2"/>
        <bgColor indexed="64"/>
      </patternFill>
    </fill>
    <fill>
      <patternFill patternType="solid">
        <fgColor theme="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9" fontId="20" fillId="37" borderId="10">
      <alignment vertical="top"/>
    </xf>
    <xf numFmtId="0" fontId="19" fillId="0" borderId="0">
      <alignment vertical="top"/>
    </xf>
    <xf numFmtId="49" fontId="21" fillId="38" borderId="10">
      <alignment vertical="top"/>
    </xf>
    <xf numFmtId="0" fontId="18" fillId="0" borderId="0">
      <alignment vertical="top"/>
    </xf>
    <xf numFmtId="49" fontId="21" fillId="0" borderId="0">
      <alignment vertical="top"/>
    </xf>
    <xf numFmtId="166" fontId="19" fillId="41" borderId="0">
      <alignment vertical="top"/>
    </xf>
    <xf numFmtId="166" fontId="19" fillId="35" borderId="0">
      <alignment vertical="top"/>
    </xf>
    <xf numFmtId="166" fontId="19" fillId="33" borderId="0">
      <alignment vertical="top"/>
    </xf>
    <xf numFmtId="166" fontId="19" fillId="40" borderId="0">
      <alignment vertical="top"/>
    </xf>
    <xf numFmtId="49" fontId="23" fillId="0" borderId="0">
      <alignment vertical="top"/>
    </xf>
    <xf numFmtId="166" fontId="19" fillId="43" borderId="0">
      <alignment vertical="top"/>
    </xf>
    <xf numFmtId="166" fontId="19" fillId="44" borderId="0">
      <alignment vertical="top"/>
    </xf>
    <xf numFmtId="166" fontId="19" fillId="45" borderId="0">
      <alignment vertical="top"/>
    </xf>
    <xf numFmtId="167" fontId="19" fillId="33" borderId="0" applyFont="0" applyFill="0" applyBorder="0" applyAlignment="0" applyProtection="0">
      <alignment vertical="top"/>
    </xf>
    <xf numFmtId="49" fontId="26" fillId="0" borderId="0" applyFill="0" applyBorder="0" applyAlignment="0" applyProtection="0"/>
    <xf numFmtId="0" fontId="1" fillId="0" borderId="0"/>
    <xf numFmtId="0" fontId="19" fillId="0" borderId="0"/>
    <xf numFmtId="9" fontId="19" fillId="0" borderId="0" applyFont="0" applyFill="0" applyBorder="0" applyAlignment="0" applyProtection="0"/>
    <xf numFmtId="0" fontId="29" fillId="0" borderId="0"/>
  </cellStyleXfs>
  <cellXfs count="431">
    <xf numFmtId="0" fontId="0" fillId="0" borderId="0" xfId="0"/>
    <xf numFmtId="0" fontId="18" fillId="0" borderId="0" xfId="0" applyFont="1"/>
    <xf numFmtId="0" fontId="19" fillId="0" borderId="0" xfId="45">
      <alignment vertical="top"/>
    </xf>
    <xf numFmtId="49" fontId="21" fillId="38" borderId="10" xfId="46">
      <alignment vertical="top"/>
    </xf>
    <xf numFmtId="0" fontId="19" fillId="0" borderId="11" xfId="45" applyBorder="1" applyAlignment="1">
      <alignment horizontal="left" vertical="top" wrapText="1"/>
    </xf>
    <xf numFmtId="0" fontId="19" fillId="39" borderId="11" xfId="47" applyFont="1" applyFill="1" applyBorder="1" applyAlignment="1">
      <alignment horizontal="left" vertical="top" wrapText="1"/>
    </xf>
    <xf numFmtId="0" fontId="18" fillId="0" borderId="11" xfId="47" applyBorder="1">
      <alignment vertical="top"/>
    </xf>
    <xf numFmtId="9" fontId="19" fillId="0" borderId="0" xfId="45" applyNumberFormat="1">
      <alignment vertical="top"/>
    </xf>
    <xf numFmtId="0" fontId="22" fillId="0" borderId="0" xfId="45" applyFont="1">
      <alignment vertical="top"/>
    </xf>
    <xf numFmtId="49" fontId="21" fillId="0" borderId="0" xfId="48">
      <alignment vertical="top"/>
    </xf>
    <xf numFmtId="166" fontId="19" fillId="41" borderId="0" xfId="49">
      <alignment vertical="top"/>
    </xf>
    <xf numFmtId="166" fontId="19" fillId="35" borderId="0" xfId="50">
      <alignment vertical="top"/>
    </xf>
    <xf numFmtId="166" fontId="19" fillId="33" borderId="0" xfId="51">
      <alignment vertical="top"/>
    </xf>
    <xf numFmtId="166" fontId="19" fillId="40" borderId="0" xfId="52">
      <alignment vertical="top"/>
    </xf>
    <xf numFmtId="0" fontId="19" fillId="42" borderId="0" xfId="45" applyFill="1">
      <alignment vertical="top"/>
    </xf>
    <xf numFmtId="49" fontId="23" fillId="0" borderId="0" xfId="53">
      <alignment vertical="top"/>
    </xf>
    <xf numFmtId="166" fontId="19" fillId="43" borderId="0" xfId="54">
      <alignment vertical="top"/>
    </xf>
    <xf numFmtId="166" fontId="19" fillId="44" borderId="0" xfId="55">
      <alignment vertical="top"/>
    </xf>
    <xf numFmtId="1" fontId="19" fillId="0" borderId="0" xfId="45" applyNumberFormat="1">
      <alignment vertical="top"/>
    </xf>
    <xf numFmtId="1" fontId="23" fillId="0" borderId="0" xfId="45" applyNumberFormat="1" applyFont="1">
      <alignment vertical="top"/>
    </xf>
    <xf numFmtId="166" fontId="19" fillId="45" borderId="0" xfId="56">
      <alignment vertical="top"/>
    </xf>
    <xf numFmtId="166" fontId="19" fillId="41" borderId="11" xfId="49" applyBorder="1">
      <alignment vertical="top"/>
    </xf>
    <xf numFmtId="167" fontId="24" fillId="0" borderId="0" xfId="57" applyFont="1" applyFill="1">
      <alignment vertical="top"/>
    </xf>
    <xf numFmtId="0" fontId="24" fillId="0" borderId="0" xfId="45" applyFont="1">
      <alignment vertical="top"/>
    </xf>
    <xf numFmtId="0" fontId="21" fillId="0" borderId="0" xfId="45" applyFont="1">
      <alignment vertical="top"/>
    </xf>
    <xf numFmtId="0" fontId="19" fillId="46" borderId="0" xfId="45" applyFill="1">
      <alignment vertical="top"/>
    </xf>
    <xf numFmtId="0" fontId="19" fillId="33" borderId="0" xfId="45" applyFill="1">
      <alignment vertical="top"/>
    </xf>
    <xf numFmtId="2" fontId="19" fillId="47" borderId="0" xfId="45" applyNumberFormat="1" applyFill="1">
      <alignment vertical="top"/>
    </xf>
    <xf numFmtId="0" fontId="19" fillId="48" borderId="0" xfId="45" applyFill="1">
      <alignment vertical="top"/>
    </xf>
    <xf numFmtId="49" fontId="19" fillId="38" borderId="0" xfId="46" applyFont="1" applyBorder="1">
      <alignment vertical="top"/>
    </xf>
    <xf numFmtId="49" fontId="19" fillId="38" borderId="11" xfId="46" applyFont="1" applyBorder="1">
      <alignment vertical="top"/>
    </xf>
    <xf numFmtId="0" fontId="19" fillId="0" borderId="11" xfId="45" applyBorder="1">
      <alignment vertical="top"/>
    </xf>
    <xf numFmtId="0" fontId="18" fillId="0" borderId="0" xfId="47" applyAlignment="1">
      <alignment vertical="top" wrapText="1"/>
    </xf>
    <xf numFmtId="0" fontId="19" fillId="0" borderId="11" xfId="45" applyBorder="1" applyAlignment="1">
      <alignment vertical="top" wrapText="1"/>
    </xf>
    <xf numFmtId="49" fontId="20" fillId="36" borderId="10" xfId="44" applyFill="1">
      <alignment vertical="top"/>
    </xf>
    <xf numFmtId="0" fontId="16" fillId="0" borderId="12" xfId="0" applyFont="1" applyBorder="1"/>
    <xf numFmtId="0" fontId="0" fillId="0" borderId="15" xfId="0" applyBorder="1"/>
    <xf numFmtId="0" fontId="0" fillId="0" borderId="15" xfId="0" applyBorder="1" applyAlignment="1">
      <alignment horizontal="center"/>
    </xf>
    <xf numFmtId="0" fontId="0" fillId="0" borderId="18" xfId="0" applyBorder="1"/>
    <xf numFmtId="0" fontId="0" fillId="0" borderId="0" xfId="0" applyAlignment="1">
      <alignment horizontal="center"/>
    </xf>
    <xf numFmtId="0" fontId="0" fillId="0" borderId="20" xfId="0" applyBorder="1"/>
    <xf numFmtId="0" fontId="0" fillId="0" borderId="10" xfId="0" applyBorder="1"/>
    <xf numFmtId="0" fontId="0" fillId="0" borderId="21" xfId="0" applyBorder="1"/>
    <xf numFmtId="0" fontId="0" fillId="0" borderId="12" xfId="0" applyBorder="1"/>
    <xf numFmtId="0" fontId="0" fillId="0" borderId="13" xfId="0" applyBorder="1"/>
    <xf numFmtId="0" fontId="27" fillId="0" borderId="13" xfId="0" applyFont="1" applyBorder="1" applyAlignment="1">
      <alignment horizontal="center"/>
    </xf>
    <xf numFmtId="0" fontId="0" fillId="0" borderId="0" xfId="0" applyBorder="1"/>
    <xf numFmtId="168" fontId="0" fillId="0" borderId="0" xfId="0" applyNumberFormat="1"/>
    <xf numFmtId="2" fontId="0" fillId="0" borderId="0" xfId="0" applyNumberFormat="1"/>
    <xf numFmtId="0" fontId="0" fillId="0" borderId="22" xfId="0" applyBorder="1"/>
    <xf numFmtId="0" fontId="0" fillId="0" borderId="23" xfId="0" applyBorder="1"/>
    <xf numFmtId="0" fontId="0" fillId="0" borderId="24" xfId="0" applyBorder="1"/>
    <xf numFmtId="0" fontId="0" fillId="0" borderId="16" xfId="0" applyBorder="1"/>
    <xf numFmtId="0" fontId="0" fillId="0" borderId="11" xfId="0" applyBorder="1"/>
    <xf numFmtId="0" fontId="16" fillId="0" borderId="11" xfId="0" applyFont="1" applyBorder="1"/>
    <xf numFmtId="0" fontId="0" fillId="0" borderId="24" xfId="0" applyBorder="1" applyAlignment="1">
      <alignment horizontal="center"/>
    </xf>
    <xf numFmtId="0" fontId="0" fillId="0" borderId="21" xfId="0" applyBorder="1" applyAlignment="1">
      <alignment horizontal="center"/>
    </xf>
    <xf numFmtId="0" fontId="0" fillId="0" borderId="13" xfId="0" applyBorder="1" applyAlignment="1">
      <alignment horizontal="center"/>
    </xf>
    <xf numFmtId="0" fontId="21" fillId="38" borderId="10" xfId="46" applyNumberFormat="1" applyAlignment="1">
      <alignment horizontal="center" vertical="center"/>
    </xf>
    <xf numFmtId="49" fontId="21" fillId="38" borderId="10" xfId="46" applyAlignment="1">
      <alignment horizontal="center" vertical="top"/>
    </xf>
    <xf numFmtId="0" fontId="21" fillId="38" borderId="10" xfId="46" applyNumberFormat="1" applyBorder="1" applyAlignment="1">
      <alignment horizontal="center" vertical="center"/>
    </xf>
    <xf numFmtId="0" fontId="21" fillId="38" borderId="21" xfId="46" applyNumberFormat="1" applyBorder="1" applyAlignment="1">
      <alignment horizontal="center" vertical="center"/>
    </xf>
    <xf numFmtId="0" fontId="0" fillId="0" borderId="18" xfId="0" applyBorder="1" applyAlignment="1">
      <alignment wrapText="1"/>
    </xf>
    <xf numFmtId="0" fontId="16" fillId="0" borderId="20" xfId="0" applyFont="1" applyBorder="1" applyAlignment="1">
      <alignment wrapText="1"/>
    </xf>
    <xf numFmtId="169" fontId="19" fillId="41" borderId="12" xfId="49" applyNumberFormat="1" applyBorder="1">
      <alignment vertical="top"/>
    </xf>
    <xf numFmtId="169" fontId="19" fillId="41" borderId="13" xfId="49" applyNumberFormat="1" applyBorder="1">
      <alignment vertical="top"/>
    </xf>
    <xf numFmtId="169" fontId="19" fillId="41" borderId="14" xfId="49" applyNumberFormat="1" applyBorder="1">
      <alignment vertical="top"/>
    </xf>
    <xf numFmtId="169" fontId="19" fillId="41" borderId="18" xfId="49" applyNumberFormat="1" applyBorder="1">
      <alignment vertical="top"/>
    </xf>
    <xf numFmtId="169" fontId="19" fillId="41" borderId="0" xfId="49" applyNumberFormat="1" applyBorder="1">
      <alignment vertical="top"/>
    </xf>
    <xf numFmtId="169" fontId="19" fillId="41" borderId="19" xfId="49" applyNumberFormat="1" applyBorder="1">
      <alignment vertical="top"/>
    </xf>
    <xf numFmtId="169" fontId="19" fillId="41" borderId="16" xfId="49" applyNumberFormat="1" applyBorder="1">
      <alignment vertical="top"/>
    </xf>
    <xf numFmtId="169" fontId="19" fillId="35" borderId="0" xfId="50" applyNumberFormat="1">
      <alignment vertical="top"/>
    </xf>
    <xf numFmtId="0" fontId="21" fillId="38" borderId="13" xfId="46" applyNumberFormat="1" applyBorder="1" applyAlignment="1">
      <alignment horizontal="center" vertical="center"/>
    </xf>
    <xf numFmtId="169" fontId="19" fillId="41" borderId="23" xfId="49" applyNumberFormat="1" applyBorder="1">
      <alignment vertical="top"/>
    </xf>
    <xf numFmtId="9" fontId="19" fillId="41" borderId="23" xfId="43" applyFont="1" applyFill="1" applyBorder="1" applyAlignment="1">
      <alignment vertical="center"/>
    </xf>
    <xf numFmtId="9" fontId="19" fillId="41" borderId="23" xfId="43" applyFont="1" applyFill="1" applyBorder="1" applyAlignment="1">
      <alignment vertical="top"/>
    </xf>
    <xf numFmtId="169" fontId="19" fillId="33" borderId="0" xfId="51" applyNumberFormat="1" applyFont="1" applyBorder="1">
      <alignment vertical="top"/>
    </xf>
    <xf numFmtId="9" fontId="19" fillId="33" borderId="0" xfId="43" applyFont="1" applyFill="1" applyBorder="1" applyAlignment="1">
      <alignment horizontal="right" vertical="center"/>
    </xf>
    <xf numFmtId="0" fontId="21" fillId="38" borderId="11" xfId="46" applyNumberFormat="1" applyBorder="1" applyAlignment="1">
      <alignment horizontal="center" vertical="center"/>
    </xf>
    <xf numFmtId="166" fontId="19" fillId="41" borderId="16" xfId="49" applyNumberFormat="1" applyBorder="1">
      <alignment vertical="top"/>
    </xf>
    <xf numFmtId="166" fontId="19" fillId="41" borderId="17" xfId="49" applyNumberFormat="1" applyBorder="1">
      <alignment vertical="top"/>
    </xf>
    <xf numFmtId="166" fontId="19" fillId="41" borderId="15" xfId="49" applyNumberFormat="1" applyBorder="1">
      <alignment vertical="top"/>
    </xf>
    <xf numFmtId="0" fontId="16" fillId="0" borderId="20" xfId="0" applyFont="1" applyBorder="1"/>
    <xf numFmtId="166" fontId="21" fillId="33" borderId="11" xfId="51" applyNumberFormat="1" applyFont="1" applyBorder="1">
      <alignment vertical="top"/>
    </xf>
    <xf numFmtId="0" fontId="0" fillId="0" borderId="20" xfId="0" applyBorder="1" applyAlignment="1">
      <alignment horizontal="center"/>
    </xf>
    <xf numFmtId="0" fontId="0" fillId="0" borderId="12" xfId="0" applyBorder="1" applyAlignment="1">
      <alignment horizontal="center"/>
    </xf>
    <xf numFmtId="10" fontId="19" fillId="33" borderId="20" xfId="43" applyNumberFormat="1" applyFont="1" applyFill="1" applyBorder="1" applyAlignment="1">
      <alignment vertical="top"/>
    </xf>
    <xf numFmtId="10" fontId="19" fillId="33" borderId="0" xfId="43" applyNumberFormat="1" applyFont="1" applyFill="1" applyBorder="1" applyAlignment="1">
      <alignment vertical="top"/>
    </xf>
    <xf numFmtId="10" fontId="19" fillId="33" borderId="10" xfId="43" applyNumberFormat="1" applyFont="1" applyFill="1" applyBorder="1" applyAlignment="1">
      <alignment vertical="top"/>
    </xf>
    <xf numFmtId="10" fontId="19" fillId="33" borderId="21" xfId="43" applyNumberFormat="1" applyFont="1" applyFill="1" applyBorder="1" applyAlignment="1">
      <alignment vertical="top"/>
    </xf>
    <xf numFmtId="10" fontId="19" fillId="41" borderId="23" xfId="43" applyNumberFormat="1" applyFont="1" applyFill="1" applyBorder="1" applyAlignment="1">
      <alignment vertical="top"/>
    </xf>
    <xf numFmtId="10" fontId="19" fillId="35" borderId="23" xfId="43" applyNumberFormat="1" applyFont="1" applyFill="1" applyBorder="1" applyAlignment="1">
      <alignment vertical="top"/>
    </xf>
    <xf numFmtId="10" fontId="21" fillId="33" borderId="11" xfId="43" applyNumberFormat="1" applyFont="1" applyFill="1" applyBorder="1" applyAlignment="1">
      <alignment vertical="top"/>
    </xf>
    <xf numFmtId="10" fontId="21" fillId="33" borderId="10" xfId="43" applyNumberFormat="1" applyFont="1" applyFill="1" applyBorder="1" applyAlignment="1">
      <alignment vertical="top"/>
    </xf>
    <xf numFmtId="10" fontId="19" fillId="35" borderId="18" xfId="43" applyNumberFormat="1" applyFont="1" applyFill="1" applyBorder="1" applyAlignment="1">
      <alignment vertical="top"/>
    </xf>
    <xf numFmtId="10" fontId="19" fillId="35" borderId="19" xfId="43" applyNumberFormat="1" applyFont="1" applyFill="1" applyBorder="1" applyAlignment="1">
      <alignment vertical="top"/>
    </xf>
    <xf numFmtId="10" fontId="19" fillId="35" borderId="0" xfId="43" applyNumberFormat="1" applyFont="1" applyFill="1" applyBorder="1" applyAlignment="1">
      <alignment vertical="top"/>
    </xf>
    <xf numFmtId="0" fontId="21" fillId="38" borderId="20" xfId="46" applyNumberFormat="1" applyBorder="1" applyAlignment="1">
      <alignment horizontal="center" vertical="center"/>
    </xf>
    <xf numFmtId="10" fontId="21" fillId="33" borderId="20" xfId="43" applyNumberFormat="1" applyFont="1" applyFill="1" applyBorder="1" applyAlignment="1">
      <alignment vertical="top"/>
    </xf>
    <xf numFmtId="10" fontId="21" fillId="33" borderId="21" xfId="43" applyNumberFormat="1" applyFont="1" applyFill="1" applyBorder="1" applyAlignment="1">
      <alignment vertical="top"/>
    </xf>
    <xf numFmtId="10" fontId="19" fillId="41" borderId="0" xfId="43" applyNumberFormat="1" applyFont="1" applyFill="1" applyBorder="1" applyAlignment="1">
      <alignment vertical="top"/>
    </xf>
    <xf numFmtId="10" fontId="19" fillId="35" borderId="12" xfId="43" applyNumberFormat="1" applyFont="1" applyFill="1" applyBorder="1" applyAlignment="1">
      <alignment vertical="top"/>
    </xf>
    <xf numFmtId="10" fontId="19" fillId="33" borderId="13" xfId="43" applyNumberFormat="1" applyFont="1" applyFill="1" applyBorder="1" applyAlignment="1">
      <alignment vertical="top"/>
    </xf>
    <xf numFmtId="10" fontId="19" fillId="35" borderId="14" xfId="43" applyNumberFormat="1" applyFont="1" applyFill="1" applyBorder="1" applyAlignment="1">
      <alignment vertical="top"/>
    </xf>
    <xf numFmtId="166" fontId="19" fillId="33" borderId="10" xfId="51" applyNumberFormat="1" applyFont="1" applyBorder="1">
      <alignment vertical="top"/>
    </xf>
    <xf numFmtId="166" fontId="19" fillId="33" borderId="21" xfId="51" applyNumberFormat="1" applyFont="1" applyBorder="1">
      <alignment vertical="top"/>
    </xf>
    <xf numFmtId="166" fontId="19" fillId="41" borderId="22" xfId="49" applyNumberFormat="1" applyBorder="1">
      <alignment vertical="top"/>
    </xf>
    <xf numFmtId="0" fontId="27" fillId="0" borderId="10" xfId="0" applyFont="1" applyBorder="1" applyAlignment="1">
      <alignment horizontal="center"/>
    </xf>
    <xf numFmtId="0" fontId="28" fillId="0" borderId="10" xfId="0" applyFont="1" applyBorder="1" applyAlignment="1">
      <alignment horizontal="center"/>
    </xf>
    <xf numFmtId="166" fontId="21" fillId="33" borderId="21" xfId="51" applyNumberFormat="1" applyFont="1" applyBorder="1">
      <alignment vertical="top"/>
    </xf>
    <xf numFmtId="0" fontId="21" fillId="38" borderId="14" xfId="46" applyNumberFormat="1" applyBorder="1" applyAlignment="1">
      <alignment horizontal="center" vertical="center"/>
    </xf>
    <xf numFmtId="166" fontId="21" fillId="33" borderId="20" xfId="51" applyNumberFormat="1" applyFont="1" applyBorder="1">
      <alignment vertical="top"/>
    </xf>
    <xf numFmtId="0" fontId="27" fillId="0" borderId="16" xfId="0" applyFont="1" applyBorder="1" applyAlignment="1">
      <alignment horizontal="center"/>
    </xf>
    <xf numFmtId="166" fontId="19" fillId="35" borderId="23" xfId="50" applyNumberFormat="1" applyBorder="1">
      <alignment vertical="top"/>
    </xf>
    <xf numFmtId="0" fontId="21" fillId="38" borderId="22" xfId="46" applyNumberFormat="1" applyBorder="1" applyAlignment="1">
      <alignment horizontal="center" vertical="center"/>
    </xf>
    <xf numFmtId="166" fontId="19" fillId="33" borderId="11" xfId="51" applyNumberFormat="1" applyFont="1" applyBorder="1">
      <alignment vertical="top"/>
    </xf>
    <xf numFmtId="166" fontId="19" fillId="35" borderId="19" xfId="50" applyNumberFormat="1" applyBorder="1">
      <alignment vertical="top"/>
    </xf>
    <xf numFmtId="0" fontId="0" fillId="0" borderId="15" xfId="0" applyFont="1" applyBorder="1" applyAlignment="1">
      <alignment wrapText="1"/>
    </xf>
    <xf numFmtId="166" fontId="19" fillId="41" borderId="14" xfId="49" applyNumberFormat="1" applyBorder="1">
      <alignment vertical="top"/>
    </xf>
    <xf numFmtId="166" fontId="19" fillId="33" borderId="24" xfId="51" applyNumberFormat="1" applyFont="1" applyBorder="1">
      <alignment vertical="top"/>
    </xf>
    <xf numFmtId="166" fontId="19" fillId="41" borderId="0" xfId="49" applyNumberFormat="1" applyBorder="1" applyAlignment="1">
      <alignment vertical="center"/>
    </xf>
    <xf numFmtId="166" fontId="19" fillId="33" borderId="0" xfId="51" applyNumberFormat="1" applyFont="1" applyBorder="1">
      <alignment vertical="top"/>
    </xf>
    <xf numFmtId="166" fontId="19" fillId="41" borderId="13" xfId="49" applyNumberFormat="1" applyBorder="1" applyAlignment="1">
      <alignment vertical="center"/>
    </xf>
    <xf numFmtId="166" fontId="19" fillId="33" borderId="13" xfId="51" applyNumberFormat="1" applyFont="1" applyBorder="1">
      <alignment vertical="top"/>
    </xf>
    <xf numFmtId="166" fontId="19" fillId="33" borderId="14" xfId="51" applyNumberFormat="1" applyFont="1" applyBorder="1">
      <alignment vertical="top"/>
    </xf>
    <xf numFmtId="166" fontId="19" fillId="41" borderId="16" xfId="49" applyNumberFormat="1" applyBorder="1" applyAlignment="1">
      <alignment vertical="center"/>
    </xf>
    <xf numFmtId="166" fontId="19" fillId="41" borderId="12" xfId="49" applyNumberFormat="1" applyBorder="1" applyAlignment="1">
      <alignment vertical="center"/>
    </xf>
    <xf numFmtId="166" fontId="19" fillId="41" borderId="15" xfId="49" applyNumberFormat="1" applyBorder="1" applyAlignment="1">
      <alignment vertical="center"/>
    </xf>
    <xf numFmtId="0" fontId="0" fillId="0" borderId="22" xfId="0" applyBorder="1" applyAlignment="1">
      <alignment horizontal="center"/>
    </xf>
    <xf numFmtId="0" fontId="0" fillId="0" borderId="23" xfId="0" applyBorder="1" applyAlignment="1">
      <alignment horizontal="center"/>
    </xf>
    <xf numFmtId="166" fontId="19" fillId="33" borderId="19" xfId="51" applyNumberFormat="1" applyFont="1" applyBorder="1">
      <alignment vertical="top"/>
    </xf>
    <xf numFmtId="166" fontId="19" fillId="41" borderId="18" xfId="49" applyNumberFormat="1" applyBorder="1" applyAlignment="1">
      <alignment vertical="center"/>
    </xf>
    <xf numFmtId="166" fontId="19" fillId="41" borderId="14" xfId="49" applyNumberFormat="1" applyBorder="1" applyAlignment="1">
      <alignment vertical="center"/>
    </xf>
    <xf numFmtId="0" fontId="0" fillId="0" borderId="18" xfId="0" applyBorder="1" applyAlignment="1">
      <alignment horizontal="center"/>
    </xf>
    <xf numFmtId="166" fontId="19" fillId="41" borderId="19" xfId="49" applyNumberFormat="1" applyBorder="1" applyAlignment="1">
      <alignment vertical="center"/>
    </xf>
    <xf numFmtId="166" fontId="19" fillId="41" borderId="17" xfId="49" applyNumberFormat="1" applyBorder="1" applyAlignment="1">
      <alignment vertical="center"/>
    </xf>
    <xf numFmtId="166" fontId="19" fillId="33" borderId="0" xfId="51" applyNumberFormat="1" applyFont="1" applyBorder="1" applyAlignment="1">
      <alignment vertical="center"/>
    </xf>
    <xf numFmtId="0" fontId="0" fillId="0" borderId="11" xfId="0" applyBorder="1" applyAlignment="1">
      <alignment horizontal="center"/>
    </xf>
    <xf numFmtId="166" fontId="19" fillId="33" borderId="13" xfId="51" applyNumberFormat="1" applyFont="1" applyBorder="1" applyAlignment="1">
      <alignment vertical="center"/>
    </xf>
    <xf numFmtId="166" fontId="19" fillId="33" borderId="14" xfId="51" applyNumberFormat="1" applyFont="1" applyBorder="1" applyAlignment="1">
      <alignment vertical="center"/>
    </xf>
    <xf numFmtId="166" fontId="19" fillId="33" borderId="19" xfId="51" applyNumberFormat="1" applyFont="1" applyBorder="1" applyAlignment="1">
      <alignment vertical="center"/>
    </xf>
    <xf numFmtId="166" fontId="19" fillId="33" borderId="10" xfId="51" applyNumberFormat="1" applyFont="1" applyBorder="1" applyAlignment="1">
      <alignment vertical="center"/>
    </xf>
    <xf numFmtId="166" fontId="19" fillId="33" borderId="21" xfId="51" applyNumberFormat="1" applyFont="1" applyBorder="1" applyAlignment="1">
      <alignment vertical="center"/>
    </xf>
    <xf numFmtId="0" fontId="21" fillId="38" borderId="12" xfId="46" applyNumberFormat="1" applyBorder="1" applyAlignment="1">
      <alignment horizontal="center" vertical="center"/>
    </xf>
    <xf numFmtId="166" fontId="19" fillId="33" borderId="12" xfId="51" applyNumberFormat="1" applyFont="1" applyBorder="1">
      <alignment vertical="top"/>
    </xf>
    <xf numFmtId="166" fontId="19" fillId="33" borderId="20" xfId="51" applyNumberFormat="1" applyFont="1" applyBorder="1" applyAlignment="1">
      <alignment vertical="center"/>
    </xf>
    <xf numFmtId="166" fontId="19" fillId="33" borderId="12" xfId="51" applyNumberFormat="1" applyFont="1" applyBorder="1" applyAlignment="1">
      <alignment vertical="center"/>
    </xf>
    <xf numFmtId="0" fontId="16" fillId="0" borderId="10" xfId="0" applyFont="1" applyBorder="1"/>
    <xf numFmtId="166" fontId="21" fillId="33" borderId="10" xfId="51" applyNumberFormat="1" applyFont="1" applyBorder="1" applyAlignment="1">
      <alignment vertical="center"/>
    </xf>
    <xf numFmtId="166" fontId="21" fillId="33" borderId="21" xfId="51" applyNumberFormat="1" applyFont="1" applyBorder="1" applyAlignment="1">
      <alignment vertical="center"/>
    </xf>
    <xf numFmtId="10" fontId="19" fillId="33" borderId="13" xfId="43" applyNumberFormat="1" applyFont="1" applyFill="1" applyBorder="1" applyAlignment="1">
      <alignment vertical="center"/>
    </xf>
    <xf numFmtId="10" fontId="19" fillId="33" borderId="12" xfId="43" applyNumberFormat="1" applyFont="1" applyFill="1" applyBorder="1" applyAlignment="1">
      <alignment vertical="center"/>
    </xf>
    <xf numFmtId="166" fontId="21" fillId="33" borderId="20" xfId="51" applyNumberFormat="1" applyFont="1" applyBorder="1" applyAlignment="1">
      <alignment vertical="center"/>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16" fillId="0" borderId="0" xfId="0" applyFont="1" applyBorder="1" applyAlignment="1">
      <alignment horizontal="center"/>
    </xf>
    <xf numFmtId="166" fontId="19" fillId="33" borderId="20" xfId="51" applyNumberFormat="1" applyFont="1" applyBorder="1">
      <alignment vertical="top"/>
    </xf>
    <xf numFmtId="165" fontId="19" fillId="34" borderId="12" xfId="0" applyNumberFormat="1" applyFont="1" applyFill="1" applyBorder="1" applyAlignment="1">
      <alignment vertical="center"/>
    </xf>
    <xf numFmtId="0" fontId="21" fillId="0" borderId="0" xfId="45" applyFont="1" applyFill="1">
      <alignment vertical="top"/>
    </xf>
    <xf numFmtId="0" fontId="19" fillId="0" borderId="12" xfId="45" applyBorder="1">
      <alignment vertical="top"/>
    </xf>
    <xf numFmtId="0" fontId="19" fillId="0" borderId="18" xfId="45" applyBorder="1">
      <alignment vertical="top"/>
    </xf>
    <xf numFmtId="0" fontId="19" fillId="0" borderId="15" xfId="45" applyBorder="1">
      <alignment vertical="top"/>
    </xf>
    <xf numFmtId="0" fontId="19" fillId="0" borderId="12" xfId="45" applyFill="1" applyBorder="1">
      <alignment vertical="top"/>
    </xf>
    <xf numFmtId="0" fontId="19" fillId="0" borderId="15" xfId="45" applyFill="1" applyBorder="1">
      <alignment vertical="top"/>
    </xf>
    <xf numFmtId="166" fontId="19" fillId="33" borderId="22" xfId="51" applyNumberFormat="1" applyFont="1" applyBorder="1">
      <alignment vertical="top"/>
    </xf>
    <xf numFmtId="166" fontId="19" fillId="33" borderId="23" xfId="51" applyNumberFormat="1" applyFont="1" applyBorder="1">
      <alignment vertical="top"/>
    </xf>
    <xf numFmtId="10" fontId="19" fillId="34" borderId="16" xfId="0" applyNumberFormat="1" applyFont="1" applyFill="1" applyBorder="1" applyAlignment="1">
      <alignment vertical="center"/>
    </xf>
    <xf numFmtId="10" fontId="19" fillId="34" borderId="17" xfId="0" applyNumberFormat="1" applyFont="1" applyFill="1" applyBorder="1" applyAlignment="1">
      <alignment vertical="center"/>
    </xf>
    <xf numFmtId="3" fontId="0" fillId="0" borderId="0" xfId="0" applyNumberFormat="1"/>
    <xf numFmtId="14" fontId="0" fillId="0" borderId="0" xfId="0" applyNumberFormat="1"/>
    <xf numFmtId="169" fontId="19" fillId="40" borderId="0" xfId="52" applyNumberFormat="1">
      <alignment vertical="top"/>
    </xf>
    <xf numFmtId="10" fontId="19" fillId="33" borderId="12" xfId="43" applyNumberFormat="1" applyFont="1" applyFill="1" applyBorder="1" applyAlignment="1">
      <alignment vertical="top"/>
    </xf>
    <xf numFmtId="10" fontId="19" fillId="41" borderId="24" xfId="43" applyNumberFormat="1" applyFont="1" applyFill="1" applyBorder="1" applyAlignment="1">
      <alignment vertical="top"/>
    </xf>
    <xf numFmtId="10" fontId="21" fillId="33" borderId="24" xfId="43" applyNumberFormat="1" applyFont="1" applyFill="1" applyBorder="1" applyAlignment="1">
      <alignment vertical="top"/>
    </xf>
    <xf numFmtId="10" fontId="19" fillId="40" borderId="22" xfId="43" applyNumberFormat="1" applyFont="1" applyFill="1" applyBorder="1" applyAlignment="1">
      <alignment vertical="top"/>
    </xf>
    <xf numFmtId="0" fontId="16" fillId="0" borderId="0" xfId="0" applyFont="1"/>
    <xf numFmtId="10" fontId="19" fillId="33" borderId="15" xfId="43" applyNumberFormat="1" applyFont="1" applyFill="1" applyBorder="1" applyAlignment="1">
      <alignment vertical="top"/>
    </xf>
    <xf numFmtId="10" fontId="19" fillId="40" borderId="0" xfId="43" applyNumberFormat="1" applyFont="1" applyFill="1" applyBorder="1" applyAlignment="1">
      <alignment vertical="top"/>
    </xf>
    <xf numFmtId="10" fontId="19" fillId="34" borderId="13" xfId="0" applyNumberFormat="1" applyFont="1" applyFill="1" applyBorder="1" applyAlignment="1">
      <alignment vertical="center"/>
    </xf>
    <xf numFmtId="10" fontId="19" fillId="34" borderId="14" xfId="0" applyNumberFormat="1" applyFont="1" applyFill="1" applyBorder="1" applyAlignment="1">
      <alignment vertical="center"/>
    </xf>
    <xf numFmtId="10" fontId="19" fillId="40" borderId="19" xfId="43" applyNumberFormat="1" applyFont="1" applyFill="1" applyBorder="1" applyAlignment="1">
      <alignment vertical="top"/>
    </xf>
    <xf numFmtId="0" fontId="0" fillId="0" borderId="0" xfId="0" applyAlignment="1">
      <alignment vertical="center"/>
    </xf>
    <xf numFmtId="0" fontId="0" fillId="0" borderId="0" xfId="0" applyBorder="1" applyAlignment="1">
      <alignment vertical="center"/>
    </xf>
    <xf numFmtId="164" fontId="31" fillId="42" borderId="0" xfId="42" applyNumberFormat="1" applyFont="1" applyFill="1" applyBorder="1" applyAlignment="1">
      <alignment vertical="center"/>
    </xf>
    <xf numFmtId="164" fontId="0" fillId="0" borderId="0" xfId="0" applyNumberFormat="1"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19" fillId="0" borderId="14" xfId="45" applyBorder="1" applyAlignment="1">
      <alignment vertical="center"/>
    </xf>
    <xf numFmtId="0" fontId="19" fillId="0" borderId="19" xfId="45" applyBorder="1" applyAlignment="1">
      <alignment vertical="center"/>
    </xf>
    <xf numFmtId="0" fontId="19" fillId="0" borderId="17" xfId="45" applyBorder="1" applyAlignment="1">
      <alignment vertical="center"/>
    </xf>
    <xf numFmtId="164" fontId="31" fillId="42" borderId="13" xfId="42" applyNumberFormat="1" applyFont="1" applyFill="1" applyBorder="1" applyAlignment="1">
      <alignment vertical="center"/>
    </xf>
    <xf numFmtId="164" fontId="31" fillId="42" borderId="19" xfId="42" applyNumberFormat="1" applyFont="1" applyFill="1" applyBorder="1" applyAlignment="1">
      <alignment vertical="center"/>
    </xf>
    <xf numFmtId="164" fontId="31" fillId="42" borderId="17" xfId="42" applyNumberFormat="1" applyFont="1" applyFill="1" applyBorder="1" applyAlignment="1">
      <alignment vertical="center"/>
    </xf>
    <xf numFmtId="164" fontId="31" fillId="42" borderId="14" xfId="42" applyNumberFormat="1" applyFont="1" applyFill="1" applyBorder="1" applyAlignment="1">
      <alignment vertical="center"/>
    </xf>
    <xf numFmtId="0" fontId="19" fillId="0" borderId="17" xfId="45" applyFill="1" applyBorder="1" applyAlignment="1">
      <alignment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164" fontId="31" fillId="42" borderId="18" xfId="42" applyNumberFormat="1" applyFont="1" applyFill="1" applyBorder="1" applyAlignment="1">
      <alignment vertical="center"/>
    </xf>
    <xf numFmtId="164" fontId="31" fillId="42" borderId="16" xfId="42" applyNumberFormat="1" applyFont="1" applyFill="1" applyBorder="1" applyAlignment="1">
      <alignment vertical="center"/>
    </xf>
    <xf numFmtId="10" fontId="19" fillId="40" borderId="23" xfId="43" applyNumberFormat="1" applyFont="1" applyFill="1" applyBorder="1" applyAlignment="1">
      <alignment vertical="top"/>
    </xf>
    <xf numFmtId="0" fontId="0" fillId="0" borderId="22" xfId="0" applyBorder="1" applyAlignment="1">
      <alignment wrapText="1"/>
    </xf>
    <xf numFmtId="0" fontId="0" fillId="0" borderId="24" xfId="0" applyBorder="1" applyAlignment="1">
      <alignment wrapText="1"/>
    </xf>
    <xf numFmtId="0" fontId="0" fillId="0" borderId="12" xfId="0" applyFont="1" applyBorder="1"/>
    <xf numFmtId="0" fontId="0" fillId="0" borderId="15" xfId="0" applyFont="1" applyBorder="1"/>
    <xf numFmtId="10" fontId="19" fillId="33" borderId="17" xfId="43" applyNumberFormat="1" applyFont="1" applyFill="1" applyBorder="1" applyAlignment="1">
      <alignment vertical="top"/>
    </xf>
    <xf numFmtId="10" fontId="19" fillId="33" borderId="22" xfId="43" applyNumberFormat="1" applyFont="1" applyFill="1" applyBorder="1" applyAlignment="1">
      <alignment vertical="top"/>
    </xf>
    <xf numFmtId="10" fontId="19" fillId="33" borderId="24" xfId="43" applyNumberFormat="1" applyFont="1" applyFill="1" applyBorder="1" applyAlignment="1">
      <alignment vertical="top"/>
    </xf>
    <xf numFmtId="9" fontId="19" fillId="34" borderId="12" xfId="0" applyNumberFormat="1" applyFont="1" applyFill="1" applyBorder="1" applyAlignment="1">
      <alignment vertical="center"/>
    </xf>
    <xf numFmtId="9" fontId="19" fillId="34" borderId="14" xfId="0" applyNumberFormat="1" applyFont="1" applyFill="1" applyBorder="1" applyAlignment="1">
      <alignment vertical="center"/>
    </xf>
    <xf numFmtId="9" fontId="19" fillId="34" borderId="18" xfId="0" applyNumberFormat="1" applyFont="1" applyFill="1" applyBorder="1" applyAlignment="1">
      <alignment vertical="center"/>
    </xf>
    <xf numFmtId="9" fontId="19" fillId="34" borderId="19" xfId="0" applyNumberFormat="1" applyFont="1" applyFill="1" applyBorder="1" applyAlignment="1">
      <alignment vertical="center"/>
    </xf>
    <xf numFmtId="10" fontId="19" fillId="35" borderId="17" xfId="43" applyNumberFormat="1" applyFont="1" applyFill="1" applyBorder="1" applyAlignment="1">
      <alignment vertical="top"/>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0" xfId="0" applyFont="1" applyAlignment="1">
      <alignment horizontal="left"/>
    </xf>
    <xf numFmtId="166" fontId="21" fillId="33" borderId="11" xfId="51" applyNumberFormat="1" applyFont="1" applyBorder="1" applyAlignment="1">
      <alignment vertical="center"/>
    </xf>
    <xf numFmtId="10" fontId="19" fillId="35" borderId="22" xfId="43" applyNumberFormat="1" applyFont="1" applyFill="1" applyBorder="1" applyAlignment="1">
      <alignment vertical="top"/>
    </xf>
    <xf numFmtId="0" fontId="0" fillId="0" borderId="24" xfId="0" applyFill="1" applyBorder="1"/>
    <xf numFmtId="14" fontId="0" fillId="0" borderId="12" xfId="0" applyNumberFormat="1" applyBorder="1"/>
    <xf numFmtId="0" fontId="0" fillId="0" borderId="14" xfId="0" applyBorder="1"/>
    <xf numFmtId="14" fontId="0" fillId="0" borderId="18" xfId="0" applyNumberFormat="1" applyBorder="1"/>
    <xf numFmtId="0" fontId="0" fillId="0" borderId="19" xfId="0" applyBorder="1"/>
    <xf numFmtId="14" fontId="0" fillId="0" borderId="15" xfId="0" applyNumberFormat="1" applyBorder="1"/>
    <xf numFmtId="0" fontId="0" fillId="0" borderId="17" xfId="0" applyBorder="1"/>
    <xf numFmtId="0" fontId="0" fillId="0" borderId="13" xfId="0" applyBorder="1" applyAlignment="1">
      <alignment horizontal="center" vertical="center"/>
    </xf>
    <xf numFmtId="0" fontId="0" fillId="0" borderId="14" xfId="0" applyBorder="1" applyAlignment="1">
      <alignment horizontal="center" vertical="center"/>
    </xf>
    <xf numFmtId="169" fontId="19" fillId="41" borderId="15" xfId="49" applyNumberFormat="1" applyBorder="1">
      <alignment vertical="top"/>
    </xf>
    <xf numFmtId="169" fontId="19" fillId="41" borderId="17" xfId="49" applyNumberFormat="1" applyBorder="1">
      <alignment vertical="top"/>
    </xf>
    <xf numFmtId="14" fontId="0" fillId="0" borderId="22" xfId="0" applyNumberFormat="1" applyBorder="1"/>
    <xf numFmtId="14" fontId="0" fillId="0" borderId="23" xfId="0" applyNumberFormat="1" applyBorder="1"/>
    <xf numFmtId="14" fontId="0" fillId="0" borderId="24" xfId="0" applyNumberFormat="1" applyBorder="1"/>
    <xf numFmtId="0" fontId="0" fillId="0" borderId="11" xfId="0" applyBorder="1" applyAlignment="1">
      <alignment horizontal="center" vertical="center"/>
    </xf>
    <xf numFmtId="43" fontId="19" fillId="33" borderId="12" xfId="42" applyFont="1" applyFill="1" applyBorder="1" applyAlignment="1">
      <alignment vertical="top"/>
    </xf>
    <xf numFmtId="43" fontId="19" fillId="33" borderId="13" xfId="42" applyFont="1" applyFill="1" applyBorder="1" applyAlignment="1">
      <alignment vertical="top"/>
    </xf>
    <xf numFmtId="43" fontId="19" fillId="33" borderId="18" xfId="42" applyFont="1" applyFill="1" applyBorder="1" applyAlignment="1">
      <alignment vertical="top"/>
    </xf>
    <xf numFmtId="43" fontId="19" fillId="33" borderId="0" xfId="42" applyFont="1" applyFill="1" applyBorder="1" applyAlignment="1">
      <alignment vertical="top"/>
    </xf>
    <xf numFmtId="43" fontId="19" fillId="33" borderId="20" xfId="42" applyFont="1" applyFill="1" applyBorder="1" applyAlignment="1">
      <alignment vertical="top"/>
    </xf>
    <xf numFmtId="43" fontId="19" fillId="33" borderId="10" xfId="42" applyFont="1" applyFill="1" applyBorder="1" applyAlignment="1">
      <alignment vertical="top"/>
    </xf>
    <xf numFmtId="43" fontId="19" fillId="33" borderId="21" xfId="42" applyFont="1" applyFill="1" applyBorder="1" applyAlignment="1">
      <alignment vertical="top"/>
    </xf>
    <xf numFmtId="43" fontId="19" fillId="33" borderId="11" xfId="42" applyFont="1" applyFill="1" applyBorder="1" applyAlignment="1">
      <alignment vertical="top"/>
    </xf>
    <xf numFmtId="14" fontId="0" fillId="0" borderId="11" xfId="0" applyNumberFormat="1" applyBorder="1"/>
    <xf numFmtId="0" fontId="0" fillId="0" borderId="0" xfId="0" applyFill="1" applyBorder="1" applyAlignment="1">
      <alignment horizontal="center" vertical="center"/>
    </xf>
    <xf numFmtId="10" fontId="19" fillId="41" borderId="11" xfId="43" applyNumberFormat="1" applyFont="1" applyFill="1" applyBorder="1" applyAlignment="1">
      <alignment vertical="top"/>
    </xf>
    <xf numFmtId="166" fontId="19" fillId="33" borderId="15" xfId="51" applyNumberFormat="1" applyFont="1" applyBorder="1" applyAlignment="1">
      <alignment vertical="center"/>
    </xf>
    <xf numFmtId="166" fontId="19" fillId="33" borderId="16" xfId="51" applyNumberFormat="1" applyFont="1" applyBorder="1" applyAlignment="1">
      <alignment vertical="center"/>
    </xf>
    <xf numFmtId="166" fontId="19" fillId="33" borderId="17" xfId="51" applyNumberFormat="1" applyFont="1" applyBorder="1" applyAlignment="1">
      <alignment vertical="center"/>
    </xf>
    <xf numFmtId="169" fontId="19" fillId="33" borderId="13" xfId="51" applyNumberFormat="1" applyFont="1" applyBorder="1" applyAlignment="1">
      <alignment vertical="center"/>
    </xf>
    <xf numFmtId="169" fontId="19" fillId="33" borderId="14" xfId="51" applyNumberFormat="1" applyFont="1" applyBorder="1" applyAlignment="1">
      <alignment vertical="center"/>
    </xf>
    <xf numFmtId="0" fontId="0" fillId="0" borderId="0" xfId="0" applyBorder="1" applyAlignment="1">
      <alignment vertical="center" wrapText="1"/>
    </xf>
    <xf numFmtId="164" fontId="19" fillId="34" borderId="18" xfId="42" applyNumberFormat="1" applyFont="1" applyFill="1" applyBorder="1" applyAlignment="1">
      <alignment vertical="center"/>
    </xf>
    <xf numFmtId="164" fontId="19" fillId="34" borderId="0" xfId="42" applyNumberFormat="1" applyFont="1" applyFill="1" applyBorder="1" applyAlignment="1">
      <alignment vertical="center"/>
    </xf>
    <xf numFmtId="164" fontId="19" fillId="34" borderId="12" xfId="42" applyNumberFormat="1" applyFont="1" applyFill="1" applyBorder="1" applyAlignment="1">
      <alignment vertical="center"/>
    </xf>
    <xf numFmtId="164" fontId="19" fillId="34" borderId="13" xfId="42" applyNumberFormat="1" applyFont="1" applyFill="1" applyBorder="1" applyAlignment="1">
      <alignment vertical="center"/>
    </xf>
    <xf numFmtId="164" fontId="19" fillId="34" borderId="14" xfId="42" applyNumberFormat="1" applyFont="1" applyFill="1" applyBorder="1" applyAlignment="1">
      <alignment vertical="center"/>
    </xf>
    <xf numFmtId="164" fontId="19" fillId="34" borderId="15" xfId="42" applyNumberFormat="1" applyFont="1" applyFill="1" applyBorder="1" applyAlignment="1">
      <alignment vertical="center"/>
    </xf>
    <xf numFmtId="164" fontId="19" fillId="34" borderId="16" xfId="42" applyNumberFormat="1" applyFont="1" applyFill="1" applyBorder="1" applyAlignment="1">
      <alignment vertical="center"/>
    </xf>
    <xf numFmtId="164" fontId="19" fillId="34" borderId="17" xfId="42" applyNumberFormat="1" applyFont="1" applyFill="1" applyBorder="1" applyAlignment="1">
      <alignment vertical="center"/>
    </xf>
    <xf numFmtId="164" fontId="19" fillId="34" borderId="19" xfId="42" applyNumberFormat="1" applyFont="1" applyFill="1" applyBorder="1" applyAlignment="1">
      <alignment vertical="center"/>
    </xf>
    <xf numFmtId="0" fontId="0" fillId="48" borderId="22" xfId="0" applyFill="1" applyBorder="1" applyAlignment="1">
      <alignment horizontal="center" vertical="center" wrapText="1"/>
    </xf>
    <xf numFmtId="164" fontId="19" fillId="40" borderId="22" xfId="42" applyNumberFormat="1" applyFont="1" applyFill="1" applyBorder="1" applyAlignment="1">
      <alignment vertical="top"/>
    </xf>
    <xf numFmtId="164" fontId="19" fillId="40" borderId="24" xfId="42" applyNumberFormat="1" applyFont="1" applyFill="1" applyBorder="1" applyAlignment="1">
      <alignment vertical="top"/>
    </xf>
    <xf numFmtId="10" fontId="19" fillId="33" borderId="16" xfId="43" applyNumberFormat="1" applyFont="1" applyFill="1" applyBorder="1" applyAlignment="1">
      <alignment vertical="center"/>
    </xf>
    <xf numFmtId="9" fontId="19" fillId="41" borderId="23" xfId="43" applyNumberFormat="1" applyFont="1" applyFill="1" applyBorder="1" applyAlignment="1">
      <alignment vertical="top"/>
    </xf>
    <xf numFmtId="0" fontId="27" fillId="0" borderId="0" xfId="0" applyFont="1" applyBorder="1" applyAlignment="1">
      <alignment horizontal="center"/>
    </xf>
    <xf numFmtId="9" fontId="19" fillId="41" borderId="18" xfId="43" applyNumberFormat="1" applyFont="1" applyFill="1" applyBorder="1" applyAlignment="1">
      <alignment vertical="top"/>
    </xf>
    <xf numFmtId="9" fontId="19" fillId="41" borderId="19" xfId="43" applyNumberFormat="1" applyFont="1" applyFill="1" applyBorder="1" applyAlignment="1">
      <alignment vertical="top"/>
    </xf>
    <xf numFmtId="10" fontId="19" fillId="40" borderId="15" xfId="43" applyNumberFormat="1" applyFont="1" applyFill="1" applyBorder="1" applyAlignment="1">
      <alignment vertical="top"/>
    </xf>
    <xf numFmtId="10" fontId="19" fillId="40" borderId="17" xfId="43" applyNumberFormat="1" applyFont="1" applyFill="1" applyBorder="1" applyAlignment="1">
      <alignment vertical="top"/>
    </xf>
    <xf numFmtId="10" fontId="19" fillId="40" borderId="24" xfId="43" applyNumberFormat="1" applyFont="1" applyFill="1" applyBorder="1" applyAlignment="1">
      <alignment vertical="top"/>
    </xf>
    <xf numFmtId="10" fontId="19" fillId="34" borderId="0" xfId="0" applyNumberFormat="1" applyFont="1" applyFill="1" applyBorder="1" applyAlignment="1">
      <alignment vertical="center"/>
    </xf>
    <xf numFmtId="0" fontId="0" fillId="0" borderId="14" xfId="0" applyBorder="1" applyAlignment="1">
      <alignment horizontal="center"/>
    </xf>
    <xf numFmtId="165" fontId="19" fillId="40" borderId="15" xfId="43" applyNumberFormat="1" applyFont="1" applyFill="1" applyBorder="1" applyAlignment="1">
      <alignment vertical="top"/>
    </xf>
    <xf numFmtId="164" fontId="19" fillId="33" borderId="0" xfId="42" applyNumberFormat="1" applyFont="1" applyFill="1" applyBorder="1" applyAlignment="1">
      <alignment vertical="center"/>
    </xf>
    <xf numFmtId="166" fontId="19" fillId="41" borderId="12" xfId="49" applyBorder="1" applyAlignment="1">
      <alignment vertical="center"/>
    </xf>
    <xf numFmtId="164" fontId="19" fillId="33" borderId="10" xfId="42" applyNumberFormat="1" applyFont="1" applyFill="1" applyBorder="1" applyAlignment="1">
      <alignment vertical="center"/>
    </xf>
    <xf numFmtId="166" fontId="19" fillId="41" borderId="21" xfId="49" applyNumberFormat="1" applyBorder="1" applyAlignment="1">
      <alignment vertical="center"/>
    </xf>
    <xf numFmtId="164" fontId="19" fillId="33" borderId="21" xfId="42" applyNumberFormat="1" applyFont="1" applyFill="1" applyBorder="1" applyAlignment="1">
      <alignment vertical="center"/>
    </xf>
    <xf numFmtId="166" fontId="19" fillId="41" borderId="20" xfId="49" applyNumberFormat="1" applyBorder="1" applyAlignment="1">
      <alignment vertical="center"/>
    </xf>
    <xf numFmtId="0" fontId="16" fillId="0" borderId="15" xfId="0" applyFont="1" applyBorder="1" applyAlignment="1">
      <alignment horizontal="center"/>
    </xf>
    <xf numFmtId="166" fontId="21" fillId="41" borderId="17" xfId="49" applyNumberFormat="1" applyFont="1" applyBorder="1" applyAlignment="1">
      <alignment vertical="center"/>
    </xf>
    <xf numFmtId="166" fontId="21" fillId="41" borderId="15" xfId="49" applyNumberFormat="1" applyFont="1" applyBorder="1" applyAlignment="1">
      <alignment vertical="center"/>
    </xf>
    <xf numFmtId="164" fontId="21" fillId="33" borderId="10" xfId="42" applyNumberFormat="1" applyFont="1" applyFill="1" applyBorder="1" applyAlignment="1">
      <alignment vertical="center"/>
    </xf>
    <xf numFmtId="164" fontId="21" fillId="33" borderId="21" xfId="42" applyNumberFormat="1" applyFont="1" applyFill="1" applyBorder="1" applyAlignment="1">
      <alignment vertical="center"/>
    </xf>
    <xf numFmtId="10" fontId="19" fillId="33" borderId="10" xfId="43" applyNumberFormat="1" applyFont="1" applyFill="1" applyBorder="1" applyAlignment="1">
      <alignment vertical="center"/>
    </xf>
    <xf numFmtId="0" fontId="0" fillId="0" borderId="12" xfId="0" applyBorder="1" applyAlignment="1">
      <alignment horizontal="left" vertical="center"/>
    </xf>
    <xf numFmtId="10" fontId="19" fillId="33" borderId="0" xfId="43" applyNumberFormat="1" applyFont="1" applyFill="1" applyBorder="1" applyAlignment="1">
      <alignment vertical="center"/>
    </xf>
    <xf numFmtId="166" fontId="19" fillId="41" borderId="15" xfId="49" applyBorder="1" applyAlignment="1">
      <alignment vertical="center"/>
    </xf>
    <xf numFmtId="165" fontId="19" fillId="41" borderId="14" xfId="43" applyNumberFormat="1" applyFont="1" applyFill="1" applyBorder="1" applyAlignment="1">
      <alignment vertical="center"/>
    </xf>
    <xf numFmtId="165" fontId="19" fillId="41" borderId="0" xfId="43" applyNumberFormat="1" applyFont="1" applyFill="1" applyBorder="1" applyAlignment="1">
      <alignment vertical="center"/>
    </xf>
    <xf numFmtId="165" fontId="19" fillId="41" borderId="12" xfId="43" applyNumberFormat="1" applyFont="1" applyFill="1" applyBorder="1" applyAlignment="1">
      <alignment vertical="center"/>
    </xf>
    <xf numFmtId="165" fontId="19" fillId="41" borderId="17" xfId="43" applyNumberFormat="1" applyFont="1" applyFill="1" applyBorder="1" applyAlignment="1">
      <alignment vertical="center"/>
    </xf>
    <xf numFmtId="165" fontId="19" fillId="41" borderId="13" xfId="43" applyNumberFormat="1" applyFont="1" applyFill="1" applyBorder="1" applyAlignment="1">
      <alignment vertical="center"/>
    </xf>
    <xf numFmtId="165" fontId="19" fillId="41" borderId="16" xfId="43" applyNumberFormat="1" applyFont="1" applyFill="1" applyBorder="1" applyAlignment="1">
      <alignment vertical="center"/>
    </xf>
    <xf numFmtId="165" fontId="19" fillId="41" borderId="18" xfId="43" applyNumberFormat="1" applyFont="1" applyFill="1" applyBorder="1" applyAlignment="1">
      <alignment vertical="center"/>
    </xf>
    <xf numFmtId="165" fontId="19" fillId="41" borderId="19" xfId="43" applyNumberFormat="1" applyFont="1" applyFill="1" applyBorder="1" applyAlignment="1">
      <alignment vertical="center"/>
    </xf>
    <xf numFmtId="10" fontId="19" fillId="33" borderId="15" xfId="43" applyNumberFormat="1" applyFont="1" applyFill="1" applyBorder="1" applyAlignment="1">
      <alignment vertical="center"/>
    </xf>
    <xf numFmtId="9" fontId="19" fillId="41" borderId="19" xfId="43" applyFont="1" applyFill="1" applyBorder="1" applyAlignment="1">
      <alignment vertical="center"/>
    </xf>
    <xf numFmtId="169" fontId="19" fillId="33" borderId="0" xfId="51" applyNumberFormat="1" applyFont="1" applyBorder="1" applyAlignment="1">
      <alignment vertical="center"/>
    </xf>
    <xf numFmtId="169" fontId="19" fillId="33" borderId="19" xfId="51" applyNumberFormat="1" applyFont="1" applyBorder="1" applyAlignment="1">
      <alignment vertical="center"/>
    </xf>
    <xf numFmtId="10" fontId="19" fillId="41" borderId="21" xfId="43" applyNumberFormat="1" applyFont="1" applyFill="1" applyBorder="1" applyAlignment="1">
      <alignment vertical="top"/>
    </xf>
    <xf numFmtId="164" fontId="19" fillId="33" borderId="16" xfId="42" applyNumberFormat="1" applyFont="1" applyFill="1" applyBorder="1" applyAlignment="1">
      <alignment vertical="center"/>
    </xf>
    <xf numFmtId="10" fontId="19" fillId="35" borderId="0" xfId="43" applyNumberFormat="1" applyFont="1" applyFill="1" applyAlignment="1">
      <alignment vertical="top"/>
    </xf>
    <xf numFmtId="164" fontId="19" fillId="33" borderId="20" xfId="42" applyNumberFormat="1" applyFont="1" applyFill="1" applyBorder="1" applyAlignment="1">
      <alignment vertical="center"/>
    </xf>
    <xf numFmtId="166" fontId="19" fillId="41" borderId="18" xfId="49" applyBorder="1" applyAlignment="1">
      <alignment vertical="center"/>
    </xf>
    <xf numFmtId="166" fontId="19" fillId="33" borderId="18" xfId="51" applyNumberFormat="1" applyFont="1" applyBorder="1" applyAlignment="1">
      <alignment vertical="center"/>
    </xf>
    <xf numFmtId="43" fontId="19" fillId="40" borderId="15" xfId="42" applyFont="1" applyFill="1" applyBorder="1" applyAlignment="1">
      <alignment vertical="top"/>
    </xf>
    <xf numFmtId="43" fontId="19" fillId="40" borderId="24" xfId="42" applyFont="1" applyFill="1" applyBorder="1" applyAlignment="1">
      <alignment vertical="top"/>
    </xf>
    <xf numFmtId="43" fontId="19" fillId="40" borderId="17" xfId="42" applyFont="1" applyFill="1" applyBorder="1" applyAlignment="1">
      <alignment vertical="top"/>
    </xf>
    <xf numFmtId="164" fontId="19" fillId="40" borderId="15" xfId="42" applyNumberFormat="1" applyFont="1" applyFill="1" applyBorder="1" applyAlignment="1">
      <alignment vertical="top"/>
    </xf>
    <xf numFmtId="170" fontId="19" fillId="41" borderId="22" xfId="49" applyNumberFormat="1" applyBorder="1">
      <alignment vertical="top"/>
    </xf>
    <xf numFmtId="170" fontId="19" fillId="33" borderId="24" xfId="51" applyNumberFormat="1" applyFont="1" applyBorder="1">
      <alignment vertical="top"/>
    </xf>
    <xf numFmtId="170" fontId="21" fillId="33" borderId="11" xfId="51" applyNumberFormat="1" applyFont="1" applyBorder="1">
      <alignment vertical="top"/>
    </xf>
    <xf numFmtId="0" fontId="0" fillId="0" borderId="10" xfId="0" applyBorder="1" applyAlignment="1">
      <alignment horizontal="center"/>
    </xf>
    <xf numFmtId="166" fontId="19" fillId="33" borderId="18" xfId="51" applyNumberFormat="1" applyFont="1" applyBorder="1">
      <alignment vertical="top"/>
    </xf>
    <xf numFmtId="164" fontId="19" fillId="33" borderId="13" xfId="42" applyNumberFormat="1" applyFont="1" applyFill="1" applyBorder="1" applyAlignment="1">
      <alignment vertical="top"/>
    </xf>
    <xf numFmtId="164" fontId="19" fillId="33" borderId="14" xfId="42" applyNumberFormat="1" applyFont="1" applyFill="1" applyBorder="1" applyAlignment="1">
      <alignment vertical="top"/>
    </xf>
    <xf numFmtId="0" fontId="16" fillId="0" borderId="15" xfId="0" applyFont="1" applyBorder="1"/>
    <xf numFmtId="164" fontId="21" fillId="33" borderId="10" xfId="42" applyNumberFormat="1" applyFont="1" applyFill="1" applyBorder="1" applyAlignment="1">
      <alignment vertical="top"/>
    </xf>
    <xf numFmtId="164" fontId="21" fillId="33" borderId="21" xfId="42" applyNumberFormat="1" applyFont="1" applyFill="1" applyBorder="1" applyAlignment="1">
      <alignment vertical="top"/>
    </xf>
    <xf numFmtId="0" fontId="0" fillId="0" borderId="11" xfId="0" applyBorder="1" applyAlignment="1">
      <alignment horizontal="left"/>
    </xf>
    <xf numFmtId="0" fontId="0" fillId="0" borderId="18" xfId="0" applyBorder="1" applyAlignment="1">
      <alignment horizontal="left"/>
    </xf>
    <xf numFmtId="0" fontId="0" fillId="0" borderId="12" xfId="0" applyBorder="1" applyAlignment="1">
      <alignment horizontal="left"/>
    </xf>
    <xf numFmtId="0" fontId="0" fillId="0" borderId="15" xfId="0" applyBorder="1" applyAlignment="1">
      <alignment horizontal="left"/>
    </xf>
    <xf numFmtId="0" fontId="0" fillId="0" borderId="22" xfId="0" applyBorder="1" applyAlignment="1">
      <alignment horizontal="left"/>
    </xf>
    <xf numFmtId="0" fontId="0" fillId="0" borderId="24" xfId="0" applyBorder="1" applyAlignment="1">
      <alignment horizontal="left" vertical="center" wrapText="1"/>
    </xf>
    <xf numFmtId="164" fontId="19" fillId="40" borderId="20" xfId="42" applyNumberFormat="1" applyFont="1" applyFill="1" applyBorder="1" applyAlignment="1">
      <alignment vertical="top"/>
    </xf>
    <xf numFmtId="164" fontId="19" fillId="40" borderId="10" xfId="42" applyNumberFormat="1" applyFont="1" applyFill="1" applyBorder="1" applyAlignment="1">
      <alignment vertical="top"/>
    </xf>
    <xf numFmtId="164" fontId="19" fillId="40" borderId="21" xfId="42" applyNumberFormat="1" applyFont="1" applyFill="1" applyBorder="1" applyAlignment="1">
      <alignment vertical="top"/>
    </xf>
    <xf numFmtId="0" fontId="0" fillId="49" borderId="18" xfId="0" applyFill="1" applyBorder="1"/>
    <xf numFmtId="0" fontId="0" fillId="49" borderId="19" xfId="0" applyFill="1" applyBorder="1"/>
    <xf numFmtId="166" fontId="19" fillId="41" borderId="0" xfId="49" applyNumberFormat="1" applyBorder="1">
      <alignment vertical="top"/>
    </xf>
    <xf numFmtId="0" fontId="32" fillId="0" borderId="12" xfId="0" applyFont="1" applyBorder="1"/>
    <xf numFmtId="0" fontId="18" fillId="0" borderId="13" xfId="0" applyFont="1" applyBorder="1"/>
    <xf numFmtId="171" fontId="18" fillId="0" borderId="13" xfId="0" applyNumberFormat="1" applyFont="1" applyBorder="1"/>
    <xf numFmtId="171" fontId="18" fillId="0" borderId="14" xfId="0" applyNumberFormat="1" applyFont="1" applyBorder="1"/>
    <xf numFmtId="0" fontId="18" fillId="0" borderId="18" xfId="0" applyFont="1" applyBorder="1"/>
    <xf numFmtId="0" fontId="18" fillId="0" borderId="0" xfId="0" applyFont="1" applyBorder="1"/>
    <xf numFmtId="171" fontId="18" fillId="0" borderId="19" xfId="0" applyNumberFormat="1" applyFont="1" applyBorder="1"/>
    <xf numFmtId="171" fontId="18" fillId="0" borderId="0" xfId="42" applyNumberFormat="1" applyFont="1" applyFill="1" applyBorder="1"/>
    <xf numFmtId="0" fontId="32" fillId="0" borderId="18" xfId="0" applyFont="1" applyBorder="1"/>
    <xf numFmtId="171" fontId="18" fillId="0" borderId="0" xfId="0" applyNumberFormat="1" applyFont="1" applyBorder="1"/>
    <xf numFmtId="0" fontId="18" fillId="0" borderId="15" xfId="0" applyFont="1" applyBorder="1"/>
    <xf numFmtId="0" fontId="18" fillId="0" borderId="16" xfId="0" applyFont="1" applyBorder="1"/>
    <xf numFmtId="171" fontId="19" fillId="0" borderId="17" xfId="0" applyNumberFormat="1" applyFont="1" applyBorder="1"/>
    <xf numFmtId="0" fontId="16" fillId="0" borderId="0" xfId="0" applyFont="1" applyBorder="1" applyAlignment="1">
      <alignment wrapText="1"/>
    </xf>
    <xf numFmtId="10" fontId="19" fillId="41" borderId="13" xfId="43" applyNumberFormat="1" applyFont="1" applyFill="1" applyBorder="1" applyAlignment="1">
      <alignment vertical="center"/>
    </xf>
    <xf numFmtId="10" fontId="19" fillId="41" borderId="12" xfId="43" applyNumberFormat="1" applyFont="1" applyFill="1" applyBorder="1" applyAlignment="1">
      <alignment vertical="center"/>
    </xf>
    <xf numFmtId="10" fontId="19" fillId="41" borderId="14" xfId="43" applyNumberFormat="1" applyFont="1" applyFill="1" applyBorder="1" applyAlignment="1">
      <alignment vertical="center"/>
    </xf>
    <xf numFmtId="10" fontId="19" fillId="33" borderId="14" xfId="43" applyNumberFormat="1" applyFont="1" applyFill="1" applyBorder="1" applyAlignment="1">
      <alignment vertical="center"/>
    </xf>
    <xf numFmtId="10" fontId="18" fillId="41" borderId="18" xfId="43" applyNumberFormat="1" applyFont="1" applyFill="1" applyBorder="1" applyAlignment="1">
      <alignment vertical="center"/>
    </xf>
    <xf numFmtId="10" fontId="18" fillId="41" borderId="0" xfId="43" applyNumberFormat="1" applyFont="1" applyFill="1" applyBorder="1" applyAlignment="1">
      <alignment vertical="center"/>
    </xf>
    <xf numFmtId="10" fontId="18" fillId="41" borderId="19" xfId="43" applyNumberFormat="1" applyFont="1" applyFill="1" applyBorder="1" applyAlignment="1">
      <alignment vertical="center"/>
    </xf>
    <xf numFmtId="165" fontId="19" fillId="41" borderId="15" xfId="43" applyNumberFormat="1" applyFont="1" applyFill="1" applyBorder="1" applyAlignment="1">
      <alignment vertical="center"/>
    </xf>
    <xf numFmtId="172" fontId="19" fillId="41" borderId="18" xfId="49" applyNumberFormat="1" applyFont="1" applyBorder="1" applyAlignment="1">
      <alignment vertical="center"/>
    </xf>
    <xf numFmtId="172" fontId="19" fillId="41" borderId="0" xfId="49" applyNumberFormat="1" applyFont="1" applyBorder="1" applyAlignment="1">
      <alignment vertical="center"/>
    </xf>
    <xf numFmtId="172" fontId="19" fillId="41" borderId="19" xfId="49" applyNumberFormat="1" applyFont="1" applyBorder="1" applyAlignment="1">
      <alignment vertical="center"/>
    </xf>
    <xf numFmtId="172" fontId="19" fillId="33" borderId="18" xfId="51" applyNumberFormat="1" applyFont="1" applyBorder="1" applyAlignment="1">
      <alignment vertical="center"/>
    </xf>
    <xf numFmtId="172" fontId="19" fillId="33" borderId="0" xfId="51" applyNumberFormat="1" applyFont="1" applyBorder="1" applyAlignment="1">
      <alignment vertical="center"/>
    </xf>
    <xf numFmtId="172" fontId="19" fillId="33" borderId="19" xfId="51" applyNumberFormat="1" applyFont="1" applyBorder="1" applyAlignment="1">
      <alignment vertical="center"/>
    </xf>
    <xf numFmtId="172" fontId="19" fillId="33" borderId="24" xfId="51" applyNumberFormat="1" applyFont="1" applyBorder="1" applyAlignment="1">
      <alignment vertical="center"/>
    </xf>
    <xf numFmtId="0" fontId="16" fillId="0" borderId="11" xfId="0" applyFont="1" applyBorder="1" applyAlignment="1">
      <alignment wrapText="1"/>
    </xf>
    <xf numFmtId="0" fontId="0" fillId="0" borderId="23" xfId="0" applyBorder="1" applyAlignment="1">
      <alignment wrapText="1"/>
    </xf>
    <xf numFmtId="10" fontId="19" fillId="33" borderId="11" xfId="43" applyNumberFormat="1" applyFont="1" applyFill="1" applyBorder="1" applyAlignment="1">
      <alignment vertical="center"/>
    </xf>
    <xf numFmtId="165" fontId="21" fillId="33" borderId="20" xfId="43" applyNumberFormat="1" applyFont="1" applyFill="1" applyBorder="1" applyAlignment="1">
      <alignment vertical="center"/>
    </xf>
    <xf numFmtId="165" fontId="21" fillId="33" borderId="10" xfId="43" applyNumberFormat="1" applyFont="1" applyFill="1" applyBorder="1" applyAlignment="1">
      <alignment vertical="center"/>
    </xf>
    <xf numFmtId="165" fontId="21" fillId="33" borderId="21" xfId="43" applyNumberFormat="1" applyFont="1" applyFill="1" applyBorder="1" applyAlignment="1">
      <alignment vertical="center"/>
    </xf>
    <xf numFmtId="165" fontId="21" fillId="33" borderId="11" xfId="43" applyNumberFormat="1" applyFont="1" applyFill="1" applyBorder="1" applyAlignment="1">
      <alignment vertical="center"/>
    </xf>
    <xf numFmtId="165" fontId="0" fillId="0" borderId="16" xfId="0" applyNumberFormat="1" applyBorder="1"/>
    <xf numFmtId="165" fontId="19" fillId="35" borderId="20" xfId="43" applyNumberFormat="1" applyFont="1" applyFill="1" applyBorder="1" applyAlignment="1">
      <alignment vertical="top"/>
    </xf>
    <xf numFmtId="165" fontId="19" fillId="35" borderId="10" xfId="43" applyNumberFormat="1" applyFont="1" applyFill="1" applyBorder="1" applyAlignment="1">
      <alignment vertical="top"/>
    </xf>
    <xf numFmtId="165" fontId="19" fillId="35" borderId="21" xfId="43" applyNumberFormat="1" applyFont="1" applyFill="1" applyBorder="1" applyAlignment="1">
      <alignment vertical="top"/>
    </xf>
    <xf numFmtId="165" fontId="19" fillId="33" borderId="15" xfId="43" applyNumberFormat="1" applyFont="1" applyFill="1" applyBorder="1" applyAlignment="1">
      <alignment vertical="top"/>
    </xf>
    <xf numFmtId="165" fontId="19" fillId="33" borderId="16" xfId="43" applyNumberFormat="1" applyFont="1" applyFill="1" applyBorder="1" applyAlignment="1">
      <alignment vertical="top"/>
    </xf>
    <xf numFmtId="165" fontId="19" fillId="33" borderId="17" xfId="43" applyNumberFormat="1" applyFont="1" applyFill="1" applyBorder="1" applyAlignment="1">
      <alignment vertical="top"/>
    </xf>
    <xf numFmtId="165" fontId="19" fillId="35" borderId="17" xfId="43" applyNumberFormat="1" applyFont="1" applyFill="1" applyBorder="1" applyAlignment="1">
      <alignment vertical="top"/>
    </xf>
    <xf numFmtId="165" fontId="19" fillId="33" borderId="21" xfId="43" applyNumberFormat="1" applyFont="1" applyFill="1" applyBorder="1" applyAlignment="1">
      <alignment vertical="top"/>
    </xf>
    <xf numFmtId="0" fontId="0" fillId="49" borderId="12" xfId="0" applyFill="1" applyBorder="1" applyAlignment="1">
      <alignment vertical="center"/>
    </xf>
    <xf numFmtId="0" fontId="0" fillId="49" borderId="13" xfId="0" applyFill="1" applyBorder="1" applyAlignment="1">
      <alignment vertical="center"/>
    </xf>
    <xf numFmtId="0" fontId="0" fillId="49" borderId="14" xfId="0" applyFill="1" applyBorder="1" applyAlignment="1">
      <alignment vertical="center"/>
    </xf>
    <xf numFmtId="0" fontId="0" fillId="49" borderId="18" xfId="0" applyFill="1" applyBorder="1" applyAlignment="1">
      <alignment vertical="center"/>
    </xf>
    <xf numFmtId="0" fontId="0" fillId="49" borderId="15" xfId="0" applyFill="1" applyBorder="1" applyAlignment="1">
      <alignment vertical="center"/>
    </xf>
    <xf numFmtId="0" fontId="0" fillId="0" borderId="11" xfId="0" applyBorder="1" applyAlignment="1">
      <alignment wrapText="1"/>
    </xf>
    <xf numFmtId="165" fontId="19" fillId="41" borderId="12" xfId="45" applyNumberFormat="1" applyFill="1" applyBorder="1">
      <alignment vertical="top"/>
    </xf>
    <xf numFmtId="165" fontId="19" fillId="41" borderId="13" xfId="45" applyNumberFormat="1" applyFill="1" applyBorder="1">
      <alignment vertical="top"/>
    </xf>
    <xf numFmtId="165" fontId="19" fillId="41" borderId="14" xfId="45" applyNumberFormat="1" applyFill="1" applyBorder="1">
      <alignment vertical="top"/>
    </xf>
    <xf numFmtId="0" fontId="0" fillId="0" borderId="11" xfId="0" applyFill="1" applyBorder="1"/>
    <xf numFmtId="169" fontId="19" fillId="41" borderId="11" xfId="49" applyNumberFormat="1" applyBorder="1">
      <alignment vertical="top"/>
    </xf>
    <xf numFmtId="10" fontId="19" fillId="35" borderId="15" xfId="43" applyNumberFormat="1" applyFont="1" applyFill="1" applyBorder="1" applyAlignment="1">
      <alignment vertical="top"/>
    </xf>
    <xf numFmtId="10" fontId="19" fillId="35" borderId="16" xfId="43" applyNumberFormat="1" applyFont="1" applyFill="1" applyBorder="1" applyAlignment="1">
      <alignment vertical="top"/>
    </xf>
    <xf numFmtId="165" fontId="21" fillId="33" borderId="24" xfId="43" applyNumberFormat="1" applyFont="1" applyFill="1" applyBorder="1" applyAlignment="1">
      <alignment vertical="center"/>
    </xf>
    <xf numFmtId="165" fontId="19" fillId="33" borderId="19" xfId="43" applyNumberFormat="1" applyFont="1" applyFill="1" applyBorder="1" applyAlignment="1">
      <alignment vertical="center"/>
    </xf>
    <xf numFmtId="165" fontId="19" fillId="40" borderId="12" xfId="43" applyNumberFormat="1" applyFont="1" applyFill="1" applyBorder="1" applyAlignment="1">
      <alignment vertical="top"/>
    </xf>
    <xf numFmtId="10" fontId="19" fillId="33" borderId="22" xfId="43" applyNumberFormat="1" applyFont="1" applyFill="1" applyBorder="1" applyAlignment="1">
      <alignment vertical="center"/>
    </xf>
    <xf numFmtId="10" fontId="19" fillId="33" borderId="23" xfId="43" applyNumberFormat="1" applyFont="1" applyFill="1" applyBorder="1" applyAlignment="1">
      <alignment vertical="center"/>
    </xf>
    <xf numFmtId="10" fontId="19" fillId="41" borderId="23" xfId="43" applyNumberFormat="1" applyFont="1" applyFill="1" applyBorder="1" applyAlignment="1">
      <alignment vertical="center"/>
    </xf>
    <xf numFmtId="169" fontId="19" fillId="33" borderId="18" xfId="51" applyNumberFormat="1" applyFont="1" applyBorder="1" applyAlignment="1">
      <alignment vertical="center"/>
    </xf>
    <xf numFmtId="10" fontId="19" fillId="35" borderId="11" xfId="43" applyNumberFormat="1" applyFont="1" applyFill="1" applyBorder="1" applyAlignment="1">
      <alignment vertical="top"/>
    </xf>
    <xf numFmtId="165" fontId="19" fillId="41" borderId="20" xfId="43" applyNumberFormat="1" applyFont="1" applyFill="1" applyBorder="1" applyAlignment="1">
      <alignment vertical="center"/>
    </xf>
    <xf numFmtId="165" fontId="19" fillId="41" borderId="10" xfId="43" applyNumberFormat="1" applyFont="1" applyFill="1" applyBorder="1" applyAlignment="1">
      <alignment vertical="center"/>
    </xf>
    <xf numFmtId="165" fontId="19" fillId="41" borderId="21" xfId="43" applyNumberFormat="1" applyFont="1" applyFill="1" applyBorder="1" applyAlignment="1">
      <alignment vertical="center"/>
    </xf>
    <xf numFmtId="165" fontId="19" fillId="41" borderId="23" xfId="43" applyNumberFormat="1" applyFont="1" applyFill="1" applyBorder="1" applyAlignment="1">
      <alignment vertical="center"/>
    </xf>
    <xf numFmtId="10" fontId="19" fillId="33" borderId="16" xfId="43" applyNumberFormat="1" applyFont="1" applyFill="1" applyBorder="1" applyAlignment="1">
      <alignment vertical="top"/>
    </xf>
    <xf numFmtId="166" fontId="19" fillId="33" borderId="15" xfId="51" applyNumberFormat="1" applyFont="1" applyBorder="1">
      <alignment vertical="top"/>
    </xf>
    <xf numFmtId="166" fontId="19" fillId="33" borderId="16" xfId="51" applyNumberFormat="1" applyFont="1" applyBorder="1">
      <alignment vertical="top"/>
    </xf>
    <xf numFmtId="166" fontId="19" fillId="33" borderId="17" xfId="51" applyNumberFormat="1" applyFont="1" applyBorder="1">
      <alignment vertical="top"/>
    </xf>
    <xf numFmtId="164" fontId="19" fillId="33" borderId="16" xfId="42" applyNumberFormat="1" applyFont="1" applyFill="1" applyBorder="1" applyAlignment="1">
      <alignment vertical="top"/>
    </xf>
    <xf numFmtId="165" fontId="19" fillId="40" borderId="13" xfId="43" applyNumberFormat="1" applyFont="1" applyFill="1" applyBorder="1" applyAlignment="1">
      <alignment vertical="top"/>
    </xf>
    <xf numFmtId="165" fontId="19" fillId="40" borderId="14" xfId="43" applyNumberFormat="1" applyFont="1" applyFill="1" applyBorder="1" applyAlignment="1">
      <alignment vertical="top"/>
    </xf>
    <xf numFmtId="164" fontId="19" fillId="33" borderId="15" xfId="42" applyNumberFormat="1" applyFont="1" applyFill="1" applyBorder="1" applyAlignment="1">
      <alignment vertical="top"/>
    </xf>
    <xf numFmtId="164" fontId="19" fillId="33" borderId="17" xfId="42" applyNumberFormat="1" applyFont="1" applyFill="1" applyBorder="1" applyAlignment="1">
      <alignment vertical="top"/>
    </xf>
    <xf numFmtId="0" fontId="0" fillId="0" borderId="20" xfId="0" applyFill="1" applyBorder="1"/>
    <xf numFmtId="0" fontId="0" fillId="48" borderId="11" xfId="0" applyFill="1" applyBorder="1" applyAlignment="1">
      <alignment horizontal="center" vertical="center" wrapText="1"/>
    </xf>
    <xf numFmtId="165" fontId="19" fillId="34" borderId="20" xfId="43" applyNumberFormat="1" applyFont="1" applyFill="1" applyBorder="1" applyAlignment="1">
      <alignment vertical="center"/>
    </xf>
    <xf numFmtId="165" fontId="19" fillId="34" borderId="10" xfId="43" applyNumberFormat="1" applyFont="1" applyFill="1" applyBorder="1" applyAlignment="1">
      <alignment vertical="center"/>
    </xf>
    <xf numFmtId="165" fontId="19" fillId="34" borderId="21" xfId="43" applyNumberFormat="1" applyFont="1" applyFill="1" applyBorder="1" applyAlignment="1">
      <alignment vertical="center"/>
    </xf>
    <xf numFmtId="0" fontId="19" fillId="0" borderId="0" xfId="45" applyAlignment="1">
      <alignment horizontal="left" vertical="top" wrapText="1"/>
    </xf>
    <xf numFmtId="0" fontId="0" fillId="48" borderId="20" xfId="0" applyFill="1" applyBorder="1" applyAlignment="1">
      <alignment horizontal="center"/>
    </xf>
    <xf numFmtId="0" fontId="0" fillId="48" borderId="10" xfId="0" applyFill="1" applyBorder="1" applyAlignment="1">
      <alignment horizontal="center"/>
    </xf>
    <xf numFmtId="0" fontId="0" fillId="48" borderId="21" xfId="0" applyFill="1" applyBorder="1" applyAlignment="1">
      <alignment horizont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cellXfs>
  <cellStyles count="63">
    <cellStyle name="_x000d__x000a_JournalTemplate=C:\COMFO\CTALK\JOURSTD.TPL_x000d__x000a_LbStateAddress=3 3 0 251 1 89 2 311_x000d__x000a_LbStateJou" xfId="60"/>
    <cellStyle name="_kop1 Bladtitel" xfId="44"/>
    <cellStyle name="_kop2 Bloktitel" xfId="46"/>
    <cellStyle name="_kop3 Subkop" xfId="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el (tussen)resultaat" xfId="52"/>
    <cellStyle name="Cel Berekening" xfId="51"/>
    <cellStyle name="Cel Bijzonderheid" xfId="54"/>
    <cellStyle name="Cel Dataverzoek" xfId="56"/>
    <cellStyle name="Cel Input" xfId="49"/>
    <cellStyle name="Cel PM extern" xfId="55"/>
    <cellStyle name="Cel Verwijzing" xfId="50"/>
    <cellStyle name="Check Cell" xfId="13" builtinId="23" customBuiltin="1"/>
    <cellStyle name="Comma" xfId="42" builtinId="3"/>
    <cellStyle name="Comma 2" xfId="5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58"/>
    <cellStyle name="Input" xfId="9" builtinId="20" customBuiltin="1"/>
    <cellStyle name="Linked Cell" xfId="12" builtinId="24" customBuiltin="1"/>
    <cellStyle name="Neutral" xfId="8" builtinId="28" customBuiltin="1"/>
    <cellStyle name="Normal" xfId="0" builtinId="0"/>
    <cellStyle name="Normal 2" xfId="47"/>
    <cellStyle name="Normal 5 2" xfId="59"/>
    <cellStyle name="Note" xfId="15" builtinId="10" customBuiltin="1"/>
    <cellStyle name="Output" xfId="10" builtinId="21" customBuiltin="1"/>
    <cellStyle name="Percent" xfId="43" builtinId="5"/>
    <cellStyle name="Percent 2" xfId="61"/>
    <cellStyle name="Standaard ACM-DE" xfId="45"/>
    <cellStyle name="Standaard_Exhibit D Entries, TSC 2005-2 Final Version 3 2" xfId="62"/>
    <cellStyle name="Title" xfId="1" builtinId="15" customBuiltin="1"/>
    <cellStyle name="Toelichting" xfId="53"/>
    <cellStyle name="Total" xfId="17" builtinId="25" customBuiltin="1"/>
    <cellStyle name="Warning Text" xfId="14" builtinId="11" customBuiltin="1"/>
  </cellStyles>
  <dxfs count="0"/>
  <tableStyles count="0" defaultTableStyle="TableStyleMedium2" defaultPivotStyle="PivotStyleLight16"/>
  <colors>
    <mruColors>
      <color rgb="FFFFFF99"/>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Vergelijking </a:t>
            </a:r>
            <a:r>
              <a:rPr lang="nl-NL" baseline="0"/>
              <a:t>nacalculatie (Euro M / jaar)</a:t>
            </a:r>
            <a:endParaRPr lang="nl-NL"/>
          </a:p>
        </c:rich>
      </c:tx>
      <c:overlay val="0"/>
      <c:spPr>
        <a:noFill/>
        <a:ln>
          <a:noFill/>
        </a:ln>
        <a:effectLst/>
      </c:spPr>
    </c:title>
    <c:autoTitleDeleted val="0"/>
    <c:plotArea>
      <c:layout>
        <c:manualLayout>
          <c:layoutTarget val="inner"/>
          <c:xMode val="edge"/>
          <c:yMode val="edge"/>
          <c:x val="5.9183276998859349E-2"/>
          <c:y val="0.15674587988970889"/>
          <c:w val="0.87991925882267252"/>
          <c:h val="0.65560150648655735"/>
        </c:manualLayout>
      </c:layout>
      <c:barChart>
        <c:barDir val="bar"/>
        <c:grouping val="clustered"/>
        <c:varyColors val="0"/>
        <c:ser>
          <c:idx val="0"/>
          <c:order val="0"/>
          <c:spPr>
            <a:solidFill>
              <a:srgbClr val="FFFF99"/>
            </a:solidFill>
            <a:ln w="19050">
              <a:solidFill>
                <a:schemeClr val="tx1"/>
              </a:solidFill>
            </a:ln>
            <a:effectLst/>
          </c:spPr>
          <c:invertIfNegative val="0"/>
          <c:dPt>
            <c:idx val="1"/>
            <c:invertIfNegative val="0"/>
            <c:bubble3D val="0"/>
            <c:spPr>
              <a:solidFill>
                <a:srgbClr val="00B050"/>
              </a:solidFill>
              <a:ln w="19050">
                <a:solidFill>
                  <a:schemeClr val="tx1"/>
                </a:solidFill>
              </a:ln>
              <a:effectLst/>
            </c:spPr>
            <c:extLst xmlns:c16r2="http://schemas.microsoft.com/office/drawing/2015/06/chart">
              <c:ext xmlns:c16="http://schemas.microsoft.com/office/drawing/2014/chart" uri="{C3380CC4-5D6E-409C-BE32-E72D297353CC}">
                <c16:uniqueId val="{00000012-E32D-4078-9394-F988792BE22B}"/>
              </c:ext>
            </c:extLst>
          </c:dPt>
          <c:dPt>
            <c:idx val="2"/>
            <c:invertIfNegative val="0"/>
            <c:bubble3D val="0"/>
            <c:spPr>
              <a:solidFill>
                <a:srgbClr val="00B050"/>
              </a:solidFill>
              <a:ln w="19050">
                <a:solidFill>
                  <a:schemeClr val="tx1"/>
                </a:solidFill>
              </a:ln>
              <a:effectLst/>
            </c:spPr>
            <c:extLst xmlns:c16r2="http://schemas.microsoft.com/office/drawing/2015/06/chart">
              <c:ext xmlns:c16="http://schemas.microsoft.com/office/drawing/2014/chart" uri="{C3380CC4-5D6E-409C-BE32-E72D297353CC}">
                <c16:uniqueId val="{00000011-E32D-4078-9394-F988792BE22B}"/>
              </c:ext>
            </c:extLst>
          </c:dPt>
          <c:dPt>
            <c:idx val="3"/>
            <c:invertIfNegative val="0"/>
            <c:bubble3D val="0"/>
            <c:spPr>
              <a:solidFill>
                <a:srgbClr val="00B050"/>
              </a:solidFill>
              <a:ln w="19050">
                <a:solidFill>
                  <a:schemeClr val="tx1"/>
                </a:solidFill>
              </a:ln>
              <a:effectLst/>
            </c:spPr>
            <c:extLst xmlns:c16r2="http://schemas.microsoft.com/office/drawing/2015/06/chart">
              <c:ext xmlns:c16="http://schemas.microsoft.com/office/drawing/2014/chart" uri="{C3380CC4-5D6E-409C-BE32-E72D297353CC}">
                <c16:uniqueId val="{00000013-E32D-4078-9394-F988792BE22B}"/>
              </c:ext>
            </c:extLst>
          </c:dPt>
          <c:dPt>
            <c:idx val="4"/>
            <c:invertIfNegative val="0"/>
            <c:bubble3D val="0"/>
            <c:spPr>
              <a:solidFill>
                <a:srgbClr val="00B050"/>
              </a:solidFill>
              <a:ln w="19050">
                <a:solidFill>
                  <a:schemeClr val="tx1"/>
                </a:solidFill>
              </a:ln>
              <a:effectLst/>
            </c:spPr>
            <c:extLst xmlns:c16r2="http://schemas.microsoft.com/office/drawing/2015/06/chart">
              <c:ext xmlns:c16="http://schemas.microsoft.com/office/drawing/2014/chart" uri="{C3380CC4-5D6E-409C-BE32-E72D297353CC}">
                <c16:uniqueId val="{00000010-E32D-4078-9394-F988792BE22B}"/>
              </c:ext>
            </c:extLst>
          </c:dPt>
          <c:dPt>
            <c:idx val="5"/>
            <c:invertIfNegative val="0"/>
            <c:bubble3D val="0"/>
            <c:spPr>
              <a:solidFill>
                <a:srgbClr val="00B050"/>
              </a:solidFill>
              <a:ln w="19050">
                <a:solidFill>
                  <a:schemeClr val="tx1"/>
                </a:solidFill>
              </a:ln>
              <a:effectLst/>
            </c:spPr>
            <c:extLst xmlns:c16r2="http://schemas.microsoft.com/office/drawing/2015/06/chart">
              <c:ext xmlns:c16="http://schemas.microsoft.com/office/drawing/2014/chart" uri="{C3380CC4-5D6E-409C-BE32-E72D297353CC}">
                <c16:uniqueId val="{0000000F-E32D-4078-9394-F988792BE22B}"/>
              </c:ext>
            </c:extLst>
          </c:dPt>
          <c:dPt>
            <c:idx val="8"/>
            <c:invertIfNegative val="0"/>
            <c:bubble3D val="0"/>
            <c:spPr>
              <a:solidFill>
                <a:srgbClr val="FFC000"/>
              </a:solidFill>
              <a:ln w="19050">
                <a:solidFill>
                  <a:schemeClr val="tx1"/>
                </a:solidFill>
              </a:ln>
              <a:effectLst/>
            </c:spPr>
            <c:extLst xmlns:c16r2="http://schemas.microsoft.com/office/drawing/2015/06/chart">
              <c:ext xmlns:c16="http://schemas.microsoft.com/office/drawing/2014/chart" uri="{C3380CC4-5D6E-409C-BE32-E72D297353CC}">
                <c16:uniqueId val="{0000000D-182D-4F4C-8990-6A22DD406EA7}"/>
              </c:ext>
            </c:extLst>
          </c:dPt>
          <c:dPt>
            <c:idx val="9"/>
            <c:invertIfNegative val="0"/>
            <c:bubble3D val="0"/>
            <c:spPr>
              <a:solidFill>
                <a:srgbClr val="FFC000"/>
              </a:solidFill>
              <a:ln w="19050">
                <a:solidFill>
                  <a:schemeClr val="tx1"/>
                </a:solidFill>
              </a:ln>
              <a:effectLst/>
            </c:spPr>
            <c:extLst xmlns:c16r2="http://schemas.microsoft.com/office/drawing/2015/06/chart">
              <c:ext xmlns:c16="http://schemas.microsoft.com/office/drawing/2014/chart" uri="{C3380CC4-5D6E-409C-BE32-E72D297353CC}">
                <c16:uniqueId val="{0000000C-182D-4F4C-8990-6A22DD406EA7}"/>
              </c:ext>
            </c:extLst>
          </c:dPt>
          <c:dPt>
            <c:idx val="10"/>
            <c:invertIfNegative val="0"/>
            <c:bubble3D val="0"/>
            <c:extLst xmlns:c16r2="http://schemas.microsoft.com/office/drawing/2015/06/chart">
              <c:ext xmlns:c16="http://schemas.microsoft.com/office/drawing/2014/chart" uri="{C3380CC4-5D6E-409C-BE32-E72D297353CC}">
                <c16:uniqueId val="{00000005-6187-495C-9902-7DD250CD78DF}"/>
              </c:ext>
            </c:extLst>
          </c:dPt>
          <c:dPt>
            <c:idx val="11"/>
            <c:invertIfNegative val="0"/>
            <c:bubble3D val="0"/>
            <c:spPr>
              <a:solidFill>
                <a:srgbClr val="FF0000"/>
              </a:solidFill>
              <a:ln w="19050">
                <a:solidFill>
                  <a:schemeClr val="tx1"/>
                </a:solidFill>
              </a:ln>
              <a:effectLst/>
            </c:spPr>
            <c:extLst xmlns:c16r2="http://schemas.microsoft.com/office/drawing/2015/06/chart">
              <c:ext xmlns:c16="http://schemas.microsoft.com/office/drawing/2014/chart" uri="{C3380CC4-5D6E-409C-BE32-E72D297353CC}">
                <c16:uniqueId val="{00000004-6187-495C-9902-7DD250CD78DF}"/>
              </c:ext>
            </c:extLst>
          </c:dPt>
          <c:dPt>
            <c:idx val="12"/>
            <c:invertIfNegative val="0"/>
            <c:bubble3D val="0"/>
            <c:spPr>
              <a:solidFill>
                <a:srgbClr val="FF0000"/>
              </a:solidFill>
              <a:ln w="19050">
                <a:solidFill>
                  <a:schemeClr val="tx1"/>
                </a:solidFill>
              </a:ln>
              <a:effectLst/>
            </c:spPr>
            <c:extLst xmlns:c16r2="http://schemas.microsoft.com/office/drawing/2015/06/chart">
              <c:ext xmlns:c16="http://schemas.microsoft.com/office/drawing/2014/chart" uri="{C3380CC4-5D6E-409C-BE32-E72D297353CC}">
                <c16:uniqueId val="{00000009-182D-4F4C-8990-6A22DD406EA7}"/>
              </c:ext>
            </c:extLst>
          </c:dPt>
          <c:dPt>
            <c:idx val="13"/>
            <c:invertIfNegative val="0"/>
            <c:bubble3D val="0"/>
            <c:extLst xmlns:c16r2="http://schemas.microsoft.com/office/drawing/2015/06/chart">
              <c:ext xmlns:c16="http://schemas.microsoft.com/office/drawing/2014/chart" uri="{C3380CC4-5D6E-409C-BE32-E72D297353CC}">
                <c16:uniqueId val="{00000003-6187-495C-9902-7DD250CD78DF}"/>
              </c:ext>
            </c:extLst>
          </c:dPt>
          <c:dPt>
            <c:idx val="14"/>
            <c:invertIfNegative val="0"/>
            <c:bubble3D val="0"/>
            <c:extLst xmlns:c16r2="http://schemas.microsoft.com/office/drawing/2015/06/chart">
              <c:ext xmlns:c16="http://schemas.microsoft.com/office/drawing/2014/chart" uri="{C3380CC4-5D6E-409C-BE32-E72D297353CC}">
                <c16:uniqueId val="{00000002-6187-495C-9902-7DD250CD78DF}"/>
              </c:ext>
            </c:extLst>
          </c:dPt>
          <c:cat>
            <c:strRef>
              <c:f>Nacalculatie!$C$43:$C$55</c:f>
              <c:strCache>
                <c:ptCount val="13"/>
                <c:pt idx="0">
                  <c:v>Niet Reguliere Uitbreidings Investeringen</c:v>
                </c:pt>
                <c:pt idx="1">
                  <c:v>Omzetregulering</c:v>
                </c:pt>
                <c:pt idx="2">
                  <c:v>Overboek- en terugkoopregeling</c:v>
                </c:pt>
                <c:pt idx="3">
                  <c:v>Veilinggelden</c:v>
                </c:pt>
                <c:pt idx="4">
                  <c:v>Inkoopkosten energie</c:v>
                </c:pt>
                <c:pt idx="5">
                  <c:v>Administratieve onbalans</c:v>
                </c:pt>
                <c:pt idx="6">
                  <c:v>Incidentele correcties</c:v>
                </c:pt>
                <c:pt idx="8">
                  <c:v>Herstel Methodebesluit (impact per jaar)</c:v>
                </c:pt>
                <c:pt idx="9">
                  <c:v>Gewijzigd X-Factor Besluit (impact per jaar)</c:v>
                </c:pt>
                <c:pt idx="11">
                  <c:v>Risk Free Rate</c:v>
                </c:pt>
                <c:pt idx="12">
                  <c:v>Ideaalcomplex</c:v>
                </c:pt>
              </c:strCache>
            </c:strRef>
          </c:cat>
          <c:val>
            <c:numRef>
              <c:f>Nacalculatie!$D$43:$D$55</c:f>
              <c:numCache>
                <c:formatCode>_(* #,##0_);_(* \(#,##0\);_(* "-"_);_(@_)</c:formatCode>
                <c:ptCount val="13"/>
                <c:pt idx="0">
                  <c:v>464360.38906330179</c:v>
                </c:pt>
                <c:pt idx="1">
                  <c:v>-16114078.116860816</c:v>
                </c:pt>
                <c:pt idx="2">
                  <c:v>-2663068.5587306665</c:v>
                </c:pt>
                <c:pt idx="3">
                  <c:v>-871815.58602666669</c:v>
                </c:pt>
                <c:pt idx="4">
                  <c:v>11948365.156290255</c:v>
                </c:pt>
                <c:pt idx="5">
                  <c:v>7913658.1875519976</c:v>
                </c:pt>
                <c:pt idx="6">
                  <c:v>356928.23189917678</c:v>
                </c:pt>
                <c:pt idx="8">
                  <c:v>7345773.3747678865</c:v>
                </c:pt>
                <c:pt idx="9">
                  <c:v>6217295.8121512588</c:v>
                </c:pt>
                <c:pt idx="11" formatCode="_ * #,##0_ ;_ * \-#,##0_ ;_ * &quot;-&quot;??_ ;_ @_ ">
                  <c:v>89171267.267949924</c:v>
                </c:pt>
                <c:pt idx="12" formatCode="_ * #,##0_ ;_ * \-#,##0_ ;_ * &quot;-&quot;??_ ;_ @_ ">
                  <c:v>32353839.503392823</c:v>
                </c:pt>
              </c:numCache>
            </c:numRef>
          </c:val>
          <c:extLst xmlns:c16r2="http://schemas.microsoft.com/office/drawing/2015/06/chart">
            <c:ext xmlns:c16="http://schemas.microsoft.com/office/drawing/2014/chart" uri="{C3380CC4-5D6E-409C-BE32-E72D297353CC}">
              <c16:uniqueId val="{00000000-6187-495C-9902-7DD250CD78DF}"/>
            </c:ext>
          </c:extLst>
        </c:ser>
        <c:dLbls>
          <c:showLegendKey val="0"/>
          <c:showVal val="0"/>
          <c:showCatName val="0"/>
          <c:showSerName val="0"/>
          <c:showPercent val="0"/>
          <c:showBubbleSize val="0"/>
        </c:dLbls>
        <c:gapWidth val="0"/>
        <c:axId val="163021952"/>
        <c:axId val="163023488"/>
      </c:barChart>
      <c:catAx>
        <c:axId val="163021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023488"/>
        <c:crosses val="autoZero"/>
        <c:auto val="1"/>
        <c:lblAlgn val="ctr"/>
        <c:lblOffset val="100"/>
        <c:noMultiLvlLbl val="0"/>
      </c:catAx>
      <c:valAx>
        <c:axId val="163023488"/>
        <c:scaling>
          <c:orientation val="minMax"/>
          <c:min val="-60000000"/>
        </c:scaling>
        <c:delete val="0"/>
        <c:axPos val="b"/>
        <c:majorGridlines>
          <c:spPr>
            <a:ln w="9525" cap="flat" cmpd="sng" algn="ctr">
              <a:solidFill>
                <a:schemeClr val="tx1">
                  <a:lumMod val="15000"/>
                  <a:lumOff val="85000"/>
                </a:schemeClr>
              </a:solidFill>
              <a:round/>
            </a:ln>
            <a:effectLst/>
          </c:spPr>
        </c:majorGridlines>
        <c:numFmt formatCode="&quot;€&quot;\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021952"/>
        <c:crosses val="autoZero"/>
        <c:crossBetween val="between"/>
        <c:dispUnits>
          <c:builtInUnit val="millions"/>
          <c:dispUnitsLbl>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solidFill>
            <a:schemeClr val="tx1"/>
          </a:solid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2364440</xdr:colOff>
      <xdr:row>4</xdr:row>
      <xdr:rowOff>0</xdr:rowOff>
    </xdr:from>
    <xdr:to>
      <xdr:col>2</xdr:col>
      <xdr:colOff>4784762</xdr:colOff>
      <xdr:row>10</xdr:row>
      <xdr:rowOff>107309</xdr:rowOff>
    </xdr:to>
    <xdr:pic>
      <xdr:nvPicPr>
        <xdr:cNvPr id="4" name="Picture 3">
          <a:extLst>
            <a:ext uri="{FF2B5EF4-FFF2-40B4-BE49-F238E27FC236}">
              <a16:creationId xmlns:a16="http://schemas.microsoft.com/office/drawing/2014/main" xmlns="" id="{C3CF1745-3718-4E4C-A6DB-2A2DF9C0F4F9}"/>
            </a:ext>
          </a:extLst>
        </xdr:cNvPr>
        <xdr:cNvPicPr>
          <a:picLocks noChangeAspect="1"/>
        </xdr:cNvPicPr>
      </xdr:nvPicPr>
      <xdr:blipFill>
        <a:blip xmlns:r="http://schemas.openxmlformats.org/officeDocument/2006/relationships" r:embed="rId1"/>
        <a:stretch>
          <a:fillRect/>
        </a:stretch>
      </xdr:blipFill>
      <xdr:spPr>
        <a:xfrm>
          <a:off x="5333999" y="694765"/>
          <a:ext cx="2420322" cy="1048603"/>
        </a:xfrm>
        <a:prstGeom prst="rect">
          <a:avLst/>
        </a:prstGeom>
      </xdr:spPr>
    </xdr:pic>
    <xdr:clientData/>
  </xdr:twoCellAnchor>
  <xdr:twoCellAnchor editAs="oneCell">
    <xdr:from>
      <xdr:col>2</xdr:col>
      <xdr:colOff>33618</xdr:colOff>
      <xdr:row>4</xdr:row>
      <xdr:rowOff>112058</xdr:rowOff>
    </xdr:from>
    <xdr:to>
      <xdr:col>2</xdr:col>
      <xdr:colOff>1844287</xdr:colOff>
      <xdr:row>8</xdr:row>
      <xdr:rowOff>69796</xdr:rowOff>
    </xdr:to>
    <xdr:pic>
      <xdr:nvPicPr>
        <xdr:cNvPr id="2" name="Picture 1">
          <a:extLst>
            <a:ext uri="{FF2B5EF4-FFF2-40B4-BE49-F238E27FC236}">
              <a16:creationId xmlns:a16="http://schemas.microsoft.com/office/drawing/2014/main" xmlns="" id="{23E308F1-B46A-4D06-AFEB-4922EDC48E85}"/>
            </a:ext>
          </a:extLst>
        </xdr:cNvPr>
        <xdr:cNvPicPr>
          <a:picLocks noChangeAspect="1"/>
        </xdr:cNvPicPr>
      </xdr:nvPicPr>
      <xdr:blipFill>
        <a:blip xmlns:r="http://schemas.openxmlformats.org/officeDocument/2006/relationships" r:embed="rId2"/>
        <a:stretch>
          <a:fillRect/>
        </a:stretch>
      </xdr:blipFill>
      <xdr:spPr>
        <a:xfrm>
          <a:off x="3003177" y="806823"/>
          <a:ext cx="1810669" cy="585267"/>
        </a:xfrm>
        <a:prstGeom prst="rect">
          <a:avLst/>
        </a:prstGeom>
      </xdr:spPr>
    </xdr:pic>
    <xdr:clientData/>
  </xdr:twoCellAnchor>
  <xdr:twoCellAnchor editAs="oneCell">
    <xdr:from>
      <xdr:col>1</xdr:col>
      <xdr:colOff>44823</xdr:colOff>
      <xdr:row>4</xdr:row>
      <xdr:rowOff>56030</xdr:rowOff>
    </xdr:from>
    <xdr:to>
      <xdr:col>1</xdr:col>
      <xdr:colOff>2056677</xdr:colOff>
      <xdr:row>8</xdr:row>
      <xdr:rowOff>135698</xdr:rowOff>
    </xdr:to>
    <xdr:pic>
      <xdr:nvPicPr>
        <xdr:cNvPr id="3" name="Picture 2">
          <a:extLst>
            <a:ext uri="{FF2B5EF4-FFF2-40B4-BE49-F238E27FC236}">
              <a16:creationId xmlns:a16="http://schemas.microsoft.com/office/drawing/2014/main" xmlns="" id="{6631AA92-DB8E-4DF3-8FA6-7F80879742FB}"/>
            </a:ext>
          </a:extLst>
        </xdr:cNvPr>
        <xdr:cNvPicPr>
          <a:picLocks noChangeAspect="1"/>
        </xdr:cNvPicPr>
      </xdr:nvPicPr>
      <xdr:blipFill>
        <a:blip xmlns:r="http://schemas.openxmlformats.org/officeDocument/2006/relationships" r:embed="rId3"/>
        <a:stretch>
          <a:fillRect/>
        </a:stretch>
      </xdr:blipFill>
      <xdr:spPr>
        <a:xfrm>
          <a:off x="358588" y="750795"/>
          <a:ext cx="2011854" cy="7071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561975</xdr:colOff>
      <xdr:row>11</xdr:row>
      <xdr:rowOff>142875</xdr:rowOff>
    </xdr:from>
    <xdr:to>
      <xdr:col>32</xdr:col>
      <xdr:colOff>418182</xdr:colOff>
      <xdr:row>26</xdr:row>
      <xdr:rowOff>161097</xdr:rowOff>
    </xdr:to>
    <xdr:pic>
      <xdr:nvPicPr>
        <xdr:cNvPr id="2" name="Picture 1">
          <a:extLst>
            <a:ext uri="{FF2B5EF4-FFF2-40B4-BE49-F238E27FC236}">
              <a16:creationId xmlns:a16="http://schemas.microsoft.com/office/drawing/2014/main" xmlns="" id="{CF10E832-A597-40E1-954B-A9717E8536DD}"/>
            </a:ext>
          </a:extLst>
        </xdr:cNvPr>
        <xdr:cNvPicPr>
          <a:picLocks noChangeAspect="1"/>
        </xdr:cNvPicPr>
      </xdr:nvPicPr>
      <xdr:blipFill>
        <a:blip xmlns:r="http://schemas.openxmlformats.org/officeDocument/2006/relationships" r:embed="rId1"/>
        <a:stretch>
          <a:fillRect/>
        </a:stretch>
      </xdr:blipFill>
      <xdr:spPr>
        <a:xfrm>
          <a:off x="17697450" y="2247900"/>
          <a:ext cx="5342607" cy="2875722"/>
        </a:xfrm>
        <a:prstGeom prst="rect">
          <a:avLst/>
        </a:prstGeom>
      </xdr:spPr>
    </xdr:pic>
    <xdr:clientData/>
  </xdr:twoCellAnchor>
  <xdr:twoCellAnchor editAs="oneCell">
    <xdr:from>
      <xdr:col>23</xdr:col>
      <xdr:colOff>581025</xdr:colOff>
      <xdr:row>27</xdr:row>
      <xdr:rowOff>47625</xdr:rowOff>
    </xdr:from>
    <xdr:to>
      <xdr:col>34</xdr:col>
      <xdr:colOff>466725</xdr:colOff>
      <xdr:row>57</xdr:row>
      <xdr:rowOff>152731</xdr:rowOff>
    </xdr:to>
    <xdr:pic>
      <xdr:nvPicPr>
        <xdr:cNvPr id="4" name="Picture 3">
          <a:extLst>
            <a:ext uri="{FF2B5EF4-FFF2-40B4-BE49-F238E27FC236}">
              <a16:creationId xmlns:a16="http://schemas.microsoft.com/office/drawing/2014/main" xmlns="" id="{2C8D4A88-79EB-48A6-8A7A-54DD1093A5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16500" y="5200650"/>
          <a:ext cx="6591300" cy="58201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85723</xdr:colOff>
      <xdr:row>57</xdr:row>
      <xdr:rowOff>23812</xdr:rowOff>
    </xdr:from>
    <xdr:to>
      <xdr:col>8</xdr:col>
      <xdr:colOff>95249</xdr:colOff>
      <xdr:row>72</xdr:row>
      <xdr:rowOff>171450</xdr:rowOff>
    </xdr:to>
    <xdr:graphicFrame macro="">
      <xdr:nvGraphicFramePr>
        <xdr:cNvPr id="2" name="Chart 1">
          <a:extLst>
            <a:ext uri="{FF2B5EF4-FFF2-40B4-BE49-F238E27FC236}">
              <a16:creationId xmlns:a16="http://schemas.microsoft.com/office/drawing/2014/main" xmlns="" id="{99EB0B61-D231-4FF8-8192-E754E92F65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C36"/>
  <sheetViews>
    <sheetView showGridLines="0" tabSelected="1" zoomScale="85" zoomScaleNormal="85" workbookViewId="0">
      <pane ySplit="3" topLeftCell="A4" activePane="bottomLeft" state="frozen"/>
      <selection pane="bottomLeft" activeCell="C21" sqref="C21"/>
    </sheetView>
  </sheetViews>
  <sheetFormatPr defaultColWidth="9.140625" defaultRowHeight="12.75" x14ac:dyDescent="0.25"/>
  <cols>
    <col min="1" max="1" width="4.7109375" style="2" customWidth="1"/>
    <col min="2" max="2" width="39.85546875" style="2" customWidth="1"/>
    <col min="3" max="3" width="91.85546875" style="2" customWidth="1"/>
    <col min="4" max="16384" width="9.140625" style="2"/>
  </cols>
  <sheetData>
    <row r="2" spans="2:3" s="34" customFormat="1" ht="18" x14ac:dyDescent="0.25">
      <c r="B2" s="34" t="s">
        <v>1</v>
      </c>
    </row>
    <row r="13" spans="2:3" s="3" customFormat="1" x14ac:dyDescent="0.25">
      <c r="B13" s="3" t="s">
        <v>2</v>
      </c>
    </row>
    <row r="15" spans="2:3" x14ac:dyDescent="0.25">
      <c r="B15" s="4" t="s">
        <v>3</v>
      </c>
      <c r="C15" s="5" t="s">
        <v>348</v>
      </c>
    </row>
    <row r="16" spans="2:3" ht="25.5" x14ac:dyDescent="0.25">
      <c r="B16" s="4" t="s">
        <v>4</v>
      </c>
      <c r="C16" s="4" t="s">
        <v>448</v>
      </c>
    </row>
    <row r="17" spans="2:3" x14ac:dyDescent="0.25">
      <c r="B17" s="4" t="s">
        <v>5</v>
      </c>
      <c r="C17" s="4"/>
    </row>
    <row r="18" spans="2:3" x14ac:dyDescent="0.25">
      <c r="B18" s="4" t="s">
        <v>6</v>
      </c>
      <c r="C18" s="4" t="s">
        <v>349</v>
      </c>
    </row>
    <row r="19" spans="2:3" x14ac:dyDescent="0.25">
      <c r="B19" s="4"/>
      <c r="C19" s="6"/>
    </row>
    <row r="20" spans="2:3" x14ac:dyDescent="0.25">
      <c r="B20" s="4"/>
      <c r="C20" s="4"/>
    </row>
    <row r="21" spans="2:3" x14ac:dyDescent="0.25">
      <c r="B21" s="4" t="s">
        <v>7</v>
      </c>
      <c r="C21" s="4" t="s">
        <v>451</v>
      </c>
    </row>
    <row r="24" spans="2:3" s="3" customFormat="1" x14ac:dyDescent="0.25">
      <c r="B24" s="3" t="s">
        <v>8</v>
      </c>
    </row>
    <row r="26" spans="2:3" x14ac:dyDescent="0.25">
      <c r="B26" s="4" t="s">
        <v>9</v>
      </c>
      <c r="C26" s="4" t="s">
        <v>60</v>
      </c>
    </row>
    <row r="27" spans="2:3" x14ac:dyDescent="0.25">
      <c r="B27" s="4" t="s">
        <v>11</v>
      </c>
      <c r="C27" s="4" t="s">
        <v>60</v>
      </c>
    </row>
    <row r="28" spans="2:3" ht="25.5" x14ac:dyDescent="0.25">
      <c r="B28" s="4" t="s">
        <v>12</v>
      </c>
      <c r="C28" s="4" t="s">
        <v>203</v>
      </c>
    </row>
    <row r="29" spans="2:3" x14ac:dyDescent="0.25">
      <c r="B29" s="4" t="s">
        <v>13</v>
      </c>
      <c r="C29" s="4" t="s">
        <v>10</v>
      </c>
    </row>
    <row r="30" spans="2:3" x14ac:dyDescent="0.25">
      <c r="B30" s="4" t="s">
        <v>14</v>
      </c>
      <c r="C30" s="4"/>
    </row>
    <row r="31" spans="2:3" x14ac:dyDescent="0.25">
      <c r="B31" s="4" t="s">
        <v>7</v>
      </c>
      <c r="C31" s="4"/>
    </row>
    <row r="34" spans="2:2" s="3" customFormat="1" x14ac:dyDescent="0.25">
      <c r="B34" s="3" t="s">
        <v>15</v>
      </c>
    </row>
    <row r="36" spans="2:2" x14ac:dyDescent="0.25">
      <c r="B36" s="2" t="s">
        <v>409</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election activeCell="S47" sqref="S47"/>
    </sheetView>
  </sheetViews>
  <sheetFormatPr defaultColWidth="9.140625" defaultRowHeight="12.75" x14ac:dyDescent="0.25"/>
  <cols>
    <col min="1" max="16384" width="9.140625" style="28"/>
  </cols>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L75"/>
  <sheetViews>
    <sheetView topLeftCell="A46" workbookViewId="0">
      <selection activeCell="D27" sqref="D27"/>
    </sheetView>
  </sheetViews>
  <sheetFormatPr defaultRowHeight="15" x14ac:dyDescent="0.25"/>
  <cols>
    <col min="2" max="2" width="35.42578125" customWidth="1"/>
    <col min="3" max="3" width="13.7109375" customWidth="1"/>
    <col min="4" max="4" width="14.28515625" customWidth="1"/>
    <col min="5" max="5" width="14.5703125" customWidth="1"/>
    <col min="6" max="7" width="13.7109375" customWidth="1"/>
    <col min="8" max="8" width="14.28515625" customWidth="1"/>
    <col min="9" max="9" width="5" customWidth="1"/>
    <col min="10" max="10" width="10.85546875" bestFit="1" customWidth="1"/>
    <col min="11" max="11" width="5.7109375" customWidth="1"/>
    <col min="12" max="17" width="16.28515625" customWidth="1"/>
    <col min="18" max="18" width="13.5703125" customWidth="1"/>
  </cols>
  <sheetData>
    <row r="2" spans="2:12" s="34" customFormat="1" ht="18" x14ac:dyDescent="0.25">
      <c r="B2" s="34" t="s">
        <v>320</v>
      </c>
    </row>
    <row r="4" spans="2:12" x14ac:dyDescent="0.25">
      <c r="B4" t="s">
        <v>38</v>
      </c>
    </row>
    <row r="5" spans="2:12" x14ac:dyDescent="0.25">
      <c r="B5" t="s">
        <v>176</v>
      </c>
    </row>
    <row r="6" spans="2:12" x14ac:dyDescent="0.25">
      <c r="B6" t="s">
        <v>303</v>
      </c>
    </row>
    <row r="8" spans="2:12" s="3" customFormat="1" ht="12.75" x14ac:dyDescent="0.25">
      <c r="C8" s="59"/>
      <c r="D8" s="59"/>
    </row>
    <row r="11" spans="2:12" x14ac:dyDescent="0.25">
      <c r="B11" s="419" t="s">
        <v>177</v>
      </c>
      <c r="C11" s="420"/>
      <c r="D11" s="420"/>
      <c r="E11" s="420"/>
      <c r="F11" s="420"/>
      <c r="G11" s="420"/>
      <c r="H11" s="421"/>
    </row>
    <row r="13" spans="2:12" x14ac:dyDescent="0.25">
      <c r="J13" t="s">
        <v>44</v>
      </c>
      <c r="L13" t="s">
        <v>370</v>
      </c>
    </row>
    <row r="14" spans="2:12" x14ac:dyDescent="0.25">
      <c r="B14" s="49"/>
      <c r="C14" s="97">
        <v>2021</v>
      </c>
      <c r="D14" s="60">
        <v>2022</v>
      </c>
      <c r="E14" s="60">
        <v>2023</v>
      </c>
      <c r="F14" s="60">
        <v>2024</v>
      </c>
      <c r="G14" s="60">
        <v>2025</v>
      </c>
      <c r="H14" s="61">
        <v>2026</v>
      </c>
    </row>
    <row r="15" spans="2:12" x14ac:dyDescent="0.25">
      <c r="B15" s="203" t="s">
        <v>77</v>
      </c>
      <c r="C15" s="379"/>
      <c r="D15" s="380"/>
      <c r="E15" s="380"/>
      <c r="F15" s="380"/>
      <c r="G15" s="380"/>
      <c r="H15" s="381"/>
      <c r="J15" s="39"/>
      <c r="L15" t="s">
        <v>309</v>
      </c>
    </row>
    <row r="16" spans="2:12" x14ac:dyDescent="0.25">
      <c r="B16" s="50" t="s">
        <v>78</v>
      </c>
      <c r="C16" s="382"/>
      <c r="D16" s="349">
        <v>1.3395272472737993E-2</v>
      </c>
      <c r="E16" s="348">
        <v>1.1707564397288534E-2</v>
      </c>
      <c r="F16" s="348">
        <v>1.0692538314176242E-2</v>
      </c>
      <c r="G16" s="348">
        <v>1.0318201886236366E-2</v>
      </c>
      <c r="H16" s="350">
        <v>1.0332486147951663E-2</v>
      </c>
      <c r="L16" t="s">
        <v>308</v>
      </c>
    </row>
    <row r="17" spans="2:12" x14ac:dyDescent="0.25">
      <c r="B17" s="204" t="s">
        <v>79</v>
      </c>
      <c r="C17" s="382"/>
      <c r="D17" s="352">
        <v>1.5E-3</v>
      </c>
      <c r="E17" s="353">
        <v>1.5E-3</v>
      </c>
      <c r="F17" s="353">
        <v>1.5E-3</v>
      </c>
      <c r="G17" s="353">
        <v>1.5E-3</v>
      </c>
      <c r="H17" s="354">
        <v>1.5E-3</v>
      </c>
      <c r="L17" t="s">
        <v>310</v>
      </c>
    </row>
    <row r="18" spans="2:12" x14ac:dyDescent="0.25">
      <c r="B18" s="363" t="s">
        <v>84</v>
      </c>
      <c r="C18" s="382"/>
      <c r="D18" s="151">
        <f>D16+D17</f>
        <v>1.4895272472737992E-2</v>
      </c>
      <c r="E18" s="150">
        <f t="shared" ref="E18:H18" si="0">E16+E17</f>
        <v>1.3207564397288533E-2</v>
      </c>
      <c r="F18" s="150">
        <f t="shared" si="0"/>
        <v>1.2192538314176242E-2</v>
      </c>
      <c r="G18" s="150">
        <f t="shared" si="0"/>
        <v>1.1818201886236366E-2</v>
      </c>
      <c r="H18" s="351">
        <f t="shared" si="0"/>
        <v>1.1832486147951663E-2</v>
      </c>
    </row>
    <row r="19" spans="2:12" x14ac:dyDescent="0.25">
      <c r="B19" s="364" t="s">
        <v>80</v>
      </c>
      <c r="C19" s="382"/>
      <c r="D19" s="349">
        <v>1.59921895006402E-3</v>
      </c>
      <c r="E19" s="348">
        <v>1.59921895006402E-3</v>
      </c>
      <c r="F19" s="348">
        <v>1.59921895006402E-3</v>
      </c>
      <c r="G19" s="348">
        <v>1.59921895006402E-3</v>
      </c>
      <c r="H19" s="350">
        <v>1.59921895006402E-3</v>
      </c>
      <c r="L19" t="s">
        <v>305</v>
      </c>
    </row>
    <row r="20" spans="2:12" x14ac:dyDescent="0.25">
      <c r="B20" s="364" t="s">
        <v>81</v>
      </c>
      <c r="C20" s="382"/>
      <c r="D20" s="352">
        <v>0.05</v>
      </c>
      <c r="E20" s="353">
        <v>0.05</v>
      </c>
      <c r="F20" s="353">
        <v>0.05</v>
      </c>
      <c r="G20" s="353">
        <v>0.05</v>
      </c>
      <c r="H20" s="354">
        <v>0.05</v>
      </c>
      <c r="L20" t="s">
        <v>306</v>
      </c>
    </row>
    <row r="21" spans="2:12" x14ac:dyDescent="0.25">
      <c r="B21" s="364" t="s">
        <v>82</v>
      </c>
      <c r="C21" s="382"/>
      <c r="D21" s="356">
        <v>0.39485740969546723</v>
      </c>
      <c r="E21" s="357">
        <v>0.39485740969546723</v>
      </c>
      <c r="F21" s="357">
        <v>0.39485740969546723</v>
      </c>
      <c r="G21" s="357">
        <v>0.39485740969546723</v>
      </c>
      <c r="H21" s="358">
        <v>0.39485740969546723</v>
      </c>
      <c r="L21" t="s">
        <v>307</v>
      </c>
    </row>
    <row r="22" spans="2:12" x14ac:dyDescent="0.25">
      <c r="B22" s="364" t="s">
        <v>83</v>
      </c>
      <c r="C22" s="382"/>
      <c r="D22" s="359">
        <f>((1-D24)+D24*(1-D25))/(1-D24)*D21</f>
        <v>0.64394940245850307</v>
      </c>
      <c r="E22" s="360">
        <f t="shared" ref="E22:H22" si="1">((1-E24)+E24*(1-E25))/(1-E24)*E21</f>
        <v>0.64394940245850307</v>
      </c>
      <c r="F22" s="360">
        <f t="shared" si="1"/>
        <v>0.64394940245850307</v>
      </c>
      <c r="G22" s="360">
        <f t="shared" si="1"/>
        <v>0.64394940245850307</v>
      </c>
      <c r="H22" s="361">
        <f t="shared" si="1"/>
        <v>0.64394940245850307</v>
      </c>
      <c r="L22" t="s">
        <v>313</v>
      </c>
    </row>
    <row r="23" spans="2:12" x14ac:dyDescent="0.25">
      <c r="B23" s="363" t="s">
        <v>85</v>
      </c>
      <c r="C23" s="382"/>
      <c r="D23" s="151">
        <f t="shared" ref="D23:H23" si="2">D19+D22*D20</f>
        <v>3.3796689072989175E-2</v>
      </c>
      <c r="E23" s="150">
        <f t="shared" si="2"/>
        <v>3.3796689072989175E-2</v>
      </c>
      <c r="F23" s="150">
        <f t="shared" si="2"/>
        <v>3.3796689072989175E-2</v>
      </c>
      <c r="G23" s="150">
        <f t="shared" si="2"/>
        <v>3.3796689072989175E-2</v>
      </c>
      <c r="H23" s="351">
        <f t="shared" si="2"/>
        <v>3.3796689072989175E-2</v>
      </c>
    </row>
    <row r="24" spans="2:12" ht="30" x14ac:dyDescent="0.25">
      <c r="B24" s="203" t="s">
        <v>90</v>
      </c>
      <c r="C24" s="382"/>
      <c r="D24" s="292">
        <v>0.44618924529835263</v>
      </c>
      <c r="E24" s="294">
        <v>0.44618924529835263</v>
      </c>
      <c r="F24" s="294">
        <v>0.44618924529835263</v>
      </c>
      <c r="G24" s="294">
        <v>0.44618924529835263</v>
      </c>
      <c r="H24" s="290">
        <v>0.44618924529835263</v>
      </c>
      <c r="L24" t="s">
        <v>311</v>
      </c>
    </row>
    <row r="25" spans="2:12" x14ac:dyDescent="0.25">
      <c r="B25" s="204" t="s">
        <v>86</v>
      </c>
      <c r="C25" s="382"/>
      <c r="D25" s="296">
        <v>0.217</v>
      </c>
      <c r="E25" s="291">
        <v>0.217</v>
      </c>
      <c r="F25" s="291">
        <v>0.217</v>
      </c>
      <c r="G25" s="291">
        <v>0.217</v>
      </c>
      <c r="H25" s="297">
        <v>0.217</v>
      </c>
      <c r="L25" t="s">
        <v>312</v>
      </c>
    </row>
    <row r="26" spans="2:12" ht="30" x14ac:dyDescent="0.25">
      <c r="B26" s="204" t="s">
        <v>314</v>
      </c>
      <c r="C26" s="382"/>
      <c r="D26" s="151">
        <f>D23/(1-D25)</f>
        <v>4.3163076721569826E-2</v>
      </c>
      <c r="E26" s="150">
        <f t="shared" ref="E26:H26" si="3">E23/(1-E25)</f>
        <v>4.3163076721569826E-2</v>
      </c>
      <c r="F26" s="150">
        <f t="shared" si="3"/>
        <v>4.3163076721569826E-2</v>
      </c>
      <c r="G26" s="150">
        <f t="shared" si="3"/>
        <v>4.3163076721569826E-2</v>
      </c>
      <c r="H26" s="351">
        <f t="shared" si="3"/>
        <v>4.3163076721569826E-2</v>
      </c>
      <c r="L26" t="s">
        <v>315</v>
      </c>
    </row>
    <row r="27" spans="2:12" x14ac:dyDescent="0.25">
      <c r="B27" s="363" t="s">
        <v>87</v>
      </c>
      <c r="C27" s="383"/>
      <c r="D27" s="366">
        <f>ROUND(D24*D18+(1-D24)*D26,3)</f>
        <v>3.1E-2</v>
      </c>
      <c r="E27" s="367">
        <f t="shared" ref="E27:H27" si="4">ROUND(E24*E18+(1-E24)*E26,3)</f>
        <v>0.03</v>
      </c>
      <c r="F27" s="367">
        <f t="shared" si="4"/>
        <v>2.9000000000000001E-2</v>
      </c>
      <c r="G27" s="367">
        <f t="shared" si="4"/>
        <v>2.9000000000000001E-2</v>
      </c>
      <c r="H27" s="368">
        <f t="shared" si="4"/>
        <v>2.9000000000000001E-2</v>
      </c>
      <c r="L27" t="s">
        <v>319</v>
      </c>
    </row>
    <row r="28" spans="2:12" x14ac:dyDescent="0.25">
      <c r="B28" s="347"/>
    </row>
    <row r="30" spans="2:12" x14ac:dyDescent="0.25">
      <c r="B30" s="419" t="s">
        <v>193</v>
      </c>
      <c r="C30" s="420"/>
      <c r="D30" s="420"/>
      <c r="E30" s="420"/>
      <c r="F30" s="420"/>
      <c r="G30" s="420"/>
      <c r="H30" s="421"/>
    </row>
    <row r="33" spans="2:12" x14ac:dyDescent="0.25">
      <c r="C33" s="143">
        <v>2021</v>
      </c>
      <c r="D33" s="72">
        <v>2022</v>
      </c>
      <c r="E33" s="72">
        <v>2023</v>
      </c>
      <c r="F33" s="72">
        <v>2024</v>
      </c>
      <c r="G33" s="72">
        <v>2025</v>
      </c>
      <c r="H33" s="110">
        <v>2026</v>
      </c>
    </row>
    <row r="34" spans="2:12" x14ac:dyDescent="0.25">
      <c r="B34" s="203" t="s">
        <v>77</v>
      </c>
      <c r="C34" s="174">
        <f>'10 Y Bonds'!W12/100</f>
        <v>-3.3850000000000004E-3</v>
      </c>
      <c r="D34" s="44"/>
      <c r="E34" s="44"/>
      <c r="F34" s="44"/>
      <c r="G34" s="44"/>
      <c r="H34" s="174">
        <f>'10 Y Bonds'!W12/100</f>
        <v>-3.3850000000000004E-3</v>
      </c>
      <c r="L34" t="s">
        <v>316</v>
      </c>
    </row>
    <row r="35" spans="2:12" x14ac:dyDescent="0.25">
      <c r="B35" s="50" t="s">
        <v>78</v>
      </c>
      <c r="C35" s="202">
        <f>'Rente opslag'!C23</f>
        <v>7.9511579896319306E-3</v>
      </c>
      <c r="D35" s="46"/>
      <c r="E35" s="46"/>
      <c r="F35" s="46"/>
      <c r="G35" s="46"/>
      <c r="H35" s="202">
        <f>'Rente opslag'!D23</f>
        <v>8.05790322591797E-3</v>
      </c>
      <c r="J35" s="39">
        <v>1</v>
      </c>
      <c r="L35" t="s">
        <v>318</v>
      </c>
    </row>
    <row r="36" spans="2:12" x14ac:dyDescent="0.25">
      <c r="B36" s="204" t="s">
        <v>79</v>
      </c>
      <c r="C36" s="172">
        <v>1.5E-3</v>
      </c>
      <c r="D36" s="46"/>
      <c r="E36" s="46"/>
      <c r="F36" s="46"/>
      <c r="G36" s="46"/>
      <c r="H36" s="172">
        <v>1.5E-3</v>
      </c>
      <c r="J36" s="39"/>
      <c r="L36" t="s">
        <v>310</v>
      </c>
    </row>
    <row r="37" spans="2:12" x14ac:dyDescent="0.25">
      <c r="B37" s="63" t="s">
        <v>84</v>
      </c>
      <c r="C37" s="173">
        <f>SUM(C34:C36)</f>
        <v>6.0661579896319293E-3</v>
      </c>
      <c r="D37" s="46"/>
      <c r="E37" s="46"/>
      <c r="F37" s="46"/>
      <c r="G37" s="46"/>
      <c r="H37" s="173">
        <f>SUM(H34:H36)</f>
        <v>6.1729032259179688E-3</v>
      </c>
    </row>
    <row r="38" spans="2:12" x14ac:dyDescent="0.25">
      <c r="B38" s="62" t="s">
        <v>80</v>
      </c>
      <c r="C38" s="174">
        <f>'10 Y Bonds'!W12/100</f>
        <v>-3.3850000000000004E-3</v>
      </c>
      <c r="D38" s="46"/>
      <c r="E38" s="46"/>
      <c r="F38" s="46"/>
      <c r="G38" s="46"/>
      <c r="H38" s="174">
        <f>'10 Y Bonds'!W12/100</f>
        <v>-3.3850000000000004E-3</v>
      </c>
      <c r="L38" t="s">
        <v>316</v>
      </c>
    </row>
    <row r="39" spans="2:12" x14ac:dyDescent="0.25">
      <c r="B39" s="62" t="s">
        <v>81</v>
      </c>
      <c r="C39" s="90">
        <v>0.05</v>
      </c>
      <c r="D39" s="46"/>
      <c r="E39" s="46"/>
      <c r="F39" s="46"/>
      <c r="G39" s="46"/>
      <c r="H39" s="90">
        <v>0.05</v>
      </c>
    </row>
    <row r="40" spans="2:12" x14ac:dyDescent="0.25">
      <c r="B40" s="62" t="s">
        <v>82</v>
      </c>
      <c r="C40" s="73">
        <v>0.39</v>
      </c>
      <c r="D40" s="46"/>
      <c r="E40" s="46"/>
      <c r="F40" s="46"/>
      <c r="G40" s="46"/>
      <c r="H40" s="73">
        <v>0.39</v>
      </c>
      <c r="L40" t="s">
        <v>307</v>
      </c>
    </row>
    <row r="41" spans="2:12" x14ac:dyDescent="0.25">
      <c r="B41" s="62" t="s">
        <v>83</v>
      </c>
      <c r="C41" s="362">
        <f>((1-C43)+C43*(1-C44))/(1-C43)*C40</f>
        <v>0.63603845070422538</v>
      </c>
      <c r="D41" s="46"/>
      <c r="E41" s="46"/>
      <c r="F41" s="46"/>
      <c r="G41" s="46"/>
      <c r="H41" s="362">
        <f>((1-H43)+H43*(1-H44))/(1-H43)*H40</f>
        <v>0.63603845070422538</v>
      </c>
      <c r="L41" t="s">
        <v>313</v>
      </c>
    </row>
    <row r="42" spans="2:12" x14ac:dyDescent="0.25">
      <c r="B42" s="63" t="s">
        <v>85</v>
      </c>
      <c r="C42" s="92">
        <f>C38+C41*C39</f>
        <v>2.8416922535211268E-2</v>
      </c>
      <c r="D42" s="46"/>
      <c r="E42" s="46"/>
      <c r="F42" s="46"/>
      <c r="G42" s="46"/>
      <c r="H42" s="92">
        <f>H38+H41*H39</f>
        <v>2.8416922535211268E-2</v>
      </c>
    </row>
    <row r="43" spans="2:12" ht="30" x14ac:dyDescent="0.25">
      <c r="B43" s="62" t="s">
        <v>90</v>
      </c>
      <c r="C43" s="397">
        <v>0.44619999999999999</v>
      </c>
      <c r="D43" s="182"/>
      <c r="E43" s="182"/>
      <c r="F43" s="182"/>
      <c r="G43" s="182"/>
      <c r="H43" s="397">
        <v>0.44619999999999999</v>
      </c>
      <c r="L43" t="s">
        <v>311</v>
      </c>
    </row>
    <row r="44" spans="2:12" x14ac:dyDescent="0.25">
      <c r="B44" s="62" t="s">
        <v>86</v>
      </c>
      <c r="C44" s="403">
        <v>0.217</v>
      </c>
      <c r="D44" s="182"/>
      <c r="E44" s="182"/>
      <c r="F44" s="182"/>
      <c r="G44" s="182"/>
      <c r="H44" s="403">
        <v>0.217</v>
      </c>
      <c r="L44" t="s">
        <v>312</v>
      </c>
    </row>
    <row r="45" spans="2:12" ht="30" x14ac:dyDescent="0.25">
      <c r="B45" s="384" t="s">
        <v>314</v>
      </c>
      <c r="C45" s="365">
        <f>C42/(1-C44)</f>
        <v>3.6292365945352831E-2</v>
      </c>
      <c r="D45" s="46"/>
      <c r="E45" s="46"/>
      <c r="F45" s="46"/>
      <c r="G45" s="46"/>
      <c r="H45" s="365">
        <f t="shared" ref="H45" si="5">H42/(1-H44)</f>
        <v>3.6292365945352831E-2</v>
      </c>
      <c r="L45" t="s">
        <v>315</v>
      </c>
    </row>
    <row r="46" spans="2:12" x14ac:dyDescent="0.25">
      <c r="B46" s="63" t="s">
        <v>87</v>
      </c>
      <c r="C46" s="369">
        <f>ROUND(C43*C37+(1-C43)*C45,3)</f>
        <v>2.3E-2</v>
      </c>
      <c r="D46" s="370"/>
      <c r="E46" s="370"/>
      <c r="F46" s="370"/>
      <c r="G46" s="370"/>
      <c r="H46" s="369">
        <f>ROUND(H43*H37+(1-H43)*H45,3)</f>
        <v>2.3E-2</v>
      </c>
      <c r="L46" t="s">
        <v>319</v>
      </c>
    </row>
    <row r="49" spans="2:12" x14ac:dyDescent="0.25">
      <c r="B49" s="419" t="s">
        <v>123</v>
      </c>
      <c r="C49" s="420"/>
      <c r="D49" s="420"/>
      <c r="E49" s="420"/>
      <c r="F49" s="420"/>
      <c r="G49" s="420"/>
      <c r="H49" s="421"/>
    </row>
    <row r="51" spans="2:12" x14ac:dyDescent="0.25">
      <c r="C51" s="78">
        <v>2021</v>
      </c>
      <c r="D51" s="143">
        <v>2022</v>
      </c>
      <c r="E51" s="72">
        <v>2023</v>
      </c>
      <c r="F51" s="72">
        <v>2024</v>
      </c>
      <c r="G51" s="72">
        <v>2025</v>
      </c>
      <c r="H51" s="110">
        <v>2026</v>
      </c>
      <c r="L51" t="s">
        <v>116</v>
      </c>
    </row>
    <row r="52" spans="2:12" x14ac:dyDescent="0.25">
      <c r="B52" s="43" t="s">
        <v>178</v>
      </c>
      <c r="C52" s="399"/>
      <c r="D52" s="371">
        <f>D27</f>
        <v>3.1E-2</v>
      </c>
      <c r="E52" s="372">
        <f t="shared" ref="E52:H52" si="6">E27</f>
        <v>0.03</v>
      </c>
      <c r="F52" s="372">
        <f t="shared" si="6"/>
        <v>2.9000000000000001E-2</v>
      </c>
      <c r="G52" s="372">
        <f t="shared" si="6"/>
        <v>2.9000000000000001E-2</v>
      </c>
      <c r="H52" s="373">
        <f t="shared" si="6"/>
        <v>2.9000000000000001E-2</v>
      </c>
      <c r="L52" t="s">
        <v>317</v>
      </c>
    </row>
    <row r="53" spans="2:12" x14ac:dyDescent="0.25">
      <c r="B53" s="38" t="s">
        <v>199</v>
      </c>
      <c r="C53" s="94">
        <f>C46</f>
        <v>2.3E-2</v>
      </c>
      <c r="D53" s="374">
        <f>$C53+($H53-$C53)*(D51-$C51)/5</f>
        <v>2.3E-2</v>
      </c>
      <c r="E53" s="375">
        <f t="shared" ref="E53:G53" si="7">$C53+($H53-$C53)*(E51-$C51)/5</f>
        <v>2.3E-2</v>
      </c>
      <c r="F53" s="375">
        <f t="shared" si="7"/>
        <v>2.3E-2</v>
      </c>
      <c r="G53" s="376">
        <f t="shared" si="7"/>
        <v>2.3E-2</v>
      </c>
      <c r="H53" s="377">
        <f>H46</f>
        <v>2.3E-2</v>
      </c>
      <c r="L53" t="s">
        <v>183</v>
      </c>
    </row>
    <row r="54" spans="2:12" x14ac:dyDescent="0.25">
      <c r="B54" s="40" t="s">
        <v>179</v>
      </c>
      <c r="C54" s="86"/>
      <c r="D54" s="374">
        <f t="shared" ref="D54:H54" si="8">D52-D53</f>
        <v>8.0000000000000002E-3</v>
      </c>
      <c r="E54" s="375">
        <f t="shared" si="8"/>
        <v>6.9999999999999993E-3</v>
      </c>
      <c r="F54" s="375">
        <f t="shared" si="8"/>
        <v>6.0000000000000019E-3</v>
      </c>
      <c r="G54" s="375">
        <f t="shared" si="8"/>
        <v>6.0000000000000019E-3</v>
      </c>
      <c r="H54" s="378">
        <f t="shared" si="8"/>
        <v>6.0000000000000019E-3</v>
      </c>
    </row>
    <row r="55" spans="2:12" x14ac:dyDescent="0.25">
      <c r="B55" s="46"/>
    </row>
    <row r="56" spans="2:12" x14ac:dyDescent="0.25">
      <c r="B56" s="261" t="s">
        <v>261</v>
      </c>
    </row>
    <row r="57" spans="2:12" x14ac:dyDescent="0.25">
      <c r="B57" s="322" t="s">
        <v>224</v>
      </c>
      <c r="C57" s="315"/>
      <c r="D57" s="400">
        <v>0.86199999999999999</v>
      </c>
      <c r="E57" s="401">
        <v>0.86199999999999999</v>
      </c>
      <c r="F57" s="401">
        <v>0.86199999999999999</v>
      </c>
      <c r="G57" s="401">
        <v>0.86199999999999999</v>
      </c>
      <c r="H57" s="402">
        <v>0.86199999999999999</v>
      </c>
      <c r="L57" t="s">
        <v>404</v>
      </c>
    </row>
    <row r="58" spans="2:12" x14ac:dyDescent="0.25">
      <c r="B58" s="323" t="s">
        <v>226</v>
      </c>
      <c r="C58" s="133"/>
      <c r="D58" s="252">
        <v>4814294376.1822052</v>
      </c>
      <c r="E58" s="253">
        <v>4529843167.9520206</v>
      </c>
      <c r="F58" s="253">
        <v>4270015113.0076919</v>
      </c>
      <c r="G58" s="253">
        <v>4026913744.993753</v>
      </c>
      <c r="H58" s="260">
        <v>3801723222.6804438</v>
      </c>
      <c r="L58" t="s">
        <v>321</v>
      </c>
    </row>
    <row r="59" spans="2:12" x14ac:dyDescent="0.25">
      <c r="B59" s="323" t="s">
        <v>227</v>
      </c>
      <c r="C59" s="133"/>
      <c r="D59" s="252">
        <v>720008898.87337601</v>
      </c>
      <c r="E59" s="253">
        <v>673571878.90043676</v>
      </c>
      <c r="F59" s="253">
        <v>630428914.99568248</v>
      </c>
      <c r="G59" s="253">
        <v>591894004.99097502</v>
      </c>
      <c r="H59" s="260">
        <v>558615359.35254765</v>
      </c>
      <c r="L59" t="s">
        <v>322</v>
      </c>
    </row>
    <row r="60" spans="2:12" x14ac:dyDescent="0.25">
      <c r="B60" s="323" t="s">
        <v>228</v>
      </c>
      <c r="C60" s="133"/>
      <c r="D60" s="257">
        <v>309421073.78984451</v>
      </c>
      <c r="E60" s="258">
        <v>286165935.32598406</v>
      </c>
      <c r="F60" s="258">
        <v>265224908.31132367</v>
      </c>
      <c r="G60" s="258">
        <v>245702315.88943359</v>
      </c>
      <c r="H60" s="259">
        <v>227153606.93758476</v>
      </c>
      <c r="L60" t="s">
        <v>323</v>
      </c>
    </row>
    <row r="61" spans="2:12" x14ac:dyDescent="0.25">
      <c r="B61" s="324" t="s">
        <v>255</v>
      </c>
      <c r="C61" s="85"/>
      <c r="D61" s="254">
        <v>420559211.63158309</v>
      </c>
      <c r="E61" s="255">
        <v>546745930.13062036</v>
      </c>
      <c r="F61" s="255">
        <v>667303585.728737</v>
      </c>
      <c r="G61" s="255">
        <v>783641281.21911335</v>
      </c>
      <c r="H61" s="256">
        <v>897147331.33892584</v>
      </c>
      <c r="L61" t="s">
        <v>324</v>
      </c>
    </row>
    <row r="62" spans="2:12" x14ac:dyDescent="0.25">
      <c r="B62" s="323" t="s">
        <v>256</v>
      </c>
      <c r="C62" s="133"/>
      <c r="D62" s="252">
        <v>96518710.390305728</v>
      </c>
      <c r="E62" s="253">
        <v>125603912.19458015</v>
      </c>
      <c r="F62" s="253">
        <v>153577469.30715442</v>
      </c>
      <c r="G62" s="253">
        <v>180502080.22414982</v>
      </c>
      <c r="H62" s="260">
        <v>206418787.51514712</v>
      </c>
      <c r="L62" t="s">
        <v>325</v>
      </c>
    </row>
    <row r="63" spans="2:12" x14ac:dyDescent="0.25">
      <c r="B63" s="325" t="s">
        <v>225</v>
      </c>
      <c r="C63" s="37"/>
      <c r="D63" s="252">
        <v>57465316.75858929</v>
      </c>
      <c r="E63" s="253">
        <v>73186411.807892397</v>
      </c>
      <c r="F63" s="253">
        <v>87712346.884990215</v>
      </c>
      <c r="G63" s="253">
        <v>101101290.54067335</v>
      </c>
      <c r="H63" s="260">
        <v>113365156.40804048</v>
      </c>
      <c r="L63" t="s">
        <v>326</v>
      </c>
    </row>
    <row r="64" spans="2:12" x14ac:dyDescent="0.25">
      <c r="B64" s="324" t="s">
        <v>257</v>
      </c>
      <c r="C64" s="85"/>
      <c r="D64" s="144">
        <f>D58+D61</f>
        <v>5234853587.8137884</v>
      </c>
      <c r="E64" s="123">
        <f t="shared" ref="E64:H64" si="9">E58+E61</f>
        <v>5076589098.0826406</v>
      </c>
      <c r="F64" s="123">
        <f t="shared" si="9"/>
        <v>4937318698.7364292</v>
      </c>
      <c r="G64" s="123">
        <f t="shared" si="9"/>
        <v>4810555026.2128658</v>
      </c>
      <c r="H64" s="124">
        <f t="shared" si="9"/>
        <v>4698870554.0193691</v>
      </c>
    </row>
    <row r="65" spans="2:12" x14ac:dyDescent="0.25">
      <c r="B65" s="323" t="s">
        <v>258</v>
      </c>
      <c r="C65" s="133"/>
      <c r="D65" s="316">
        <f>D59+D60+D62+D63</f>
        <v>1183413999.8121154</v>
      </c>
      <c r="E65" s="121">
        <f t="shared" ref="E65:H65" si="10">E59+E60+E62+E63</f>
        <v>1158528138.2288933</v>
      </c>
      <c r="F65" s="121">
        <f t="shared" si="10"/>
        <v>1136943639.4991508</v>
      </c>
      <c r="G65" s="121">
        <f t="shared" si="10"/>
        <v>1119199691.6452317</v>
      </c>
      <c r="H65" s="130">
        <f t="shared" si="10"/>
        <v>1105552910.21332</v>
      </c>
    </row>
    <row r="66" spans="2:12" x14ac:dyDescent="0.25">
      <c r="B66" s="326" t="s">
        <v>259</v>
      </c>
      <c r="C66" s="273"/>
      <c r="D66" s="317">
        <f>D64*D57*D54</f>
        <v>36099550.34156388</v>
      </c>
      <c r="E66" s="317">
        <f>E64*E57*E54</f>
        <v>30632138.617830653</v>
      </c>
      <c r="F66" s="317">
        <f>F64*F57*F54</f>
        <v>25535812.309864819</v>
      </c>
      <c r="G66" s="317">
        <f>G64*G57*G54</f>
        <v>24880190.595572952</v>
      </c>
      <c r="H66" s="318">
        <f>H64*H57*H54</f>
        <v>24302558.505388185</v>
      </c>
      <c r="L66" t="s">
        <v>327</v>
      </c>
    </row>
    <row r="67" spans="2:12" ht="15" customHeight="1" x14ac:dyDescent="0.25">
      <c r="B67" s="327" t="s">
        <v>260</v>
      </c>
      <c r="C67" s="226"/>
      <c r="D67" s="247">
        <f>D65*D54</f>
        <v>9467311.9984969236</v>
      </c>
      <c r="E67" s="247">
        <f>E65*E54</f>
        <v>8109696.967602252</v>
      </c>
      <c r="F67" s="247">
        <f>F65*F54</f>
        <v>6821661.8369949069</v>
      </c>
      <c r="G67" s="247">
        <f>G65*G54</f>
        <v>6715198.1498713922</v>
      </c>
      <c r="H67" s="248">
        <f>H65*H54</f>
        <v>6633317.4612799222</v>
      </c>
    </row>
    <row r="68" spans="2:12" x14ac:dyDescent="0.25">
      <c r="B68" s="319" t="s">
        <v>91</v>
      </c>
      <c r="C68" s="54"/>
      <c r="D68" s="320">
        <f>D66+D67</f>
        <v>45566862.3400608</v>
      </c>
      <c r="E68" s="320">
        <f t="shared" ref="E68:H68" si="11">E66+E67</f>
        <v>38741835.585432902</v>
      </c>
      <c r="F68" s="320">
        <f t="shared" si="11"/>
        <v>32357474.146859728</v>
      </c>
      <c r="G68" s="320">
        <f t="shared" si="11"/>
        <v>31595388.745444342</v>
      </c>
      <c r="H68" s="321">
        <f t="shared" si="11"/>
        <v>30935875.966668107</v>
      </c>
    </row>
    <row r="70" spans="2:12" x14ac:dyDescent="0.25">
      <c r="B70" s="82" t="s">
        <v>92</v>
      </c>
      <c r="C70" s="83">
        <f>SUM(D68:H68)</f>
        <v>179197436.78446588</v>
      </c>
    </row>
    <row r="73" spans="2:12" x14ac:dyDescent="0.25">
      <c r="B73">
        <v>1</v>
      </c>
      <c r="C73" t="s">
        <v>180</v>
      </c>
    </row>
    <row r="74" spans="2:12" x14ac:dyDescent="0.25">
      <c r="C74" t="s">
        <v>328</v>
      </c>
      <c r="H74" s="48"/>
    </row>
    <row r="75" spans="2:12" x14ac:dyDescent="0.25">
      <c r="C75" t="s">
        <v>329</v>
      </c>
    </row>
  </sheetData>
  <mergeCells count="3">
    <mergeCell ref="B11:H11"/>
    <mergeCell ref="B49:H49"/>
    <mergeCell ref="B30:H30"/>
  </mergeCells>
  <phoneticPr fontId="30"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K27"/>
  <sheetViews>
    <sheetView topLeftCell="B1" workbookViewId="0">
      <selection activeCell="F27" sqref="F27"/>
    </sheetView>
  </sheetViews>
  <sheetFormatPr defaultRowHeight="15" x14ac:dyDescent="0.25"/>
  <cols>
    <col min="2" max="2" width="35.42578125" customWidth="1"/>
    <col min="3" max="10" width="11.28515625" customWidth="1"/>
    <col min="11" max="11" width="8.5703125" customWidth="1"/>
    <col min="12" max="12" width="13.7109375" customWidth="1"/>
    <col min="13" max="13" width="14.28515625" customWidth="1"/>
    <col min="14" max="14" width="14.5703125" customWidth="1"/>
    <col min="15" max="16" width="13.7109375" customWidth="1"/>
    <col min="17" max="17" width="14.28515625" customWidth="1"/>
    <col min="18" max="18" width="13.5703125" customWidth="1"/>
  </cols>
  <sheetData>
    <row r="2" spans="2:11" s="34" customFormat="1" ht="18" x14ac:dyDescent="0.25">
      <c r="B2" s="34" t="s">
        <v>186</v>
      </c>
    </row>
    <row r="4" spans="2:11" x14ac:dyDescent="0.25">
      <c r="B4" t="s">
        <v>38</v>
      </c>
    </row>
    <row r="5" spans="2:11" x14ac:dyDescent="0.25">
      <c r="B5" t="s">
        <v>187</v>
      </c>
    </row>
    <row r="6" spans="2:11" x14ac:dyDescent="0.25">
      <c r="B6" t="s">
        <v>356</v>
      </c>
    </row>
    <row r="8" spans="2:11" s="3" customFormat="1" ht="12.75" x14ac:dyDescent="0.25">
      <c r="C8" s="59"/>
      <c r="D8" s="59"/>
    </row>
    <row r="11" spans="2:11" x14ac:dyDescent="0.25">
      <c r="K11" t="s">
        <v>116</v>
      </c>
    </row>
    <row r="12" spans="2:11" x14ac:dyDescent="0.25">
      <c r="B12" s="43" t="s">
        <v>189</v>
      </c>
      <c r="C12" s="114">
        <v>2013</v>
      </c>
      <c r="D12" s="114">
        <v>2014</v>
      </c>
      <c r="E12" s="114">
        <v>2015</v>
      </c>
      <c r="F12" s="114">
        <v>2016</v>
      </c>
      <c r="G12" s="114">
        <v>2017</v>
      </c>
      <c r="H12" s="114">
        <v>2018</v>
      </c>
      <c r="I12" s="114">
        <v>2019</v>
      </c>
    </row>
    <row r="13" spans="2:11" x14ac:dyDescent="0.25">
      <c r="B13" s="49" t="s">
        <v>184</v>
      </c>
      <c r="C13" s="178">
        <v>2.7E-2</v>
      </c>
      <c r="D13" s="178">
        <v>2.0299999999999999E-2</v>
      </c>
      <c r="E13" s="178">
        <v>1.38E-2</v>
      </c>
      <c r="F13" s="178">
        <v>0.01</v>
      </c>
      <c r="G13" s="178">
        <v>1.1900000000000001E-2</v>
      </c>
      <c r="H13" s="178">
        <v>1.3599999999999999E-2</v>
      </c>
      <c r="I13" s="179">
        <v>7.1999999999999998E-3</v>
      </c>
      <c r="K13" t="s">
        <v>366</v>
      </c>
    </row>
    <row r="14" spans="2:11" x14ac:dyDescent="0.25">
      <c r="B14" s="51" t="s">
        <v>185</v>
      </c>
      <c r="C14" s="272">
        <v>1.83E-2</v>
      </c>
      <c r="D14" s="272">
        <v>1.38E-2</v>
      </c>
      <c r="E14" s="272">
        <v>6.1999999999999998E-3</v>
      </c>
      <c r="F14" s="177">
        <f>'10 Y Bonds'!W18/100</f>
        <v>2.1161930224756799E-3</v>
      </c>
      <c r="G14" s="177">
        <f>'10 Y Bonds'!X18/100</f>
        <v>4.4302504431763751E-3</v>
      </c>
      <c r="H14" s="177">
        <f>'10 Y Bonds'!Y18/100</f>
        <v>5.2113068300312822E-3</v>
      </c>
      <c r="I14" s="180">
        <f>'10 Y Bonds'!Z18/100</f>
        <v>-1.3554437326051567E-3</v>
      </c>
      <c r="K14" t="s">
        <v>188</v>
      </c>
    </row>
    <row r="15" spans="2:11" x14ac:dyDescent="0.25">
      <c r="B15" s="53" t="s">
        <v>190</v>
      </c>
      <c r="C15" s="88">
        <f>C13-C14</f>
        <v>8.6999999999999994E-3</v>
      </c>
      <c r="D15" s="88">
        <f>D13-D14</f>
        <v>6.4999999999999988E-3</v>
      </c>
      <c r="E15" s="88">
        <f>E13-E14</f>
        <v>7.6E-3</v>
      </c>
      <c r="F15" s="88">
        <f>F13-F14</f>
        <v>7.8838069775243203E-3</v>
      </c>
      <c r="G15" s="88">
        <f t="shared" ref="G15:I15" si="0">G13-G14</f>
        <v>7.4697495568236258E-3</v>
      </c>
      <c r="H15" s="88">
        <f t="shared" si="0"/>
        <v>8.3886931699687171E-3</v>
      </c>
      <c r="I15" s="89">
        <f t="shared" si="0"/>
        <v>8.5554437326051565E-3</v>
      </c>
    </row>
    <row r="17" spans="2:6" x14ac:dyDescent="0.25">
      <c r="B17" s="205" t="s">
        <v>367</v>
      </c>
      <c r="C17" s="208">
        <f>AVERAGE(C15:I15)</f>
        <v>7.8710990624174023E-3</v>
      </c>
    </row>
    <row r="18" spans="2:6" x14ac:dyDescent="0.25">
      <c r="B18" s="206" t="s">
        <v>194</v>
      </c>
      <c r="C18" s="209">
        <f>AVERAGE(G15:I15)</f>
        <v>8.1379621531325001E-3</v>
      </c>
    </row>
    <row r="20" spans="2:6" x14ac:dyDescent="0.25">
      <c r="C20" s="114">
        <v>2022</v>
      </c>
      <c r="D20" s="114">
        <v>2026</v>
      </c>
    </row>
    <row r="21" spans="2:6" x14ac:dyDescent="0.25">
      <c r="B21" s="49" t="s">
        <v>195</v>
      </c>
      <c r="C21" s="210">
        <v>0.7</v>
      </c>
      <c r="D21" s="211">
        <v>0.3</v>
      </c>
      <c r="F21" t="s">
        <v>198</v>
      </c>
    </row>
    <row r="22" spans="2:6" x14ac:dyDescent="0.25">
      <c r="B22" s="51" t="s">
        <v>196</v>
      </c>
      <c r="C22" s="212">
        <v>0.3</v>
      </c>
      <c r="D22" s="213">
        <v>0.7</v>
      </c>
      <c r="F22" t="s">
        <v>198</v>
      </c>
    </row>
    <row r="23" spans="2:6" x14ac:dyDescent="0.25">
      <c r="B23" s="51" t="s">
        <v>197</v>
      </c>
      <c r="C23" s="86">
        <f>C21*$C17+C22*$C18</f>
        <v>7.9511579896319306E-3</v>
      </c>
      <c r="D23" s="89">
        <f>D21*$C17+D22*$C18</f>
        <v>8.05790322591797E-3</v>
      </c>
      <c r="F23" t="s">
        <v>198</v>
      </c>
    </row>
    <row r="25" spans="2:6" x14ac:dyDescent="0.25">
      <c r="B25" s="49" t="s">
        <v>369</v>
      </c>
      <c r="C25" s="178">
        <v>1.34E-2</v>
      </c>
      <c r="D25" s="179">
        <v>1.03E-2</v>
      </c>
      <c r="F25" t="s">
        <v>304</v>
      </c>
    </row>
    <row r="26" spans="2:6" x14ac:dyDescent="0.25">
      <c r="B26" s="220" t="s">
        <v>208</v>
      </c>
      <c r="C26" s="166">
        <v>1.6000000000000001E-3</v>
      </c>
      <c r="D26" s="167">
        <v>1.6000000000000001E-3</v>
      </c>
      <c r="F26" t="s">
        <v>403</v>
      </c>
    </row>
    <row r="27" spans="2:6" x14ac:dyDescent="0.25">
      <c r="B27" s="36" t="s">
        <v>207</v>
      </c>
      <c r="C27" s="176">
        <f>C25-C26</f>
        <v>1.18E-2</v>
      </c>
      <c r="D27" s="207">
        <f>D25-D26</f>
        <v>8.6999999999999994E-3</v>
      </c>
      <c r="F27" t="s">
        <v>209</v>
      </c>
    </row>
  </sheetData>
  <phoneticPr fontId="30"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election activeCell="Q39" sqref="Q39"/>
    </sheetView>
  </sheetViews>
  <sheetFormatPr defaultColWidth="9.140625" defaultRowHeight="12.75" x14ac:dyDescent="0.25"/>
  <cols>
    <col min="1" max="16384" width="9.140625" style="28"/>
  </cols>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M59"/>
  <sheetViews>
    <sheetView topLeftCell="A16" workbookViewId="0">
      <selection activeCell="L37" sqref="L37"/>
    </sheetView>
  </sheetViews>
  <sheetFormatPr defaultRowHeight="15" x14ac:dyDescent="0.25"/>
  <cols>
    <col min="2" max="2" width="15.42578125" customWidth="1"/>
    <col min="3" max="3" width="20.140625" customWidth="1"/>
    <col min="4" max="10" width="16.5703125" customWidth="1"/>
    <col min="11" max="11" width="22.5703125" bestFit="1" customWidth="1"/>
    <col min="12" max="12" width="13.7109375" bestFit="1" customWidth="1"/>
    <col min="13" max="13" width="12" customWidth="1"/>
    <col min="14" max="14" width="14.7109375" bestFit="1" customWidth="1"/>
    <col min="15" max="15" width="12.5703125" bestFit="1" customWidth="1"/>
    <col min="16" max="16" width="15.42578125" customWidth="1"/>
    <col min="17" max="17" width="13.7109375" bestFit="1" customWidth="1"/>
  </cols>
  <sheetData>
    <row r="2" spans="2:13" s="34" customFormat="1" ht="18" x14ac:dyDescent="0.25">
      <c r="B2" s="34" t="s">
        <v>113</v>
      </c>
    </row>
    <row r="4" spans="2:13" x14ac:dyDescent="0.25">
      <c r="B4" t="s">
        <v>38</v>
      </c>
    </row>
    <row r="5" spans="2:13" x14ac:dyDescent="0.25">
      <c r="B5" t="s">
        <v>122</v>
      </c>
    </row>
    <row r="8" spans="2:13" s="3" customFormat="1" ht="12.75" x14ac:dyDescent="0.25">
      <c r="C8" s="59"/>
      <c r="D8" s="59"/>
    </row>
    <row r="9" spans="2:13" x14ac:dyDescent="0.25">
      <c r="H9" s="1"/>
      <c r="I9" s="1"/>
      <c r="J9" s="1"/>
      <c r="K9" s="1"/>
    </row>
    <row r="10" spans="2:13" x14ac:dyDescent="0.25">
      <c r="G10" s="1"/>
      <c r="H10" s="1"/>
      <c r="I10" s="1"/>
      <c r="J10" s="1"/>
    </row>
    <row r="12" spans="2:13" x14ac:dyDescent="0.25">
      <c r="D12" s="143">
        <v>2015</v>
      </c>
      <c r="E12" s="72">
        <v>2016</v>
      </c>
      <c r="F12" s="143">
        <v>2017</v>
      </c>
      <c r="G12" s="72">
        <v>2018</v>
      </c>
      <c r="H12" s="72">
        <v>2019</v>
      </c>
      <c r="I12" s="72">
        <v>2020</v>
      </c>
      <c r="J12" s="110">
        <v>2021</v>
      </c>
      <c r="L12" t="s">
        <v>44</v>
      </c>
      <c r="M12" t="s">
        <v>371</v>
      </c>
    </row>
    <row r="13" spans="2:13" x14ac:dyDescent="0.25">
      <c r="B13" s="422" t="s">
        <v>235</v>
      </c>
      <c r="C13" s="85" t="s">
        <v>114</v>
      </c>
      <c r="D13" s="292">
        <v>0.01</v>
      </c>
      <c r="E13" s="294">
        <v>8.0000000000000002E-3</v>
      </c>
      <c r="F13" s="292">
        <v>1.2E-2</v>
      </c>
      <c r="G13" s="294">
        <v>1.2E-2</v>
      </c>
      <c r="H13" s="294">
        <v>1.2E-2</v>
      </c>
      <c r="I13" s="294">
        <v>1.2E-2</v>
      </c>
      <c r="J13" s="290">
        <v>1.2E-2</v>
      </c>
      <c r="M13" t="s">
        <v>330</v>
      </c>
    </row>
    <row r="14" spans="2:13" x14ac:dyDescent="0.25">
      <c r="B14" s="423"/>
      <c r="C14" s="133" t="s">
        <v>115</v>
      </c>
      <c r="D14" s="296">
        <v>1.0999999999999999E-2</v>
      </c>
      <c r="E14" s="291">
        <v>1.0999999999999999E-2</v>
      </c>
      <c r="F14" s="296">
        <v>1E-3</v>
      </c>
      <c r="G14" s="291">
        <v>1E-3</v>
      </c>
      <c r="H14" s="291">
        <v>1E-3</v>
      </c>
      <c r="I14" s="291">
        <v>1E-3</v>
      </c>
      <c r="J14" s="297">
        <v>1E-3</v>
      </c>
      <c r="M14" t="s">
        <v>331</v>
      </c>
    </row>
    <row r="15" spans="2:13" x14ac:dyDescent="0.25">
      <c r="B15" s="423"/>
      <c r="C15" s="85" t="s">
        <v>67</v>
      </c>
      <c r="D15" s="276">
        <v>7202416852.7416086</v>
      </c>
      <c r="E15" s="138">
        <f>D15*(1+E$13)*(1-E$14)</f>
        <v>7180175789.5003424</v>
      </c>
      <c r="F15" s="146">
        <f t="shared" ref="F15:J15" si="0">E15*(1+F$13)*(1-F$14)</f>
        <v>7259071561.0753717</v>
      </c>
      <c r="G15" s="138">
        <f t="shared" si="0"/>
        <v>7338834239.3884678</v>
      </c>
      <c r="H15" s="138">
        <f t="shared" si="0"/>
        <v>7419473350.0108681</v>
      </c>
      <c r="I15" s="138">
        <f t="shared" si="0"/>
        <v>7500998523.1807871</v>
      </c>
      <c r="J15" s="139">
        <f t="shared" si="0"/>
        <v>7583419494.9534979</v>
      </c>
      <c r="L15" s="39">
        <v>1</v>
      </c>
      <c r="M15" t="s">
        <v>238</v>
      </c>
    </row>
    <row r="16" spans="2:13" x14ac:dyDescent="0.25">
      <c r="B16" s="423"/>
      <c r="C16" s="133" t="s">
        <v>0</v>
      </c>
      <c r="D16" s="127"/>
      <c r="E16" s="295">
        <v>4.4999999999999998E-2</v>
      </c>
      <c r="F16" s="298">
        <f>$E16-($E16-$J16)*(F$12-2016)/5</f>
        <v>4.1999999999999996E-2</v>
      </c>
      <c r="G16" s="264">
        <f>$E16-($E16-$J16)*(G$12-2016)/5</f>
        <v>3.9E-2</v>
      </c>
      <c r="H16" s="264">
        <f>$E16-($E16-$J16)*(H$12-2016)/5</f>
        <v>3.5999999999999997E-2</v>
      </c>
      <c r="I16" s="264">
        <f>$E16-($E16-$J16)*(I$12-2016)/5</f>
        <v>3.3000000000000002E-2</v>
      </c>
      <c r="J16" s="293">
        <v>0.03</v>
      </c>
      <c r="L16" s="39"/>
      <c r="M16" t="s">
        <v>337</v>
      </c>
    </row>
    <row r="17" spans="2:13" x14ac:dyDescent="0.25">
      <c r="B17" s="423"/>
      <c r="C17" s="133" t="s">
        <v>237</v>
      </c>
      <c r="D17" s="131"/>
      <c r="E17" s="130">
        <f>E16*E15</f>
        <v>323107910.52751541</v>
      </c>
      <c r="F17" s="121">
        <f t="shared" ref="F17:J17" si="1">F16*F15</f>
        <v>304881005.56516558</v>
      </c>
      <c r="G17" s="121">
        <f t="shared" si="1"/>
        <v>286214535.33615023</v>
      </c>
      <c r="H17" s="121">
        <f t="shared" si="1"/>
        <v>267101040.60039124</v>
      </c>
      <c r="I17" s="121">
        <f t="shared" si="1"/>
        <v>247532951.26496598</v>
      </c>
      <c r="J17" s="130">
        <f t="shared" si="1"/>
        <v>227502584.84860492</v>
      </c>
      <c r="L17" s="39"/>
    </row>
    <row r="18" spans="2:13" x14ac:dyDescent="0.25">
      <c r="B18" s="423"/>
      <c r="C18" s="133" t="s">
        <v>71</v>
      </c>
      <c r="D18" s="126">
        <v>372792594.94337881</v>
      </c>
      <c r="E18" s="139">
        <f>D18*(1+E$13)*(1-E$14)</f>
        <v>371641411.41019368</v>
      </c>
      <c r="F18" s="138">
        <f t="shared" ref="F18:J18" si="2">E18*(1+F$13)*(1-F$14)</f>
        <v>375725007.23876888</v>
      </c>
      <c r="G18" s="138">
        <f t="shared" si="2"/>
        <v>379853473.61830848</v>
      </c>
      <c r="H18" s="138">
        <f t="shared" si="2"/>
        <v>384027303.58642644</v>
      </c>
      <c r="I18" s="138">
        <f t="shared" si="2"/>
        <v>388246995.59823412</v>
      </c>
      <c r="J18" s="139">
        <f t="shared" si="2"/>
        <v>392513053.58586752</v>
      </c>
      <c r="L18" s="39"/>
      <c r="M18" t="s">
        <v>332</v>
      </c>
    </row>
    <row r="19" spans="2:13" x14ac:dyDescent="0.25">
      <c r="B19" s="423"/>
      <c r="C19" s="133" t="s">
        <v>230</v>
      </c>
      <c r="D19" s="131">
        <v>1316192</v>
      </c>
      <c r="E19" s="140">
        <f>D19*(1+E$13)*(1-E$14)</f>
        <v>1312127.599104</v>
      </c>
      <c r="F19" s="136">
        <f t="shared" ref="F19:J19" si="3">E19*(1+F13)*(1-F14)</f>
        <v>1326545.2571629547</v>
      </c>
      <c r="G19" s="136">
        <f t="shared" si="3"/>
        <v>1341121.3364486613</v>
      </c>
      <c r="H19" s="136">
        <f t="shared" si="3"/>
        <v>1355857.5776935592</v>
      </c>
      <c r="I19" s="136">
        <f t="shared" si="3"/>
        <v>1370755.740757256</v>
      </c>
      <c r="J19" s="140">
        <f t="shared" si="3"/>
        <v>1385817.6048366968</v>
      </c>
      <c r="L19" s="39"/>
      <c r="M19" t="s">
        <v>333</v>
      </c>
    </row>
    <row r="20" spans="2:13" x14ac:dyDescent="0.25">
      <c r="B20" s="423"/>
      <c r="C20" s="133" t="s">
        <v>236</v>
      </c>
      <c r="D20" s="131"/>
      <c r="E20" s="134">
        <v>2969761.3667642446</v>
      </c>
      <c r="F20" s="275">
        <f>$E20-($E20-$J20)*(F$12-2016)/5</f>
        <v>2975079.8853656785</v>
      </c>
      <c r="G20" s="275">
        <f t="shared" ref="G20:I20" si="4">$E20-($E20-$J20)*(G$12-2016)/5</f>
        <v>2980398.4039671118</v>
      </c>
      <c r="H20" s="275">
        <f t="shared" si="4"/>
        <v>2985716.9225685457</v>
      </c>
      <c r="I20" s="275">
        <f t="shared" si="4"/>
        <v>2991035.4411699791</v>
      </c>
      <c r="J20" s="134">
        <v>2996353.9597714129</v>
      </c>
      <c r="L20" s="39"/>
      <c r="M20" t="s">
        <v>246</v>
      </c>
    </row>
    <row r="21" spans="2:13" x14ac:dyDescent="0.25">
      <c r="B21" s="423"/>
      <c r="C21" s="85" t="s">
        <v>118</v>
      </c>
      <c r="D21" s="126"/>
      <c r="E21" s="132"/>
      <c r="F21" s="305">
        <f>F17+F18-F19+F20*(F12-$D12)</f>
        <v>685229627.31750286</v>
      </c>
      <c r="G21" s="277">
        <f t="shared" ref="G21:I21" si="5">G17+G18-G19+G20*(G12-$D12)</f>
        <v>673668082.82991135</v>
      </c>
      <c r="H21" s="277">
        <f t="shared" si="5"/>
        <v>661715354.2993983</v>
      </c>
      <c r="I21" s="277">
        <f t="shared" si="5"/>
        <v>649364368.32829273</v>
      </c>
      <c r="J21" s="279">
        <f>J17+J18-J19+J20*(J12-$D12)</f>
        <v>636607944.58826423</v>
      </c>
      <c r="L21" s="39"/>
      <c r="M21" t="s">
        <v>334</v>
      </c>
    </row>
    <row r="22" spans="2:13" x14ac:dyDescent="0.25">
      <c r="B22" s="423"/>
      <c r="C22" s="133" t="s">
        <v>263</v>
      </c>
      <c r="D22" s="131"/>
      <c r="E22" s="299">
        <v>1</v>
      </c>
      <c r="F22" s="286">
        <f>$E22-($E22-$J22)*(F$12-2016)/5</f>
        <v>0.97730021361414221</v>
      </c>
      <c r="G22" s="286">
        <f>$E22-($E22-$J22)*(G$12-2016)/5</f>
        <v>0.95460042722828453</v>
      </c>
      <c r="H22" s="286">
        <f>$E22-($E22-$J22)*(H$12-2016)/5</f>
        <v>0.93190064084242674</v>
      </c>
      <c r="I22" s="286">
        <f>$E22-($E22-$J22)*(I$12-2016)/5</f>
        <v>0.90920085445656906</v>
      </c>
      <c r="J22" s="304">
        <f>G57</f>
        <v>0.88650106807071127</v>
      </c>
      <c r="L22" s="39">
        <v>2</v>
      </c>
      <c r="M22" t="s">
        <v>264</v>
      </c>
    </row>
    <row r="23" spans="2:13" x14ac:dyDescent="0.25">
      <c r="B23" s="424"/>
      <c r="C23" s="281" t="s">
        <v>243</v>
      </c>
      <c r="D23" s="283"/>
      <c r="E23" s="282"/>
      <c r="F23" s="284">
        <f>F22*F21</f>
        <v>669675061.15213466</v>
      </c>
      <c r="G23" s="284">
        <f t="shared" ref="G23:J23" si="6">G22*G21</f>
        <v>643083839.67949271</v>
      </c>
      <c r="H23" s="284">
        <f t="shared" si="6"/>
        <v>616652962.7268827</v>
      </c>
      <c r="I23" s="284">
        <f t="shared" si="6"/>
        <v>590402638.53773403</v>
      </c>
      <c r="J23" s="285">
        <f t="shared" si="6"/>
        <v>564353622.81979644</v>
      </c>
      <c r="L23" s="39"/>
    </row>
    <row r="26" spans="2:13" ht="15" customHeight="1" x14ac:dyDescent="0.25">
      <c r="B26" s="422" t="s">
        <v>245</v>
      </c>
      <c r="C26" s="137" t="s">
        <v>262</v>
      </c>
      <c r="D26" s="126"/>
      <c r="E26" s="132"/>
      <c r="F26" s="328">
        <f>'RFR 17-21'!D57</f>
        <v>6945997346.920639</v>
      </c>
      <c r="G26" s="329">
        <f>'RFR 17-21'!E57</f>
        <v>6955271047.1017151</v>
      </c>
      <c r="H26" s="329">
        <f>'RFR 17-21'!F57</f>
        <v>6739943642.1194744</v>
      </c>
      <c r="I26" s="329">
        <f>'RFR 17-21'!G57</f>
        <v>6753734020.4989853</v>
      </c>
      <c r="J26" s="330">
        <f>'RFR 17-21'!H57</f>
        <v>6684691944.8908215</v>
      </c>
      <c r="L26" s="39"/>
      <c r="M26" t="s">
        <v>335</v>
      </c>
    </row>
    <row r="27" spans="2:13" x14ac:dyDescent="0.25">
      <c r="B27" s="423"/>
      <c r="C27" s="133" t="s">
        <v>250</v>
      </c>
      <c r="D27" s="306"/>
      <c r="E27" s="120"/>
      <c r="F27" s="126">
        <v>123418.84429048531</v>
      </c>
      <c r="G27" s="122">
        <v>149780.21940464352</v>
      </c>
      <c r="H27" s="122">
        <v>151577.58203749923</v>
      </c>
      <c r="I27" s="122">
        <v>155518.59917047422</v>
      </c>
      <c r="J27" s="132">
        <v>158006.89675720187</v>
      </c>
      <c r="L27" s="39"/>
      <c r="M27" t="s">
        <v>405</v>
      </c>
    </row>
    <row r="28" spans="2:13" x14ac:dyDescent="0.25">
      <c r="B28" s="423"/>
      <c r="C28" s="133" t="s">
        <v>251</v>
      </c>
      <c r="D28" s="289"/>
      <c r="E28" s="125"/>
      <c r="F28" s="127">
        <v>5522882.5199821424</v>
      </c>
      <c r="G28" s="125">
        <v>5343026.7549572485</v>
      </c>
      <c r="H28" s="125">
        <v>4713732.8938380573</v>
      </c>
      <c r="I28" s="125">
        <v>4680771.3499073721</v>
      </c>
      <c r="J28" s="135">
        <v>4597656.79474869</v>
      </c>
      <c r="L28" s="39"/>
      <c r="M28" t="s">
        <v>405</v>
      </c>
    </row>
    <row r="29" spans="2:13" x14ac:dyDescent="0.25">
      <c r="B29" s="423"/>
      <c r="C29" s="137" t="s">
        <v>252</v>
      </c>
      <c r="D29" s="289"/>
      <c r="E29" s="125"/>
      <c r="F29" s="246">
        <f>F26-F28</f>
        <v>6940474464.4006567</v>
      </c>
      <c r="G29" s="247">
        <f>G26-G28</f>
        <v>6949928020.3467579</v>
      </c>
      <c r="H29" s="247">
        <f>H26-H28</f>
        <v>6735229909.2256365</v>
      </c>
      <c r="I29" s="247">
        <f>I26-I28</f>
        <v>6749053249.1490784</v>
      </c>
      <c r="J29" s="248">
        <f>J26-J28</f>
        <v>6680094288.0960732</v>
      </c>
      <c r="L29" s="39"/>
      <c r="M29" t="s">
        <v>336</v>
      </c>
    </row>
    <row r="30" spans="2:13" x14ac:dyDescent="0.25">
      <c r="B30" s="423"/>
      <c r="C30" s="133" t="s">
        <v>0</v>
      </c>
      <c r="D30" s="131"/>
      <c r="E30" s="290">
        <v>4.4999999999999998E-2</v>
      </c>
      <c r="F30" s="288">
        <f>$E30-($E30-$J30)*(F$12-2016)/5</f>
        <v>4.1999999999999996E-2</v>
      </c>
      <c r="G30" s="288">
        <f>$E30-($E30-$J30)*(G$12-2016)/5</f>
        <v>3.9E-2</v>
      </c>
      <c r="H30" s="288">
        <f>$E30-($E30-$J30)*(H$12-2016)/5</f>
        <v>3.5999999999999997E-2</v>
      </c>
      <c r="I30" s="288">
        <f>$E30-($E30-$J30)*(I$12-2016)/5</f>
        <v>3.3000000000000002E-2</v>
      </c>
      <c r="J30" s="297">
        <v>0.03</v>
      </c>
      <c r="L30" s="39"/>
      <c r="M30" t="s">
        <v>337</v>
      </c>
    </row>
    <row r="31" spans="2:13" x14ac:dyDescent="0.25">
      <c r="B31" s="423"/>
      <c r="C31" s="84" t="s">
        <v>253</v>
      </c>
      <c r="D31" s="280"/>
      <c r="E31" s="278"/>
      <c r="F31" s="123">
        <f>F30*F29</f>
        <v>291499927.50482756</v>
      </c>
      <c r="G31" s="123">
        <f t="shared" ref="G31:J31" si="7">G30*G29</f>
        <v>271047192.79352355</v>
      </c>
      <c r="H31" s="123">
        <f t="shared" si="7"/>
        <v>242468276.7321229</v>
      </c>
      <c r="I31" s="123">
        <f t="shared" si="7"/>
        <v>222718757.2219196</v>
      </c>
      <c r="J31" s="124">
        <f t="shared" si="7"/>
        <v>200402828.6428822</v>
      </c>
      <c r="L31" s="39"/>
    </row>
    <row r="32" spans="2:13" x14ac:dyDescent="0.25">
      <c r="B32" s="423"/>
      <c r="C32" s="133" t="s">
        <v>71</v>
      </c>
      <c r="D32" s="131"/>
      <c r="E32" s="120"/>
      <c r="F32" s="126">
        <v>378402833.52056551</v>
      </c>
      <c r="G32" s="122">
        <v>386242582.15562558</v>
      </c>
      <c r="H32" s="122">
        <v>384106163.68571568</v>
      </c>
      <c r="I32" s="122">
        <v>384331766.55035514</v>
      </c>
      <c r="J32" s="132">
        <v>386273386.98663461</v>
      </c>
      <c r="L32" s="39"/>
      <c r="M32" t="s">
        <v>357</v>
      </c>
    </row>
    <row r="33" spans="2:13" x14ac:dyDescent="0.25">
      <c r="B33" s="423"/>
      <c r="C33" s="133" t="s">
        <v>230</v>
      </c>
      <c r="D33" s="131"/>
      <c r="E33" s="120"/>
      <c r="F33" s="131"/>
      <c r="G33" s="120"/>
      <c r="H33" s="120"/>
      <c r="I33" s="120"/>
      <c r="J33" s="134"/>
      <c r="L33" s="39"/>
      <c r="M33" t="s">
        <v>247</v>
      </c>
    </row>
    <row r="34" spans="2:13" x14ac:dyDescent="0.25">
      <c r="B34" s="423"/>
      <c r="C34" s="133" t="s">
        <v>236</v>
      </c>
      <c r="D34" s="131"/>
      <c r="E34" s="120"/>
      <c r="F34" s="127"/>
      <c r="G34" s="125"/>
      <c r="H34" s="125"/>
      <c r="I34" s="125"/>
      <c r="J34" s="135"/>
      <c r="L34" s="39"/>
      <c r="M34" t="s">
        <v>247</v>
      </c>
    </row>
    <row r="35" spans="2:13" x14ac:dyDescent="0.25">
      <c r="B35" s="423"/>
      <c r="C35" s="85" t="s">
        <v>118</v>
      </c>
      <c r="D35" s="126"/>
      <c r="E35" s="132"/>
      <c r="F35" s="303">
        <f>F31+F32-F33+F34-F27</f>
        <v>669779342.18110251</v>
      </c>
      <c r="G35" s="303">
        <f t="shared" ref="G35:J35" si="8">G31+G32-G33+G34-G27</f>
        <v>657139994.72974443</v>
      </c>
      <c r="H35" s="303">
        <f t="shared" si="8"/>
        <v>626422862.83580112</v>
      </c>
      <c r="I35" s="303">
        <f t="shared" si="8"/>
        <v>606895005.17310429</v>
      </c>
      <c r="J35" s="303">
        <f t="shared" si="8"/>
        <v>586518208.73275959</v>
      </c>
      <c r="L35" s="39"/>
    </row>
    <row r="36" spans="2:13" x14ac:dyDescent="0.25">
      <c r="B36" s="423"/>
      <c r="C36" s="133" t="s">
        <v>263</v>
      </c>
      <c r="D36" s="131"/>
      <c r="E36" s="299">
        <v>1</v>
      </c>
      <c r="F36" s="286">
        <f>$E36-($E36-$J36)*(F$12-2016)/5</f>
        <v>0.97730021361414221</v>
      </c>
      <c r="G36" s="286">
        <f>$E36-($E36-$J36)*(G$12-2016)/5</f>
        <v>0.95460042722828453</v>
      </c>
      <c r="H36" s="286">
        <f>$E36-($E36-$J36)*(H$12-2016)/5</f>
        <v>0.93190064084242674</v>
      </c>
      <c r="I36" s="286">
        <f>$E36-($E36-$J36)*(I$12-2016)/5</f>
        <v>0.90920085445656906</v>
      </c>
      <c r="J36" s="304">
        <f>G57</f>
        <v>0.88650106807071127</v>
      </c>
      <c r="L36" s="39">
        <v>2</v>
      </c>
      <c r="M36" t="s">
        <v>264</v>
      </c>
    </row>
    <row r="37" spans="2:13" x14ac:dyDescent="0.25">
      <c r="B37" s="424"/>
      <c r="C37" s="281" t="s">
        <v>243</v>
      </c>
      <c r="D37" s="283"/>
      <c r="E37" s="282"/>
      <c r="F37" s="284">
        <f>F36*F35</f>
        <v>654575494.18793118</v>
      </c>
      <c r="G37" s="284">
        <f t="shared" ref="G37:J37" si="9">G36*G35</f>
        <v>627306119.7178067</v>
      </c>
      <c r="H37" s="284">
        <f t="shared" si="9"/>
        <v>583763867.31503069</v>
      </c>
      <c r="I37" s="284">
        <f t="shared" si="9"/>
        <v>551789457.26881027</v>
      </c>
      <c r="J37" s="285">
        <f t="shared" si="9"/>
        <v>519949018.48451173</v>
      </c>
      <c r="L37" s="39"/>
      <c r="M37" t="s">
        <v>373</v>
      </c>
    </row>
    <row r="39" spans="2:13" ht="15" customHeight="1" x14ac:dyDescent="0.25">
      <c r="B39" s="287" t="s">
        <v>72</v>
      </c>
      <c r="C39" s="128"/>
      <c r="D39" s="44"/>
      <c r="E39" s="44"/>
      <c r="F39" s="145">
        <f>F23-F37</f>
        <v>15099566.964203477</v>
      </c>
      <c r="G39" s="141">
        <f>G23-G37</f>
        <v>15777719.961686015</v>
      </c>
      <c r="H39" s="141">
        <f>H23-H37</f>
        <v>32889095.411852002</v>
      </c>
      <c r="I39" s="141">
        <f>I23-I37</f>
        <v>38613181.268923759</v>
      </c>
      <c r="J39" s="142">
        <f>J23-J37</f>
        <v>44404604.33528471</v>
      </c>
      <c r="M39" t="s">
        <v>372</v>
      </c>
    </row>
    <row r="40" spans="2:13" x14ac:dyDescent="0.25">
      <c r="B40" s="40" t="s">
        <v>219</v>
      </c>
      <c r="C40" s="42"/>
      <c r="D40" s="41"/>
      <c r="E40" s="302">
        <v>0.04</v>
      </c>
      <c r="F40" s="300">
        <f>(1+$E40)^(2022-F12)</f>
        <v>1.2166529024000003</v>
      </c>
      <c r="G40" s="300">
        <f>(1+$E40)^(2022-G12)</f>
        <v>1.1698585600000002</v>
      </c>
      <c r="H40" s="300">
        <f>(1+$E40)^(2022-H12)</f>
        <v>1.1248640000000001</v>
      </c>
      <c r="I40" s="300">
        <f>(1+$E40)^(2022-I12)</f>
        <v>1.0816000000000001</v>
      </c>
      <c r="J40" s="301">
        <f>(1+$E40)^(2022-J12)</f>
        <v>1.04</v>
      </c>
      <c r="M40" t="s">
        <v>220</v>
      </c>
    </row>
    <row r="41" spans="2:13" x14ac:dyDescent="0.25">
      <c r="B41" s="36" t="s">
        <v>232</v>
      </c>
      <c r="C41" s="226"/>
      <c r="D41" s="52"/>
      <c r="E41" s="52"/>
      <c r="F41" s="145">
        <f>F40*F39</f>
        <v>18370931.971981321</v>
      </c>
      <c r="G41" s="141">
        <f t="shared" ref="G41:J41" si="10">G40*G39</f>
        <v>18457700.754461259</v>
      </c>
      <c r="H41" s="141">
        <f t="shared" si="10"/>
        <v>36995759.42135749</v>
      </c>
      <c r="I41" s="141">
        <f t="shared" si="10"/>
        <v>41764016.860467941</v>
      </c>
      <c r="J41" s="142">
        <f t="shared" si="10"/>
        <v>46180788.508696102</v>
      </c>
      <c r="M41" t="s">
        <v>221</v>
      </c>
    </row>
    <row r="43" spans="2:13" x14ac:dyDescent="0.25">
      <c r="B43" s="82" t="s">
        <v>120</v>
      </c>
      <c r="C43" s="147"/>
      <c r="D43" s="147"/>
      <c r="E43" s="147"/>
      <c r="F43" s="218">
        <f>SUM(F41:J41)</f>
        <v>161769197.51696411</v>
      </c>
    </row>
    <row r="46" spans="2:13" x14ac:dyDescent="0.25">
      <c r="C46">
        <v>1</v>
      </c>
      <c r="D46" t="s">
        <v>117</v>
      </c>
    </row>
    <row r="47" spans="2:13" x14ac:dyDescent="0.25">
      <c r="D47" t="s">
        <v>244</v>
      </c>
    </row>
    <row r="48" spans="2:13" x14ac:dyDescent="0.25">
      <c r="D48" t="s">
        <v>249</v>
      </c>
    </row>
    <row r="51" spans="3:7" x14ac:dyDescent="0.25">
      <c r="C51">
        <v>2</v>
      </c>
      <c r="D51" t="s">
        <v>124</v>
      </c>
    </row>
    <row r="52" spans="3:7" x14ac:dyDescent="0.25">
      <c r="D52" t="s">
        <v>119</v>
      </c>
    </row>
    <row r="53" spans="3:7" x14ac:dyDescent="0.25">
      <c r="D53" t="s">
        <v>218</v>
      </c>
    </row>
    <row r="54" spans="3:7" x14ac:dyDescent="0.25">
      <c r="D54" s="40" t="s">
        <v>248</v>
      </c>
      <c r="E54" s="84" t="s">
        <v>74</v>
      </c>
      <c r="F54" s="273" t="s">
        <v>241</v>
      </c>
      <c r="G54" s="273" t="s">
        <v>242</v>
      </c>
    </row>
    <row r="55" spans="3:7" x14ac:dyDescent="0.25">
      <c r="D55" s="38" t="s">
        <v>240</v>
      </c>
      <c r="E55" s="292">
        <v>0.83900000000000008</v>
      </c>
      <c r="F55" s="394">
        <f>'RFR 17-21'!J78</f>
        <v>0.82410005879817771</v>
      </c>
      <c r="G55" s="395">
        <f>(1-F55)+F55*E55</f>
        <v>0.86731989053349345</v>
      </c>
    </row>
    <row r="56" spans="3:7" x14ac:dyDescent="0.25">
      <c r="D56" s="36" t="s">
        <v>239</v>
      </c>
      <c r="E56" s="355">
        <v>0.86599999999999999</v>
      </c>
      <c r="F56" s="274">
        <f>'RFR 17-21'!J82</f>
        <v>0.70386383874679703</v>
      </c>
      <c r="G56" s="396">
        <f>(1-F56)+F56*E56</f>
        <v>0.9056822456079292</v>
      </c>
    </row>
    <row r="57" spans="3:7" x14ac:dyDescent="0.25">
      <c r="G57" s="365">
        <f>AVERAGE(G55:G56)</f>
        <v>0.88650106807071127</v>
      </c>
    </row>
    <row r="58" spans="3:7" x14ac:dyDescent="0.25">
      <c r="D58" t="s">
        <v>374</v>
      </c>
    </row>
    <row r="59" spans="3:7" x14ac:dyDescent="0.25">
      <c r="D59" t="s">
        <v>338</v>
      </c>
    </row>
  </sheetData>
  <mergeCells count="2">
    <mergeCell ref="B13:B23"/>
    <mergeCell ref="B26:B37"/>
  </mergeCells>
  <pageMargins left="0.7" right="0.7" top="0.75" bottom="0.75" header="0.3" footer="0.3"/>
  <pageSetup orientation="portrait" r:id="rId1"/>
  <ignoredErrors>
    <ignoredError sqref="F21:I21"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K44"/>
  <sheetViews>
    <sheetView topLeftCell="A7" workbookViewId="0">
      <selection activeCell="B35" sqref="B35"/>
    </sheetView>
  </sheetViews>
  <sheetFormatPr defaultRowHeight="15" x14ac:dyDescent="0.25"/>
  <cols>
    <col min="2" max="2" width="14.28515625" customWidth="1"/>
    <col min="3" max="3" width="34" customWidth="1"/>
    <col min="4" max="8" width="16.5703125" customWidth="1"/>
    <col min="9" max="9" width="22.5703125" bestFit="1" customWidth="1"/>
    <col min="10" max="10" width="13.7109375" bestFit="1" customWidth="1"/>
    <col min="11" max="11" width="12" customWidth="1"/>
    <col min="12" max="12" width="14.7109375" bestFit="1" customWidth="1"/>
    <col min="13" max="13" width="12.5703125" bestFit="1" customWidth="1"/>
    <col min="14" max="14" width="15.42578125" customWidth="1"/>
    <col min="15" max="15" width="13.7109375" bestFit="1" customWidth="1"/>
  </cols>
  <sheetData>
    <row r="2" spans="2:11" s="34" customFormat="1" ht="18" x14ac:dyDescent="0.25">
      <c r="B2" s="34" t="s">
        <v>125</v>
      </c>
    </row>
    <row r="4" spans="2:11" x14ac:dyDescent="0.25">
      <c r="B4" t="s">
        <v>38</v>
      </c>
    </row>
    <row r="5" spans="2:11" x14ac:dyDescent="0.25">
      <c r="B5" t="s">
        <v>126</v>
      </c>
    </row>
    <row r="6" spans="2:11" x14ac:dyDescent="0.25">
      <c r="B6" t="s">
        <v>127</v>
      </c>
    </row>
    <row r="8" spans="2:11" s="3" customFormat="1" ht="12.75" x14ac:dyDescent="0.25">
      <c r="C8" s="59"/>
    </row>
    <row r="9" spans="2:11" x14ac:dyDescent="0.25">
      <c r="F9" s="1"/>
      <c r="G9" s="1"/>
      <c r="H9" s="1"/>
      <c r="I9" s="1"/>
    </row>
    <row r="10" spans="2:11" x14ac:dyDescent="0.25">
      <c r="E10" s="1"/>
      <c r="F10" s="1"/>
      <c r="G10" s="1"/>
      <c r="H10" s="1"/>
    </row>
    <row r="12" spans="2:11" x14ac:dyDescent="0.25">
      <c r="D12" s="143">
        <v>2022</v>
      </c>
      <c r="E12" s="72">
        <v>2023</v>
      </c>
      <c r="F12" s="72">
        <v>2024</v>
      </c>
      <c r="G12" s="72">
        <v>2025</v>
      </c>
      <c r="H12" s="110">
        <v>2026</v>
      </c>
      <c r="J12" t="s">
        <v>44</v>
      </c>
      <c r="K12" t="s">
        <v>116</v>
      </c>
    </row>
    <row r="13" spans="2:11" x14ac:dyDescent="0.25">
      <c r="B13" s="428" t="s">
        <v>128</v>
      </c>
      <c r="C13" s="85" t="s">
        <v>265</v>
      </c>
      <c r="D13" s="126">
        <v>154635794.33266467</v>
      </c>
      <c r="E13" s="122">
        <v>156635544.42497468</v>
      </c>
      <c r="F13" s="122">
        <v>158661155.28547841</v>
      </c>
      <c r="G13" s="122">
        <v>160712961.34563023</v>
      </c>
      <c r="H13" s="132">
        <v>162791301.36175188</v>
      </c>
      <c r="K13" t="s">
        <v>343</v>
      </c>
    </row>
    <row r="14" spans="2:11" x14ac:dyDescent="0.25">
      <c r="B14" s="430"/>
      <c r="C14" s="37" t="s">
        <v>266</v>
      </c>
      <c r="D14" s="127">
        <v>57240779.422925994</v>
      </c>
      <c r="E14" s="125">
        <v>57981017.182423279</v>
      </c>
      <c r="F14" s="125">
        <v>58730827.69662638</v>
      </c>
      <c r="G14" s="125">
        <v>59490334.76039914</v>
      </c>
      <c r="H14" s="135">
        <v>60259663.769520618</v>
      </c>
      <c r="K14" t="s">
        <v>344</v>
      </c>
    </row>
    <row r="15" spans="2:11" x14ac:dyDescent="0.25">
      <c r="B15" s="422" t="s">
        <v>76</v>
      </c>
      <c r="C15" s="55" t="s">
        <v>121</v>
      </c>
      <c r="D15" s="131">
        <v>169000000</v>
      </c>
      <c r="E15" s="120">
        <v>179000000</v>
      </c>
      <c r="F15" s="120">
        <v>106000000</v>
      </c>
      <c r="G15" s="120">
        <v>99000000</v>
      </c>
      <c r="H15" s="134">
        <v>101000000</v>
      </c>
      <c r="K15" t="s">
        <v>342</v>
      </c>
    </row>
    <row r="16" spans="2:11" x14ac:dyDescent="0.25">
      <c r="B16" s="423"/>
      <c r="C16" s="85" t="s">
        <v>340</v>
      </c>
      <c r="D16" s="292">
        <v>1.7000000000000001E-2</v>
      </c>
      <c r="E16" s="294">
        <v>1.7000000000000001E-2</v>
      </c>
      <c r="F16" s="294">
        <v>1.7000000000000001E-2</v>
      </c>
      <c r="G16" s="294">
        <v>1.7000000000000001E-2</v>
      </c>
      <c r="H16" s="290">
        <v>1.7000000000000001E-2</v>
      </c>
      <c r="K16" t="s">
        <v>339</v>
      </c>
    </row>
    <row r="17" spans="2:11" x14ac:dyDescent="0.25">
      <c r="B17" s="423"/>
      <c r="C17" s="133" t="s">
        <v>341</v>
      </c>
      <c r="D17" s="398">
        <f>(1+0.016)*(1+D16)</f>
        <v>1.033272</v>
      </c>
      <c r="E17" s="300">
        <f>D17*(1+E16)</f>
        <v>1.0508376239999999</v>
      </c>
      <c r="F17" s="300">
        <f t="shared" ref="F17:H17" si="0">E17*(1+F16)</f>
        <v>1.0687018636079999</v>
      </c>
      <c r="G17" s="300">
        <f t="shared" si="0"/>
        <v>1.0868697952893358</v>
      </c>
      <c r="H17" s="301">
        <f t="shared" si="0"/>
        <v>1.1053465818092545</v>
      </c>
      <c r="K17" t="s">
        <v>408</v>
      </c>
    </row>
    <row r="18" spans="2:11" x14ac:dyDescent="0.25">
      <c r="B18" s="423"/>
      <c r="C18" s="37" t="s">
        <v>233</v>
      </c>
      <c r="D18" s="307">
        <f>D17*D15</f>
        <v>174622968</v>
      </c>
      <c r="E18" s="136">
        <f t="shared" ref="E18:H18" si="1">E17*E15</f>
        <v>188099934.69599998</v>
      </c>
      <c r="F18" s="136">
        <f t="shared" si="1"/>
        <v>113282397.54244798</v>
      </c>
      <c r="G18" s="136">
        <f t="shared" si="1"/>
        <v>107600109.73364425</v>
      </c>
      <c r="H18" s="140">
        <f t="shared" si="1"/>
        <v>111640004.7627347</v>
      </c>
      <c r="K18" t="s">
        <v>406</v>
      </c>
    </row>
    <row r="19" spans="2:11" x14ac:dyDescent="0.25">
      <c r="B19" s="423"/>
      <c r="C19" s="85" t="s">
        <v>265</v>
      </c>
      <c r="D19" s="146">
        <f>D$18*D13/(D$13+D$14)</f>
        <v>127446658.62190425</v>
      </c>
      <c r="E19" s="138">
        <f t="shared" ref="E19:H19" si="2">E$18*E13/(E$13+E$14)</f>
        <v>137282675.00300184</v>
      </c>
      <c r="F19" s="138">
        <f t="shared" si="2"/>
        <v>82677915.813819036</v>
      </c>
      <c r="G19" s="138">
        <f t="shared" si="2"/>
        <v>78530760.357384354</v>
      </c>
      <c r="H19" s="139">
        <f t="shared" si="2"/>
        <v>81479233.450802505</v>
      </c>
      <c r="K19" t="s">
        <v>410</v>
      </c>
    </row>
    <row r="20" spans="2:11" x14ac:dyDescent="0.25">
      <c r="B20" s="424"/>
      <c r="C20" s="37" t="s">
        <v>266</v>
      </c>
      <c r="D20" s="246">
        <f>D$18*D14/(D$13+D$14)</f>
        <v>47176309.378095731</v>
      </c>
      <c r="E20" s="247">
        <f t="shared" ref="E20:H20" si="3">E$18*E14/(E$13+E$14)</f>
        <v>50817259.692998119</v>
      </c>
      <c r="F20" s="247">
        <f t="shared" si="3"/>
        <v>30604481.728628963</v>
      </c>
      <c r="G20" s="247">
        <f t="shared" si="3"/>
        <v>29069349.376259897</v>
      </c>
      <c r="H20" s="248">
        <f t="shared" si="3"/>
        <v>30160771.311932199</v>
      </c>
      <c r="K20" t="s">
        <v>410</v>
      </c>
    </row>
    <row r="22" spans="2:11" ht="15" customHeight="1" x14ac:dyDescent="0.25">
      <c r="B22" s="428" t="s">
        <v>425</v>
      </c>
      <c r="C22" s="85" t="s">
        <v>412</v>
      </c>
      <c r="D22" s="146">
        <f>D13-D19</f>
        <v>27189135.710760415</v>
      </c>
      <c r="E22" s="138">
        <f t="shared" ref="E22:H22" si="4">E13-E19</f>
        <v>19352869.421972841</v>
      </c>
      <c r="F22" s="138">
        <f t="shared" si="4"/>
        <v>75983239.471659377</v>
      </c>
      <c r="G22" s="138">
        <f t="shared" si="4"/>
        <v>82182200.988245875</v>
      </c>
      <c r="H22" s="139">
        <f t="shared" si="4"/>
        <v>81312067.910949379</v>
      </c>
      <c r="K22" t="s">
        <v>421</v>
      </c>
    </row>
    <row r="23" spans="2:11" ht="15" customHeight="1" x14ac:dyDescent="0.25">
      <c r="B23" s="429"/>
      <c r="C23" s="133" t="s">
        <v>413</v>
      </c>
      <c r="D23" s="307">
        <f>0.5*1.3*D22/30</f>
        <v>589097.94039980904</v>
      </c>
      <c r="E23" s="136">
        <f>0.5*1.3*E22/30+1.3*SUM($D22:D22)/30</f>
        <v>1597508.0516090295</v>
      </c>
      <c r="F23" s="136">
        <f>0.5*1.3*F22/30+1.3*SUM($D22:E22)/30</f>
        <v>3663123.7443043943</v>
      </c>
      <c r="G23" s="136">
        <f>0.5*1.3*G22/30+1.3*SUM($D22:F22)/30</f>
        <v>7090041.6209356757</v>
      </c>
      <c r="H23" s="140">
        <f>0.5*1.3*H22/30+1.3*SUM($D22:G22)/30</f>
        <v>10632417.447084904</v>
      </c>
      <c r="J23" s="39">
        <v>1</v>
      </c>
      <c r="K23" t="s">
        <v>234</v>
      </c>
    </row>
    <row r="24" spans="2:11" ht="15" customHeight="1" x14ac:dyDescent="0.25">
      <c r="B24" s="429"/>
      <c r="C24" s="37" t="s">
        <v>414</v>
      </c>
      <c r="D24" s="246">
        <f>D22-D23</f>
        <v>26600037.770360604</v>
      </c>
      <c r="E24" s="247">
        <f>D24+E22-E23</f>
        <v>44355399.140724413</v>
      </c>
      <c r="F24" s="247">
        <f t="shared" ref="F24:H24" si="5">E24+F22-F23</f>
        <v>116675514.86807939</v>
      </c>
      <c r="G24" s="247">
        <f t="shared" si="5"/>
        <v>191767674.23538959</v>
      </c>
      <c r="H24" s="248">
        <f t="shared" si="5"/>
        <v>262447324.69925404</v>
      </c>
      <c r="K24" t="s">
        <v>422</v>
      </c>
    </row>
    <row r="25" spans="2:11" ht="15" customHeight="1" x14ac:dyDescent="0.25">
      <c r="B25" s="429"/>
      <c r="C25" s="128" t="s">
        <v>411</v>
      </c>
      <c r="D25" s="146">
        <f>D14-D20</f>
        <v>10064470.044830263</v>
      </c>
      <c r="E25" s="138">
        <f t="shared" ref="E25:H25" si="6">E14-E20</f>
        <v>7163757.48942516</v>
      </c>
      <c r="F25" s="138">
        <f t="shared" si="6"/>
        <v>28126345.967997417</v>
      </c>
      <c r="G25" s="138">
        <f t="shared" si="6"/>
        <v>30420985.384139244</v>
      </c>
      <c r="H25" s="139">
        <f t="shared" si="6"/>
        <v>30098892.457588419</v>
      </c>
      <c r="K25" t="s">
        <v>423</v>
      </c>
    </row>
    <row r="26" spans="2:11" ht="15" customHeight="1" x14ac:dyDescent="0.25">
      <c r="B26" s="429"/>
      <c r="C26" s="129" t="s">
        <v>415</v>
      </c>
      <c r="D26" s="307">
        <f>0.5*1.3*D25/30</f>
        <v>218063.51763798902</v>
      </c>
      <c r="E26" s="136">
        <f>0.5*1.3*E25/30+1.3*SUM($D25:D25)/30</f>
        <v>591341.78088018985</v>
      </c>
      <c r="F26" s="136">
        <f>0.5*1.3*F25/30+1.3*SUM($D25:E25)/30</f>
        <v>1355960.6891243458</v>
      </c>
      <c r="G26" s="136">
        <f>0.5*1.3*G25/30+1.3*SUM($D25:F25)/30</f>
        <v>2624486.2017539735</v>
      </c>
      <c r="H26" s="140">
        <f>0.5*1.3*H25/30+1.3*SUM($D25:G25)/30</f>
        <v>3935750.2216580729</v>
      </c>
      <c r="J26" s="39">
        <v>1</v>
      </c>
      <c r="K26" t="s">
        <v>234</v>
      </c>
    </row>
    <row r="27" spans="2:11" ht="15" customHeight="1" x14ac:dyDescent="0.25">
      <c r="B27" s="429"/>
      <c r="C27" s="55" t="s">
        <v>416</v>
      </c>
      <c r="D27" s="246">
        <f>D25-D26</f>
        <v>9846406.5271922741</v>
      </c>
      <c r="E27" s="247">
        <f>D27+E25-E26</f>
        <v>16418822.235737242</v>
      </c>
      <c r="F27" s="247">
        <f t="shared" ref="F27" si="7">E27+F25-F26</f>
        <v>43189207.514610313</v>
      </c>
      <c r="G27" s="247">
        <f t="shared" ref="G27" si="8">F27+G25-G26</f>
        <v>70985706.696995586</v>
      </c>
      <c r="H27" s="248">
        <f t="shared" ref="H27" si="9">G27+H25-H26</f>
        <v>97148848.93292594</v>
      </c>
      <c r="K27" t="s">
        <v>424</v>
      </c>
    </row>
    <row r="28" spans="2:11" x14ac:dyDescent="0.25">
      <c r="B28" s="429"/>
      <c r="C28" s="55" t="s">
        <v>129</v>
      </c>
      <c r="D28" s="385">
        <v>3.1E-2</v>
      </c>
      <c r="E28" s="386">
        <v>0.03</v>
      </c>
      <c r="F28" s="386">
        <v>2.9000000000000001E-2</v>
      </c>
      <c r="G28" s="386">
        <v>2.9000000000000001E-2</v>
      </c>
      <c r="H28" s="387">
        <v>2.9000000000000001E-2</v>
      </c>
      <c r="K28" t="s">
        <v>345</v>
      </c>
    </row>
    <row r="29" spans="2:11" x14ac:dyDescent="0.25">
      <c r="B29" s="429"/>
      <c r="C29" s="85" t="s">
        <v>74</v>
      </c>
      <c r="D29" s="292">
        <v>0.86199999999999999</v>
      </c>
      <c r="E29" s="294">
        <v>0.86199999999999999</v>
      </c>
      <c r="F29" s="294">
        <v>0.86199999999999999</v>
      </c>
      <c r="G29" s="294">
        <v>0.86199999999999999</v>
      </c>
      <c r="H29" s="290">
        <v>0.86199999999999999</v>
      </c>
      <c r="K29" t="s">
        <v>404</v>
      </c>
    </row>
    <row r="30" spans="2:11" x14ac:dyDescent="0.25">
      <c r="B30" s="429"/>
      <c r="C30" s="128" t="s">
        <v>417</v>
      </c>
      <c r="D30" s="138">
        <f>D28*D24*D29</f>
        <v>710806.209299576</v>
      </c>
      <c r="E30" s="138">
        <f t="shared" ref="E30:H30" si="10">E28*E24*E29</f>
        <v>1147030.6217791331</v>
      </c>
      <c r="F30" s="138">
        <f t="shared" si="10"/>
        <v>2916654.5206722487</v>
      </c>
      <c r="G30" s="138">
        <f t="shared" si="10"/>
        <v>4793808.3205362689</v>
      </c>
      <c r="H30" s="139">
        <f t="shared" si="10"/>
        <v>6560658.2228319533</v>
      </c>
    </row>
    <row r="31" spans="2:11" x14ac:dyDescent="0.25">
      <c r="B31" s="429"/>
      <c r="C31" s="129" t="s">
        <v>413</v>
      </c>
      <c r="D31" s="136">
        <f>D23*D29</f>
        <v>507802.42462463537</v>
      </c>
      <c r="E31" s="136">
        <f t="shared" ref="E31:H31" si="11">E23*E29</f>
        <v>1377051.9404869834</v>
      </c>
      <c r="F31" s="136">
        <f t="shared" si="11"/>
        <v>3157612.6675903881</v>
      </c>
      <c r="G31" s="136">
        <f t="shared" si="11"/>
        <v>6111615.8772465521</v>
      </c>
      <c r="H31" s="140">
        <f t="shared" si="11"/>
        <v>9165143.8393871877</v>
      </c>
    </row>
    <row r="32" spans="2:11" x14ac:dyDescent="0.25">
      <c r="B32" s="429"/>
      <c r="C32" s="128" t="s">
        <v>418</v>
      </c>
      <c r="D32" s="138">
        <f>D27*D28</f>
        <v>305238.60234296048</v>
      </c>
      <c r="E32" s="138">
        <f t="shared" ref="E32:H32" si="12">E27*E28</f>
        <v>492564.66707211721</v>
      </c>
      <c r="F32" s="138">
        <f t="shared" si="12"/>
        <v>1252487.0179236992</v>
      </c>
      <c r="G32" s="138">
        <f t="shared" si="12"/>
        <v>2058585.4942128721</v>
      </c>
      <c r="H32" s="139">
        <f t="shared" si="12"/>
        <v>2817316.6190548525</v>
      </c>
    </row>
    <row r="33" spans="2:11" x14ac:dyDescent="0.25">
      <c r="B33" s="429"/>
      <c r="C33" s="55" t="s">
        <v>415</v>
      </c>
      <c r="D33" s="136">
        <f>D26</f>
        <v>218063.51763798902</v>
      </c>
      <c r="E33" s="136">
        <f t="shared" ref="E33:H33" si="13">E26</f>
        <v>591341.78088018985</v>
      </c>
      <c r="F33" s="136">
        <f t="shared" si="13"/>
        <v>1355960.6891243458</v>
      </c>
      <c r="G33" s="136">
        <f t="shared" si="13"/>
        <v>2624486.2017539735</v>
      </c>
      <c r="H33" s="140">
        <f t="shared" si="13"/>
        <v>3935750.2216580729</v>
      </c>
    </row>
    <row r="34" spans="2:11" x14ac:dyDescent="0.25">
      <c r="B34" s="424"/>
      <c r="C34" s="281" t="s">
        <v>419</v>
      </c>
      <c r="D34" s="152">
        <f>D30+D31+D32+D33</f>
        <v>1741910.7539051608</v>
      </c>
      <c r="E34" s="148">
        <f t="shared" ref="E34:H34" si="14">E30+E31+E32+E33</f>
        <v>3607989.0102184238</v>
      </c>
      <c r="F34" s="148">
        <f t="shared" si="14"/>
        <v>8682714.8953106813</v>
      </c>
      <c r="G34" s="148">
        <f t="shared" si="14"/>
        <v>15588495.893749667</v>
      </c>
      <c r="H34" s="149">
        <f t="shared" si="14"/>
        <v>22478868.902932066</v>
      </c>
      <c r="I34" s="155"/>
      <c r="K34" t="s">
        <v>420</v>
      </c>
    </row>
    <row r="35" spans="2:11" x14ac:dyDescent="0.25">
      <c r="B35" s="154"/>
      <c r="C35" s="155"/>
      <c r="D35" s="155"/>
      <c r="E35" s="155"/>
      <c r="F35" s="155"/>
      <c r="G35" s="155"/>
      <c r="H35" s="155"/>
      <c r="I35" s="155"/>
    </row>
    <row r="37" spans="2:11" x14ac:dyDescent="0.25">
      <c r="B37" s="40" t="s">
        <v>346</v>
      </c>
      <c r="C37" s="41"/>
      <c r="D37" s="152">
        <f>D34/(D17/$D17)</f>
        <v>1741910.7539051608</v>
      </c>
      <c r="E37" s="148">
        <f t="shared" ref="E37:H37" si="15">E34/(E17/$D17)</f>
        <v>3547678.4761243109</v>
      </c>
      <c r="F37" s="148">
        <f t="shared" si="15"/>
        <v>8394863.4233861919</v>
      </c>
      <c r="G37" s="148">
        <f t="shared" si="15"/>
        <v>14819766.267254319</v>
      </c>
      <c r="H37" s="149">
        <f t="shared" si="15"/>
        <v>21013124.943176039</v>
      </c>
      <c r="K37" t="s">
        <v>347</v>
      </c>
    </row>
    <row r="39" spans="2:11" x14ac:dyDescent="0.25">
      <c r="B39" s="82" t="s">
        <v>133</v>
      </c>
      <c r="C39" s="147"/>
      <c r="D39" s="218">
        <f>SUM(D37:H37)</f>
        <v>49517343.863846019</v>
      </c>
    </row>
    <row r="42" spans="2:11" x14ac:dyDescent="0.25">
      <c r="C42">
        <v>1</v>
      </c>
      <c r="D42" t="s">
        <v>130</v>
      </c>
    </row>
    <row r="43" spans="2:11" x14ac:dyDescent="0.25">
      <c r="D43" t="s">
        <v>132</v>
      </c>
    </row>
    <row r="44" spans="2:11" x14ac:dyDescent="0.25">
      <c r="D44" t="s">
        <v>131</v>
      </c>
    </row>
  </sheetData>
  <mergeCells count="3">
    <mergeCell ref="B22:B34"/>
    <mergeCell ref="B13:B14"/>
    <mergeCell ref="B15:B20"/>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election activeCell="O46" sqref="O46"/>
    </sheetView>
  </sheetViews>
  <sheetFormatPr defaultColWidth="9.140625" defaultRowHeight="12.75" x14ac:dyDescent="0.25"/>
  <cols>
    <col min="1" max="16384" width="9.140625" style="28"/>
  </cols>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L55"/>
  <sheetViews>
    <sheetView workbookViewId="0">
      <selection activeCell="S10" sqref="S1:S1048576"/>
    </sheetView>
  </sheetViews>
  <sheetFormatPr defaultRowHeight="15" x14ac:dyDescent="0.25"/>
  <cols>
    <col min="3" max="3" width="43.5703125" customWidth="1"/>
    <col min="4" max="4" width="14.42578125" customWidth="1"/>
    <col min="5" max="5" width="10.7109375" bestFit="1" customWidth="1"/>
    <col min="6" max="6" width="11.28515625" customWidth="1"/>
    <col min="8" max="8" width="11" bestFit="1" customWidth="1"/>
    <col min="9" max="9" width="10" bestFit="1" customWidth="1"/>
    <col min="10" max="10" width="7" customWidth="1"/>
    <col min="11" max="11" width="90.28515625" bestFit="1" customWidth="1"/>
  </cols>
  <sheetData>
    <row r="2" spans="2:12" s="34" customFormat="1" ht="18" x14ac:dyDescent="0.25">
      <c r="B2" s="34" t="s">
        <v>134</v>
      </c>
    </row>
    <row r="4" spans="2:12" x14ac:dyDescent="0.25">
      <c r="B4" t="s">
        <v>38</v>
      </c>
    </row>
    <row r="5" spans="2:12" x14ac:dyDescent="0.25">
      <c r="B5" t="s">
        <v>358</v>
      </c>
    </row>
    <row r="8" spans="2:12" s="3" customFormat="1" ht="12.75" x14ac:dyDescent="0.25">
      <c r="C8" s="59"/>
    </row>
    <row r="11" spans="2:12" x14ac:dyDescent="0.25">
      <c r="K11" s="175" t="s">
        <v>160</v>
      </c>
      <c r="L11" s="175" t="s">
        <v>116</v>
      </c>
    </row>
    <row r="12" spans="2:12" x14ac:dyDescent="0.25">
      <c r="B12" s="97" t="s">
        <v>94</v>
      </c>
      <c r="C12" s="61" t="s">
        <v>146</v>
      </c>
      <c r="D12" s="60" t="s">
        <v>136</v>
      </c>
      <c r="E12" s="60" t="s">
        <v>137</v>
      </c>
      <c r="F12" s="60" t="s">
        <v>138</v>
      </c>
      <c r="G12" s="60" t="s">
        <v>139</v>
      </c>
      <c r="H12" s="60" t="s">
        <v>140</v>
      </c>
      <c r="I12" s="60" t="s">
        <v>155</v>
      </c>
      <c r="K12" t="s">
        <v>191</v>
      </c>
    </row>
    <row r="13" spans="2:12" x14ac:dyDescent="0.25">
      <c r="B13" s="196">
        <v>2019</v>
      </c>
      <c r="C13" s="188" t="s">
        <v>148</v>
      </c>
      <c r="D13" s="126">
        <v>363937.96397010627</v>
      </c>
      <c r="E13" s="122">
        <v>13921.124304867453</v>
      </c>
      <c r="F13" s="191"/>
      <c r="G13" s="122">
        <v>0</v>
      </c>
      <c r="H13" s="122">
        <v>192414.94556972932</v>
      </c>
      <c r="I13" s="185"/>
      <c r="K13" t="s">
        <v>135</v>
      </c>
      <c r="L13" t="s">
        <v>391</v>
      </c>
    </row>
    <row r="14" spans="2:12" x14ac:dyDescent="0.25">
      <c r="B14" s="197">
        <v>2019</v>
      </c>
      <c r="C14" s="189" t="s">
        <v>149</v>
      </c>
      <c r="D14" s="131">
        <v>-11847039.378658958</v>
      </c>
      <c r="E14" s="120">
        <v>-1744446.9589837845</v>
      </c>
      <c r="F14" s="120">
        <v>-491702.38420403999</v>
      </c>
      <c r="G14" s="120">
        <v>-73240.716162581128</v>
      </c>
      <c r="H14" s="120">
        <v>-4215263.2633934375</v>
      </c>
      <c r="I14" s="186"/>
      <c r="K14" t="s">
        <v>141</v>
      </c>
      <c r="L14" t="s">
        <v>385</v>
      </c>
    </row>
    <row r="15" spans="2:12" x14ac:dyDescent="0.25">
      <c r="B15" s="197">
        <v>2019</v>
      </c>
      <c r="C15" s="189" t="s">
        <v>150</v>
      </c>
      <c r="D15" s="131">
        <v>-1330245.4168639991</v>
      </c>
      <c r="E15" s="183"/>
      <c r="F15" s="183"/>
      <c r="G15" s="183"/>
      <c r="H15" s="183"/>
      <c r="I15" s="186"/>
      <c r="K15" t="s">
        <v>142</v>
      </c>
      <c r="L15" t="s">
        <v>386</v>
      </c>
    </row>
    <row r="16" spans="2:12" x14ac:dyDescent="0.25">
      <c r="B16" s="197">
        <v>2019</v>
      </c>
      <c r="C16" s="189" t="s">
        <v>151</v>
      </c>
      <c r="D16" s="131">
        <v>-141046.3183999999</v>
      </c>
      <c r="E16" s="183"/>
      <c r="F16" s="183"/>
      <c r="G16" s="183"/>
      <c r="H16" s="183"/>
      <c r="I16" s="186"/>
      <c r="K16" t="s">
        <v>143</v>
      </c>
      <c r="L16" t="s">
        <v>387</v>
      </c>
    </row>
    <row r="17" spans="2:12" x14ac:dyDescent="0.25">
      <c r="B17" s="197">
        <v>2019</v>
      </c>
      <c r="C17" s="189" t="s">
        <v>152</v>
      </c>
      <c r="D17" s="200"/>
      <c r="E17" s="183"/>
      <c r="F17" s="183"/>
      <c r="G17" s="183"/>
      <c r="H17" s="120">
        <v>6161727.8652399266</v>
      </c>
      <c r="I17" s="186"/>
      <c r="K17" t="s">
        <v>144</v>
      </c>
      <c r="L17" t="s">
        <v>388</v>
      </c>
    </row>
    <row r="18" spans="2:12" x14ac:dyDescent="0.25">
      <c r="B18" s="197">
        <v>2019</v>
      </c>
      <c r="C18" s="189" t="s">
        <v>153</v>
      </c>
      <c r="D18" s="131">
        <v>7730609.8421759941</v>
      </c>
      <c r="E18" s="183"/>
      <c r="F18" s="183"/>
      <c r="G18" s="183"/>
      <c r="H18" s="183"/>
      <c r="I18" s="186"/>
      <c r="K18" t="s">
        <v>145</v>
      </c>
      <c r="L18" t="s">
        <v>389</v>
      </c>
    </row>
    <row r="19" spans="2:12" x14ac:dyDescent="0.25">
      <c r="B19" s="198">
        <v>2019</v>
      </c>
      <c r="C19" s="190" t="s">
        <v>154</v>
      </c>
      <c r="D19" s="127">
        <v>119628.13568979282</v>
      </c>
      <c r="E19" s="125">
        <v>4575.9396165494527</v>
      </c>
      <c r="F19" s="201"/>
      <c r="G19" s="201"/>
      <c r="H19" s="201"/>
      <c r="I19" s="187"/>
      <c r="K19" t="s">
        <v>147</v>
      </c>
      <c r="L19" t="s">
        <v>390</v>
      </c>
    </row>
    <row r="20" spans="2:12" x14ac:dyDescent="0.25">
      <c r="B20" s="199"/>
      <c r="C20" s="181"/>
      <c r="D20" s="182"/>
      <c r="E20" s="182"/>
      <c r="F20" s="182"/>
      <c r="G20" s="182"/>
      <c r="H20" s="182"/>
      <c r="I20" s="182"/>
    </row>
    <row r="21" spans="2:12" x14ac:dyDescent="0.25">
      <c r="B21" s="196">
        <v>2020</v>
      </c>
      <c r="C21" s="188" t="s">
        <v>148</v>
      </c>
      <c r="D21" s="122">
        <v>286706.12302662327</v>
      </c>
      <c r="E21" s="122">
        <v>10966.900880799794</v>
      </c>
      <c r="F21" s="191"/>
      <c r="G21" s="191"/>
      <c r="H21" s="122">
        <v>112819.21064640096</v>
      </c>
      <c r="I21" s="132">
        <v>0</v>
      </c>
      <c r="L21" t="s">
        <v>395</v>
      </c>
    </row>
    <row r="22" spans="2:12" x14ac:dyDescent="0.25">
      <c r="B22" s="197">
        <v>2020</v>
      </c>
      <c r="C22" s="189" t="s">
        <v>149</v>
      </c>
      <c r="D22" s="120">
        <v>-12102567.067159856</v>
      </c>
      <c r="E22" s="120">
        <v>-2897627.8342790492</v>
      </c>
      <c r="F22" s="183"/>
      <c r="G22" s="183"/>
      <c r="H22" s="120">
        <v>-2651635.8669992886</v>
      </c>
      <c r="I22" s="134">
        <v>1075716.9708424911</v>
      </c>
      <c r="L22" t="s">
        <v>395</v>
      </c>
    </row>
    <row r="23" spans="2:12" x14ac:dyDescent="0.25">
      <c r="B23" s="197">
        <v>2020</v>
      </c>
      <c r="C23" s="189" t="s">
        <v>150</v>
      </c>
      <c r="D23" s="120">
        <v>-3119935.9048000001</v>
      </c>
      <c r="E23" s="183"/>
      <c r="F23" s="183"/>
      <c r="G23" s="183"/>
      <c r="H23" s="183"/>
      <c r="I23" s="192"/>
      <c r="L23" t="s">
        <v>395</v>
      </c>
    </row>
    <row r="24" spans="2:12" x14ac:dyDescent="0.25">
      <c r="B24" s="197">
        <v>2020</v>
      </c>
      <c r="C24" s="189" t="s">
        <v>151</v>
      </c>
      <c r="D24" s="120">
        <v>-1376373.4666240001</v>
      </c>
      <c r="E24" s="183"/>
      <c r="F24" s="183"/>
      <c r="G24" s="183"/>
      <c r="H24" s="183"/>
      <c r="I24" s="192"/>
      <c r="L24" t="s">
        <v>395</v>
      </c>
    </row>
    <row r="25" spans="2:12" x14ac:dyDescent="0.25">
      <c r="B25" s="197">
        <v>2020</v>
      </c>
      <c r="C25" s="189" t="s">
        <v>152</v>
      </c>
      <c r="D25" s="183"/>
      <c r="E25" s="183"/>
      <c r="F25" s="183"/>
      <c r="G25" s="183"/>
      <c r="H25" s="120">
        <v>10109732.951544743</v>
      </c>
      <c r="I25" s="192"/>
      <c r="L25" t="s">
        <v>395</v>
      </c>
    </row>
    <row r="26" spans="2:12" x14ac:dyDescent="0.25">
      <c r="B26" s="197">
        <v>2020</v>
      </c>
      <c r="C26" s="189" t="s">
        <v>153</v>
      </c>
      <c r="D26" s="120">
        <v>6152086.0548160011</v>
      </c>
      <c r="E26" s="183"/>
      <c r="F26" s="183"/>
      <c r="G26" s="183"/>
      <c r="H26" s="183"/>
      <c r="I26" s="192"/>
      <c r="L26" t="s">
        <v>407</v>
      </c>
    </row>
    <row r="27" spans="2:12" x14ac:dyDescent="0.25">
      <c r="B27" s="197">
        <v>2020</v>
      </c>
      <c r="C27" s="189" t="s">
        <v>154</v>
      </c>
      <c r="D27" s="120">
        <v>114354.75771294907</v>
      </c>
      <c r="E27" s="120">
        <v>4374.2257048669271</v>
      </c>
      <c r="F27" s="183"/>
      <c r="G27" s="183"/>
      <c r="H27" s="183"/>
      <c r="I27" s="134">
        <v>304403.37925055064</v>
      </c>
      <c r="K27" t="s">
        <v>158</v>
      </c>
      <c r="L27" t="s">
        <v>396</v>
      </c>
    </row>
    <row r="28" spans="2:12" x14ac:dyDescent="0.25">
      <c r="B28" s="198">
        <v>2020</v>
      </c>
      <c r="C28" s="190" t="s">
        <v>156</v>
      </c>
      <c r="D28" s="125">
        <v>30554830.087642852</v>
      </c>
      <c r="E28" s="125">
        <v>1208435.0110422715</v>
      </c>
      <c r="F28" s="125">
        <v>1622559.5209984076</v>
      </c>
      <c r="G28" s="125">
        <v>25600.034395088842</v>
      </c>
      <c r="H28" s="125">
        <v>3317442.2197608119</v>
      </c>
      <c r="I28" s="193"/>
      <c r="L28" t="s">
        <v>397</v>
      </c>
    </row>
    <row r="29" spans="2:12" x14ac:dyDescent="0.25">
      <c r="B29" s="199"/>
      <c r="C29" s="181"/>
      <c r="D29" s="184"/>
      <c r="E29" s="184"/>
      <c r="F29" s="184"/>
      <c r="G29" s="184"/>
      <c r="H29" s="184"/>
      <c r="I29" s="184"/>
    </row>
    <row r="30" spans="2:12" x14ac:dyDescent="0.25">
      <c r="B30" s="196">
        <v>2021</v>
      </c>
      <c r="C30" s="188" t="s">
        <v>148</v>
      </c>
      <c r="D30" s="122">
        <v>288308.52953160345</v>
      </c>
      <c r="E30" s="122">
        <v>11028.195118695212</v>
      </c>
      <c r="F30" s="191"/>
      <c r="G30" s="191"/>
      <c r="H30" s="122">
        <v>112978.17414107962</v>
      </c>
      <c r="I30" s="194"/>
      <c r="L30" t="s">
        <v>400</v>
      </c>
    </row>
    <row r="31" spans="2:12" x14ac:dyDescent="0.25">
      <c r="B31" s="197">
        <v>2021</v>
      </c>
      <c r="C31" s="189" t="s">
        <v>149</v>
      </c>
      <c r="D31" s="120">
        <v>-13737408.803455966</v>
      </c>
      <c r="E31" s="120">
        <v>-462251.52563199954</v>
      </c>
      <c r="F31" s="183"/>
      <c r="G31" s="183"/>
      <c r="H31" s="120">
        <v>-1314091.7803519827</v>
      </c>
      <c r="I31" s="134">
        <v>2119324.2578559997</v>
      </c>
      <c r="L31" t="s">
        <v>400</v>
      </c>
    </row>
    <row r="32" spans="2:12" x14ac:dyDescent="0.25">
      <c r="B32" s="197">
        <v>2021</v>
      </c>
      <c r="C32" s="189" t="s">
        <v>150</v>
      </c>
      <c r="D32" s="120">
        <v>-3539024.3545280006</v>
      </c>
      <c r="E32" s="183"/>
      <c r="F32" s="183"/>
      <c r="G32" s="183"/>
      <c r="H32" s="183"/>
      <c r="I32" s="192"/>
      <c r="L32" t="s">
        <v>400</v>
      </c>
    </row>
    <row r="33" spans="2:12" x14ac:dyDescent="0.25">
      <c r="B33" s="197">
        <v>2021</v>
      </c>
      <c r="C33" s="189" t="s">
        <v>151</v>
      </c>
      <c r="D33" s="120">
        <v>-1098026.9730560002</v>
      </c>
      <c r="E33" s="183"/>
      <c r="F33" s="183"/>
      <c r="G33" s="183"/>
      <c r="H33" s="183"/>
      <c r="I33" s="192"/>
      <c r="L33" t="s">
        <v>400</v>
      </c>
    </row>
    <row r="34" spans="2:12" x14ac:dyDescent="0.25">
      <c r="B34" s="197">
        <v>2021</v>
      </c>
      <c r="C34" s="189" t="s">
        <v>152</v>
      </c>
      <c r="D34" s="183"/>
      <c r="E34" s="183"/>
      <c r="F34" s="183"/>
      <c r="G34" s="183"/>
      <c r="H34" s="120">
        <v>19573634.652086098</v>
      </c>
      <c r="I34" s="192"/>
      <c r="L34" t="s">
        <v>400</v>
      </c>
    </row>
    <row r="35" spans="2:12" x14ac:dyDescent="0.25">
      <c r="B35" s="197">
        <v>2021</v>
      </c>
      <c r="C35" s="189" t="s">
        <v>153</v>
      </c>
      <c r="D35" s="120">
        <v>9858278.6656640004</v>
      </c>
      <c r="E35" s="183"/>
      <c r="F35" s="183"/>
      <c r="G35" s="183"/>
      <c r="H35" s="183"/>
      <c r="I35" s="192"/>
      <c r="L35" t="s">
        <v>400</v>
      </c>
    </row>
    <row r="36" spans="2:12" x14ac:dyDescent="0.25">
      <c r="B36" s="197">
        <v>2021</v>
      </c>
      <c r="C36" s="189" t="s">
        <v>172</v>
      </c>
      <c r="D36" s="183"/>
      <c r="E36" s="183"/>
      <c r="F36" s="183"/>
      <c r="G36" s="183"/>
      <c r="H36" s="120">
        <v>10514122.269606533</v>
      </c>
      <c r="I36" s="192"/>
      <c r="K36" t="s">
        <v>171</v>
      </c>
      <c r="L36" t="s">
        <v>400</v>
      </c>
    </row>
    <row r="37" spans="2:12" x14ac:dyDescent="0.25">
      <c r="B37" s="197">
        <v>2021</v>
      </c>
      <c r="C37" s="189" t="s">
        <v>173</v>
      </c>
      <c r="D37" s="120">
        <v>6398169.4970086413</v>
      </c>
      <c r="E37" s="183"/>
      <c r="F37" s="183"/>
      <c r="G37" s="183"/>
      <c r="H37" s="183"/>
      <c r="I37" s="192"/>
      <c r="K37" t="s">
        <v>171</v>
      </c>
      <c r="L37" t="s">
        <v>400</v>
      </c>
    </row>
    <row r="38" spans="2:12" x14ac:dyDescent="0.25">
      <c r="B38" s="197">
        <v>2021</v>
      </c>
      <c r="C38" s="189" t="s">
        <v>154</v>
      </c>
      <c r="D38" s="120">
        <v>112229.19570409245</v>
      </c>
      <c r="E38" s="120">
        <v>4292.9200542549033</v>
      </c>
      <c r="F38" s="183"/>
      <c r="G38" s="183"/>
      <c r="H38" s="183"/>
      <c r="I38" s="134">
        <v>406926.14196447417</v>
      </c>
      <c r="K38" t="s">
        <v>159</v>
      </c>
      <c r="L38" t="s">
        <v>401</v>
      </c>
    </row>
    <row r="39" spans="2:12" x14ac:dyDescent="0.25">
      <c r="B39" s="198">
        <v>2021</v>
      </c>
      <c r="C39" s="195" t="s">
        <v>157</v>
      </c>
      <c r="D39" s="125">
        <v>26655933.746971723</v>
      </c>
      <c r="E39" s="125">
        <v>1003569.3933176923</v>
      </c>
      <c r="F39" s="125">
        <v>1482076.9104247643</v>
      </c>
      <c r="G39" s="125">
        <v>52638.072087803346</v>
      </c>
      <c r="H39" s="125">
        <v>1892260.9379543103</v>
      </c>
      <c r="I39" s="193"/>
      <c r="L39" t="s">
        <v>402</v>
      </c>
    </row>
    <row r="42" spans="2:12" x14ac:dyDescent="0.25">
      <c r="C42" s="158" t="s">
        <v>229</v>
      </c>
    </row>
    <row r="43" spans="2:12" x14ac:dyDescent="0.25">
      <c r="C43" s="159" t="s">
        <v>167</v>
      </c>
      <c r="D43" s="164">
        <f t="shared" ref="D43:D48" si="0">SUM(D13:I13,D21:I21,D30:I30)/3</f>
        <v>464360.38906330179</v>
      </c>
    </row>
    <row r="44" spans="2:12" x14ac:dyDescent="0.25">
      <c r="C44" s="160" t="s">
        <v>165</v>
      </c>
      <c r="D44" s="165">
        <f t="shared" si="0"/>
        <v>-16114078.116860816</v>
      </c>
    </row>
    <row r="45" spans="2:12" x14ac:dyDescent="0.25">
      <c r="C45" s="160" t="s">
        <v>166</v>
      </c>
      <c r="D45" s="165">
        <f t="shared" si="0"/>
        <v>-2663068.5587306665</v>
      </c>
    </row>
    <row r="46" spans="2:12" x14ac:dyDescent="0.25">
      <c r="C46" s="160" t="s">
        <v>168</v>
      </c>
      <c r="D46" s="165">
        <f t="shared" si="0"/>
        <v>-871815.58602666669</v>
      </c>
    </row>
    <row r="47" spans="2:12" x14ac:dyDescent="0.25">
      <c r="C47" s="160" t="s">
        <v>169</v>
      </c>
      <c r="D47" s="165">
        <f t="shared" si="0"/>
        <v>11948365.156290255</v>
      </c>
    </row>
    <row r="48" spans="2:12" x14ac:dyDescent="0.25">
      <c r="C48" s="160" t="s">
        <v>170</v>
      </c>
      <c r="D48" s="165">
        <f t="shared" si="0"/>
        <v>7913658.1875519976</v>
      </c>
    </row>
    <row r="49" spans="3:11" x14ac:dyDescent="0.25">
      <c r="C49" s="161" t="s">
        <v>154</v>
      </c>
      <c r="D49" s="119">
        <f>SUM(D19:I19,D27:I27,D38:I38)/3</f>
        <v>356928.23189917678</v>
      </c>
    </row>
    <row r="50" spans="3:11" x14ac:dyDescent="0.25">
      <c r="D50" s="46"/>
    </row>
    <row r="51" spans="3:11" x14ac:dyDescent="0.25">
      <c r="C51" s="162" t="s">
        <v>162</v>
      </c>
      <c r="D51" s="164">
        <f>SUM(D28:I28)/5</f>
        <v>7345773.3747678865</v>
      </c>
    </row>
    <row r="52" spans="3:11" x14ac:dyDescent="0.25">
      <c r="C52" s="163" t="s">
        <v>163</v>
      </c>
      <c r="D52" s="119">
        <f>SUM(D39:I39)/5</f>
        <v>6217295.8121512588</v>
      </c>
    </row>
    <row r="53" spans="3:11" x14ac:dyDescent="0.25">
      <c r="D53" s="46"/>
    </row>
    <row r="54" spans="3:11" x14ac:dyDescent="0.25">
      <c r="C54" s="162" t="s">
        <v>164</v>
      </c>
      <c r="D54" s="262">
        <f>'RFR 17-21'!C69/5</f>
        <v>89171267.267949924</v>
      </c>
      <c r="K54" t="s">
        <v>375</v>
      </c>
    </row>
    <row r="55" spans="3:11" x14ac:dyDescent="0.25">
      <c r="C55" s="163" t="s">
        <v>161</v>
      </c>
      <c r="D55" s="263">
        <f>'Ideaalcomplex 17-21'!F43/5</f>
        <v>32353839.503392823</v>
      </c>
      <c r="K55" t="s">
        <v>376</v>
      </c>
    </row>
  </sheetData>
  <phoneticPr fontId="30"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H39"/>
  <sheetViews>
    <sheetView showGridLines="0" zoomScale="85" zoomScaleNormal="85" workbookViewId="0">
      <pane ySplit="3" topLeftCell="A4" activePane="bottomLeft" state="frozen"/>
      <selection pane="bottomLeft" activeCell="B6" sqref="B6:G6"/>
    </sheetView>
  </sheetViews>
  <sheetFormatPr defaultColWidth="9.140625" defaultRowHeight="12.75" x14ac:dyDescent="0.25"/>
  <cols>
    <col min="1" max="1" width="4.7109375" style="2" customWidth="1"/>
    <col min="2" max="2" width="19.140625" style="2" customWidth="1"/>
    <col min="3" max="3" width="20.710937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8" s="34" customFormat="1" ht="18" x14ac:dyDescent="0.25">
      <c r="B2" s="34" t="s">
        <v>16</v>
      </c>
    </row>
    <row r="4" spans="2:8" s="3" customFormat="1" x14ac:dyDescent="0.25">
      <c r="B4" s="3" t="s">
        <v>16</v>
      </c>
    </row>
    <row r="6" spans="2:8" ht="38.25" customHeight="1" x14ac:dyDescent="0.25">
      <c r="B6" s="418" t="s">
        <v>350</v>
      </c>
      <c r="C6" s="418"/>
      <c r="D6" s="418"/>
      <c r="E6" s="418"/>
      <c r="F6" s="418"/>
      <c r="G6" s="418"/>
    </row>
    <row r="7" spans="2:8" x14ac:dyDescent="0.25">
      <c r="H7" s="7"/>
    </row>
    <row r="9" spans="2:8" s="3" customFormat="1" x14ac:dyDescent="0.25">
      <c r="B9" s="3" t="s">
        <v>17</v>
      </c>
    </row>
    <row r="11" spans="2:8" x14ac:dyDescent="0.25">
      <c r="B11" s="9" t="s">
        <v>18</v>
      </c>
      <c r="D11" s="9" t="s">
        <v>19</v>
      </c>
      <c r="F11" s="8"/>
    </row>
    <row r="13" spans="2:8" x14ac:dyDescent="0.25">
      <c r="B13" s="10">
        <v>123</v>
      </c>
      <c r="D13" s="2" t="s">
        <v>20</v>
      </c>
    </row>
    <row r="14" spans="2:8" x14ac:dyDescent="0.25">
      <c r="B14" s="11">
        <f>B13</f>
        <v>123</v>
      </c>
      <c r="D14" s="2" t="s">
        <v>21</v>
      </c>
    </row>
    <row r="15" spans="2:8" x14ac:dyDescent="0.25">
      <c r="B15" s="12">
        <f>B14+B13</f>
        <v>246</v>
      </c>
      <c r="D15" s="2" t="s">
        <v>22</v>
      </c>
    </row>
    <row r="16" spans="2:8" x14ac:dyDescent="0.25">
      <c r="B16" s="13">
        <f>B14+B15</f>
        <v>369</v>
      </c>
      <c r="D16" s="2" t="s">
        <v>23</v>
      </c>
      <c r="E16" s="8"/>
      <c r="F16" s="8"/>
    </row>
    <row r="17" spans="2:7" x14ac:dyDescent="0.25">
      <c r="B17" s="14"/>
      <c r="D17" s="2" t="s">
        <v>24</v>
      </c>
      <c r="E17" s="8"/>
    </row>
    <row r="19" spans="2:7" x14ac:dyDescent="0.25">
      <c r="B19" s="15" t="s">
        <v>25</v>
      </c>
    </row>
    <row r="20" spans="2:7" x14ac:dyDescent="0.25">
      <c r="B20" s="16">
        <f>B16+16</f>
        <v>385</v>
      </c>
      <c r="D20" s="2" t="s">
        <v>26</v>
      </c>
    </row>
    <row r="21" spans="2:7" x14ac:dyDescent="0.25">
      <c r="B21" s="17">
        <f>B14*PI()</f>
        <v>386.41589639154455</v>
      </c>
      <c r="C21" s="18"/>
      <c r="D21" s="2" t="s">
        <v>27</v>
      </c>
    </row>
    <row r="22" spans="2:7" x14ac:dyDescent="0.25">
      <c r="B22" s="18"/>
      <c r="C22" s="18"/>
    </row>
    <row r="23" spans="2:7" x14ac:dyDescent="0.25">
      <c r="B23" s="15" t="s">
        <v>28</v>
      </c>
      <c r="C23" s="19"/>
    </row>
    <row r="24" spans="2:7" x14ac:dyDescent="0.25">
      <c r="B24" s="20">
        <v>123</v>
      </c>
      <c r="C24" s="19"/>
      <c r="D24" s="2" t="s">
        <v>29</v>
      </c>
      <c r="G24" s="8"/>
    </row>
    <row r="25" spans="2:7" x14ac:dyDescent="0.25">
      <c r="B25" s="21">
        <v>124</v>
      </c>
      <c r="C25" s="19"/>
      <c r="D25" s="2" t="s">
        <v>30</v>
      </c>
    </row>
    <row r="26" spans="2:7" x14ac:dyDescent="0.25">
      <c r="B26" s="22">
        <f>B24-B25</f>
        <v>-1</v>
      </c>
      <c r="C26" s="23"/>
      <c r="D26" s="2" t="s">
        <v>31</v>
      </c>
    </row>
    <row r="29" spans="2:7" x14ac:dyDescent="0.25">
      <c r="B29" s="9" t="s">
        <v>32</v>
      </c>
    </row>
    <row r="30" spans="2:7" x14ac:dyDescent="0.25">
      <c r="B30" s="24"/>
    </row>
    <row r="31" spans="2:7" x14ac:dyDescent="0.25">
      <c r="B31" s="15" t="s">
        <v>33</v>
      </c>
    </row>
    <row r="32" spans="2:7" x14ac:dyDescent="0.25">
      <c r="B32" s="25" t="s">
        <v>34</v>
      </c>
      <c r="D32" s="2" t="s">
        <v>35</v>
      </c>
    </row>
    <row r="33" spans="2:4" x14ac:dyDescent="0.25">
      <c r="B33" s="10" t="s">
        <v>36</v>
      </c>
      <c r="D33" s="2" t="s">
        <v>37</v>
      </c>
    </row>
    <row r="34" spans="2:4" x14ac:dyDescent="0.25">
      <c r="B34" s="26" t="s">
        <v>38</v>
      </c>
      <c r="D34" s="2" t="s">
        <v>39</v>
      </c>
    </row>
    <row r="35" spans="2:4" x14ac:dyDescent="0.25">
      <c r="B35" s="27" t="s">
        <v>38</v>
      </c>
      <c r="D35" s="2" t="s">
        <v>40</v>
      </c>
    </row>
    <row r="37" spans="2:4" x14ac:dyDescent="0.25">
      <c r="B37" s="15" t="s">
        <v>41</v>
      </c>
    </row>
    <row r="38" spans="2:4" x14ac:dyDescent="0.25">
      <c r="B38" s="28" t="s">
        <v>42</v>
      </c>
      <c r="D38" s="2" t="s">
        <v>43</v>
      </c>
    </row>
    <row r="39" spans="2:4" x14ac:dyDescent="0.25">
      <c r="B39" s="29" t="s">
        <v>44</v>
      </c>
      <c r="D39" s="2" t="s">
        <v>45</v>
      </c>
    </row>
  </sheetData>
  <mergeCells count="1">
    <mergeCell ref="B6:G6"/>
  </mergeCells>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27"/>
  <sheetViews>
    <sheetView showGridLines="0" zoomScale="85" zoomScaleNormal="85" workbookViewId="0">
      <pane ySplit="3" topLeftCell="A4" activePane="bottomLeft" state="frozen"/>
      <selection pane="bottomLeft" activeCell="D32" sqref="D32"/>
    </sheetView>
  </sheetViews>
  <sheetFormatPr defaultColWidth="9.140625" defaultRowHeight="12.75" x14ac:dyDescent="0.25"/>
  <cols>
    <col min="1" max="1" width="4.7109375" style="2" customWidth="1"/>
    <col min="2" max="2" width="7.5703125" style="2" customWidth="1"/>
    <col min="3" max="3" width="35.140625" style="2" customWidth="1"/>
    <col min="4" max="4" width="45.28515625" style="2" customWidth="1"/>
    <col min="5" max="5" width="36.28515625" style="2" customWidth="1"/>
    <col min="6" max="6" width="40.7109375" style="2" customWidth="1"/>
    <col min="7" max="7" width="4.5703125" style="2" customWidth="1"/>
    <col min="8" max="16384" width="9.140625" style="2"/>
  </cols>
  <sheetData>
    <row r="2" spans="2:6" s="34" customFormat="1" ht="18" x14ac:dyDescent="0.25">
      <c r="B2" s="34" t="s">
        <v>46</v>
      </c>
    </row>
    <row r="4" spans="2:6" s="3" customFormat="1" x14ac:dyDescent="0.25">
      <c r="B4" s="3" t="s">
        <v>47</v>
      </c>
    </row>
    <row r="6" spans="2:6" x14ac:dyDescent="0.25">
      <c r="B6" s="15" t="s">
        <v>204</v>
      </c>
    </row>
    <row r="7" spans="2:6" x14ac:dyDescent="0.25">
      <c r="B7" s="15" t="s">
        <v>48</v>
      </c>
    </row>
    <row r="9" spans="2:6" ht="18" x14ac:dyDescent="0.25">
      <c r="B9" s="34" t="s">
        <v>49</v>
      </c>
      <c r="C9" s="34" t="s">
        <v>50</v>
      </c>
      <c r="D9" s="34" t="s">
        <v>51</v>
      </c>
      <c r="E9" s="34" t="s">
        <v>52</v>
      </c>
      <c r="F9" s="34" t="s">
        <v>53</v>
      </c>
    </row>
    <row r="10" spans="2:6" x14ac:dyDescent="0.25">
      <c r="B10" s="30"/>
      <c r="C10" s="30" t="s">
        <v>54</v>
      </c>
      <c r="D10" s="30" t="s">
        <v>55</v>
      </c>
      <c r="E10" s="30" t="s">
        <v>56</v>
      </c>
      <c r="F10" s="30" t="s">
        <v>57</v>
      </c>
    </row>
    <row r="11" spans="2:6" ht="38.25" x14ac:dyDescent="0.25">
      <c r="B11" s="31">
        <v>1</v>
      </c>
      <c r="C11" s="31" t="s">
        <v>269</v>
      </c>
      <c r="D11" s="32" t="s">
        <v>267</v>
      </c>
      <c r="E11" s="31" t="s">
        <v>280</v>
      </c>
      <c r="F11" s="31" t="s">
        <v>268</v>
      </c>
    </row>
    <row r="12" spans="2:6" ht="38.25" x14ac:dyDescent="0.25">
      <c r="B12" s="31">
        <v>2</v>
      </c>
      <c r="C12" s="33" t="s">
        <v>271</v>
      </c>
      <c r="D12" s="33" t="s">
        <v>270</v>
      </c>
      <c r="E12" s="31" t="s">
        <v>280</v>
      </c>
      <c r="F12" s="31" t="s">
        <v>268</v>
      </c>
    </row>
    <row r="13" spans="2:6" x14ac:dyDescent="0.25">
      <c r="B13" s="31">
        <v>3</v>
      </c>
      <c r="C13" s="31" t="s">
        <v>273</v>
      </c>
      <c r="D13" s="31" t="s">
        <v>272</v>
      </c>
      <c r="E13" s="31"/>
      <c r="F13" s="31" t="s">
        <v>268</v>
      </c>
    </row>
    <row r="14" spans="2:6" x14ac:dyDescent="0.25">
      <c r="B14" s="31">
        <v>4</v>
      </c>
      <c r="C14" s="31" t="s">
        <v>275</v>
      </c>
      <c r="D14" s="31" t="s">
        <v>274</v>
      </c>
      <c r="E14" s="31"/>
      <c r="F14" s="31" t="s">
        <v>268</v>
      </c>
    </row>
    <row r="15" spans="2:6" ht="25.5" x14ac:dyDescent="0.25">
      <c r="B15" s="31">
        <v>5</v>
      </c>
      <c r="C15" s="2" t="s">
        <v>277</v>
      </c>
      <c r="D15" s="33" t="s">
        <v>276</v>
      </c>
      <c r="E15" s="31" t="s">
        <v>278</v>
      </c>
      <c r="F15" s="31" t="s">
        <v>279</v>
      </c>
    </row>
    <row r="16" spans="2:6" x14ac:dyDescent="0.25">
      <c r="B16" s="31">
        <v>6</v>
      </c>
      <c r="C16" s="31" t="s">
        <v>382</v>
      </c>
      <c r="D16" s="31" t="s">
        <v>381</v>
      </c>
      <c r="E16" s="31" t="s">
        <v>399</v>
      </c>
      <c r="F16" s="31"/>
    </row>
    <row r="17" spans="2:6" x14ac:dyDescent="0.25">
      <c r="B17" s="31">
        <v>7</v>
      </c>
      <c r="C17" s="31" t="s">
        <v>383</v>
      </c>
      <c r="D17" s="31" t="s">
        <v>392</v>
      </c>
      <c r="E17" s="31" t="s">
        <v>393</v>
      </c>
      <c r="F17" s="31"/>
    </row>
    <row r="18" spans="2:6" x14ac:dyDescent="0.25">
      <c r="B18" s="31">
        <v>8</v>
      </c>
      <c r="C18" s="31" t="s">
        <v>384</v>
      </c>
      <c r="D18" s="31" t="s">
        <v>394</v>
      </c>
      <c r="E18" s="31" t="s">
        <v>398</v>
      </c>
      <c r="F18" s="31"/>
    </row>
    <row r="19" spans="2:6" x14ac:dyDescent="0.25">
      <c r="B19" s="31">
        <v>9</v>
      </c>
      <c r="C19" s="31"/>
      <c r="D19" s="31"/>
      <c r="E19" s="31"/>
      <c r="F19" s="31"/>
    </row>
    <row r="20" spans="2:6" x14ac:dyDescent="0.25">
      <c r="B20" s="31">
        <v>10</v>
      </c>
      <c r="C20" s="31"/>
      <c r="D20" s="31"/>
      <c r="E20" s="31"/>
      <c r="F20" s="31"/>
    </row>
    <row r="21" spans="2:6" x14ac:dyDescent="0.25">
      <c r="B21" s="31">
        <v>11</v>
      </c>
      <c r="C21" s="31"/>
      <c r="D21" s="31"/>
      <c r="E21" s="31"/>
      <c r="F21" s="31"/>
    </row>
    <row r="24" spans="2:6" s="3" customFormat="1" x14ac:dyDescent="0.25">
      <c r="B24" s="3" t="s">
        <v>58</v>
      </c>
    </row>
    <row r="26" spans="2:6" x14ac:dyDescent="0.25">
      <c r="B26" s="15" t="s">
        <v>210</v>
      </c>
    </row>
    <row r="27" spans="2:6" x14ac:dyDescent="0.25">
      <c r="B27" s="15" t="s">
        <v>59</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election activeCell="K43" sqref="K43"/>
    </sheetView>
  </sheetViews>
  <sheetFormatPr defaultColWidth="9.140625" defaultRowHeight="12.75" x14ac:dyDescent="0.25"/>
  <cols>
    <col min="1" max="16384" width="9.140625" style="28"/>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K38"/>
  <sheetViews>
    <sheetView topLeftCell="A7" workbookViewId="0">
      <selection activeCell="K19" sqref="K19"/>
    </sheetView>
  </sheetViews>
  <sheetFormatPr defaultRowHeight="15" x14ac:dyDescent="0.25"/>
  <cols>
    <col min="2" max="2" width="36.85546875" customWidth="1"/>
    <col min="3" max="3" width="14.28515625" customWidth="1"/>
    <col min="4" max="4" width="14.5703125" customWidth="1"/>
    <col min="5" max="6" width="13.7109375" customWidth="1"/>
    <col min="7" max="7" width="14.28515625" customWidth="1"/>
    <col min="8" max="8" width="5" customWidth="1"/>
    <col min="9" max="9" width="10.85546875" bestFit="1" customWidth="1"/>
    <col min="10" max="10" width="5.7109375" customWidth="1"/>
    <col min="11" max="16" width="16.28515625" customWidth="1"/>
    <col min="17" max="17" width="13.5703125" customWidth="1"/>
  </cols>
  <sheetData>
    <row r="2" spans="2:11" s="34" customFormat="1" ht="18" x14ac:dyDescent="0.25">
      <c r="B2" s="34" t="s">
        <v>444</v>
      </c>
    </row>
    <row r="4" spans="2:11" x14ac:dyDescent="0.25">
      <c r="B4" t="s">
        <v>38</v>
      </c>
    </row>
    <row r="5" spans="2:11" x14ac:dyDescent="0.25">
      <c r="B5" t="s">
        <v>445</v>
      </c>
    </row>
    <row r="8" spans="2:11" s="3" customFormat="1" ht="12.75" x14ac:dyDescent="0.25">
      <c r="C8" s="59"/>
    </row>
    <row r="12" spans="2:11" x14ac:dyDescent="0.25">
      <c r="B12" s="419" t="s">
        <v>438</v>
      </c>
      <c r="C12" s="420"/>
      <c r="D12" s="420"/>
      <c r="E12" s="420"/>
      <c r="F12" s="420"/>
      <c r="G12" s="421"/>
    </row>
    <row r="14" spans="2:11" x14ac:dyDescent="0.25">
      <c r="C14" s="143">
        <v>2022</v>
      </c>
      <c r="D14" s="72">
        <v>2023</v>
      </c>
      <c r="E14" s="72">
        <v>2024</v>
      </c>
      <c r="F14" s="72">
        <v>2025</v>
      </c>
      <c r="G14" s="110">
        <v>2026</v>
      </c>
      <c r="K14" t="s">
        <v>200</v>
      </c>
    </row>
    <row r="15" spans="2:11" x14ac:dyDescent="0.25">
      <c r="B15" s="43" t="s">
        <v>427</v>
      </c>
      <c r="C15" s="394">
        <f>'RFR 22-26'!D27</f>
        <v>3.1E-2</v>
      </c>
      <c r="D15" s="409">
        <f>'RFR 22-26'!E27</f>
        <v>0.03</v>
      </c>
      <c r="E15" s="409">
        <f>'RFR 22-26'!F27</f>
        <v>2.9000000000000001E-2</v>
      </c>
      <c r="F15" s="409">
        <f>'RFR 22-26'!G27</f>
        <v>2.9000000000000001E-2</v>
      </c>
      <c r="G15" s="410">
        <f>'RFR 22-26'!H27</f>
        <v>2.9000000000000001E-2</v>
      </c>
      <c r="K15" t="s">
        <v>437</v>
      </c>
    </row>
    <row r="16" spans="2:11" x14ac:dyDescent="0.25">
      <c r="B16" s="40" t="s">
        <v>428</v>
      </c>
      <c r="C16" s="415">
        <v>1.7000000000000001E-2</v>
      </c>
      <c r="D16" s="416">
        <v>1.7000000000000001E-2</v>
      </c>
      <c r="E16" s="416">
        <v>1.7000000000000001E-2</v>
      </c>
      <c r="F16" s="416">
        <v>1.7000000000000001E-2</v>
      </c>
      <c r="G16" s="417">
        <v>1.7000000000000001E-2</v>
      </c>
      <c r="K16" t="s">
        <v>433</v>
      </c>
    </row>
    <row r="17" spans="2:11" x14ac:dyDescent="0.25">
      <c r="B17" s="36" t="s">
        <v>447</v>
      </c>
      <c r="C17" s="176">
        <f>(1+C15)/(1+C16)-1</f>
        <v>1.3765978367748399E-2</v>
      </c>
      <c r="D17" s="404">
        <f t="shared" ref="D17:G17" si="0">(1+D15)/(1+D16)-1</f>
        <v>1.2782694198623545E-2</v>
      </c>
      <c r="E17" s="404">
        <f t="shared" si="0"/>
        <v>1.1799410029498469E-2</v>
      </c>
      <c r="F17" s="404">
        <f t="shared" si="0"/>
        <v>1.1799410029498469E-2</v>
      </c>
      <c r="G17" s="207">
        <f t="shared" si="0"/>
        <v>1.1799410029498469E-2</v>
      </c>
      <c r="K17" t="s">
        <v>215</v>
      </c>
    </row>
    <row r="18" spans="2:11" x14ac:dyDescent="0.25">
      <c r="B18" s="413" t="s">
        <v>449</v>
      </c>
      <c r="C18" s="88">
        <f>C16</f>
        <v>1.7000000000000001E-2</v>
      </c>
      <c r="D18" s="88">
        <f>(1+C18)*(1+D16)-1</f>
        <v>3.4288999999999792E-2</v>
      </c>
      <c r="E18" s="88">
        <f t="shared" ref="E18:G18" si="1">(1+D18)*(1+E16)-1</f>
        <v>5.1871912999999603E-2</v>
      </c>
      <c r="F18" s="88">
        <f t="shared" si="1"/>
        <v>6.9753735520999394E-2</v>
      </c>
      <c r="G18" s="89">
        <f t="shared" si="1"/>
        <v>8.7939549024856234E-2</v>
      </c>
      <c r="K18" t="s">
        <v>450</v>
      </c>
    </row>
    <row r="19" spans="2:11" x14ac:dyDescent="0.25">
      <c r="B19" s="46"/>
    </row>
    <row r="20" spans="2:11" x14ac:dyDescent="0.25">
      <c r="B20" s="261" t="s">
        <v>426</v>
      </c>
    </row>
    <row r="21" spans="2:11" x14ac:dyDescent="0.25">
      <c r="B21" s="324" t="s">
        <v>71</v>
      </c>
      <c r="C21" s="254">
        <v>478300931.02049804</v>
      </c>
      <c r="D21" s="255">
        <v>397766912.9217726</v>
      </c>
      <c r="E21" s="255">
        <v>378246881.05806065</v>
      </c>
      <c r="F21" s="255">
        <v>364710916.48351133</v>
      </c>
      <c r="G21" s="256">
        <v>348382218.75668323</v>
      </c>
      <c r="K21" t="s">
        <v>429</v>
      </c>
    </row>
    <row r="22" spans="2:11" x14ac:dyDescent="0.25">
      <c r="B22" s="325" t="s">
        <v>67</v>
      </c>
      <c r="C22" s="257">
        <v>6418267587.6259031</v>
      </c>
      <c r="D22" s="258">
        <v>6235117236.3115377</v>
      </c>
      <c r="E22" s="258">
        <v>6074262338.2355728</v>
      </c>
      <c r="F22" s="258">
        <v>5929754717.8581009</v>
      </c>
      <c r="G22" s="259">
        <v>5804423464.2326899</v>
      </c>
      <c r="K22" t="s">
        <v>432</v>
      </c>
    </row>
    <row r="23" spans="2:11" ht="30" x14ac:dyDescent="0.25">
      <c r="B23" s="261" t="s">
        <v>446</v>
      </c>
    </row>
    <row r="24" spans="2:11" x14ac:dyDescent="0.25">
      <c r="B24" s="324" t="s">
        <v>71</v>
      </c>
      <c r="C24" s="254">
        <v>371588392.83851886</v>
      </c>
      <c r="D24" s="255">
        <v>355228987.94423157</v>
      </c>
      <c r="E24" s="255">
        <v>350347332.19164938</v>
      </c>
      <c r="F24" s="255">
        <v>347483843.00498134</v>
      </c>
      <c r="G24" s="256">
        <v>338220842.55540776</v>
      </c>
      <c r="K24" t="s">
        <v>430</v>
      </c>
    </row>
    <row r="25" spans="2:11" x14ac:dyDescent="0.25">
      <c r="B25" s="325" t="s">
        <v>67</v>
      </c>
      <c r="C25" s="252">
        <v>6524980125.8078947</v>
      </c>
      <c r="D25" s="253">
        <v>6384367699.471055</v>
      </c>
      <c r="E25" s="253">
        <v>6251412350.261508</v>
      </c>
      <c r="F25" s="253">
        <v>6124131803.3625555</v>
      </c>
      <c r="G25" s="260">
        <v>6008961925.9384193</v>
      </c>
      <c r="K25" t="s">
        <v>431</v>
      </c>
    </row>
    <row r="26" spans="2:11" x14ac:dyDescent="0.25">
      <c r="B26" s="324" t="s">
        <v>442</v>
      </c>
      <c r="C26" s="144">
        <f>C24*(1+C18)</f>
        <v>377905395.51677364</v>
      </c>
      <c r="D26" s="123">
        <f t="shared" ref="D26:G26" si="2">D24*(1+D18)</f>
        <v>367409434.71185124</v>
      </c>
      <c r="E26" s="123">
        <f t="shared" si="2"/>
        <v>368520518.52687657</v>
      </c>
      <c r="F26" s="123">
        <f t="shared" si="2"/>
        <v>371722139.0877713</v>
      </c>
      <c r="G26" s="124">
        <f t="shared" si="2"/>
        <v>367963830.92053723</v>
      </c>
      <c r="K26" t="s">
        <v>443</v>
      </c>
    </row>
    <row r="27" spans="2:11" x14ac:dyDescent="0.25">
      <c r="B27" s="325" t="s">
        <v>441</v>
      </c>
      <c r="C27" s="405">
        <f>C25*(1+C18)</f>
        <v>6635904787.9466286</v>
      </c>
      <c r="D27" s="406">
        <f t="shared" ref="D27:G27" si="3">D25*(1+D18)</f>
        <v>6603281283.5182171</v>
      </c>
      <c r="E27" s="406">
        <f t="shared" si="3"/>
        <v>6575685067.8213959</v>
      </c>
      <c r="F27" s="406">
        <f t="shared" si="3"/>
        <v>6551312873.470048</v>
      </c>
      <c r="G27" s="407">
        <f t="shared" si="3"/>
        <v>6537387327.8129759</v>
      </c>
      <c r="K27" t="s">
        <v>443</v>
      </c>
    </row>
    <row r="29" spans="2:11" x14ac:dyDescent="0.25">
      <c r="B29" s="414" t="s">
        <v>434</v>
      </c>
    </row>
    <row r="30" spans="2:11" x14ac:dyDescent="0.25">
      <c r="B30" s="324" t="s">
        <v>71</v>
      </c>
      <c r="C30" s="144">
        <f>C21-C26</f>
        <v>100395535.5037244</v>
      </c>
      <c r="D30" s="123">
        <f t="shared" ref="D30:G30" si="4">D21-D26</f>
        <v>30357478.20992136</v>
      </c>
      <c r="E30" s="123">
        <f t="shared" si="4"/>
        <v>9726362.5311840773</v>
      </c>
      <c r="F30" s="123">
        <f t="shared" si="4"/>
        <v>-7011222.6042599678</v>
      </c>
      <c r="G30" s="124">
        <f t="shared" si="4"/>
        <v>-19581612.163854003</v>
      </c>
      <c r="K30" t="s">
        <v>440</v>
      </c>
    </row>
    <row r="31" spans="2:11" x14ac:dyDescent="0.25">
      <c r="B31" s="323" t="s">
        <v>435</v>
      </c>
      <c r="C31" s="405">
        <f>C22*C15-C27*C17</f>
        <v>107616573.45509169</v>
      </c>
      <c r="D31" s="406">
        <f t="shared" ref="D31:G31" si="5">D22*D15-D27*D17</f>
        <v>102645791.73463836</v>
      </c>
      <c r="E31" s="406">
        <f t="shared" si="5"/>
        <v>98564403.468756527</v>
      </c>
      <c r="F31" s="406">
        <f t="shared" si="5"/>
        <v>94661259.992280006</v>
      </c>
      <c r="G31" s="407">
        <f t="shared" si="5"/>
        <v>91190966.860235393</v>
      </c>
      <c r="K31" t="s">
        <v>439</v>
      </c>
    </row>
    <row r="32" spans="2:11" x14ac:dyDescent="0.25">
      <c r="B32" s="206" t="s">
        <v>419</v>
      </c>
      <c r="C32" s="411">
        <f>C30+C31</f>
        <v>208012108.95881608</v>
      </c>
      <c r="D32" s="408">
        <f t="shared" ref="D32:G32" si="6">D30+D31</f>
        <v>133003269.94455972</v>
      </c>
      <c r="E32" s="408">
        <f t="shared" si="6"/>
        <v>108290765.9999406</v>
      </c>
      <c r="F32" s="408">
        <f t="shared" si="6"/>
        <v>87650037.388020039</v>
      </c>
      <c r="G32" s="412">
        <f t="shared" si="6"/>
        <v>71609354.69638139</v>
      </c>
      <c r="I32" s="53"/>
    </row>
    <row r="34" spans="2:7" x14ac:dyDescent="0.25">
      <c r="B34" s="82" t="s">
        <v>436</v>
      </c>
      <c r="C34" s="83">
        <f>SUM(C32:G32)</f>
        <v>608565536.98771787</v>
      </c>
    </row>
    <row r="38" spans="2:7" x14ac:dyDescent="0.25">
      <c r="G38" s="48"/>
    </row>
  </sheetData>
  <mergeCells count="1">
    <mergeCell ref="B12:G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election activeCell="K43" sqref="K43"/>
    </sheetView>
  </sheetViews>
  <sheetFormatPr defaultColWidth="9.140625" defaultRowHeight="12.75" x14ac:dyDescent="0.25"/>
  <cols>
    <col min="1" max="16384" width="9.140625" style="28"/>
  </cols>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AC1416"/>
  <sheetViews>
    <sheetView workbookViewId="0">
      <selection activeCell="W26" sqref="W26"/>
    </sheetView>
  </sheetViews>
  <sheetFormatPr defaultRowHeight="15" x14ac:dyDescent="0.25"/>
  <cols>
    <col min="2" max="2" width="12.7109375" customWidth="1"/>
    <col min="3" max="3" width="11" customWidth="1"/>
    <col min="5" max="5" width="4.85546875" customWidth="1"/>
    <col min="6" max="6" width="10.7109375" bestFit="1" customWidth="1"/>
    <col min="7" max="7" width="10.42578125" bestFit="1" customWidth="1"/>
    <col min="9" max="9" width="5.85546875" customWidth="1"/>
    <col min="10" max="10" width="10.7109375" bestFit="1" customWidth="1"/>
    <col min="11" max="11" width="10.42578125" bestFit="1" customWidth="1"/>
    <col min="12" max="12" width="9.42578125" bestFit="1" customWidth="1"/>
    <col min="13" max="13" width="6.140625" customWidth="1"/>
    <col min="14" max="14" width="10.7109375" bestFit="1" customWidth="1"/>
    <col min="15" max="15" width="10.42578125" bestFit="1" customWidth="1"/>
    <col min="16" max="16" width="9.42578125" bestFit="1" customWidth="1"/>
    <col min="17" max="17" width="6.140625" customWidth="1"/>
    <col min="18" max="18" width="10.7109375" bestFit="1" customWidth="1"/>
    <col min="19" max="19" width="10.42578125" bestFit="1" customWidth="1"/>
    <col min="20" max="20" width="9.42578125" bestFit="1" customWidth="1"/>
    <col min="22" max="22" width="13.140625" bestFit="1" customWidth="1"/>
    <col min="23" max="23" width="10.42578125" bestFit="1" customWidth="1"/>
    <col min="24" max="24" width="9.42578125" bestFit="1" customWidth="1"/>
  </cols>
  <sheetData>
    <row r="2" spans="2:29" s="34" customFormat="1" ht="18" x14ac:dyDescent="0.25">
      <c r="B2" s="34" t="s">
        <v>212</v>
      </c>
    </row>
    <row r="4" spans="2:29" x14ac:dyDescent="0.25">
      <c r="B4" t="s">
        <v>38</v>
      </c>
    </row>
    <row r="5" spans="2:29" x14ac:dyDescent="0.25">
      <c r="B5" t="s">
        <v>359</v>
      </c>
    </row>
    <row r="6" spans="2:29" x14ac:dyDescent="0.25">
      <c r="B6" t="s">
        <v>360</v>
      </c>
    </row>
    <row r="7" spans="2:29" x14ac:dyDescent="0.25">
      <c r="B7" t="s">
        <v>351</v>
      </c>
    </row>
    <row r="9" spans="2:29" s="3" customFormat="1" ht="12.75" x14ac:dyDescent="0.25">
      <c r="D9" s="59"/>
      <c r="E9" s="59"/>
      <c r="F9" s="59"/>
      <c r="G9" s="59"/>
      <c r="H9" s="59"/>
      <c r="I9" s="59"/>
      <c r="J9" s="59"/>
      <c r="K9" s="59"/>
      <c r="L9" s="59"/>
      <c r="M9" s="59"/>
      <c r="N9" s="59"/>
      <c r="O9" s="59"/>
      <c r="P9" s="59"/>
      <c r="Q9" s="59"/>
      <c r="R9" s="59"/>
      <c r="S9" s="59"/>
      <c r="T9" s="59"/>
    </row>
    <row r="11" spans="2:29" x14ac:dyDescent="0.25">
      <c r="B11" s="234" t="s">
        <v>202</v>
      </c>
      <c r="C11" s="227" t="s">
        <v>205</v>
      </c>
      <c r="D11" s="228" t="s">
        <v>206</v>
      </c>
      <c r="F11" s="234" t="s">
        <v>202</v>
      </c>
      <c r="G11" s="215" t="s">
        <v>205</v>
      </c>
      <c r="H11" s="216" t="s">
        <v>206</v>
      </c>
      <c r="J11" s="234" t="s">
        <v>202</v>
      </c>
      <c r="K11" s="215" t="s">
        <v>205</v>
      </c>
      <c r="L11" s="216" t="s">
        <v>206</v>
      </c>
      <c r="N11" s="234" t="s">
        <v>202</v>
      </c>
      <c r="O11" s="215" t="s">
        <v>205</v>
      </c>
      <c r="P11" s="216" t="s">
        <v>206</v>
      </c>
      <c r="R11" s="234" t="s">
        <v>202</v>
      </c>
      <c r="S11" s="215" t="s">
        <v>205</v>
      </c>
      <c r="T11" s="216" t="s">
        <v>206</v>
      </c>
      <c r="V11" s="244" t="s">
        <v>202</v>
      </c>
      <c r="W11" t="s">
        <v>214</v>
      </c>
    </row>
    <row r="12" spans="2:29" x14ac:dyDescent="0.25">
      <c r="B12" s="231">
        <v>43832</v>
      </c>
      <c r="C12" s="64">
        <v>-9.5000000000000001E-2</v>
      </c>
      <c r="D12" s="66">
        <v>-0.221</v>
      </c>
      <c r="F12" s="231">
        <v>43466</v>
      </c>
      <c r="G12" s="64">
        <v>0.38600000000000001</v>
      </c>
      <c r="H12" s="66">
        <v>0.24199999999999999</v>
      </c>
      <c r="J12" s="231">
        <v>43101</v>
      </c>
      <c r="K12" s="64">
        <v>0.53100000000000003</v>
      </c>
      <c r="L12" s="66">
        <v>0.42599999999999999</v>
      </c>
      <c r="N12" s="231">
        <v>42737</v>
      </c>
      <c r="O12" s="64">
        <v>0.33300000000000002</v>
      </c>
      <c r="P12" s="66">
        <v>0.19</v>
      </c>
      <c r="R12" s="231">
        <v>42370</v>
      </c>
      <c r="S12" s="64">
        <v>0.79400000000000004</v>
      </c>
      <c r="T12" s="66">
        <v>0.629</v>
      </c>
      <c r="V12" s="243">
        <f>B191</f>
        <v>44074</v>
      </c>
      <c r="W12" s="242">
        <f>AVERAGE(C191:D191)</f>
        <v>-0.33850000000000002</v>
      </c>
    </row>
    <row r="13" spans="2:29" x14ac:dyDescent="0.25">
      <c r="B13" s="232">
        <v>43833</v>
      </c>
      <c r="C13" s="67">
        <v>-0.156</v>
      </c>
      <c r="D13" s="69">
        <v>-0.28000000000000003</v>
      </c>
      <c r="F13" s="232">
        <v>43467</v>
      </c>
      <c r="G13" s="67">
        <v>0.32400000000000001</v>
      </c>
      <c r="H13" s="69">
        <v>0.16500000000000001</v>
      </c>
      <c r="J13" s="232">
        <v>43102</v>
      </c>
      <c r="K13" s="67">
        <v>0.56999999999999995</v>
      </c>
      <c r="L13" s="69">
        <v>0.46400000000000002</v>
      </c>
      <c r="N13" s="232">
        <v>42738</v>
      </c>
      <c r="O13" s="67">
        <v>0.41399999999999998</v>
      </c>
      <c r="P13" s="69">
        <v>0.26600000000000001</v>
      </c>
      <c r="R13" s="232">
        <v>42372</v>
      </c>
      <c r="S13" s="67">
        <v>0.79200000000000004</v>
      </c>
      <c r="T13" s="69">
        <v>0.628</v>
      </c>
    </row>
    <row r="14" spans="2:29" x14ac:dyDescent="0.25">
      <c r="B14" s="232">
        <v>43836</v>
      </c>
      <c r="C14" s="67">
        <v>-0.155</v>
      </c>
      <c r="D14" s="69">
        <v>-0.28599999999999998</v>
      </c>
      <c r="F14" s="232">
        <v>43468</v>
      </c>
      <c r="G14" s="67">
        <v>0.311</v>
      </c>
      <c r="H14" s="69">
        <v>0.152</v>
      </c>
      <c r="J14" s="232">
        <v>43103</v>
      </c>
      <c r="K14" s="67">
        <v>0.54900000000000004</v>
      </c>
      <c r="L14" s="69">
        <v>0.439</v>
      </c>
      <c r="N14" s="232">
        <v>42739</v>
      </c>
      <c r="O14" s="67">
        <v>0.443</v>
      </c>
      <c r="P14" s="69">
        <v>0.27600000000000002</v>
      </c>
      <c r="R14" s="232">
        <v>42373</v>
      </c>
      <c r="S14" s="67">
        <v>0.73399999999999999</v>
      </c>
      <c r="T14" s="69">
        <v>0.56399999999999995</v>
      </c>
      <c r="V14" s="217" t="s">
        <v>286</v>
      </c>
    </row>
    <row r="15" spans="2:29" x14ac:dyDescent="0.25">
      <c r="B15" s="232">
        <v>43837</v>
      </c>
      <c r="C15" s="67">
        <v>-0.154</v>
      </c>
      <c r="D15" s="69">
        <v>-0.28299999999999997</v>
      </c>
      <c r="F15" s="232">
        <v>43469</v>
      </c>
      <c r="G15" s="67">
        <v>0.35199999999999998</v>
      </c>
      <c r="H15" s="69">
        <v>0.20599999999999999</v>
      </c>
      <c r="J15" s="232">
        <v>43104</v>
      </c>
      <c r="K15" s="67">
        <v>0.53200000000000003</v>
      </c>
      <c r="L15" s="69">
        <v>0.433</v>
      </c>
      <c r="N15" s="232">
        <v>42740</v>
      </c>
      <c r="O15" s="67">
        <v>0.42899999999999999</v>
      </c>
      <c r="P15" s="69">
        <v>0.24399999999999999</v>
      </c>
      <c r="R15" s="232">
        <v>42374</v>
      </c>
      <c r="S15" s="67">
        <v>0.73099999999999998</v>
      </c>
      <c r="T15" s="69">
        <v>0.54800000000000004</v>
      </c>
      <c r="V15" s="53"/>
      <c r="W15" s="72">
        <v>2016</v>
      </c>
      <c r="X15" s="72">
        <v>2017</v>
      </c>
      <c r="Y15" s="72">
        <v>2018</v>
      </c>
      <c r="Z15" s="72">
        <v>2019</v>
      </c>
      <c r="AA15" s="72">
        <v>2020</v>
      </c>
      <c r="AB15" s="97" t="s">
        <v>282</v>
      </c>
      <c r="AC15" s="61" t="s">
        <v>284</v>
      </c>
    </row>
    <row r="16" spans="2:29" x14ac:dyDescent="0.25">
      <c r="B16" s="232">
        <v>43838</v>
      </c>
      <c r="C16" s="67">
        <v>-0.122</v>
      </c>
      <c r="D16" s="69">
        <v>-0.24199999999999999</v>
      </c>
      <c r="F16" s="232">
        <v>43472</v>
      </c>
      <c r="G16" s="67">
        <v>0.36599999999999999</v>
      </c>
      <c r="H16" s="69">
        <v>0.221</v>
      </c>
      <c r="J16" s="232">
        <v>43105</v>
      </c>
      <c r="K16" s="67">
        <v>0.54100000000000004</v>
      </c>
      <c r="L16" s="69">
        <v>0.44</v>
      </c>
      <c r="N16" s="232">
        <v>42741</v>
      </c>
      <c r="O16" s="67">
        <v>0.47399999999999998</v>
      </c>
      <c r="P16" s="69">
        <v>0.29899999999999999</v>
      </c>
      <c r="R16" s="232">
        <v>42375</v>
      </c>
      <c r="S16" s="67">
        <v>0.69</v>
      </c>
      <c r="T16" s="69">
        <v>0.51300000000000001</v>
      </c>
      <c r="V16" s="38" t="s">
        <v>205</v>
      </c>
      <c r="W16" s="235">
        <f>AVERAGE(S12:S295)</f>
        <v>0.28733454545454562</v>
      </c>
      <c r="X16" s="236">
        <f>AVERAGE(O12:O295)</f>
        <v>0.50956272401433655</v>
      </c>
      <c r="Y16" s="236">
        <f>AVERAGE(K12:K295)</f>
        <v>0.58156428571428564</v>
      </c>
      <c r="Z16" s="236">
        <f>AVERAGE(G12:G295)</f>
        <v>-6.2167883211678841E-2</v>
      </c>
      <c r="AA16" s="236">
        <f>AVERAGE(C12:C295)</f>
        <v>-0.2612737430167596</v>
      </c>
      <c r="AB16" s="331"/>
      <c r="AC16" s="332"/>
    </row>
    <row r="17" spans="2:29" x14ac:dyDescent="0.25">
      <c r="B17" s="232">
        <v>43839</v>
      </c>
      <c r="C17" s="67">
        <v>-0.1</v>
      </c>
      <c r="D17" s="69">
        <v>-0.218</v>
      </c>
      <c r="F17" s="232">
        <v>43473</v>
      </c>
      <c r="G17" s="67">
        <v>0.375</v>
      </c>
      <c r="H17" s="69">
        <v>0.22600000000000001</v>
      </c>
      <c r="J17" s="232">
        <v>43108</v>
      </c>
      <c r="K17" s="67">
        <v>0.53200000000000003</v>
      </c>
      <c r="L17" s="69">
        <v>0.434</v>
      </c>
      <c r="N17" s="232">
        <v>42744</v>
      </c>
      <c r="O17" s="67">
        <v>0.435</v>
      </c>
      <c r="P17" s="69">
        <v>0.27800000000000002</v>
      </c>
      <c r="R17" s="232">
        <v>42376</v>
      </c>
      <c r="S17" s="67">
        <v>0.74</v>
      </c>
      <c r="T17" s="69">
        <v>0.54500000000000004</v>
      </c>
      <c r="V17" s="38" t="s">
        <v>206</v>
      </c>
      <c r="W17" s="237">
        <f>AVERAGE(T12:T295)</f>
        <v>0.13590405904059039</v>
      </c>
      <c r="X17" s="238">
        <f>AVERAGE(P12:P295)</f>
        <v>0.37648736462093846</v>
      </c>
      <c r="Y17" s="238">
        <f>AVERAGE(L12:L295)</f>
        <v>0.46069708029197093</v>
      </c>
      <c r="Z17" s="238">
        <f>AVERAGE(H12:H295)</f>
        <v>-0.2089208633093525</v>
      </c>
      <c r="AA17" s="238">
        <f>AVERAGE(D12:D295)</f>
        <v>-0.43919318181818173</v>
      </c>
      <c r="AB17" s="331"/>
      <c r="AC17" s="332"/>
    </row>
    <row r="18" spans="2:29" x14ac:dyDescent="0.25">
      <c r="B18" s="232">
        <v>43840</v>
      </c>
      <c r="C18" s="67">
        <v>-0.12</v>
      </c>
      <c r="D18" s="69">
        <v>-0.23499999999999999</v>
      </c>
      <c r="F18" s="232">
        <v>43474</v>
      </c>
      <c r="G18" s="67">
        <v>0.36599999999999999</v>
      </c>
      <c r="H18" s="69">
        <v>0.219</v>
      </c>
      <c r="J18" s="232">
        <v>43109</v>
      </c>
      <c r="K18" s="67">
        <v>0.56000000000000005</v>
      </c>
      <c r="L18" s="69">
        <v>0.46600000000000003</v>
      </c>
      <c r="N18" s="232">
        <v>42745</v>
      </c>
      <c r="O18" s="67">
        <v>0.443</v>
      </c>
      <c r="P18" s="69">
        <v>0.28599999999999998</v>
      </c>
      <c r="R18" s="232">
        <v>42377</v>
      </c>
      <c r="S18" s="67">
        <v>0.69899999999999995</v>
      </c>
      <c r="T18" s="69">
        <v>0.50900000000000001</v>
      </c>
      <c r="V18" s="40" t="s">
        <v>211</v>
      </c>
      <c r="W18" s="239">
        <f>AVERAGE(W16:W17)</f>
        <v>0.211619302247568</v>
      </c>
      <c r="X18" s="240">
        <f t="shared" ref="X18:AA18" si="0">AVERAGE(X16:X17)</f>
        <v>0.44302504431763751</v>
      </c>
      <c r="Y18" s="240">
        <f t="shared" si="0"/>
        <v>0.52113068300312826</v>
      </c>
      <c r="Z18" s="240">
        <f t="shared" si="0"/>
        <v>-0.13554437326051566</v>
      </c>
      <c r="AA18" s="240">
        <f t="shared" si="0"/>
        <v>-0.35023346241747066</v>
      </c>
      <c r="AB18" s="239">
        <f>2/3*AA18+1/3*W12</f>
        <v>-0.34632230827831378</v>
      </c>
      <c r="AC18" s="241">
        <f>W12</f>
        <v>-0.33850000000000002</v>
      </c>
    </row>
    <row r="19" spans="2:29" x14ac:dyDescent="0.25">
      <c r="B19" s="232">
        <v>43843</v>
      </c>
      <c r="C19" s="67">
        <v>-7.5999999999999998E-2</v>
      </c>
      <c r="D19" s="69">
        <v>-0.19500000000000001</v>
      </c>
      <c r="F19" s="232">
        <v>43475</v>
      </c>
      <c r="G19" s="67">
        <v>0.34499999999999997</v>
      </c>
      <c r="H19" s="69">
        <v>0.19700000000000001</v>
      </c>
      <c r="J19" s="232">
        <v>43110</v>
      </c>
      <c r="K19" s="67">
        <v>0.57599999999999996</v>
      </c>
      <c r="L19" s="69">
        <v>0.47299999999999998</v>
      </c>
      <c r="N19" s="232">
        <v>42746</v>
      </c>
      <c r="O19" s="67">
        <v>0.40400000000000003</v>
      </c>
      <c r="P19" s="69">
        <v>0.251</v>
      </c>
      <c r="R19" s="232">
        <v>42379</v>
      </c>
      <c r="S19" s="67">
        <v>0.68899999999999995</v>
      </c>
      <c r="T19" s="69">
        <v>0.50700000000000001</v>
      </c>
    </row>
    <row r="20" spans="2:29" x14ac:dyDescent="0.25">
      <c r="B20" s="232">
        <v>43844</v>
      </c>
      <c r="C20" s="67">
        <v>-9.2999999999999999E-2</v>
      </c>
      <c r="D20" s="69">
        <v>-0.20699999999999999</v>
      </c>
      <c r="F20" s="232">
        <v>43476</v>
      </c>
      <c r="G20" s="67">
        <v>0.33500000000000002</v>
      </c>
      <c r="H20" s="69">
        <v>0.183</v>
      </c>
      <c r="J20" s="232">
        <v>43111</v>
      </c>
      <c r="K20" s="67">
        <v>0.62</v>
      </c>
      <c r="L20" s="69">
        <v>0.51800000000000002</v>
      </c>
      <c r="N20" s="232">
        <v>42747</v>
      </c>
      <c r="O20" s="67">
        <v>0.41</v>
      </c>
      <c r="P20" s="69">
        <v>0.314</v>
      </c>
      <c r="R20" s="232">
        <v>42380</v>
      </c>
      <c r="S20" s="67">
        <v>0.72099999999999997</v>
      </c>
      <c r="T20" s="69">
        <v>0.54300000000000004</v>
      </c>
      <c r="V20" t="s">
        <v>281</v>
      </c>
    </row>
    <row r="21" spans="2:29" x14ac:dyDescent="0.25">
      <c r="B21" s="232">
        <v>43845</v>
      </c>
      <c r="C21" s="67">
        <v>-0.121</v>
      </c>
      <c r="D21" s="69">
        <v>-0.19800000000000001</v>
      </c>
      <c r="F21" s="232">
        <v>43479</v>
      </c>
      <c r="G21" s="67">
        <v>0.33100000000000002</v>
      </c>
      <c r="H21" s="69">
        <v>0.23300000000000001</v>
      </c>
      <c r="J21" s="232">
        <v>43112</v>
      </c>
      <c r="K21" s="67">
        <v>0.60799999999999998</v>
      </c>
      <c r="L21" s="69">
        <v>0.51500000000000001</v>
      </c>
      <c r="N21" s="232">
        <v>42748</v>
      </c>
      <c r="O21" s="67">
        <v>0.442</v>
      </c>
      <c r="P21" s="69">
        <v>0.34</v>
      </c>
      <c r="R21" s="232">
        <v>42381</v>
      </c>
      <c r="S21" s="67">
        <v>0.73199999999999998</v>
      </c>
      <c r="T21" s="69">
        <v>0.53</v>
      </c>
      <c r="V21" t="s">
        <v>283</v>
      </c>
    </row>
    <row r="22" spans="2:29" x14ac:dyDescent="0.25">
      <c r="B22" s="232">
        <v>43846</v>
      </c>
      <c r="C22" s="67">
        <v>-0.13</v>
      </c>
      <c r="D22" s="69">
        <v>-0.216</v>
      </c>
      <c r="F22" s="232">
        <v>43480</v>
      </c>
      <c r="G22" s="67">
        <v>0.31</v>
      </c>
      <c r="H22" s="69">
        <v>0.20799999999999999</v>
      </c>
      <c r="J22" s="232">
        <v>43115</v>
      </c>
      <c r="K22" s="67">
        <v>0.622</v>
      </c>
      <c r="L22" s="69">
        <v>0.58699999999999997</v>
      </c>
      <c r="N22" s="232">
        <v>42751</v>
      </c>
      <c r="O22" s="67">
        <v>0.432</v>
      </c>
      <c r="P22" s="69">
        <v>0.32400000000000001</v>
      </c>
      <c r="R22" s="232">
        <v>42382</v>
      </c>
      <c r="S22" s="67">
        <v>0.70299999999999996</v>
      </c>
      <c r="T22" s="69">
        <v>0.50900000000000001</v>
      </c>
      <c r="V22" t="s">
        <v>285</v>
      </c>
    </row>
    <row r="23" spans="2:29" x14ac:dyDescent="0.25">
      <c r="B23" s="232">
        <v>43847</v>
      </c>
      <c r="C23" s="67">
        <v>-0.124</v>
      </c>
      <c r="D23" s="69">
        <v>-0.214</v>
      </c>
      <c r="F23" s="232">
        <v>43481</v>
      </c>
      <c r="G23" s="67">
        <v>0.33</v>
      </c>
      <c r="H23" s="69">
        <v>0.224</v>
      </c>
      <c r="J23" s="232">
        <v>43116</v>
      </c>
      <c r="K23" s="67">
        <v>0.59499999999999997</v>
      </c>
      <c r="L23" s="69">
        <v>0.55900000000000005</v>
      </c>
      <c r="N23" s="232">
        <v>42752</v>
      </c>
      <c r="O23" s="67">
        <v>0.42299999999999999</v>
      </c>
      <c r="P23" s="69">
        <v>0.31900000000000001</v>
      </c>
      <c r="R23" s="232">
        <v>42383</v>
      </c>
      <c r="S23" s="67">
        <v>0.7</v>
      </c>
      <c r="T23" s="69">
        <v>0.50700000000000001</v>
      </c>
    </row>
    <row r="24" spans="2:29" x14ac:dyDescent="0.25">
      <c r="B24" s="232">
        <v>43850</v>
      </c>
      <c r="C24" s="67">
        <v>-0.124</v>
      </c>
      <c r="D24" s="69">
        <v>-0.218</v>
      </c>
      <c r="F24" s="232">
        <v>43482</v>
      </c>
      <c r="G24" s="67">
        <v>0.35</v>
      </c>
      <c r="H24" s="69">
        <v>0.24299999999999999</v>
      </c>
      <c r="J24" s="232">
        <v>43117</v>
      </c>
      <c r="K24" s="67">
        <v>0.60099999999999998</v>
      </c>
      <c r="L24" s="69">
        <v>0.56200000000000006</v>
      </c>
      <c r="N24" s="232">
        <v>42753</v>
      </c>
      <c r="O24" s="67">
        <v>0.47</v>
      </c>
      <c r="P24" s="69">
        <v>0.35699999999999998</v>
      </c>
      <c r="R24" s="232">
        <v>42384</v>
      </c>
      <c r="S24" s="67">
        <v>0.65400000000000003</v>
      </c>
      <c r="T24" s="69">
        <v>0.47299999999999998</v>
      </c>
      <c r="V24" t="s">
        <v>361</v>
      </c>
    </row>
    <row r="25" spans="2:29" x14ac:dyDescent="0.25">
      <c r="B25" s="232">
        <v>43851</v>
      </c>
      <c r="C25" s="67">
        <v>-0.156</v>
      </c>
      <c r="D25" s="69">
        <v>-0.247</v>
      </c>
      <c r="F25" s="232">
        <v>43483</v>
      </c>
      <c r="G25" s="67">
        <v>0.36099999999999999</v>
      </c>
      <c r="H25" s="69">
        <v>0.26300000000000001</v>
      </c>
      <c r="J25" s="232">
        <v>43118</v>
      </c>
      <c r="K25" s="67">
        <v>0.61</v>
      </c>
      <c r="L25" s="69">
        <v>0.57099999999999995</v>
      </c>
      <c r="N25" s="232">
        <v>42754</v>
      </c>
      <c r="O25" s="67">
        <v>0.48799999999999999</v>
      </c>
      <c r="P25" s="69">
        <v>0.38100000000000001</v>
      </c>
      <c r="R25" s="232">
        <v>42386</v>
      </c>
      <c r="S25" s="67">
        <v>0.66600000000000004</v>
      </c>
      <c r="T25" s="69">
        <v>0.47199999999999998</v>
      </c>
      <c r="V25" t="s">
        <v>362</v>
      </c>
      <c r="Y25" t="s">
        <v>116</v>
      </c>
    </row>
    <row r="26" spans="2:29" x14ac:dyDescent="0.25">
      <c r="B26" s="232">
        <v>43852</v>
      </c>
      <c r="C26" s="67">
        <v>-0.17100000000000001</v>
      </c>
      <c r="D26" s="69">
        <v>-0.26100000000000001</v>
      </c>
      <c r="F26" s="232">
        <v>43486</v>
      </c>
      <c r="G26" s="67">
        <v>0.36099999999999999</v>
      </c>
      <c r="H26" s="69">
        <v>0.254</v>
      </c>
      <c r="J26" s="232">
        <v>43119</v>
      </c>
      <c r="K26" s="67">
        <v>0.60699999999999998</v>
      </c>
      <c r="L26" s="69">
        <v>0.56799999999999995</v>
      </c>
      <c r="N26" s="232">
        <v>42755</v>
      </c>
      <c r="O26" s="67">
        <v>0.53300000000000003</v>
      </c>
      <c r="P26" s="69">
        <v>0.42299999999999999</v>
      </c>
      <c r="R26" s="232">
        <v>42387</v>
      </c>
      <c r="S26" s="67">
        <v>0.66300000000000003</v>
      </c>
      <c r="T26" s="69">
        <v>0.47</v>
      </c>
      <c r="V26" s="53" t="s">
        <v>63</v>
      </c>
      <c r="W26" s="242">
        <f>AVERAGE(O138:P292,K12:L294,G12:H292,C12:D132)</f>
        <v>0.16952481840193692</v>
      </c>
      <c r="Y26" t="s">
        <v>365</v>
      </c>
    </row>
    <row r="27" spans="2:29" x14ac:dyDescent="0.25">
      <c r="B27" s="232">
        <v>43853</v>
      </c>
      <c r="C27" s="67">
        <v>-0.218</v>
      </c>
      <c r="D27" s="69">
        <v>-0.30599999999999999</v>
      </c>
      <c r="F27" s="232">
        <v>43487</v>
      </c>
      <c r="G27" s="67">
        <v>0.34499999999999997</v>
      </c>
      <c r="H27" s="69">
        <v>0.23499999999999999</v>
      </c>
      <c r="J27" s="232">
        <v>43122</v>
      </c>
      <c r="K27" s="67">
        <v>0.60899999999999999</v>
      </c>
      <c r="L27" s="69">
        <v>0.56699999999999995</v>
      </c>
      <c r="N27" s="232">
        <v>42758</v>
      </c>
      <c r="O27" s="67">
        <v>0.47899999999999998</v>
      </c>
      <c r="P27" s="69">
        <v>0.36399999999999999</v>
      </c>
      <c r="R27" s="232">
        <v>42388</v>
      </c>
      <c r="S27" s="67">
        <v>0.66700000000000004</v>
      </c>
      <c r="T27" s="69">
        <v>0.48299999999999998</v>
      </c>
      <c r="V27" s="388" t="s">
        <v>363</v>
      </c>
      <c r="W27" s="389">
        <v>0.16</v>
      </c>
      <c r="Y27" t="s">
        <v>364</v>
      </c>
    </row>
    <row r="28" spans="2:29" x14ac:dyDescent="0.25">
      <c r="B28" s="232">
        <v>43854</v>
      </c>
      <c r="C28" s="67">
        <v>-0.24199999999999999</v>
      </c>
      <c r="D28" s="69">
        <v>-0.33600000000000002</v>
      </c>
      <c r="F28" s="232">
        <v>43488</v>
      </c>
      <c r="G28" s="67">
        <v>0.33</v>
      </c>
      <c r="H28" s="69">
        <v>0.224</v>
      </c>
      <c r="J28" s="232">
        <v>43123</v>
      </c>
      <c r="K28" s="67">
        <v>0.61</v>
      </c>
      <c r="L28" s="69">
        <v>0.56000000000000005</v>
      </c>
      <c r="N28" s="232">
        <v>42759</v>
      </c>
      <c r="O28" s="67">
        <v>0.52</v>
      </c>
      <c r="P28" s="69">
        <v>0.40899999999999997</v>
      </c>
      <c r="R28" s="232">
        <v>42389</v>
      </c>
      <c r="S28" s="67">
        <v>0.61699999999999999</v>
      </c>
      <c r="T28" s="69">
        <v>0.48699999999999999</v>
      </c>
    </row>
    <row r="29" spans="2:29" x14ac:dyDescent="0.25">
      <c r="B29" s="232">
        <v>43857</v>
      </c>
      <c r="C29" s="67">
        <v>-0.28699999999999998</v>
      </c>
      <c r="D29" s="69">
        <v>-0.38500000000000001</v>
      </c>
      <c r="F29" s="232">
        <v>43489</v>
      </c>
      <c r="G29" s="67">
        <v>0.28299999999999997</v>
      </c>
      <c r="H29" s="69">
        <v>0.18</v>
      </c>
      <c r="J29" s="232">
        <v>43124</v>
      </c>
      <c r="K29" s="67">
        <v>0.63</v>
      </c>
      <c r="L29" s="69">
        <v>0.58499999999999996</v>
      </c>
      <c r="N29" s="232">
        <v>42760</v>
      </c>
      <c r="O29" s="67">
        <v>0.58699999999999997</v>
      </c>
      <c r="P29" s="69">
        <v>0.46500000000000002</v>
      </c>
      <c r="R29" s="232">
        <v>42390</v>
      </c>
      <c r="S29" s="67">
        <v>0.57499999999999996</v>
      </c>
      <c r="T29" s="69">
        <v>0.45500000000000002</v>
      </c>
    </row>
    <row r="30" spans="2:29" x14ac:dyDescent="0.25">
      <c r="B30" s="232">
        <v>43858</v>
      </c>
      <c r="C30" s="67">
        <v>-0.25</v>
      </c>
      <c r="D30" s="69">
        <v>-0.379</v>
      </c>
      <c r="F30" s="232">
        <v>43490</v>
      </c>
      <c r="G30" s="67">
        <v>0.29599999999999999</v>
      </c>
      <c r="H30" s="69">
        <v>0.192</v>
      </c>
      <c r="J30" s="232">
        <v>43125</v>
      </c>
      <c r="K30" s="67">
        <v>0.65600000000000003</v>
      </c>
      <c r="L30" s="69">
        <v>0.60899999999999999</v>
      </c>
      <c r="N30" s="232">
        <v>42761</v>
      </c>
      <c r="O30" s="67">
        <v>0.623</v>
      </c>
      <c r="P30" s="69">
        <v>0.48399999999999999</v>
      </c>
      <c r="R30" s="232">
        <v>42391</v>
      </c>
      <c r="S30" s="67">
        <v>0.60099999999999998</v>
      </c>
      <c r="T30" s="69">
        <v>0.48499999999999999</v>
      </c>
    </row>
    <row r="31" spans="2:29" x14ac:dyDescent="0.25">
      <c r="B31" s="232">
        <v>43859</v>
      </c>
      <c r="C31" s="67">
        <v>-0.28100000000000003</v>
      </c>
      <c r="D31" s="69">
        <v>-0.378</v>
      </c>
      <c r="F31" s="232">
        <v>43491</v>
      </c>
      <c r="G31" s="67">
        <v>0.28799999999999998</v>
      </c>
      <c r="H31" s="69">
        <v>0.19</v>
      </c>
      <c r="J31" s="232">
        <v>43126</v>
      </c>
      <c r="K31" s="67">
        <v>0.67</v>
      </c>
      <c r="L31" s="69">
        <v>0.626</v>
      </c>
      <c r="N31" s="232">
        <v>42762</v>
      </c>
      <c r="O31" s="67">
        <v>0.60199999999999998</v>
      </c>
      <c r="P31" s="69">
        <v>0.46300000000000002</v>
      </c>
      <c r="R31" s="232">
        <v>42393</v>
      </c>
      <c r="S31" s="67">
        <v>0.60099999999999998</v>
      </c>
      <c r="T31" s="69"/>
    </row>
    <row r="32" spans="2:29" x14ac:dyDescent="0.25">
      <c r="B32" s="232">
        <v>43860</v>
      </c>
      <c r="C32" s="67">
        <v>-0.31</v>
      </c>
      <c r="D32" s="69">
        <v>-0.40500000000000003</v>
      </c>
      <c r="F32" s="232">
        <v>43493</v>
      </c>
      <c r="G32" s="67">
        <v>0.30299999999999999</v>
      </c>
      <c r="H32" s="69">
        <v>0.20499999999999999</v>
      </c>
      <c r="J32" s="232">
        <v>43127</v>
      </c>
      <c r="K32" s="67"/>
      <c r="L32" s="69">
        <v>0.63200000000000001</v>
      </c>
      <c r="N32" s="232">
        <v>42763</v>
      </c>
      <c r="O32" s="67">
        <v>0.59899999999999998</v>
      </c>
      <c r="P32" s="69"/>
      <c r="R32" s="232">
        <v>42394</v>
      </c>
      <c r="S32" s="67">
        <v>0.58399999999999996</v>
      </c>
      <c r="T32" s="69">
        <v>0.47699999999999998</v>
      </c>
    </row>
    <row r="33" spans="2:20" x14ac:dyDescent="0.25">
      <c r="B33" s="232">
        <v>43861</v>
      </c>
      <c r="C33" s="67">
        <v>-0.34300000000000003</v>
      </c>
      <c r="D33" s="69">
        <v>-0.434</v>
      </c>
      <c r="F33" s="232">
        <v>43494</v>
      </c>
      <c r="G33" s="67">
        <v>0.3</v>
      </c>
      <c r="H33" s="69">
        <v>0.19900000000000001</v>
      </c>
      <c r="J33" s="232">
        <v>43129</v>
      </c>
      <c r="K33" s="67">
        <v>0.74299999999999999</v>
      </c>
      <c r="L33" s="69">
        <v>0.69099999999999995</v>
      </c>
      <c r="N33" s="232">
        <v>42765</v>
      </c>
      <c r="O33" s="67">
        <v>0.60099999999999998</v>
      </c>
      <c r="P33" s="69">
        <v>0.45</v>
      </c>
      <c r="R33" s="232">
        <v>42395</v>
      </c>
      <c r="S33" s="67">
        <v>0.55700000000000005</v>
      </c>
      <c r="T33" s="69">
        <v>0.443</v>
      </c>
    </row>
    <row r="34" spans="2:20" x14ac:dyDescent="0.25">
      <c r="B34" s="232">
        <v>43864</v>
      </c>
      <c r="C34" s="67">
        <v>-0.34300000000000003</v>
      </c>
      <c r="D34" s="69">
        <v>-0.443</v>
      </c>
      <c r="F34" s="232">
        <v>43495</v>
      </c>
      <c r="G34" s="67">
        <v>0.28999999999999998</v>
      </c>
      <c r="H34" s="69">
        <v>0.189</v>
      </c>
      <c r="J34" s="232">
        <v>43130</v>
      </c>
      <c r="K34" s="67">
        <v>0.72799999999999998</v>
      </c>
      <c r="L34" s="69">
        <v>0.68500000000000005</v>
      </c>
      <c r="N34" s="232">
        <v>42766</v>
      </c>
      <c r="O34" s="67">
        <v>0.57699999999999996</v>
      </c>
      <c r="P34" s="69">
        <v>0.437</v>
      </c>
      <c r="R34" s="232">
        <v>42396</v>
      </c>
      <c r="S34" s="67">
        <v>0.56000000000000005</v>
      </c>
      <c r="T34" s="69">
        <v>0.44500000000000001</v>
      </c>
    </row>
    <row r="35" spans="2:20" x14ac:dyDescent="0.25">
      <c r="B35" s="232">
        <v>43865</v>
      </c>
      <c r="C35" s="67">
        <v>-0.3</v>
      </c>
      <c r="D35" s="69">
        <v>-0.39700000000000002</v>
      </c>
      <c r="F35" s="232">
        <v>43496</v>
      </c>
      <c r="G35" s="67">
        <v>0.25600000000000001</v>
      </c>
      <c r="H35" s="69">
        <v>0.14899999999999999</v>
      </c>
      <c r="J35" s="232">
        <v>43131</v>
      </c>
      <c r="K35" s="67">
        <v>0.73799999999999999</v>
      </c>
      <c r="L35" s="69">
        <v>0.69699999999999995</v>
      </c>
      <c r="N35" s="232">
        <v>42767</v>
      </c>
      <c r="O35" s="67">
        <v>0.621</v>
      </c>
      <c r="P35" s="69">
        <v>0.46899999999999997</v>
      </c>
      <c r="R35" s="232">
        <v>42397</v>
      </c>
      <c r="S35" s="67">
        <v>0.52500000000000002</v>
      </c>
      <c r="T35" s="69">
        <v>0.40600000000000003</v>
      </c>
    </row>
    <row r="36" spans="2:20" x14ac:dyDescent="0.25">
      <c r="B36" s="232">
        <v>43866</v>
      </c>
      <c r="C36" s="67">
        <v>-0.26400000000000001</v>
      </c>
      <c r="D36" s="69">
        <v>-0.36</v>
      </c>
      <c r="F36" s="232">
        <v>43497</v>
      </c>
      <c r="G36" s="67">
        <v>0.27100000000000002</v>
      </c>
      <c r="H36" s="69">
        <v>0.16600000000000001</v>
      </c>
      <c r="J36" s="232">
        <v>43132</v>
      </c>
      <c r="K36" s="67">
        <v>0.75600000000000001</v>
      </c>
      <c r="L36" s="69">
        <v>0.72099999999999997</v>
      </c>
      <c r="N36" s="232">
        <v>42768</v>
      </c>
      <c r="O36" s="67">
        <v>0.57199999999999995</v>
      </c>
      <c r="P36" s="69">
        <v>0.42599999999999999</v>
      </c>
      <c r="R36" s="232">
        <v>42398</v>
      </c>
      <c r="S36" s="67">
        <v>0.45</v>
      </c>
      <c r="T36" s="69">
        <v>0.33400000000000002</v>
      </c>
    </row>
    <row r="37" spans="2:20" x14ac:dyDescent="0.25">
      <c r="B37" s="232">
        <v>43867</v>
      </c>
      <c r="C37" s="67">
        <v>-0.26900000000000002</v>
      </c>
      <c r="D37" s="69">
        <v>-0.36699999999999999</v>
      </c>
      <c r="F37" s="232">
        <v>43500</v>
      </c>
      <c r="G37" s="67">
        <v>0.28399999999999997</v>
      </c>
      <c r="H37" s="69">
        <v>0.17599999999999999</v>
      </c>
      <c r="J37" s="232">
        <v>43133</v>
      </c>
      <c r="K37" s="67">
        <v>0.80300000000000005</v>
      </c>
      <c r="L37" s="69">
        <v>0.76800000000000002</v>
      </c>
      <c r="N37" s="232">
        <v>42769</v>
      </c>
      <c r="O37" s="67">
        <v>0.57799999999999996</v>
      </c>
      <c r="P37" s="69">
        <v>0.41199999999999998</v>
      </c>
      <c r="R37" s="232">
        <v>42401</v>
      </c>
      <c r="S37" s="67">
        <v>0.47199999999999998</v>
      </c>
      <c r="T37" s="69">
        <v>0.36</v>
      </c>
    </row>
    <row r="38" spans="2:20" x14ac:dyDescent="0.25">
      <c r="B38" s="232">
        <v>43868</v>
      </c>
      <c r="C38" s="67">
        <v>-0.28499999999999998</v>
      </c>
      <c r="D38" s="69">
        <v>-0.38500000000000001</v>
      </c>
      <c r="F38" s="232">
        <v>43501</v>
      </c>
      <c r="G38" s="67">
        <v>0.27900000000000003</v>
      </c>
      <c r="H38" s="69">
        <v>0.17</v>
      </c>
      <c r="J38" s="232">
        <v>43136</v>
      </c>
      <c r="K38" s="67">
        <v>0.77400000000000002</v>
      </c>
      <c r="L38" s="69">
        <v>0.73499999999999999</v>
      </c>
      <c r="N38" s="232">
        <v>42772</v>
      </c>
      <c r="O38" s="67">
        <v>0.56999999999999995</v>
      </c>
      <c r="P38" s="69">
        <v>0.37</v>
      </c>
      <c r="R38" s="232">
        <v>42402</v>
      </c>
      <c r="S38" s="67">
        <v>0.437</v>
      </c>
      <c r="T38" s="69">
        <v>0.314</v>
      </c>
    </row>
    <row r="39" spans="2:20" x14ac:dyDescent="0.25">
      <c r="B39" s="232">
        <v>43871</v>
      </c>
      <c r="C39" s="67">
        <v>-0.312</v>
      </c>
      <c r="D39" s="69">
        <v>-0.41099999999999998</v>
      </c>
      <c r="F39" s="232">
        <v>43502</v>
      </c>
      <c r="G39" s="67">
        <v>0.27200000000000002</v>
      </c>
      <c r="H39" s="69">
        <v>0.16200000000000001</v>
      </c>
      <c r="J39" s="232">
        <v>43137</v>
      </c>
      <c r="K39" s="67">
        <v>0.73899999999999999</v>
      </c>
      <c r="L39" s="69">
        <v>0.69399999999999995</v>
      </c>
      <c r="N39" s="232">
        <v>42773</v>
      </c>
      <c r="O39" s="67">
        <v>0.54500000000000004</v>
      </c>
      <c r="P39" s="69">
        <v>0.35099999999999998</v>
      </c>
      <c r="R39" s="232">
        <v>42403</v>
      </c>
      <c r="S39" s="67">
        <v>0.41599999999999998</v>
      </c>
      <c r="T39" s="69">
        <v>0.27500000000000002</v>
      </c>
    </row>
    <row r="40" spans="2:20" x14ac:dyDescent="0.25">
      <c r="B40" s="232">
        <v>43872</v>
      </c>
      <c r="C40" s="67">
        <v>-0.29599999999999999</v>
      </c>
      <c r="D40" s="69">
        <v>-0.39200000000000002</v>
      </c>
      <c r="F40" s="232">
        <v>43503</v>
      </c>
      <c r="G40" s="67">
        <v>0.224</v>
      </c>
      <c r="H40" s="69">
        <v>0.11600000000000001</v>
      </c>
      <c r="J40" s="232">
        <v>43138</v>
      </c>
      <c r="K40" s="67">
        <v>0.77500000000000002</v>
      </c>
      <c r="L40" s="69">
        <v>0.74399999999999999</v>
      </c>
      <c r="N40" s="232">
        <v>42774</v>
      </c>
      <c r="O40" s="67">
        <v>0.48499999999999999</v>
      </c>
      <c r="P40" s="69">
        <v>0.29599999999999999</v>
      </c>
      <c r="R40" s="232">
        <v>42404</v>
      </c>
      <c r="S40" s="67">
        <v>0.44400000000000001</v>
      </c>
      <c r="T40" s="69">
        <v>0.308</v>
      </c>
    </row>
    <row r="41" spans="2:20" x14ac:dyDescent="0.25">
      <c r="B41" s="232">
        <v>43873</v>
      </c>
      <c r="C41" s="67">
        <v>-0.28599999999999998</v>
      </c>
      <c r="D41" s="69">
        <v>-0.375</v>
      </c>
      <c r="F41" s="232">
        <v>43504</v>
      </c>
      <c r="G41" s="67">
        <v>0.19500000000000001</v>
      </c>
      <c r="H41" s="69">
        <v>8.7999999999999995E-2</v>
      </c>
      <c r="J41" s="232">
        <v>43139</v>
      </c>
      <c r="K41" s="67">
        <v>0.78800000000000003</v>
      </c>
      <c r="L41" s="69">
        <v>0.76200000000000001</v>
      </c>
      <c r="N41" s="232">
        <v>42775</v>
      </c>
      <c r="O41" s="67">
        <v>0.49</v>
      </c>
      <c r="P41" s="69">
        <v>0.313</v>
      </c>
      <c r="R41" s="232">
        <v>42405</v>
      </c>
      <c r="S41" s="67">
        <v>0.441</v>
      </c>
      <c r="T41" s="69">
        <v>0.30099999999999999</v>
      </c>
    </row>
    <row r="42" spans="2:20" x14ac:dyDescent="0.25">
      <c r="B42" s="232">
        <v>43874</v>
      </c>
      <c r="C42" s="67">
        <v>-0.3</v>
      </c>
      <c r="D42" s="69">
        <v>-0.38600000000000001</v>
      </c>
      <c r="F42" s="232">
        <v>43507</v>
      </c>
      <c r="G42" s="67">
        <v>0.23200000000000001</v>
      </c>
      <c r="H42" s="69">
        <v>0.11899999999999999</v>
      </c>
      <c r="J42" s="232">
        <v>43140</v>
      </c>
      <c r="K42" s="67">
        <v>0.78</v>
      </c>
      <c r="L42" s="69">
        <v>0.747</v>
      </c>
      <c r="N42" s="232">
        <v>42776</v>
      </c>
      <c r="O42" s="67">
        <v>0.51300000000000001</v>
      </c>
      <c r="P42" s="69">
        <v>0.314</v>
      </c>
      <c r="R42" s="232">
        <v>42408</v>
      </c>
      <c r="S42" s="67">
        <v>0.38900000000000001</v>
      </c>
      <c r="T42" s="69">
        <v>0.22500000000000001</v>
      </c>
    </row>
    <row r="43" spans="2:20" x14ac:dyDescent="0.25">
      <c r="B43" s="232">
        <v>43875</v>
      </c>
      <c r="C43" s="67">
        <v>-0.315</v>
      </c>
      <c r="D43" s="69">
        <v>-0.40100000000000002</v>
      </c>
      <c r="F43" s="232">
        <v>43508</v>
      </c>
      <c r="G43" s="67">
        <v>0.23200000000000001</v>
      </c>
      <c r="H43" s="69">
        <v>0.13200000000000001</v>
      </c>
      <c r="J43" s="232">
        <v>43143</v>
      </c>
      <c r="K43" s="67">
        <v>0.78200000000000003</v>
      </c>
      <c r="L43" s="69">
        <v>0.75800000000000001</v>
      </c>
      <c r="N43" s="232">
        <v>42779</v>
      </c>
      <c r="O43" s="67">
        <v>0.51500000000000001</v>
      </c>
      <c r="P43" s="69">
        <v>0.33200000000000002</v>
      </c>
      <c r="R43" s="232">
        <v>42409</v>
      </c>
      <c r="S43" s="67">
        <v>0.39900000000000002</v>
      </c>
      <c r="T43" s="69">
        <v>0.23899999999999999</v>
      </c>
    </row>
    <row r="44" spans="2:20" x14ac:dyDescent="0.25">
      <c r="B44" s="232">
        <v>43878</v>
      </c>
      <c r="C44" s="67">
        <v>-0.313</v>
      </c>
      <c r="D44" s="69">
        <v>-0.40100000000000002</v>
      </c>
      <c r="F44" s="232">
        <v>43509</v>
      </c>
      <c r="G44" s="67">
        <v>0.223</v>
      </c>
      <c r="H44" s="69">
        <v>0.123</v>
      </c>
      <c r="J44" s="232">
        <v>43144</v>
      </c>
      <c r="K44" s="67">
        <v>0.78400000000000003</v>
      </c>
      <c r="L44" s="69">
        <v>0.75</v>
      </c>
      <c r="N44" s="232">
        <v>42780</v>
      </c>
      <c r="O44" s="67">
        <v>0.53100000000000003</v>
      </c>
      <c r="P44" s="69">
        <v>0.36699999999999999</v>
      </c>
      <c r="R44" s="232">
        <v>42410</v>
      </c>
      <c r="S44" s="67">
        <v>0.39500000000000002</v>
      </c>
      <c r="T44" s="69">
        <v>0.25</v>
      </c>
    </row>
    <row r="45" spans="2:20" x14ac:dyDescent="0.25">
      <c r="B45" s="232">
        <v>43879</v>
      </c>
      <c r="C45" s="67">
        <v>-0.32200000000000001</v>
      </c>
      <c r="D45" s="69">
        <v>-0.40600000000000003</v>
      </c>
      <c r="F45" s="232">
        <v>43510</v>
      </c>
      <c r="G45" s="67">
        <v>0.20899999999999999</v>
      </c>
      <c r="H45" s="69">
        <v>0.105</v>
      </c>
      <c r="J45" s="232">
        <v>43145</v>
      </c>
      <c r="K45" s="67">
        <v>0.79500000000000004</v>
      </c>
      <c r="L45" s="69">
        <v>0.76</v>
      </c>
      <c r="N45" s="232">
        <v>42781</v>
      </c>
      <c r="O45" s="67">
        <v>0.53700000000000003</v>
      </c>
      <c r="P45" s="69">
        <v>0.374</v>
      </c>
      <c r="R45" s="232">
        <v>42411</v>
      </c>
      <c r="S45" s="67">
        <v>0.34300000000000003</v>
      </c>
      <c r="T45" s="69">
        <v>0.17699999999999999</v>
      </c>
    </row>
    <row r="46" spans="2:20" x14ac:dyDescent="0.25">
      <c r="B46" s="232">
        <v>43880</v>
      </c>
      <c r="C46" s="67">
        <v>-0.33300000000000002</v>
      </c>
      <c r="D46" s="69">
        <v>-0.42</v>
      </c>
      <c r="F46" s="232">
        <v>43511</v>
      </c>
      <c r="G46" s="67">
        <v>0.20799999999999999</v>
      </c>
      <c r="H46" s="69">
        <v>0.104</v>
      </c>
      <c r="J46" s="232">
        <v>43146</v>
      </c>
      <c r="K46" s="67">
        <v>0.80400000000000005</v>
      </c>
      <c r="L46" s="69">
        <v>0.76500000000000001</v>
      </c>
      <c r="N46" s="232">
        <v>42782</v>
      </c>
      <c r="O46" s="67">
        <v>0.48799999999999999</v>
      </c>
      <c r="P46" s="69">
        <v>0.35099999999999998</v>
      </c>
      <c r="R46" s="232">
        <v>42412</v>
      </c>
      <c r="S46" s="67">
        <v>0.40699999999999997</v>
      </c>
      <c r="T46" s="69">
        <v>0.26500000000000001</v>
      </c>
    </row>
    <row r="47" spans="2:20" x14ac:dyDescent="0.25">
      <c r="B47" s="232">
        <v>43881</v>
      </c>
      <c r="C47" s="67">
        <v>-0.35399999999999998</v>
      </c>
      <c r="D47" s="69">
        <v>-0.443</v>
      </c>
      <c r="F47" s="232">
        <v>43512</v>
      </c>
      <c r="G47" s="67">
        <v>0.20399999999999999</v>
      </c>
      <c r="H47" s="69">
        <v>9.9000000000000005E-2</v>
      </c>
      <c r="J47" s="232">
        <v>43147</v>
      </c>
      <c r="K47" s="67">
        <v>0.754</v>
      </c>
      <c r="L47" s="69">
        <v>0.70699999999999996</v>
      </c>
      <c r="N47" s="232">
        <v>42783</v>
      </c>
      <c r="O47" s="67">
        <v>0.47399999999999998</v>
      </c>
      <c r="P47" s="69">
        <v>0.30199999999999999</v>
      </c>
      <c r="R47" s="232">
        <v>42414</v>
      </c>
      <c r="S47" s="67">
        <v>0.42399999999999999</v>
      </c>
      <c r="T47" s="69">
        <v>0.26400000000000001</v>
      </c>
    </row>
    <row r="48" spans="2:20" x14ac:dyDescent="0.25">
      <c r="B48" s="232">
        <v>43882</v>
      </c>
      <c r="C48" s="67">
        <v>-0.34699999999999998</v>
      </c>
      <c r="D48" s="69">
        <v>-0.42799999999999999</v>
      </c>
      <c r="F48" s="232">
        <v>43514</v>
      </c>
      <c r="G48" s="67">
        <v>0.216</v>
      </c>
      <c r="H48" s="69">
        <v>0.112</v>
      </c>
      <c r="J48" s="232">
        <v>43149</v>
      </c>
      <c r="K48" s="67">
        <v>0.75700000000000001</v>
      </c>
      <c r="L48" s="69">
        <v>0.70699999999999996</v>
      </c>
      <c r="N48" s="232">
        <v>42786</v>
      </c>
      <c r="O48" s="67">
        <v>0.47099999999999997</v>
      </c>
      <c r="P48" s="69">
        <v>0.29699999999999999</v>
      </c>
      <c r="R48" s="232">
        <v>42415</v>
      </c>
      <c r="S48" s="67">
        <v>0.38200000000000001</v>
      </c>
      <c r="T48" s="69">
        <v>0.24</v>
      </c>
    </row>
    <row r="49" spans="2:20" x14ac:dyDescent="0.25">
      <c r="B49" s="232">
        <v>43885</v>
      </c>
      <c r="C49" s="67">
        <v>-0.38500000000000001</v>
      </c>
      <c r="D49" s="69">
        <v>-0.48</v>
      </c>
      <c r="F49" s="232">
        <v>43515</v>
      </c>
      <c r="G49" s="67">
        <v>0.32200000000000001</v>
      </c>
      <c r="H49" s="69">
        <v>0.105</v>
      </c>
      <c r="J49" s="232">
        <v>43150</v>
      </c>
      <c r="K49" s="67">
        <v>0.78800000000000003</v>
      </c>
      <c r="L49" s="69">
        <v>0.73399999999999999</v>
      </c>
      <c r="N49" s="232">
        <v>42787</v>
      </c>
      <c r="O49" s="67">
        <v>0.47199999999999998</v>
      </c>
      <c r="P49" s="69">
        <v>0.30099999999999999</v>
      </c>
      <c r="R49" s="232">
        <v>42416</v>
      </c>
      <c r="S49" s="67">
        <v>0.41399999999999998</v>
      </c>
      <c r="T49" s="69">
        <v>0.26200000000000001</v>
      </c>
    </row>
    <row r="50" spans="2:20" x14ac:dyDescent="0.25">
      <c r="B50" s="232">
        <v>43886</v>
      </c>
      <c r="C50" s="67">
        <v>-0.41</v>
      </c>
      <c r="D50" s="69">
        <v>-0.51</v>
      </c>
      <c r="F50" s="232">
        <v>43516</v>
      </c>
      <c r="G50" s="67">
        <v>0.316</v>
      </c>
      <c r="H50" s="69">
        <v>9.9000000000000005E-2</v>
      </c>
      <c r="J50" s="232">
        <v>43151</v>
      </c>
      <c r="K50" s="67">
        <v>0.79</v>
      </c>
      <c r="L50" s="69">
        <v>0.73699999999999999</v>
      </c>
      <c r="N50" s="232">
        <v>42788</v>
      </c>
      <c r="O50" s="67">
        <v>0.435</v>
      </c>
      <c r="P50" s="69">
        <v>0.27900000000000003</v>
      </c>
      <c r="R50" s="232">
        <v>42417</v>
      </c>
      <c r="S50" s="67">
        <v>0.41899999999999998</v>
      </c>
      <c r="T50" s="69">
        <v>0.27500000000000002</v>
      </c>
    </row>
    <row r="51" spans="2:20" x14ac:dyDescent="0.25">
      <c r="B51" s="232">
        <v>43887</v>
      </c>
      <c r="C51" s="67">
        <v>-0.39600000000000002</v>
      </c>
      <c r="D51" s="69">
        <v>-0.50600000000000001</v>
      </c>
      <c r="F51" s="232">
        <v>43517</v>
      </c>
      <c r="G51" s="67">
        <v>0.33900000000000002</v>
      </c>
      <c r="H51" s="69">
        <v>0.129</v>
      </c>
      <c r="J51" s="232">
        <v>43152</v>
      </c>
      <c r="K51" s="67">
        <v>0.77800000000000002</v>
      </c>
      <c r="L51" s="69">
        <v>0.72299999999999998</v>
      </c>
      <c r="N51" s="232">
        <v>42789</v>
      </c>
      <c r="O51" s="67">
        <v>0.39200000000000002</v>
      </c>
      <c r="P51" s="69">
        <v>0.23200000000000001</v>
      </c>
      <c r="R51" s="232">
        <v>42418</v>
      </c>
      <c r="S51" s="67">
        <v>0.35299999999999998</v>
      </c>
      <c r="T51" s="69">
        <v>0.214</v>
      </c>
    </row>
    <row r="52" spans="2:20" x14ac:dyDescent="0.25">
      <c r="B52" s="232">
        <v>43888</v>
      </c>
      <c r="C52" s="67">
        <v>-0.433</v>
      </c>
      <c r="D52" s="69">
        <v>-0.54100000000000004</v>
      </c>
      <c r="F52" s="232">
        <v>43518</v>
      </c>
      <c r="G52" s="67">
        <v>0.312</v>
      </c>
      <c r="H52" s="69">
        <v>9.4E-2</v>
      </c>
      <c r="J52" s="232">
        <v>43153</v>
      </c>
      <c r="K52" s="67">
        <v>0.75800000000000001</v>
      </c>
      <c r="L52" s="69">
        <v>0.70799999999999996</v>
      </c>
      <c r="N52" s="232">
        <v>42790</v>
      </c>
      <c r="O52" s="67">
        <v>0.32300000000000001</v>
      </c>
      <c r="P52" s="69">
        <v>0.182</v>
      </c>
      <c r="R52" s="232">
        <v>42419</v>
      </c>
      <c r="S52" s="67">
        <v>0.33300000000000002</v>
      </c>
      <c r="T52" s="69">
        <v>0.20499999999999999</v>
      </c>
    </row>
    <row r="53" spans="2:20" x14ac:dyDescent="0.25">
      <c r="B53" s="232">
        <v>43889</v>
      </c>
      <c r="C53" s="67">
        <v>-0.47299999999999998</v>
      </c>
      <c r="D53" s="69">
        <v>-0.60799999999999998</v>
      </c>
      <c r="F53" s="232">
        <v>43521</v>
      </c>
      <c r="G53" s="67">
        <v>0.33</v>
      </c>
      <c r="H53" s="69">
        <v>0.109</v>
      </c>
      <c r="J53" s="232">
        <v>43154</v>
      </c>
      <c r="K53" s="67">
        <v>0.70699999999999996</v>
      </c>
      <c r="L53" s="69">
        <v>0.65400000000000003</v>
      </c>
      <c r="N53" s="232">
        <v>42793</v>
      </c>
      <c r="O53" s="67">
        <v>0.318</v>
      </c>
      <c r="P53" s="69">
        <v>0.19900000000000001</v>
      </c>
      <c r="R53" s="232">
        <v>42422</v>
      </c>
      <c r="S53" s="67">
        <v>0.312</v>
      </c>
      <c r="T53" s="69">
        <v>0.17899999999999999</v>
      </c>
    </row>
    <row r="54" spans="2:20" x14ac:dyDescent="0.25">
      <c r="B54" s="232">
        <v>43892</v>
      </c>
      <c r="C54" s="67">
        <v>-0.48499999999999999</v>
      </c>
      <c r="D54" s="69">
        <v>-0.621</v>
      </c>
      <c r="F54" s="232">
        <v>43522</v>
      </c>
      <c r="G54" s="67">
        <v>0.33500000000000002</v>
      </c>
      <c r="H54" s="69">
        <v>0.11899999999999999</v>
      </c>
      <c r="J54" s="232">
        <v>43157</v>
      </c>
      <c r="K54" s="67">
        <v>0.70399999999999996</v>
      </c>
      <c r="L54" s="69">
        <v>0.65300000000000002</v>
      </c>
      <c r="N54" s="232">
        <v>42794</v>
      </c>
      <c r="O54" s="67">
        <v>0.318</v>
      </c>
      <c r="P54" s="69">
        <v>0.20799999999999999</v>
      </c>
      <c r="R54" s="232">
        <v>42423</v>
      </c>
      <c r="S54" s="67">
        <v>0.32100000000000001</v>
      </c>
      <c r="T54" s="69">
        <v>0.185</v>
      </c>
    </row>
    <row r="55" spans="2:20" x14ac:dyDescent="0.25">
      <c r="B55" s="232">
        <v>43893</v>
      </c>
      <c r="C55" s="67">
        <v>-0.505</v>
      </c>
      <c r="D55" s="69">
        <v>-0.627</v>
      </c>
      <c r="F55" s="232">
        <v>43523</v>
      </c>
      <c r="G55" s="67">
        <v>0.36399999999999999</v>
      </c>
      <c r="H55" s="69">
        <v>0.14799999999999999</v>
      </c>
      <c r="J55" s="232">
        <v>43158</v>
      </c>
      <c r="K55" s="67">
        <v>0.72299999999999998</v>
      </c>
      <c r="L55" s="69">
        <v>0.67700000000000005</v>
      </c>
      <c r="N55" s="232">
        <v>42795</v>
      </c>
      <c r="O55" s="67">
        <v>0.38100000000000001</v>
      </c>
      <c r="P55" s="69">
        <v>0.28199999999999997</v>
      </c>
      <c r="R55" s="232">
        <v>42424</v>
      </c>
      <c r="S55" s="67">
        <v>0.30399999999999999</v>
      </c>
      <c r="T55" s="69">
        <v>0.14899999999999999</v>
      </c>
    </row>
    <row r="56" spans="2:20" x14ac:dyDescent="0.25">
      <c r="B56" s="232">
        <v>43894</v>
      </c>
      <c r="C56" s="67">
        <v>-0.51400000000000001</v>
      </c>
      <c r="D56" s="69">
        <v>-0.63800000000000001</v>
      </c>
      <c r="F56" s="232">
        <v>43524</v>
      </c>
      <c r="G56" s="67">
        <v>0.39700000000000002</v>
      </c>
      <c r="H56" s="69">
        <v>0.182</v>
      </c>
      <c r="J56" s="232">
        <v>43159</v>
      </c>
      <c r="K56" s="67">
        <v>0.70099999999999996</v>
      </c>
      <c r="L56" s="69">
        <v>0.65400000000000003</v>
      </c>
      <c r="N56" s="232">
        <v>42796</v>
      </c>
      <c r="O56" s="67">
        <v>0.40500000000000003</v>
      </c>
      <c r="P56" s="69">
        <v>0.32500000000000001</v>
      </c>
      <c r="R56" s="232">
        <v>42425</v>
      </c>
      <c r="S56" s="67">
        <v>0.29299999999999998</v>
      </c>
      <c r="T56" s="69">
        <v>0.13700000000000001</v>
      </c>
    </row>
    <row r="57" spans="2:20" x14ac:dyDescent="0.25">
      <c r="B57" s="232">
        <v>43895</v>
      </c>
      <c r="C57" s="67">
        <v>-0.54300000000000004</v>
      </c>
      <c r="D57" s="69">
        <v>-0.68300000000000005</v>
      </c>
      <c r="F57" s="232">
        <v>43525</v>
      </c>
      <c r="G57" s="67">
        <v>0.39100000000000001</v>
      </c>
      <c r="H57" s="69">
        <v>0.184</v>
      </c>
      <c r="J57" s="232">
        <v>43160</v>
      </c>
      <c r="K57" s="67">
        <v>0.69099999999999995</v>
      </c>
      <c r="L57" s="69">
        <v>0.64200000000000002</v>
      </c>
      <c r="N57" s="232">
        <v>42797</v>
      </c>
      <c r="O57" s="67">
        <v>0.44900000000000001</v>
      </c>
      <c r="P57" s="69">
        <v>0.35499999999999998</v>
      </c>
      <c r="R57" s="232">
        <v>42426</v>
      </c>
      <c r="S57" s="67">
        <v>0.29499999999999998</v>
      </c>
      <c r="T57" s="69">
        <v>0.14599999999999999</v>
      </c>
    </row>
    <row r="58" spans="2:20" x14ac:dyDescent="0.25">
      <c r="B58" s="232">
        <v>43896</v>
      </c>
      <c r="C58" s="67">
        <v>-0.55700000000000005</v>
      </c>
      <c r="D58" s="69">
        <v>-0.71299999999999997</v>
      </c>
      <c r="F58" s="232">
        <v>43526</v>
      </c>
      <c r="G58" s="67">
        <v>0.39</v>
      </c>
      <c r="H58" s="69">
        <v>0.189</v>
      </c>
      <c r="J58" s="232">
        <v>43161</v>
      </c>
      <c r="K58" s="67">
        <v>0.69899999999999995</v>
      </c>
      <c r="L58" s="69">
        <v>0.64700000000000002</v>
      </c>
      <c r="N58" s="232">
        <v>42798</v>
      </c>
      <c r="O58" s="67">
        <v>0.44400000000000001</v>
      </c>
      <c r="P58" s="69"/>
      <c r="R58" s="232">
        <v>42427</v>
      </c>
      <c r="S58" s="67">
        <v>0.28799999999999998</v>
      </c>
      <c r="T58" s="69">
        <v>0.14599999999999999</v>
      </c>
    </row>
    <row r="59" spans="2:20" x14ac:dyDescent="0.25">
      <c r="B59" s="232">
        <v>43897</v>
      </c>
      <c r="C59" s="67"/>
      <c r="D59" s="69">
        <v>-0.71199999999999997</v>
      </c>
      <c r="F59" s="232">
        <v>43528</v>
      </c>
      <c r="G59" s="67">
        <v>0.36299999999999999</v>
      </c>
      <c r="H59" s="69">
        <v>0.16400000000000001</v>
      </c>
      <c r="J59" s="232">
        <v>43162</v>
      </c>
      <c r="K59" s="67">
        <v>0.68899999999999995</v>
      </c>
      <c r="L59" s="69"/>
      <c r="N59" s="232">
        <v>42800</v>
      </c>
      <c r="O59" s="67">
        <v>0.44400000000000001</v>
      </c>
      <c r="P59" s="69">
        <v>0.34</v>
      </c>
      <c r="R59" s="232">
        <v>42429</v>
      </c>
      <c r="S59" s="67">
        <v>0.247</v>
      </c>
      <c r="T59" s="69">
        <v>0.108</v>
      </c>
    </row>
    <row r="60" spans="2:20" x14ac:dyDescent="0.25">
      <c r="B60" s="232">
        <v>43899</v>
      </c>
      <c r="C60" s="67">
        <v>-0.63500000000000001</v>
      </c>
      <c r="D60" s="69">
        <v>-0.85399999999999998</v>
      </c>
      <c r="F60" s="232">
        <v>43529</v>
      </c>
      <c r="G60" s="67">
        <v>0.373</v>
      </c>
      <c r="H60" s="69">
        <v>0.16700000000000001</v>
      </c>
      <c r="J60" s="232">
        <v>43164</v>
      </c>
      <c r="K60" s="67">
        <v>0.69099999999999995</v>
      </c>
      <c r="L60" s="69">
        <v>0.64600000000000002</v>
      </c>
      <c r="N60" s="232">
        <v>42801</v>
      </c>
      <c r="O60" s="67">
        <v>0.436</v>
      </c>
      <c r="P60" s="69">
        <v>0.32</v>
      </c>
      <c r="R60" s="232">
        <v>42430</v>
      </c>
      <c r="S60" s="67">
        <v>0.28699999999999998</v>
      </c>
      <c r="T60" s="69">
        <v>0.15</v>
      </c>
    </row>
    <row r="61" spans="2:20" x14ac:dyDescent="0.25">
      <c r="B61" s="232">
        <v>43900</v>
      </c>
      <c r="C61" s="67">
        <v>-0.57099999999999995</v>
      </c>
      <c r="D61" s="69">
        <v>-0.80100000000000005</v>
      </c>
      <c r="F61" s="232">
        <v>43530</v>
      </c>
      <c r="G61" s="67">
        <v>0.32900000000000001</v>
      </c>
      <c r="H61" s="69">
        <v>0.128</v>
      </c>
      <c r="J61" s="232">
        <v>43165</v>
      </c>
      <c r="K61" s="67">
        <v>0.71699999999999997</v>
      </c>
      <c r="L61" s="69">
        <v>0.67600000000000005</v>
      </c>
      <c r="N61" s="232">
        <v>42802</v>
      </c>
      <c r="O61" s="67">
        <v>0.47699999999999998</v>
      </c>
      <c r="P61" s="69">
        <v>0.36899999999999999</v>
      </c>
      <c r="R61" s="232">
        <v>42431</v>
      </c>
      <c r="S61" s="67">
        <v>0.33700000000000002</v>
      </c>
      <c r="T61" s="69">
        <v>0.21299999999999999</v>
      </c>
    </row>
    <row r="62" spans="2:20" x14ac:dyDescent="0.25">
      <c r="B62" s="232">
        <v>43901</v>
      </c>
      <c r="C62" s="67">
        <v>-0.54900000000000004</v>
      </c>
      <c r="D62" s="69">
        <v>-0.746</v>
      </c>
      <c r="F62" s="232">
        <v>43531</v>
      </c>
      <c r="G62" s="67">
        <v>0.26700000000000002</v>
      </c>
      <c r="H62" s="69">
        <v>6.6000000000000003E-2</v>
      </c>
      <c r="J62" s="232">
        <v>43166</v>
      </c>
      <c r="K62" s="67">
        <v>0.69899999999999995</v>
      </c>
      <c r="L62" s="69">
        <v>0.65400000000000003</v>
      </c>
      <c r="N62" s="232">
        <v>42803</v>
      </c>
      <c r="O62" s="67">
        <v>0.51500000000000001</v>
      </c>
      <c r="P62" s="69">
        <v>0.42499999999999999</v>
      </c>
      <c r="R62" s="232">
        <v>42432</v>
      </c>
      <c r="S62" s="67">
        <v>0.33100000000000002</v>
      </c>
      <c r="T62" s="69">
        <v>0.17100000000000001</v>
      </c>
    </row>
    <row r="63" spans="2:20" x14ac:dyDescent="0.25">
      <c r="B63" s="232">
        <v>43902</v>
      </c>
      <c r="C63" s="67">
        <v>-0.51300000000000001</v>
      </c>
      <c r="D63" s="69">
        <v>-0.74299999999999999</v>
      </c>
      <c r="F63" s="232">
        <v>43532</v>
      </c>
      <c r="G63" s="67">
        <v>0.26</v>
      </c>
      <c r="H63" s="69">
        <v>7.0999999999999994E-2</v>
      </c>
      <c r="J63" s="232">
        <v>43167</v>
      </c>
      <c r="K63" s="67">
        <v>0.66800000000000004</v>
      </c>
      <c r="L63" s="69">
        <v>0.63</v>
      </c>
      <c r="N63" s="232">
        <v>42804</v>
      </c>
      <c r="O63" s="67">
        <v>0.58199999999999996</v>
      </c>
      <c r="P63" s="69">
        <v>0.48399999999999999</v>
      </c>
      <c r="R63" s="232">
        <v>42433</v>
      </c>
      <c r="S63" s="67">
        <v>0.36699999999999999</v>
      </c>
      <c r="T63" s="69">
        <v>0.23899999999999999</v>
      </c>
    </row>
    <row r="64" spans="2:20" x14ac:dyDescent="0.25">
      <c r="B64" s="232">
        <v>43903</v>
      </c>
      <c r="C64" s="67">
        <v>-0.33900000000000002</v>
      </c>
      <c r="D64" s="69">
        <v>-0.54800000000000004</v>
      </c>
      <c r="F64" s="232">
        <v>43533</v>
      </c>
      <c r="G64" s="67">
        <v>0.25800000000000001</v>
      </c>
      <c r="H64" s="69">
        <v>7.0999999999999994E-2</v>
      </c>
      <c r="J64" s="232">
        <v>43168</v>
      </c>
      <c r="K64" s="67">
        <v>0.68700000000000006</v>
      </c>
      <c r="L64" s="69">
        <v>0.64400000000000002</v>
      </c>
      <c r="N64" s="232">
        <v>42807</v>
      </c>
      <c r="O64" s="67">
        <v>0.56799999999999995</v>
      </c>
      <c r="P64" s="69">
        <v>0.47199999999999998</v>
      </c>
      <c r="R64" s="232">
        <v>42436</v>
      </c>
      <c r="S64" s="67">
        <v>0.35099999999999998</v>
      </c>
      <c r="T64" s="69">
        <v>0.218</v>
      </c>
    </row>
    <row r="65" spans="2:20" x14ac:dyDescent="0.25">
      <c r="B65" s="232">
        <v>43906</v>
      </c>
      <c r="C65" s="67">
        <v>-0.191</v>
      </c>
      <c r="D65" s="69">
        <v>-0.46100000000000002</v>
      </c>
      <c r="F65" s="232">
        <v>43535</v>
      </c>
      <c r="G65" s="67">
        <v>0.25700000000000001</v>
      </c>
      <c r="H65" s="69">
        <v>6.7000000000000004E-2</v>
      </c>
      <c r="J65" s="232">
        <v>43169</v>
      </c>
      <c r="K65" s="67">
        <v>0.67900000000000005</v>
      </c>
      <c r="L65" s="69"/>
      <c r="N65" s="232">
        <v>42808</v>
      </c>
      <c r="O65" s="67">
        <v>0.55100000000000005</v>
      </c>
      <c r="P65" s="69">
        <v>0.44800000000000001</v>
      </c>
      <c r="R65" s="232">
        <v>42437</v>
      </c>
      <c r="S65" s="67">
        <v>0.29599999999999999</v>
      </c>
      <c r="T65" s="69">
        <v>0.17899999999999999</v>
      </c>
    </row>
    <row r="66" spans="2:20" x14ac:dyDescent="0.25">
      <c r="B66" s="232">
        <v>43907</v>
      </c>
      <c r="C66" s="67">
        <v>-8.7999999999999995E-2</v>
      </c>
      <c r="D66" s="69">
        <v>-0.432</v>
      </c>
      <c r="F66" s="232">
        <v>43536</v>
      </c>
      <c r="G66" s="67">
        <v>0.253</v>
      </c>
      <c r="H66" s="69">
        <v>5.3999999999999999E-2</v>
      </c>
      <c r="J66" s="232">
        <v>43171</v>
      </c>
      <c r="K66" s="67">
        <v>0.67200000000000004</v>
      </c>
      <c r="L66" s="69">
        <v>0.63500000000000001</v>
      </c>
      <c r="N66" s="232">
        <v>42809</v>
      </c>
      <c r="O66" s="67">
        <v>0.502</v>
      </c>
      <c r="P66" s="69">
        <v>0.41399999999999998</v>
      </c>
      <c r="R66" s="232">
        <v>42438</v>
      </c>
      <c r="S66" s="67">
        <v>0.35</v>
      </c>
      <c r="T66" s="69">
        <v>0.23799999999999999</v>
      </c>
    </row>
    <row r="67" spans="2:20" x14ac:dyDescent="0.25">
      <c r="B67" s="232">
        <v>43908</v>
      </c>
      <c r="C67" s="67">
        <v>8.2000000000000003E-2</v>
      </c>
      <c r="D67" s="69">
        <v>-0.23</v>
      </c>
      <c r="F67" s="232">
        <v>43537</v>
      </c>
      <c r="G67" s="67">
        <v>0.25800000000000001</v>
      </c>
      <c r="H67" s="69">
        <v>6.3E-2</v>
      </c>
      <c r="J67" s="232">
        <v>43172</v>
      </c>
      <c r="K67" s="67">
        <v>0.66200000000000003</v>
      </c>
      <c r="L67" s="69">
        <v>0.62</v>
      </c>
      <c r="N67" s="232">
        <v>42810</v>
      </c>
      <c r="O67" s="67">
        <v>0.53600000000000003</v>
      </c>
      <c r="P67" s="69">
        <v>0.44900000000000001</v>
      </c>
      <c r="R67" s="232">
        <v>42439</v>
      </c>
      <c r="S67" s="67">
        <v>0.42699999999999999</v>
      </c>
      <c r="T67" s="69">
        <v>0.29699999999999999</v>
      </c>
    </row>
    <row r="68" spans="2:20" x14ac:dyDescent="0.25">
      <c r="B68" s="232">
        <v>43909</v>
      </c>
      <c r="C68" s="67">
        <v>7.1999999999999995E-2</v>
      </c>
      <c r="D68" s="69">
        <v>-0.245</v>
      </c>
      <c r="F68" s="232">
        <v>43538</v>
      </c>
      <c r="G68" s="67">
        <v>0.27800000000000002</v>
      </c>
      <c r="H68" s="69">
        <v>8.5000000000000006E-2</v>
      </c>
      <c r="J68" s="232">
        <v>43173</v>
      </c>
      <c r="K68" s="67">
        <v>0.63900000000000001</v>
      </c>
      <c r="L68" s="69">
        <v>0.59199999999999997</v>
      </c>
      <c r="N68" s="232">
        <v>42811</v>
      </c>
      <c r="O68" s="67">
        <v>0.52500000000000002</v>
      </c>
      <c r="P68" s="69">
        <v>0.436</v>
      </c>
      <c r="R68" s="232">
        <v>42440</v>
      </c>
      <c r="S68" s="67">
        <v>0.36099999999999999</v>
      </c>
      <c r="T68" s="69">
        <v>0.28000000000000003</v>
      </c>
    </row>
    <row r="69" spans="2:20" x14ac:dyDescent="0.25">
      <c r="B69" s="232">
        <v>43910</v>
      </c>
      <c r="C69" s="67">
        <v>-8.7999999999999995E-2</v>
      </c>
      <c r="D69" s="69">
        <v>-0.32600000000000001</v>
      </c>
      <c r="F69" s="232">
        <v>43539</v>
      </c>
      <c r="G69" s="67">
        <v>0.28199999999999997</v>
      </c>
      <c r="H69" s="69">
        <v>8.3000000000000004E-2</v>
      </c>
      <c r="J69" s="232">
        <v>43174</v>
      </c>
      <c r="K69" s="67">
        <v>0.74099999999999999</v>
      </c>
      <c r="L69" s="69">
        <v>0.57399999999999995</v>
      </c>
      <c r="N69" s="232">
        <v>42812</v>
      </c>
      <c r="O69" s="67">
        <v>0.53</v>
      </c>
      <c r="P69" s="69">
        <v>0.434</v>
      </c>
      <c r="R69" s="232">
        <v>42443</v>
      </c>
      <c r="S69" s="67">
        <v>0.36399999999999999</v>
      </c>
      <c r="T69" s="69">
        <v>0.28000000000000003</v>
      </c>
    </row>
    <row r="70" spans="2:20" x14ac:dyDescent="0.25">
      <c r="B70" s="232">
        <v>43913</v>
      </c>
      <c r="C70" s="67">
        <v>-0.129</v>
      </c>
      <c r="D70" s="69">
        <v>-0.39100000000000001</v>
      </c>
      <c r="F70" s="232">
        <v>43540</v>
      </c>
      <c r="G70" s="67"/>
      <c r="H70" s="69">
        <v>8.4000000000000005E-2</v>
      </c>
      <c r="J70" s="232">
        <v>43175</v>
      </c>
      <c r="K70" s="67">
        <v>0.73499999999999999</v>
      </c>
      <c r="L70" s="69">
        <v>0.57099999999999995</v>
      </c>
      <c r="N70" s="232">
        <v>42814</v>
      </c>
      <c r="O70" s="67">
        <v>0.52800000000000002</v>
      </c>
      <c r="P70" s="69">
        <v>0.439</v>
      </c>
      <c r="R70" s="232">
        <v>42444</v>
      </c>
      <c r="S70" s="67">
        <v>0.40100000000000002</v>
      </c>
      <c r="T70" s="69">
        <v>0.316</v>
      </c>
    </row>
    <row r="71" spans="2:20" x14ac:dyDescent="0.25">
      <c r="B71" s="232">
        <v>43914</v>
      </c>
      <c r="C71" s="67">
        <v>-9.6000000000000002E-2</v>
      </c>
      <c r="D71" s="69">
        <v>-0.32500000000000001</v>
      </c>
      <c r="F71" s="232">
        <v>43542</v>
      </c>
      <c r="G71" s="67">
        <v>0.27300000000000002</v>
      </c>
      <c r="H71" s="69">
        <v>8.5000000000000006E-2</v>
      </c>
      <c r="J71" s="232">
        <v>43176</v>
      </c>
      <c r="K71" s="67">
        <v>0.73799999999999999</v>
      </c>
      <c r="L71" s="69"/>
      <c r="N71" s="232">
        <v>42815</v>
      </c>
      <c r="O71" s="67">
        <v>0.53700000000000003</v>
      </c>
      <c r="P71" s="69">
        <v>0.45900000000000002</v>
      </c>
      <c r="R71" s="232">
        <v>42445</v>
      </c>
      <c r="S71" s="67">
        <v>0.38400000000000001</v>
      </c>
      <c r="T71" s="69">
        <v>0.31</v>
      </c>
    </row>
    <row r="72" spans="2:20" x14ac:dyDescent="0.25">
      <c r="B72" s="232">
        <v>43915</v>
      </c>
      <c r="C72" s="67">
        <v>0.01</v>
      </c>
      <c r="D72" s="69">
        <v>-0.26400000000000001</v>
      </c>
      <c r="F72" s="232">
        <v>43543</v>
      </c>
      <c r="G72" s="67">
        <v>0.30099999999999999</v>
      </c>
      <c r="H72" s="69">
        <v>0.10100000000000001</v>
      </c>
      <c r="J72" s="232">
        <v>43178</v>
      </c>
      <c r="K72" s="67">
        <v>0.72599999999999998</v>
      </c>
      <c r="L72" s="69">
        <v>0.56899999999999995</v>
      </c>
      <c r="N72" s="232">
        <v>42816</v>
      </c>
      <c r="O72" s="67">
        <v>0.49399999999999999</v>
      </c>
      <c r="P72" s="69">
        <v>0.40699999999999997</v>
      </c>
      <c r="R72" s="232">
        <v>42446</v>
      </c>
      <c r="S72" s="67">
        <v>0.33200000000000002</v>
      </c>
      <c r="T72" s="69">
        <v>0.23300000000000001</v>
      </c>
    </row>
    <row r="73" spans="2:20" x14ac:dyDescent="0.25">
      <c r="B73" s="232">
        <v>43916</v>
      </c>
      <c r="C73" s="67">
        <v>-0.11</v>
      </c>
      <c r="D73" s="69">
        <v>-0.36</v>
      </c>
      <c r="F73" s="232">
        <v>43544</v>
      </c>
      <c r="G73" s="67">
        <v>0.27700000000000002</v>
      </c>
      <c r="H73" s="69">
        <v>8.3000000000000004E-2</v>
      </c>
      <c r="J73" s="232">
        <v>43179</v>
      </c>
      <c r="K73" s="67">
        <v>0.73699999999999999</v>
      </c>
      <c r="L73" s="69">
        <v>0.58399999999999996</v>
      </c>
      <c r="N73" s="232">
        <v>42817</v>
      </c>
      <c r="O73" s="67">
        <v>0.50600000000000001</v>
      </c>
      <c r="P73" s="69">
        <v>0.43099999999999999</v>
      </c>
      <c r="R73" s="232">
        <v>42447</v>
      </c>
      <c r="S73" s="67">
        <v>0.314</v>
      </c>
      <c r="T73" s="69">
        <v>0.218</v>
      </c>
    </row>
    <row r="74" spans="2:20" x14ac:dyDescent="0.25">
      <c r="B74" s="232">
        <v>43917</v>
      </c>
      <c r="C74" s="67">
        <v>-0.22700000000000001</v>
      </c>
      <c r="D74" s="69">
        <v>-0.47499999999999998</v>
      </c>
      <c r="F74" s="232">
        <v>43545</v>
      </c>
      <c r="G74" s="67">
        <v>0.23300000000000001</v>
      </c>
      <c r="H74" s="69">
        <v>4.2000000000000003E-2</v>
      </c>
      <c r="J74" s="232">
        <v>43180</v>
      </c>
      <c r="K74" s="67">
        <v>0.749</v>
      </c>
      <c r="L74" s="69">
        <v>0.59199999999999997</v>
      </c>
      <c r="N74" s="232">
        <v>42818</v>
      </c>
      <c r="O74" s="67">
        <v>0.48699999999999999</v>
      </c>
      <c r="P74" s="69">
        <v>0.40600000000000003</v>
      </c>
      <c r="R74" s="232">
        <v>42449</v>
      </c>
      <c r="S74" s="67">
        <v>0.308</v>
      </c>
      <c r="T74" s="69"/>
    </row>
    <row r="75" spans="2:20" x14ac:dyDescent="0.25">
      <c r="B75" s="232">
        <v>43920</v>
      </c>
      <c r="C75" s="67">
        <v>-0.245</v>
      </c>
      <c r="D75" s="69">
        <v>-0.496</v>
      </c>
      <c r="F75" s="232">
        <v>43546</v>
      </c>
      <c r="G75" s="67">
        <v>0.17599999999999999</v>
      </c>
      <c r="H75" s="69">
        <v>-1.2E-2</v>
      </c>
      <c r="J75" s="232">
        <v>43181</v>
      </c>
      <c r="K75" s="67">
        <v>0.68700000000000006</v>
      </c>
      <c r="L75" s="69">
        <v>0.52900000000000003</v>
      </c>
      <c r="N75" s="232">
        <v>42819</v>
      </c>
      <c r="O75" s="67">
        <v>0.48499999999999999</v>
      </c>
      <c r="P75" s="69"/>
      <c r="R75" s="232">
        <v>42450</v>
      </c>
      <c r="S75" s="67">
        <v>0.316</v>
      </c>
      <c r="T75" s="69">
        <v>0.23100000000000001</v>
      </c>
    </row>
    <row r="76" spans="2:20" x14ac:dyDescent="0.25">
      <c r="B76" s="232">
        <v>43921</v>
      </c>
      <c r="C76" s="67">
        <v>-0.215</v>
      </c>
      <c r="D76" s="69">
        <v>-0.46899999999999997</v>
      </c>
      <c r="F76" s="232">
        <v>43549</v>
      </c>
      <c r="G76" s="67">
        <v>0.16200000000000001</v>
      </c>
      <c r="H76" s="69">
        <v>-2.8000000000000001E-2</v>
      </c>
      <c r="J76" s="232">
        <v>43182</v>
      </c>
      <c r="K76" s="67">
        <v>0.68200000000000005</v>
      </c>
      <c r="L76" s="69">
        <v>0.52500000000000002</v>
      </c>
      <c r="N76" s="232">
        <v>42820</v>
      </c>
      <c r="O76" s="67">
        <v>0.48499999999999999</v>
      </c>
      <c r="P76" s="69">
        <v>0.40300000000000002</v>
      </c>
      <c r="R76" s="232">
        <v>42451</v>
      </c>
      <c r="S76" s="67">
        <v>0.30099999999999999</v>
      </c>
      <c r="T76" s="69">
        <v>0.21</v>
      </c>
    </row>
    <row r="77" spans="2:20" x14ac:dyDescent="0.25">
      <c r="B77" s="232">
        <v>43922</v>
      </c>
      <c r="C77" s="67">
        <v>-0.19800000000000001</v>
      </c>
      <c r="D77" s="69">
        <v>-0.46300000000000002</v>
      </c>
      <c r="F77" s="232">
        <v>43550</v>
      </c>
      <c r="G77" s="67">
        <v>0.17899999999999999</v>
      </c>
      <c r="H77" s="69">
        <v>-1.4999999999999999E-2</v>
      </c>
      <c r="J77" s="232">
        <v>43183</v>
      </c>
      <c r="K77" s="67">
        <v>0.68</v>
      </c>
      <c r="L77" s="69">
        <v>0.52800000000000002</v>
      </c>
      <c r="N77" s="232">
        <v>42821</v>
      </c>
      <c r="O77" s="67">
        <v>0.48299999999999998</v>
      </c>
      <c r="P77" s="69">
        <v>0.40500000000000003</v>
      </c>
      <c r="R77" s="232">
        <v>42452</v>
      </c>
      <c r="S77" s="67">
        <v>0.29499999999999998</v>
      </c>
      <c r="T77" s="69">
        <v>0.19800000000000001</v>
      </c>
    </row>
    <row r="78" spans="2:20" x14ac:dyDescent="0.25">
      <c r="B78" s="232">
        <v>43923</v>
      </c>
      <c r="C78" s="67">
        <v>-0.16200000000000001</v>
      </c>
      <c r="D78" s="69">
        <v>-0.436</v>
      </c>
      <c r="F78" s="232">
        <v>43551</v>
      </c>
      <c r="G78" s="67">
        <v>0.12</v>
      </c>
      <c r="H78" s="69">
        <v>-8.1000000000000003E-2</v>
      </c>
      <c r="J78" s="232">
        <v>43185</v>
      </c>
      <c r="K78" s="67">
        <v>0.67700000000000005</v>
      </c>
      <c r="L78" s="69">
        <v>0.52200000000000002</v>
      </c>
      <c r="N78" s="232">
        <v>42822</v>
      </c>
      <c r="O78" s="67">
        <v>0.47199999999999998</v>
      </c>
      <c r="P78" s="69">
        <v>0.38900000000000001</v>
      </c>
      <c r="R78" s="232">
        <v>42453</v>
      </c>
      <c r="S78" s="67">
        <v>0.27400000000000002</v>
      </c>
      <c r="T78" s="69">
        <v>0.17899999999999999</v>
      </c>
    </row>
    <row r="79" spans="2:20" x14ac:dyDescent="0.25">
      <c r="B79" s="232">
        <v>43924</v>
      </c>
      <c r="C79" s="67">
        <v>-0.159</v>
      </c>
      <c r="D79" s="69">
        <v>-0.441</v>
      </c>
      <c r="F79" s="232">
        <v>43552</v>
      </c>
      <c r="G79" s="67">
        <v>0.13</v>
      </c>
      <c r="H79" s="69">
        <v>-7.0999999999999994E-2</v>
      </c>
      <c r="J79" s="232">
        <v>43186</v>
      </c>
      <c r="K79" s="67">
        <v>0.65400000000000003</v>
      </c>
      <c r="L79" s="69">
        <v>0.502</v>
      </c>
      <c r="N79" s="232">
        <v>42823</v>
      </c>
      <c r="O79" s="67">
        <v>0.436</v>
      </c>
      <c r="P79" s="69">
        <v>0.34599999999999997</v>
      </c>
      <c r="R79" s="232">
        <v>42454</v>
      </c>
      <c r="S79" s="67">
        <v>0.27700000000000002</v>
      </c>
      <c r="T79" s="69"/>
    </row>
    <row r="80" spans="2:20" x14ac:dyDescent="0.25">
      <c r="B80" s="232">
        <v>43927</v>
      </c>
      <c r="C80" s="67">
        <v>-0.15</v>
      </c>
      <c r="D80" s="69">
        <v>-0.42399999999999999</v>
      </c>
      <c r="F80" s="232">
        <v>43553</v>
      </c>
      <c r="G80" s="67">
        <v>0.129</v>
      </c>
      <c r="H80" s="69">
        <v>-7.0999999999999994E-2</v>
      </c>
      <c r="J80" s="232">
        <v>43187</v>
      </c>
      <c r="K80" s="67">
        <v>0.65300000000000002</v>
      </c>
      <c r="L80" s="69">
        <v>0.503</v>
      </c>
      <c r="N80" s="232">
        <v>42824</v>
      </c>
      <c r="O80" s="67">
        <v>0.43099999999999999</v>
      </c>
      <c r="P80" s="69">
        <v>0.34200000000000003</v>
      </c>
      <c r="R80" s="232">
        <v>42457</v>
      </c>
      <c r="S80" s="67">
        <v>0.27300000000000002</v>
      </c>
      <c r="T80" s="69"/>
    </row>
    <row r="81" spans="2:20" x14ac:dyDescent="0.25">
      <c r="B81" s="232">
        <v>43928</v>
      </c>
      <c r="C81" s="67">
        <v>-5.0999999999999997E-2</v>
      </c>
      <c r="D81" s="69">
        <v>-0.31</v>
      </c>
      <c r="F81" s="232">
        <v>43554</v>
      </c>
      <c r="G81" s="67"/>
      <c r="H81" s="69">
        <v>-6.8000000000000005E-2</v>
      </c>
      <c r="J81" s="232">
        <v>43188</v>
      </c>
      <c r="K81" s="67">
        <v>0.64</v>
      </c>
      <c r="L81" s="69">
        <v>0.49299999999999999</v>
      </c>
      <c r="N81" s="232">
        <v>42825</v>
      </c>
      <c r="O81" s="67">
        <v>0.42499999999999999</v>
      </c>
      <c r="P81" s="69">
        <v>0.33100000000000002</v>
      </c>
      <c r="R81" s="232">
        <v>42458</v>
      </c>
      <c r="S81" s="67">
        <v>0.24099999999999999</v>
      </c>
      <c r="T81" s="69">
        <v>0.14099999999999999</v>
      </c>
    </row>
    <row r="82" spans="2:20" x14ac:dyDescent="0.25">
      <c r="B82" s="232">
        <v>43929</v>
      </c>
      <c r="C82" s="67">
        <v>-3.6999999999999998E-2</v>
      </c>
      <c r="D82" s="69">
        <v>-0.309</v>
      </c>
      <c r="F82" s="232">
        <v>43556</v>
      </c>
      <c r="G82" s="67">
        <v>0.17399999999999999</v>
      </c>
      <c r="H82" s="69">
        <v>-2.7E-2</v>
      </c>
      <c r="J82" s="232">
        <v>43189</v>
      </c>
      <c r="K82" s="67">
        <v>0.64200000000000002</v>
      </c>
      <c r="L82" s="69">
        <v>0.49399999999999999</v>
      </c>
      <c r="N82" s="232">
        <v>42828</v>
      </c>
      <c r="O82" s="67">
        <v>0.38400000000000001</v>
      </c>
      <c r="P82" s="69">
        <v>0.27900000000000003</v>
      </c>
      <c r="R82" s="232">
        <v>42459</v>
      </c>
      <c r="S82" s="67">
        <v>0.247</v>
      </c>
      <c r="T82" s="69">
        <v>0.16400000000000001</v>
      </c>
    </row>
    <row r="83" spans="2:20" x14ac:dyDescent="0.25">
      <c r="B83" s="232">
        <v>43930</v>
      </c>
      <c r="C83" s="67">
        <v>-8.2000000000000003E-2</v>
      </c>
      <c r="D83" s="69">
        <v>-0.34499999999999997</v>
      </c>
      <c r="F83" s="232">
        <v>43557</v>
      </c>
      <c r="G83" s="67">
        <v>0.154</v>
      </c>
      <c r="H83" s="69">
        <v>-4.9000000000000002E-2</v>
      </c>
      <c r="J83" s="232">
        <v>43192</v>
      </c>
      <c r="K83" s="67">
        <v>0.64200000000000002</v>
      </c>
      <c r="L83" s="69"/>
      <c r="N83" s="232">
        <v>42829</v>
      </c>
      <c r="O83" s="67">
        <v>0.34200000000000003</v>
      </c>
      <c r="P83" s="69">
        <v>0.26200000000000001</v>
      </c>
      <c r="R83" s="232">
        <v>42460</v>
      </c>
      <c r="S83" s="67">
        <v>0.23499999999999999</v>
      </c>
      <c r="T83" s="69">
        <v>0.156</v>
      </c>
    </row>
    <row r="84" spans="2:20" x14ac:dyDescent="0.25">
      <c r="B84" s="232">
        <v>43931</v>
      </c>
      <c r="C84" s="67">
        <v>-8.4000000000000005E-2</v>
      </c>
      <c r="D84" s="69"/>
      <c r="F84" s="232">
        <v>43558</v>
      </c>
      <c r="G84" s="67">
        <v>0.2</v>
      </c>
      <c r="H84" s="69">
        <v>8.0000000000000002E-3</v>
      </c>
      <c r="J84" s="232">
        <v>43193</v>
      </c>
      <c r="K84" s="67">
        <v>0.65</v>
      </c>
      <c r="L84" s="69">
        <v>0.502</v>
      </c>
      <c r="N84" s="232">
        <v>42830</v>
      </c>
      <c r="O84" s="67">
        <v>0.34499999999999997</v>
      </c>
      <c r="P84" s="69">
        <v>0.26</v>
      </c>
      <c r="R84" s="232">
        <v>42461</v>
      </c>
      <c r="S84" s="67">
        <v>0.22</v>
      </c>
      <c r="T84" s="69">
        <v>0.14499999999999999</v>
      </c>
    </row>
    <row r="85" spans="2:20" x14ac:dyDescent="0.25">
      <c r="B85" s="232">
        <v>43934</v>
      </c>
      <c r="C85" s="67">
        <v>-8.5999999999999993E-2</v>
      </c>
      <c r="D85" s="69">
        <v>-0.35</v>
      </c>
      <c r="F85" s="232">
        <v>43559</v>
      </c>
      <c r="G85" s="67">
        <v>0.189</v>
      </c>
      <c r="H85" s="69">
        <v>-6.0000000000000001E-3</v>
      </c>
      <c r="J85" s="232">
        <v>43194</v>
      </c>
      <c r="K85" s="67">
        <v>0.64600000000000002</v>
      </c>
      <c r="L85" s="69">
        <v>0.502</v>
      </c>
      <c r="N85" s="232">
        <v>42831</v>
      </c>
      <c r="O85" s="67">
        <v>0.33700000000000002</v>
      </c>
      <c r="P85" s="69">
        <v>0.26300000000000001</v>
      </c>
      <c r="R85" s="232">
        <v>42462</v>
      </c>
      <c r="S85" s="67">
        <v>0.20899999999999999</v>
      </c>
      <c r="T85" s="69"/>
    </row>
    <row r="86" spans="2:20" x14ac:dyDescent="0.25">
      <c r="B86" s="232">
        <v>43935</v>
      </c>
      <c r="C86" s="67">
        <v>-9.8000000000000004E-2</v>
      </c>
      <c r="D86" s="69">
        <v>-0.377</v>
      </c>
      <c r="F86" s="232">
        <v>43560</v>
      </c>
      <c r="G86" s="67">
        <v>0.19900000000000001</v>
      </c>
      <c r="H86" s="69">
        <v>6.0000000000000001E-3</v>
      </c>
      <c r="J86" s="232">
        <v>43195</v>
      </c>
      <c r="K86" s="67">
        <v>0.67300000000000004</v>
      </c>
      <c r="L86" s="69">
        <v>0.52600000000000002</v>
      </c>
      <c r="N86" s="232">
        <v>42832</v>
      </c>
      <c r="O86" s="67">
        <v>0.315</v>
      </c>
      <c r="P86" s="69">
        <v>0.22800000000000001</v>
      </c>
      <c r="R86" s="232">
        <v>42464</v>
      </c>
      <c r="S86" s="67">
        <v>0.218</v>
      </c>
      <c r="T86" s="69">
        <v>0.128</v>
      </c>
    </row>
    <row r="87" spans="2:20" x14ac:dyDescent="0.25">
      <c r="B87" s="232">
        <v>43936</v>
      </c>
      <c r="C87" s="67">
        <v>-0.158</v>
      </c>
      <c r="D87" s="69">
        <v>-0.46200000000000002</v>
      </c>
      <c r="F87" s="232">
        <v>43563</v>
      </c>
      <c r="G87" s="67">
        <v>0.191</v>
      </c>
      <c r="H87" s="69">
        <v>6.0000000000000001E-3</v>
      </c>
      <c r="J87" s="232">
        <v>43196</v>
      </c>
      <c r="K87" s="67">
        <v>0.64800000000000002</v>
      </c>
      <c r="L87" s="69">
        <v>0.5</v>
      </c>
      <c r="N87" s="232">
        <v>42835</v>
      </c>
      <c r="O87" s="67">
        <v>0.316</v>
      </c>
      <c r="P87" s="69">
        <v>0.20899999999999999</v>
      </c>
      <c r="R87" s="232">
        <v>42465</v>
      </c>
      <c r="S87" s="67">
        <v>0.185</v>
      </c>
      <c r="T87" s="69">
        <v>0.105</v>
      </c>
    </row>
    <row r="88" spans="2:20" x14ac:dyDescent="0.25">
      <c r="B88" s="232">
        <v>43937</v>
      </c>
      <c r="C88" s="67">
        <v>-0.17</v>
      </c>
      <c r="D88" s="69">
        <v>-0.47099999999999997</v>
      </c>
      <c r="F88" s="232">
        <v>43564</v>
      </c>
      <c r="G88" s="67">
        <v>0.187</v>
      </c>
      <c r="H88" s="69">
        <v>-8.9999999999999993E-3</v>
      </c>
      <c r="J88" s="232">
        <v>43199</v>
      </c>
      <c r="K88" s="67">
        <v>0.65900000000000003</v>
      </c>
      <c r="L88" s="69">
        <v>0.505</v>
      </c>
      <c r="N88" s="232">
        <v>42836</v>
      </c>
      <c r="O88" s="67">
        <v>0.32</v>
      </c>
      <c r="P88" s="69">
        <v>0.20599999999999999</v>
      </c>
      <c r="R88" s="232">
        <v>42466</v>
      </c>
      <c r="S88" s="67">
        <v>0.20499999999999999</v>
      </c>
      <c r="T88" s="69">
        <v>0.11600000000000001</v>
      </c>
    </row>
    <row r="89" spans="2:20" x14ac:dyDescent="0.25">
      <c r="B89" s="232">
        <v>43938</v>
      </c>
      <c r="C89" s="67">
        <v>-0.17499999999999999</v>
      </c>
      <c r="D89" s="69">
        <v>-0.47199999999999998</v>
      </c>
      <c r="F89" s="232">
        <v>43565</v>
      </c>
      <c r="G89" s="67">
        <v>0.157</v>
      </c>
      <c r="H89" s="69">
        <v>-2.5999999999999999E-2</v>
      </c>
      <c r="J89" s="232">
        <v>43200</v>
      </c>
      <c r="K89" s="67">
        <v>0.66700000000000004</v>
      </c>
      <c r="L89" s="69">
        <v>0.51600000000000001</v>
      </c>
      <c r="N89" s="232">
        <v>42837</v>
      </c>
      <c r="O89" s="67">
        <v>0.29299999999999998</v>
      </c>
      <c r="P89" s="69">
        <v>0.20200000000000001</v>
      </c>
      <c r="R89" s="232">
        <v>42467</v>
      </c>
      <c r="S89" s="67">
        <v>0.19400000000000001</v>
      </c>
      <c r="T89" s="69">
        <v>8.6999999999999994E-2</v>
      </c>
    </row>
    <row r="90" spans="2:20" x14ac:dyDescent="0.25">
      <c r="B90" s="232">
        <v>43941</v>
      </c>
      <c r="C90" s="67">
        <v>-0.13800000000000001</v>
      </c>
      <c r="D90" s="69">
        <v>-0.44800000000000001</v>
      </c>
      <c r="F90" s="232">
        <v>43566</v>
      </c>
      <c r="G90" s="67">
        <v>0.16800000000000001</v>
      </c>
      <c r="H90" s="69">
        <v>-8.0000000000000002E-3</v>
      </c>
      <c r="J90" s="232">
        <v>43201</v>
      </c>
      <c r="K90" s="67">
        <v>0.64800000000000002</v>
      </c>
      <c r="L90" s="69">
        <v>0.501</v>
      </c>
      <c r="N90" s="232">
        <v>42838</v>
      </c>
      <c r="O90" s="67">
        <v>0.28199999999999997</v>
      </c>
      <c r="P90" s="69">
        <v>0.189</v>
      </c>
      <c r="R90" s="232">
        <v>42468</v>
      </c>
      <c r="S90" s="67">
        <v>0.31900000000000001</v>
      </c>
      <c r="T90" s="69">
        <v>9.7000000000000003E-2</v>
      </c>
    </row>
    <row r="91" spans="2:20" x14ac:dyDescent="0.25">
      <c r="B91" s="232">
        <v>43942</v>
      </c>
      <c r="C91" s="67">
        <v>-0.17699999999999999</v>
      </c>
      <c r="D91" s="69">
        <v>-0.47499999999999998</v>
      </c>
      <c r="F91" s="232">
        <v>43567</v>
      </c>
      <c r="G91" s="67">
        <v>0.23100000000000001</v>
      </c>
      <c r="H91" s="69">
        <v>5.7000000000000002E-2</v>
      </c>
      <c r="J91" s="232">
        <v>43202</v>
      </c>
      <c r="K91" s="67">
        <v>0.66200000000000003</v>
      </c>
      <c r="L91" s="69">
        <v>0.51500000000000001</v>
      </c>
      <c r="N91" s="232">
        <v>42839</v>
      </c>
      <c r="O91" s="67">
        <v>0.28199999999999997</v>
      </c>
      <c r="P91" s="69">
        <v>0.188</v>
      </c>
      <c r="R91" s="232">
        <v>42471</v>
      </c>
      <c r="S91" s="67">
        <v>0.34599999999999997</v>
      </c>
      <c r="T91" s="69">
        <v>0.11700000000000001</v>
      </c>
    </row>
    <row r="92" spans="2:20" x14ac:dyDescent="0.25">
      <c r="B92" s="232">
        <v>43943</v>
      </c>
      <c r="C92" s="67">
        <v>-0.111</v>
      </c>
      <c r="D92" s="69">
        <v>-0.40699999999999997</v>
      </c>
      <c r="F92" s="232">
        <v>43570</v>
      </c>
      <c r="G92" s="67">
        <v>0.24299999999999999</v>
      </c>
      <c r="H92" s="69">
        <v>5.7000000000000002E-2</v>
      </c>
      <c r="J92" s="232">
        <v>43203</v>
      </c>
      <c r="K92" s="67">
        <v>0.65300000000000002</v>
      </c>
      <c r="L92" s="69">
        <v>0.51100000000000001</v>
      </c>
      <c r="N92" s="232">
        <v>42842</v>
      </c>
      <c r="O92" s="67">
        <v>0.28199999999999997</v>
      </c>
      <c r="P92" s="69">
        <v>0.188</v>
      </c>
      <c r="R92" s="232">
        <v>42472</v>
      </c>
      <c r="S92" s="67">
        <v>0.38400000000000001</v>
      </c>
      <c r="T92" s="69">
        <v>0.16</v>
      </c>
    </row>
    <row r="93" spans="2:20" x14ac:dyDescent="0.25">
      <c r="B93" s="232">
        <v>43944</v>
      </c>
      <c r="C93" s="67">
        <v>-0.13700000000000001</v>
      </c>
      <c r="D93" s="69">
        <v>-0.42199999999999999</v>
      </c>
      <c r="F93" s="232">
        <v>43571</v>
      </c>
      <c r="G93" s="67">
        <v>0.24299999999999999</v>
      </c>
      <c r="H93" s="69">
        <v>6.5000000000000002E-2</v>
      </c>
      <c r="J93" s="232">
        <v>43204</v>
      </c>
      <c r="K93" s="67">
        <v>0.65400000000000003</v>
      </c>
      <c r="L93" s="69">
        <v>0.51200000000000001</v>
      </c>
      <c r="N93" s="232">
        <v>42843</v>
      </c>
      <c r="O93" s="67">
        <v>0.27100000000000002</v>
      </c>
      <c r="P93" s="69">
        <v>0.154</v>
      </c>
      <c r="R93" s="232">
        <v>42473</v>
      </c>
      <c r="S93" s="67">
        <v>0.36</v>
      </c>
      <c r="T93" s="69">
        <v>0.13700000000000001</v>
      </c>
    </row>
    <row r="94" spans="2:20" x14ac:dyDescent="0.25">
      <c r="B94" s="232">
        <v>43945</v>
      </c>
      <c r="C94" s="67">
        <v>-0.183</v>
      </c>
      <c r="D94" s="69">
        <v>-0.47399999999999998</v>
      </c>
      <c r="F94" s="232">
        <v>43572</v>
      </c>
      <c r="G94" s="67">
        <v>0.26300000000000001</v>
      </c>
      <c r="H94" s="69">
        <v>8.1000000000000003E-2</v>
      </c>
      <c r="J94" s="232">
        <v>43206</v>
      </c>
      <c r="K94" s="67">
        <v>0.66900000000000004</v>
      </c>
      <c r="L94" s="69">
        <v>0.52400000000000002</v>
      </c>
      <c r="N94" s="232">
        <v>42844</v>
      </c>
      <c r="O94" s="67">
        <v>0.29899999999999999</v>
      </c>
      <c r="P94" s="69">
        <v>0.20699999999999999</v>
      </c>
      <c r="R94" s="232">
        <v>42474</v>
      </c>
      <c r="S94" s="67">
        <v>0.378</v>
      </c>
      <c r="T94" s="69">
        <v>0.16300000000000001</v>
      </c>
    </row>
    <row r="95" spans="2:20" x14ac:dyDescent="0.25">
      <c r="B95" s="232">
        <v>43948</v>
      </c>
      <c r="C95" s="67">
        <v>-0.17899999999999999</v>
      </c>
      <c r="D95" s="69">
        <v>-0.45100000000000001</v>
      </c>
      <c r="F95" s="232">
        <v>43573</v>
      </c>
      <c r="G95" s="67">
        <v>0.19900000000000001</v>
      </c>
      <c r="H95" s="69">
        <v>2.3E-2</v>
      </c>
      <c r="J95" s="232">
        <v>43207</v>
      </c>
      <c r="K95" s="67">
        <v>0.65200000000000002</v>
      </c>
      <c r="L95" s="69">
        <v>0.50700000000000001</v>
      </c>
      <c r="N95" s="232">
        <v>42845</v>
      </c>
      <c r="O95" s="67">
        <v>0.34300000000000003</v>
      </c>
      <c r="P95" s="69">
        <v>0.248</v>
      </c>
      <c r="R95" s="232">
        <v>42475</v>
      </c>
      <c r="S95" s="67">
        <v>0.34599999999999997</v>
      </c>
      <c r="T95" s="69">
        <v>0.13300000000000001</v>
      </c>
    </row>
    <row r="96" spans="2:20" x14ac:dyDescent="0.25">
      <c r="B96" s="232">
        <v>43949</v>
      </c>
      <c r="C96" s="67">
        <v>-0.20899999999999999</v>
      </c>
      <c r="D96" s="69">
        <v>-0.46899999999999997</v>
      </c>
      <c r="F96" s="232">
        <v>43574</v>
      </c>
      <c r="G96" s="67">
        <v>0.19700000000000001</v>
      </c>
      <c r="H96" s="69">
        <v>2.3E-2</v>
      </c>
      <c r="J96" s="232">
        <v>43208</v>
      </c>
      <c r="K96" s="67">
        <v>0.66900000000000004</v>
      </c>
      <c r="L96" s="69">
        <v>0.53200000000000003</v>
      </c>
      <c r="N96" s="232">
        <v>42846</v>
      </c>
      <c r="O96" s="67">
        <v>0.36</v>
      </c>
      <c r="P96" s="69">
        <v>0.253</v>
      </c>
      <c r="R96" s="232">
        <v>42478</v>
      </c>
      <c r="S96" s="67">
        <v>0.371</v>
      </c>
      <c r="T96" s="69">
        <v>0.17</v>
      </c>
    </row>
    <row r="97" spans="2:20" x14ac:dyDescent="0.25">
      <c r="B97" s="232">
        <v>43950</v>
      </c>
      <c r="C97" s="67">
        <v>-0.23699999999999999</v>
      </c>
      <c r="D97" s="69">
        <v>-0.49399999999999999</v>
      </c>
      <c r="F97" s="232">
        <v>43577</v>
      </c>
      <c r="G97" s="67"/>
      <c r="H97" s="69">
        <v>2.4E-2</v>
      </c>
      <c r="J97" s="232">
        <v>43209</v>
      </c>
      <c r="K97" s="67">
        <v>0.74199999999999999</v>
      </c>
      <c r="L97" s="69">
        <v>0.59799999999999998</v>
      </c>
      <c r="N97" s="232">
        <v>42847</v>
      </c>
      <c r="O97" s="67">
        <v>0.36099999999999999</v>
      </c>
      <c r="P97" s="69">
        <v>0.253</v>
      </c>
      <c r="R97" s="232">
        <v>42479</v>
      </c>
      <c r="S97" s="67">
        <v>0.39700000000000002</v>
      </c>
      <c r="T97" s="69">
        <v>0.17799999999999999</v>
      </c>
    </row>
    <row r="98" spans="2:20" x14ac:dyDescent="0.25">
      <c r="B98" s="232">
        <v>43951</v>
      </c>
      <c r="C98" s="67">
        <v>-0.30099999999999999</v>
      </c>
      <c r="D98" s="69">
        <v>-0.58899999999999997</v>
      </c>
      <c r="F98" s="232">
        <v>43578</v>
      </c>
      <c r="G98" s="67">
        <v>0.223</v>
      </c>
      <c r="H98" s="69">
        <v>0.04</v>
      </c>
      <c r="J98" s="232">
        <v>43210</v>
      </c>
      <c r="K98" s="67">
        <v>0.73599999999999999</v>
      </c>
      <c r="L98" s="69">
        <v>0.59</v>
      </c>
      <c r="N98" s="232">
        <v>42849</v>
      </c>
      <c r="O98" s="67">
        <v>0.39800000000000002</v>
      </c>
      <c r="P98" s="69">
        <v>0.33200000000000002</v>
      </c>
      <c r="R98" s="232">
        <v>42480</v>
      </c>
      <c r="S98" s="67">
        <v>0.36499999999999999</v>
      </c>
      <c r="T98" s="69">
        <v>0.15</v>
      </c>
    </row>
    <row r="99" spans="2:20" x14ac:dyDescent="0.25">
      <c r="B99" s="232">
        <v>43952</v>
      </c>
      <c r="C99" s="67">
        <v>-0.313</v>
      </c>
      <c r="D99" s="69">
        <v>-0.58599999999999997</v>
      </c>
      <c r="F99" s="232">
        <v>43579</v>
      </c>
      <c r="G99" s="67">
        <v>0.16800000000000001</v>
      </c>
      <c r="H99" s="69">
        <v>-1.2999999999999999E-2</v>
      </c>
      <c r="J99" s="232">
        <v>43211</v>
      </c>
      <c r="K99" s="67">
        <v>0.73499999999999999</v>
      </c>
      <c r="L99" s="69"/>
      <c r="N99" s="232">
        <v>42850</v>
      </c>
      <c r="O99" s="67">
        <v>0.44500000000000001</v>
      </c>
      <c r="P99" s="69">
        <v>0.378</v>
      </c>
      <c r="R99" s="232">
        <v>42481</v>
      </c>
      <c r="S99" s="67">
        <v>0.433</v>
      </c>
      <c r="T99" s="69">
        <v>0.23300000000000001</v>
      </c>
    </row>
    <row r="100" spans="2:20" x14ac:dyDescent="0.25">
      <c r="B100" s="232">
        <v>43955</v>
      </c>
      <c r="C100" s="67">
        <v>-0.28199999999999997</v>
      </c>
      <c r="D100" s="69">
        <v>-0.56100000000000005</v>
      </c>
      <c r="F100" s="232">
        <v>43580</v>
      </c>
      <c r="G100" s="67">
        <v>0.17899999999999999</v>
      </c>
      <c r="H100" s="69">
        <v>-8.9999999999999993E-3</v>
      </c>
      <c r="J100" s="232">
        <v>43213</v>
      </c>
      <c r="K100" s="67">
        <v>0.77200000000000002</v>
      </c>
      <c r="L100" s="69">
        <v>0.63500000000000001</v>
      </c>
      <c r="N100" s="232">
        <v>42851</v>
      </c>
      <c r="O100" s="67">
        <v>0.42699999999999999</v>
      </c>
      <c r="P100" s="69">
        <v>0.35799999999999998</v>
      </c>
      <c r="R100" s="232">
        <v>42482</v>
      </c>
      <c r="S100" s="67">
        <v>0.44</v>
      </c>
      <c r="T100" s="69">
        <v>0.23200000000000001</v>
      </c>
    </row>
    <row r="101" spans="2:20" x14ac:dyDescent="0.25">
      <c r="B101" s="232">
        <v>43956</v>
      </c>
      <c r="C101" s="67">
        <v>-0.29199999999999998</v>
      </c>
      <c r="D101" s="69">
        <v>-0.57699999999999996</v>
      </c>
      <c r="F101" s="232">
        <v>43581</v>
      </c>
      <c r="G101" s="67">
        <v>0.16300000000000001</v>
      </c>
      <c r="H101" s="69">
        <v>-2.1000000000000001E-2</v>
      </c>
      <c r="J101" s="232">
        <v>43214</v>
      </c>
      <c r="K101" s="67">
        <v>0.77200000000000002</v>
      </c>
      <c r="L101" s="69">
        <v>0.629</v>
      </c>
      <c r="N101" s="232">
        <v>42852</v>
      </c>
      <c r="O101" s="67">
        <v>0.375</v>
      </c>
      <c r="P101" s="69">
        <v>0.3</v>
      </c>
      <c r="R101" s="232">
        <v>42485</v>
      </c>
      <c r="S101" s="67">
        <v>0.47399999999999998</v>
      </c>
      <c r="T101" s="69">
        <v>0.26800000000000002</v>
      </c>
    </row>
    <row r="102" spans="2:20" x14ac:dyDescent="0.25">
      <c r="B102" s="232">
        <v>43957</v>
      </c>
      <c r="C102" s="67">
        <v>-0.223</v>
      </c>
      <c r="D102" s="69">
        <v>-0.503</v>
      </c>
      <c r="F102" s="232">
        <v>43584</v>
      </c>
      <c r="G102" s="67">
        <v>0.182</v>
      </c>
      <c r="H102" s="69">
        <v>4.0000000000000001E-3</v>
      </c>
      <c r="J102" s="232">
        <v>43215</v>
      </c>
      <c r="K102" s="67">
        <v>0.77</v>
      </c>
      <c r="L102" s="69">
        <v>0.63300000000000001</v>
      </c>
      <c r="N102" s="232">
        <v>42853</v>
      </c>
      <c r="O102" s="67">
        <v>0.39</v>
      </c>
      <c r="P102" s="69">
        <v>0.32400000000000001</v>
      </c>
      <c r="R102" s="232">
        <v>42486</v>
      </c>
      <c r="S102" s="67">
        <v>0.505</v>
      </c>
      <c r="T102" s="69">
        <v>0.30199999999999999</v>
      </c>
    </row>
    <row r="103" spans="2:20" x14ac:dyDescent="0.25">
      <c r="B103" s="232">
        <v>43958</v>
      </c>
      <c r="C103" s="67">
        <v>-0.26300000000000001</v>
      </c>
      <c r="D103" s="69">
        <v>-0.54600000000000004</v>
      </c>
      <c r="F103" s="232">
        <v>43585</v>
      </c>
      <c r="G103" s="67">
        <v>0.19</v>
      </c>
      <c r="H103" s="69">
        <v>1.2999999999999999E-2</v>
      </c>
      <c r="J103" s="232">
        <v>43216</v>
      </c>
      <c r="K103" s="67">
        <v>0.73199999999999998</v>
      </c>
      <c r="L103" s="69">
        <v>0.59499999999999997</v>
      </c>
      <c r="N103" s="232">
        <v>42856</v>
      </c>
      <c r="O103" s="67">
        <v>0.38800000000000001</v>
      </c>
      <c r="P103" s="69">
        <v>0.318</v>
      </c>
      <c r="R103" s="232">
        <v>42487</v>
      </c>
      <c r="S103" s="67">
        <v>0.504</v>
      </c>
      <c r="T103" s="69">
        <v>0.28999999999999998</v>
      </c>
    </row>
    <row r="104" spans="2:20" x14ac:dyDescent="0.25">
      <c r="B104" s="232">
        <v>43959</v>
      </c>
      <c r="C104" s="67">
        <v>-0.26100000000000001</v>
      </c>
      <c r="D104" s="69">
        <v>-0.53800000000000003</v>
      </c>
      <c r="F104" s="232">
        <v>43586</v>
      </c>
      <c r="G104" s="67">
        <v>0.192</v>
      </c>
      <c r="H104" s="69">
        <v>1.2999999999999999E-2</v>
      </c>
      <c r="J104" s="232">
        <v>43217</v>
      </c>
      <c r="K104" s="67">
        <v>0.71199999999999997</v>
      </c>
      <c r="L104" s="69">
        <v>0.56999999999999995</v>
      </c>
      <c r="N104" s="232">
        <v>42857</v>
      </c>
      <c r="O104" s="67">
        <v>0.38900000000000001</v>
      </c>
      <c r="P104" s="69">
        <v>0.32800000000000001</v>
      </c>
      <c r="R104" s="232">
        <v>42488</v>
      </c>
      <c r="S104" s="67">
        <v>0.48199999999999998</v>
      </c>
      <c r="T104" s="69">
        <v>0.249</v>
      </c>
    </row>
    <row r="105" spans="2:20" x14ac:dyDescent="0.25">
      <c r="B105" s="232">
        <v>43962</v>
      </c>
      <c r="C105" s="67">
        <v>-0.23699999999999999</v>
      </c>
      <c r="D105" s="69">
        <v>-0.51300000000000001</v>
      </c>
      <c r="F105" s="232">
        <v>43587</v>
      </c>
      <c r="G105" s="67">
        <v>0.2</v>
      </c>
      <c r="H105" s="69">
        <v>2.9000000000000001E-2</v>
      </c>
      <c r="J105" s="232">
        <v>43220</v>
      </c>
      <c r="K105" s="67">
        <v>0.7</v>
      </c>
      <c r="L105" s="69">
        <v>0.56200000000000006</v>
      </c>
      <c r="N105" s="232">
        <v>42858</v>
      </c>
      <c r="O105" s="67">
        <v>0.54800000000000004</v>
      </c>
      <c r="P105" s="69">
        <v>0.32700000000000001</v>
      </c>
      <c r="R105" s="232">
        <v>42489</v>
      </c>
      <c r="S105" s="67">
        <v>0.52300000000000002</v>
      </c>
      <c r="T105" s="69">
        <v>0.28199999999999997</v>
      </c>
    </row>
    <row r="106" spans="2:20" x14ac:dyDescent="0.25">
      <c r="B106" s="232">
        <v>43963</v>
      </c>
      <c r="C106" s="67">
        <v>-0.24299999999999999</v>
      </c>
      <c r="D106" s="69">
        <v>-0.50700000000000001</v>
      </c>
      <c r="F106" s="232">
        <v>43588</v>
      </c>
      <c r="G106" s="67">
        <v>0.193</v>
      </c>
      <c r="H106" s="69">
        <v>2.4E-2</v>
      </c>
      <c r="J106" s="232">
        <v>43221</v>
      </c>
      <c r="K106" s="67">
        <v>0.69599999999999995</v>
      </c>
      <c r="L106" s="69"/>
      <c r="N106" s="232">
        <v>42859</v>
      </c>
      <c r="O106" s="67">
        <v>0.60699999999999998</v>
      </c>
      <c r="P106" s="69">
        <v>0.39900000000000002</v>
      </c>
      <c r="R106" s="232">
        <v>42492</v>
      </c>
      <c r="S106" s="67">
        <v>0.501</v>
      </c>
      <c r="T106" s="69">
        <v>0.27500000000000002</v>
      </c>
    </row>
    <row r="107" spans="2:20" x14ac:dyDescent="0.25">
      <c r="B107" s="232">
        <v>43964</v>
      </c>
      <c r="C107" s="67">
        <v>-0.26400000000000001</v>
      </c>
      <c r="D107" s="69">
        <v>-0.52700000000000002</v>
      </c>
      <c r="F107" s="232">
        <v>43589</v>
      </c>
      <c r="G107" s="67"/>
      <c r="H107" s="69">
        <v>1.7999999999999999E-2</v>
      </c>
      <c r="J107" s="232">
        <v>43222</v>
      </c>
      <c r="K107" s="67">
        <v>0.72199999999999998</v>
      </c>
      <c r="L107" s="69">
        <v>0.58199999999999996</v>
      </c>
      <c r="N107" s="232">
        <v>42860</v>
      </c>
      <c r="O107" s="67">
        <v>0.624</v>
      </c>
      <c r="P107" s="69">
        <v>0.41499999999999998</v>
      </c>
      <c r="R107" s="232">
        <v>42493</v>
      </c>
      <c r="S107" s="67">
        <v>0.439</v>
      </c>
      <c r="T107" s="69">
        <v>0.19700000000000001</v>
      </c>
    </row>
    <row r="108" spans="2:20" x14ac:dyDescent="0.25">
      <c r="B108" s="232">
        <v>43965</v>
      </c>
      <c r="C108" s="67">
        <v>-0.27600000000000002</v>
      </c>
      <c r="D108" s="69">
        <v>-0.54200000000000004</v>
      </c>
      <c r="F108" s="232">
        <v>43591</v>
      </c>
      <c r="G108" s="67">
        <v>0.17799999999999999</v>
      </c>
      <c r="H108" s="69">
        <v>6.0000000000000001E-3</v>
      </c>
      <c r="J108" s="232">
        <v>43223</v>
      </c>
      <c r="K108" s="67">
        <v>0.67300000000000004</v>
      </c>
      <c r="L108" s="69">
        <v>0.53400000000000003</v>
      </c>
      <c r="N108" s="232">
        <v>42862</v>
      </c>
      <c r="O108" s="67">
        <v>0.624</v>
      </c>
      <c r="P108" s="69">
        <v>0.42399999999999999</v>
      </c>
      <c r="R108" s="232">
        <v>42494</v>
      </c>
      <c r="S108" s="67">
        <v>0.438</v>
      </c>
      <c r="T108" s="69">
        <v>0.20399999999999999</v>
      </c>
    </row>
    <row r="109" spans="2:20" x14ac:dyDescent="0.25">
      <c r="B109" s="232">
        <v>43966</v>
      </c>
      <c r="C109" s="67">
        <v>-0.26400000000000001</v>
      </c>
      <c r="D109" s="69">
        <v>-0.52800000000000002</v>
      </c>
      <c r="F109" s="232">
        <v>43592</v>
      </c>
      <c r="G109" s="67">
        <v>0.14499999999999999</v>
      </c>
      <c r="H109" s="69">
        <v>-0.04</v>
      </c>
      <c r="J109" s="232">
        <v>43224</v>
      </c>
      <c r="K109" s="67">
        <v>0.69299999999999995</v>
      </c>
      <c r="L109" s="69">
        <v>0.54500000000000004</v>
      </c>
      <c r="N109" s="232">
        <v>42863</v>
      </c>
      <c r="O109" s="67">
        <v>0.627</v>
      </c>
      <c r="P109" s="69">
        <v>0.41899999999999998</v>
      </c>
      <c r="R109" s="232">
        <v>42495</v>
      </c>
      <c r="S109" s="67">
        <v>0.41699999999999998</v>
      </c>
      <c r="T109" s="69">
        <v>0.16300000000000001</v>
      </c>
    </row>
    <row r="110" spans="2:20" x14ac:dyDescent="0.25">
      <c r="B110" s="232">
        <v>43969</v>
      </c>
      <c r="C110" s="67">
        <v>-0.20899999999999999</v>
      </c>
      <c r="D110" s="69">
        <v>-0.47199999999999998</v>
      </c>
      <c r="F110" s="232">
        <v>43593</v>
      </c>
      <c r="G110" s="67">
        <v>0.13400000000000001</v>
      </c>
      <c r="H110" s="69">
        <v>-4.5999999999999999E-2</v>
      </c>
      <c r="J110" s="232">
        <v>43227</v>
      </c>
      <c r="K110" s="67">
        <v>0.67600000000000005</v>
      </c>
      <c r="L110" s="69">
        <v>0.53</v>
      </c>
      <c r="N110" s="232">
        <v>42864</v>
      </c>
      <c r="O110" s="67">
        <v>0.65200000000000002</v>
      </c>
      <c r="P110" s="69">
        <v>0.43099999999999999</v>
      </c>
      <c r="R110" s="232">
        <v>42496</v>
      </c>
      <c r="S110" s="67">
        <v>0.38700000000000001</v>
      </c>
      <c r="T110" s="69">
        <v>0.14599999999999999</v>
      </c>
    </row>
    <row r="111" spans="2:20" x14ac:dyDescent="0.25">
      <c r="B111" s="232">
        <v>43970</v>
      </c>
      <c r="C111" s="67">
        <v>-0.224</v>
      </c>
      <c r="D111" s="69">
        <v>-0.46400000000000002</v>
      </c>
      <c r="F111" s="232">
        <v>43594</v>
      </c>
      <c r="G111" s="67">
        <v>0.14299999999999999</v>
      </c>
      <c r="H111" s="69">
        <v>-4.8000000000000001E-2</v>
      </c>
      <c r="J111" s="232">
        <v>43228</v>
      </c>
      <c r="K111" s="67">
        <v>0.71099999999999997</v>
      </c>
      <c r="L111" s="69">
        <v>0.56100000000000005</v>
      </c>
      <c r="N111" s="232">
        <v>42865</v>
      </c>
      <c r="O111" s="67">
        <v>0.63800000000000001</v>
      </c>
      <c r="P111" s="69">
        <v>0.42</v>
      </c>
      <c r="R111" s="232">
        <v>42499</v>
      </c>
      <c r="S111" s="67">
        <v>0.35899999999999999</v>
      </c>
      <c r="T111" s="69">
        <v>0.13100000000000001</v>
      </c>
    </row>
    <row r="112" spans="2:20" x14ac:dyDescent="0.25">
      <c r="B112" s="232">
        <v>43971</v>
      </c>
      <c r="C112" s="67">
        <v>-0.23799999999999999</v>
      </c>
      <c r="D112" s="69">
        <v>-0.46800000000000003</v>
      </c>
      <c r="F112" s="232">
        <v>43595</v>
      </c>
      <c r="G112" s="67">
        <v>0.14299999999999999</v>
      </c>
      <c r="H112" s="69">
        <v>-4.3999999999999997E-2</v>
      </c>
      <c r="J112" s="232">
        <v>43229</v>
      </c>
      <c r="K112" s="67">
        <v>0.70799999999999996</v>
      </c>
      <c r="L112" s="69">
        <v>0.56000000000000005</v>
      </c>
      <c r="N112" s="232">
        <v>42866</v>
      </c>
      <c r="O112" s="67">
        <v>0.64500000000000002</v>
      </c>
      <c r="P112" s="69">
        <v>0.43099999999999999</v>
      </c>
      <c r="R112" s="232">
        <v>42500</v>
      </c>
      <c r="S112" s="67">
        <v>0.34300000000000003</v>
      </c>
      <c r="T112" s="69">
        <v>0.121</v>
      </c>
    </row>
    <row r="113" spans="2:20" x14ac:dyDescent="0.25">
      <c r="B113" s="232">
        <v>43972</v>
      </c>
      <c r="C113" s="67">
        <v>-0.25900000000000001</v>
      </c>
      <c r="D113" s="69">
        <v>-0.495</v>
      </c>
      <c r="F113" s="232">
        <v>43598</v>
      </c>
      <c r="G113" s="67">
        <v>0.11600000000000001</v>
      </c>
      <c r="H113" s="69">
        <v>-4.9000000000000002E-2</v>
      </c>
      <c r="J113" s="232">
        <v>43230</v>
      </c>
      <c r="K113" s="67">
        <v>0.70199999999999996</v>
      </c>
      <c r="L113" s="69">
        <v>0.55800000000000005</v>
      </c>
      <c r="N113" s="232">
        <v>42867</v>
      </c>
      <c r="O113" s="67">
        <v>0.60299999999999998</v>
      </c>
      <c r="P113" s="69">
        <v>0.39400000000000002</v>
      </c>
      <c r="R113" s="232">
        <v>42501</v>
      </c>
      <c r="S113" s="67">
        <v>0.34</v>
      </c>
      <c r="T113" s="69">
        <v>0.126</v>
      </c>
    </row>
    <row r="114" spans="2:20" x14ac:dyDescent="0.25">
      <c r="B114" s="232">
        <v>43973</v>
      </c>
      <c r="C114" s="67">
        <v>-0.25</v>
      </c>
      <c r="D114" s="69">
        <v>-0.48799999999999999</v>
      </c>
      <c r="F114" s="232">
        <v>43599</v>
      </c>
      <c r="G114" s="67">
        <v>0.127</v>
      </c>
      <c r="H114" s="69">
        <v>-7.1999999999999995E-2</v>
      </c>
      <c r="J114" s="232">
        <v>43231</v>
      </c>
      <c r="K114" s="67">
        <v>0.70099999999999996</v>
      </c>
      <c r="L114" s="69">
        <v>0.55900000000000005</v>
      </c>
      <c r="N114" s="232">
        <v>42870</v>
      </c>
      <c r="O114" s="67">
        <v>0.63100000000000001</v>
      </c>
      <c r="P114" s="69">
        <v>0.41899999999999998</v>
      </c>
      <c r="R114" s="232">
        <v>42502</v>
      </c>
      <c r="S114" s="67">
        <v>0.374</v>
      </c>
      <c r="T114" s="69">
        <v>0.154</v>
      </c>
    </row>
    <row r="115" spans="2:20" x14ac:dyDescent="0.25">
      <c r="B115" s="232">
        <v>43974</v>
      </c>
      <c r="C115" s="67">
        <v>-0.252</v>
      </c>
      <c r="D115" s="69"/>
      <c r="F115" s="232">
        <v>43600</v>
      </c>
      <c r="G115" s="67">
        <v>9.9000000000000005E-2</v>
      </c>
      <c r="H115" s="69">
        <v>-7.0000000000000007E-2</v>
      </c>
      <c r="J115" s="232">
        <v>43234</v>
      </c>
      <c r="K115" s="67">
        <v>0.749</v>
      </c>
      <c r="L115" s="69">
        <v>0.61199999999999999</v>
      </c>
      <c r="N115" s="232">
        <v>42871</v>
      </c>
      <c r="O115" s="67">
        <v>0.63800000000000001</v>
      </c>
      <c r="P115" s="69">
        <v>0.43099999999999999</v>
      </c>
      <c r="R115" s="232">
        <v>42503</v>
      </c>
      <c r="S115" s="67">
        <v>0.35</v>
      </c>
      <c r="T115" s="69">
        <v>0.129</v>
      </c>
    </row>
    <row r="116" spans="2:20" x14ac:dyDescent="0.25">
      <c r="B116" s="232">
        <v>43976</v>
      </c>
      <c r="C116" s="67">
        <v>-0.254</v>
      </c>
      <c r="D116" s="69">
        <v>-0.49399999999999999</v>
      </c>
      <c r="F116" s="232">
        <v>43601</v>
      </c>
      <c r="G116" s="67">
        <v>9.7000000000000003E-2</v>
      </c>
      <c r="H116" s="69">
        <v>-9.9000000000000005E-2</v>
      </c>
      <c r="J116" s="232">
        <v>43235</v>
      </c>
      <c r="K116" s="67">
        <v>0.77600000000000002</v>
      </c>
      <c r="L116" s="69">
        <v>0.64700000000000002</v>
      </c>
      <c r="N116" s="232">
        <v>42872</v>
      </c>
      <c r="O116" s="67">
        <v>0.59399999999999997</v>
      </c>
      <c r="P116" s="69">
        <v>0.378</v>
      </c>
      <c r="R116" s="232">
        <v>42506</v>
      </c>
      <c r="S116" s="67">
        <v>0.36799999999999999</v>
      </c>
      <c r="T116" s="69">
        <v>0.14099999999999999</v>
      </c>
    </row>
    <row r="117" spans="2:20" x14ac:dyDescent="0.25">
      <c r="B117" s="232">
        <v>43977</v>
      </c>
      <c r="C117" s="67">
        <v>-0.192</v>
      </c>
      <c r="D117" s="69">
        <v>-0.43</v>
      </c>
      <c r="F117" s="232">
        <v>43602</v>
      </c>
      <c r="G117" s="67">
        <v>8.5999999999999993E-2</v>
      </c>
      <c r="H117" s="69">
        <v>-9.1999999999999998E-2</v>
      </c>
      <c r="J117" s="232">
        <v>43236</v>
      </c>
      <c r="K117" s="67">
        <v>0.754</v>
      </c>
      <c r="L117" s="69">
        <v>0.60599999999999998</v>
      </c>
      <c r="N117" s="232">
        <v>42873</v>
      </c>
      <c r="O117" s="67">
        <v>0.55900000000000005</v>
      </c>
      <c r="P117" s="69">
        <v>0.34300000000000003</v>
      </c>
      <c r="R117" s="232">
        <v>42507</v>
      </c>
      <c r="S117" s="67">
        <v>0.35399999999999998</v>
      </c>
      <c r="T117" s="69">
        <v>0.13200000000000001</v>
      </c>
    </row>
    <row r="118" spans="2:20" x14ac:dyDescent="0.25">
      <c r="B118" s="232">
        <v>43978</v>
      </c>
      <c r="C118" s="67">
        <v>-0.19900000000000001</v>
      </c>
      <c r="D118" s="69">
        <v>-0.41399999999999998</v>
      </c>
      <c r="F118" s="232">
        <v>43604</v>
      </c>
      <c r="G118" s="67">
        <v>9.0999999999999998E-2</v>
      </c>
      <c r="H118" s="69">
        <v>-0.10299999999999999</v>
      </c>
      <c r="J118" s="232">
        <v>43237</v>
      </c>
      <c r="K118" s="67">
        <v>0.77800000000000002</v>
      </c>
      <c r="L118" s="69">
        <v>0.63700000000000001</v>
      </c>
      <c r="N118" s="232">
        <v>42874</v>
      </c>
      <c r="O118" s="67">
        <v>0.57699999999999996</v>
      </c>
      <c r="P118" s="69">
        <v>0.376</v>
      </c>
      <c r="R118" s="232">
        <v>42508</v>
      </c>
      <c r="S118" s="67">
        <v>0.39100000000000001</v>
      </c>
      <c r="T118" s="69">
        <v>0.16300000000000001</v>
      </c>
    </row>
    <row r="119" spans="2:20" x14ac:dyDescent="0.25">
      <c r="B119" s="232">
        <v>43979</v>
      </c>
      <c r="C119" s="67">
        <v>-0.215</v>
      </c>
      <c r="D119" s="69">
        <v>-0.41899999999999998</v>
      </c>
      <c r="F119" s="232">
        <v>43605</v>
      </c>
      <c r="G119" s="67">
        <v>0.107</v>
      </c>
      <c r="H119" s="69">
        <v>-8.7999999999999995E-2</v>
      </c>
      <c r="J119" s="232">
        <v>43238</v>
      </c>
      <c r="K119" s="67">
        <v>0.72299999999999998</v>
      </c>
      <c r="L119" s="69">
        <v>0.57599999999999996</v>
      </c>
      <c r="N119" s="232">
        <v>42877</v>
      </c>
      <c r="O119" s="67">
        <v>0.61</v>
      </c>
      <c r="P119" s="69">
        <v>0.39600000000000002</v>
      </c>
      <c r="R119" s="232">
        <v>42509</v>
      </c>
      <c r="S119" s="67">
        <v>0.39300000000000002</v>
      </c>
      <c r="T119" s="69">
        <v>0.17399999999999999</v>
      </c>
    </row>
    <row r="120" spans="2:20" x14ac:dyDescent="0.25">
      <c r="B120" s="232">
        <v>43980</v>
      </c>
      <c r="C120" s="67">
        <v>-0.23699999999999999</v>
      </c>
      <c r="D120" s="69">
        <v>-0.44800000000000001</v>
      </c>
      <c r="F120" s="232">
        <v>43606</v>
      </c>
      <c r="G120" s="67">
        <v>0.13400000000000001</v>
      </c>
      <c r="H120" s="69">
        <v>-5.8000000000000003E-2</v>
      </c>
      <c r="J120" s="232">
        <v>43240</v>
      </c>
      <c r="K120" s="67">
        <v>0.71699999999999997</v>
      </c>
      <c r="L120" s="69">
        <v>0.56999999999999995</v>
      </c>
      <c r="N120" s="232">
        <v>42878</v>
      </c>
      <c r="O120" s="67">
        <v>0.621</v>
      </c>
      <c r="P120" s="69">
        <v>0.41199999999999998</v>
      </c>
      <c r="R120" s="232">
        <v>42510</v>
      </c>
      <c r="S120" s="67">
        <v>0.38700000000000001</v>
      </c>
      <c r="T120" s="69">
        <v>0.17100000000000001</v>
      </c>
    </row>
    <row r="121" spans="2:20" x14ac:dyDescent="0.25">
      <c r="B121" s="232">
        <v>43983</v>
      </c>
      <c r="C121" s="67">
        <v>-0.188</v>
      </c>
      <c r="D121" s="69">
        <v>-0.40300000000000002</v>
      </c>
      <c r="F121" s="232">
        <v>43607</v>
      </c>
      <c r="G121" s="67">
        <v>0.113</v>
      </c>
      <c r="H121" s="69">
        <v>-8.3000000000000004E-2</v>
      </c>
      <c r="J121" s="232">
        <v>43241</v>
      </c>
      <c r="K121" s="67">
        <v>0.67900000000000005</v>
      </c>
      <c r="L121" s="69">
        <v>0.52100000000000002</v>
      </c>
      <c r="N121" s="232">
        <v>42879</v>
      </c>
      <c r="O121" s="67">
        <v>0.61599999999999999</v>
      </c>
      <c r="P121" s="69">
        <v>0.40699999999999997</v>
      </c>
      <c r="R121" s="232">
        <v>42513</v>
      </c>
      <c r="S121" s="67">
        <v>0.40100000000000002</v>
      </c>
      <c r="T121" s="69">
        <v>0.183</v>
      </c>
    </row>
    <row r="122" spans="2:20" x14ac:dyDescent="0.25">
      <c r="B122" s="232">
        <v>43984</v>
      </c>
      <c r="C122" s="67">
        <v>-0.21</v>
      </c>
      <c r="D122" s="69">
        <v>-0.41399999999999998</v>
      </c>
      <c r="F122" s="232">
        <v>43608</v>
      </c>
      <c r="G122" s="67">
        <v>0.08</v>
      </c>
      <c r="H122" s="69">
        <v>-0.12</v>
      </c>
      <c r="J122" s="232">
        <v>43242</v>
      </c>
      <c r="K122" s="67">
        <v>0.71399999999999997</v>
      </c>
      <c r="L122" s="69">
        <v>0.56000000000000005</v>
      </c>
      <c r="N122" s="232">
        <v>42880</v>
      </c>
      <c r="O122" s="67">
        <v>0.57299999999999995</v>
      </c>
      <c r="P122" s="69">
        <v>0.36599999999999999</v>
      </c>
      <c r="R122" s="232">
        <v>42514</v>
      </c>
      <c r="S122" s="67">
        <v>0.38900000000000001</v>
      </c>
      <c r="T122" s="69">
        <v>0.17599999999999999</v>
      </c>
    </row>
    <row r="123" spans="2:20" x14ac:dyDescent="0.25">
      <c r="B123" s="232">
        <v>43985</v>
      </c>
      <c r="C123" s="67">
        <v>-0.14199999999999999</v>
      </c>
      <c r="D123" s="69">
        <v>-0.35499999999999998</v>
      </c>
      <c r="F123" s="232">
        <v>43609</v>
      </c>
      <c r="G123" s="67">
        <v>7.3999999999999996E-2</v>
      </c>
      <c r="H123" s="69">
        <v>-0.11600000000000001</v>
      </c>
      <c r="J123" s="232">
        <v>43243</v>
      </c>
      <c r="K123" s="67">
        <v>0.67</v>
      </c>
      <c r="L123" s="69">
        <v>0.50600000000000001</v>
      </c>
      <c r="N123" s="232">
        <v>42881</v>
      </c>
      <c r="O123" s="67">
        <v>0.54200000000000004</v>
      </c>
      <c r="P123" s="69">
        <v>0.33300000000000002</v>
      </c>
      <c r="R123" s="232">
        <v>42515</v>
      </c>
      <c r="S123" s="67">
        <v>0.35799999999999998</v>
      </c>
      <c r="T123" s="69">
        <v>0.152</v>
      </c>
    </row>
    <row r="124" spans="2:20" x14ac:dyDescent="0.25">
      <c r="B124" s="232">
        <v>43986</v>
      </c>
      <c r="C124" s="67">
        <v>-0.14000000000000001</v>
      </c>
      <c r="D124" s="69">
        <v>-0.32200000000000001</v>
      </c>
      <c r="F124" s="232">
        <v>43610</v>
      </c>
      <c r="G124" s="67">
        <v>7.4999999999999997E-2</v>
      </c>
      <c r="H124" s="69">
        <v>-0.11600000000000001</v>
      </c>
      <c r="J124" s="232">
        <v>43244</v>
      </c>
      <c r="K124" s="67">
        <v>0.63800000000000001</v>
      </c>
      <c r="L124" s="69">
        <v>0.47</v>
      </c>
      <c r="N124" s="232">
        <v>42884</v>
      </c>
      <c r="O124" s="67">
        <v>0.51700000000000002</v>
      </c>
      <c r="P124" s="69">
        <v>0.30099999999999999</v>
      </c>
      <c r="R124" s="232">
        <v>42516</v>
      </c>
      <c r="S124" s="67">
        <v>0.35699999999999998</v>
      </c>
      <c r="T124" s="69">
        <v>0.14399999999999999</v>
      </c>
    </row>
    <row r="125" spans="2:20" x14ac:dyDescent="0.25">
      <c r="B125" s="232">
        <v>43987</v>
      </c>
      <c r="C125" s="67">
        <v>-9.4E-2</v>
      </c>
      <c r="D125" s="69">
        <v>-0.27700000000000002</v>
      </c>
      <c r="F125" s="232">
        <v>43612</v>
      </c>
      <c r="G125" s="67">
        <v>5.1999999999999998E-2</v>
      </c>
      <c r="H125" s="69">
        <v>-0.14199999999999999</v>
      </c>
      <c r="J125" s="232">
        <v>43245</v>
      </c>
      <c r="K125" s="67">
        <v>0.58199999999999996</v>
      </c>
      <c r="L125" s="69">
        <v>0.40600000000000003</v>
      </c>
      <c r="N125" s="232">
        <v>42885</v>
      </c>
      <c r="O125" s="67">
        <v>0.51200000000000001</v>
      </c>
      <c r="P125" s="69">
        <v>0.29799999999999999</v>
      </c>
      <c r="R125" s="232">
        <v>42517</v>
      </c>
      <c r="S125" s="67">
        <v>0.35799999999999998</v>
      </c>
      <c r="T125" s="69">
        <v>0.14299999999999999</v>
      </c>
    </row>
    <row r="126" spans="2:20" x14ac:dyDescent="0.25">
      <c r="B126" s="232">
        <v>43990</v>
      </c>
      <c r="C126" s="67">
        <v>-0.13800000000000001</v>
      </c>
      <c r="D126" s="69">
        <v>-0.318</v>
      </c>
      <c r="F126" s="232">
        <v>43613</v>
      </c>
      <c r="G126" s="67">
        <v>3.5999999999999997E-2</v>
      </c>
      <c r="H126" s="69">
        <v>-0.16</v>
      </c>
      <c r="J126" s="232">
        <v>43248</v>
      </c>
      <c r="K126" s="67">
        <v>0.52500000000000002</v>
      </c>
      <c r="L126" s="69">
        <v>0.34499999999999997</v>
      </c>
      <c r="N126" s="232">
        <v>42886</v>
      </c>
      <c r="O126" s="67">
        <v>0.51300000000000001</v>
      </c>
      <c r="P126" s="69">
        <v>0.311</v>
      </c>
      <c r="R126" s="232">
        <v>42520</v>
      </c>
      <c r="S126" s="67">
        <v>0.38700000000000001</v>
      </c>
      <c r="T126" s="69">
        <v>0.16700000000000001</v>
      </c>
    </row>
    <row r="127" spans="2:20" x14ac:dyDescent="0.25">
      <c r="B127" s="232">
        <v>43991</v>
      </c>
      <c r="C127" s="67">
        <v>-0.122</v>
      </c>
      <c r="D127" s="69">
        <v>-0.311</v>
      </c>
      <c r="F127" s="232">
        <v>43614</v>
      </c>
      <c r="G127" s="67">
        <v>1.2999999999999999E-2</v>
      </c>
      <c r="H127" s="69">
        <v>-0.17599999999999999</v>
      </c>
      <c r="J127" s="232">
        <v>43249</v>
      </c>
      <c r="K127" s="67">
        <v>0.47</v>
      </c>
      <c r="L127" s="69">
        <v>0.25700000000000001</v>
      </c>
      <c r="N127" s="232">
        <v>42887</v>
      </c>
      <c r="O127" s="67">
        <v>0.51900000000000002</v>
      </c>
      <c r="P127" s="69">
        <v>0.308</v>
      </c>
      <c r="R127" s="232">
        <v>42521</v>
      </c>
      <c r="S127" s="67">
        <v>0.35699999999999998</v>
      </c>
      <c r="T127" s="69">
        <v>0.14699999999999999</v>
      </c>
    </row>
    <row r="128" spans="2:20" x14ac:dyDescent="0.25">
      <c r="B128" s="232">
        <v>43992</v>
      </c>
      <c r="C128" s="67">
        <v>-0.13100000000000001</v>
      </c>
      <c r="D128" s="69">
        <v>-0.32900000000000001</v>
      </c>
      <c r="F128" s="232">
        <v>43615</v>
      </c>
      <c r="G128" s="67">
        <v>0.02</v>
      </c>
      <c r="H128" s="69">
        <v>-0.17499999999999999</v>
      </c>
      <c r="J128" s="232">
        <v>43250</v>
      </c>
      <c r="K128" s="67">
        <v>0.55300000000000005</v>
      </c>
      <c r="L128" s="69">
        <v>0.37</v>
      </c>
      <c r="N128" s="232">
        <v>42888</v>
      </c>
      <c r="O128" s="67">
        <v>0.49299999999999999</v>
      </c>
      <c r="P128" s="69">
        <v>0.27300000000000002</v>
      </c>
      <c r="R128" s="232">
        <v>42522</v>
      </c>
      <c r="S128" s="67">
        <v>0.34699999999999998</v>
      </c>
      <c r="T128" s="69">
        <v>0.13400000000000001</v>
      </c>
    </row>
    <row r="129" spans="2:20" x14ac:dyDescent="0.25">
      <c r="B129" s="232">
        <v>43993</v>
      </c>
      <c r="C129" s="67">
        <v>-0.20799999999999999</v>
      </c>
      <c r="D129" s="69">
        <v>-0.41299999999999998</v>
      </c>
      <c r="F129" s="232">
        <v>43616</v>
      </c>
      <c r="G129" s="67">
        <v>-0.01</v>
      </c>
      <c r="H129" s="69">
        <v>-0.20300000000000001</v>
      </c>
      <c r="J129" s="232">
        <v>43251</v>
      </c>
      <c r="K129" s="67">
        <v>0.54900000000000004</v>
      </c>
      <c r="L129" s="69">
        <v>0.34</v>
      </c>
      <c r="N129" s="232">
        <v>42891</v>
      </c>
      <c r="O129" s="67">
        <v>0.50800000000000001</v>
      </c>
      <c r="P129" s="69">
        <v>0.28699999999999998</v>
      </c>
      <c r="R129" s="232">
        <v>42523</v>
      </c>
      <c r="S129" s="67">
        <v>0.33600000000000002</v>
      </c>
      <c r="T129" s="69">
        <v>0.112</v>
      </c>
    </row>
    <row r="130" spans="2:20" x14ac:dyDescent="0.25">
      <c r="B130" s="232">
        <v>43994</v>
      </c>
      <c r="C130" s="67">
        <v>-0.24099999999999999</v>
      </c>
      <c r="D130" s="69">
        <v>-0.438</v>
      </c>
      <c r="F130" s="232">
        <v>43619</v>
      </c>
      <c r="G130" s="67">
        <v>-0.01</v>
      </c>
      <c r="H130" s="69">
        <v>-0.20100000000000001</v>
      </c>
      <c r="J130" s="232">
        <v>43252</v>
      </c>
      <c r="K130" s="67">
        <v>0.54800000000000004</v>
      </c>
      <c r="L130" s="69">
        <v>0.38500000000000001</v>
      </c>
      <c r="N130" s="232">
        <v>42892</v>
      </c>
      <c r="O130" s="67">
        <v>0.47599999999999998</v>
      </c>
      <c r="P130" s="69">
        <v>0.25800000000000001</v>
      </c>
      <c r="R130" s="232">
        <v>42524</v>
      </c>
      <c r="S130" s="67">
        <v>0.29099999999999998</v>
      </c>
      <c r="T130" s="69">
        <v>7.3999999999999996E-2</v>
      </c>
    </row>
    <row r="131" spans="2:20" x14ac:dyDescent="0.25">
      <c r="B131" s="232">
        <v>43995</v>
      </c>
      <c r="C131" s="67">
        <v>-0.246</v>
      </c>
      <c r="D131" s="69">
        <v>-0.44600000000000001</v>
      </c>
      <c r="F131" s="232">
        <v>43620</v>
      </c>
      <c r="G131" s="67">
        <v>-2.3E-2</v>
      </c>
      <c r="H131" s="69">
        <v>-0.20799999999999999</v>
      </c>
      <c r="J131" s="232">
        <v>43255</v>
      </c>
      <c r="K131" s="67">
        <v>0.59799999999999998</v>
      </c>
      <c r="L131" s="69">
        <v>0.42</v>
      </c>
      <c r="N131" s="232">
        <v>42893</v>
      </c>
      <c r="O131" s="67">
        <v>0.48399999999999999</v>
      </c>
      <c r="P131" s="69">
        <v>0.27200000000000002</v>
      </c>
      <c r="R131" s="232">
        <v>42527</v>
      </c>
      <c r="S131" s="67">
        <v>0.308</v>
      </c>
      <c r="T131" s="69">
        <v>8.5999999999999993E-2</v>
      </c>
    </row>
    <row r="132" spans="2:20" x14ac:dyDescent="0.25">
      <c r="B132" s="232">
        <v>43997</v>
      </c>
      <c r="C132" s="67">
        <v>-0.24399999999999999</v>
      </c>
      <c r="D132" s="69">
        <v>-0.44400000000000001</v>
      </c>
      <c r="F132" s="232">
        <v>43621</v>
      </c>
      <c r="G132" s="67">
        <v>-3.5000000000000003E-2</v>
      </c>
      <c r="H132" s="69">
        <v>-0.22700000000000001</v>
      </c>
      <c r="J132" s="232">
        <v>43256</v>
      </c>
      <c r="K132" s="67">
        <v>0.54800000000000004</v>
      </c>
      <c r="L132" s="69">
        <v>0.38700000000000001</v>
      </c>
      <c r="N132" s="232">
        <v>42894</v>
      </c>
      <c r="O132" s="67">
        <v>0.47899999999999998</v>
      </c>
      <c r="P132" s="69">
        <v>0.25600000000000001</v>
      </c>
      <c r="R132" s="232">
        <v>42528</v>
      </c>
      <c r="S132" s="67">
        <v>0.28199999999999997</v>
      </c>
      <c r="T132" s="69">
        <v>5.5E-2</v>
      </c>
    </row>
    <row r="133" spans="2:20" x14ac:dyDescent="0.25">
      <c r="B133" s="232">
        <v>43998</v>
      </c>
      <c r="C133" s="67">
        <v>-0.23499999999999999</v>
      </c>
      <c r="D133" s="69">
        <v>-0.42799999999999999</v>
      </c>
      <c r="F133" s="232">
        <v>43622</v>
      </c>
      <c r="G133" s="67">
        <v>-6.0999999999999999E-2</v>
      </c>
      <c r="H133" s="69">
        <v>-0.24</v>
      </c>
      <c r="J133" s="232">
        <v>43257</v>
      </c>
      <c r="K133" s="67">
        <v>0.65400000000000003</v>
      </c>
      <c r="L133" s="69">
        <v>0.46400000000000002</v>
      </c>
      <c r="N133" s="232">
        <v>42895</v>
      </c>
      <c r="O133" s="67">
        <v>0.48499999999999999</v>
      </c>
      <c r="P133" s="69">
        <v>0.26300000000000001</v>
      </c>
      <c r="R133" s="232">
        <v>42529</v>
      </c>
      <c r="S133" s="67">
        <v>0.28000000000000003</v>
      </c>
      <c r="T133" s="69">
        <v>0.06</v>
      </c>
    </row>
    <row r="134" spans="2:20" x14ac:dyDescent="0.25">
      <c r="B134" s="232">
        <v>43999</v>
      </c>
      <c r="C134" s="67">
        <v>-0.23</v>
      </c>
      <c r="D134" s="69">
        <v>-0.42599999999999999</v>
      </c>
      <c r="F134" s="232">
        <v>43623</v>
      </c>
      <c r="G134" s="67">
        <v>-9.4E-2</v>
      </c>
      <c r="H134" s="69">
        <v>-0.25700000000000001</v>
      </c>
      <c r="J134" s="232">
        <v>43258</v>
      </c>
      <c r="K134" s="67">
        <v>0.68100000000000005</v>
      </c>
      <c r="L134" s="69">
        <v>0.47799999999999998</v>
      </c>
      <c r="N134" s="232">
        <v>42898</v>
      </c>
      <c r="O134" s="67">
        <v>0.47</v>
      </c>
      <c r="P134" s="69">
        <v>0.245</v>
      </c>
      <c r="R134" s="232">
        <v>42530</v>
      </c>
      <c r="S134" s="67">
        <v>0.249</v>
      </c>
      <c r="T134" s="69">
        <v>3.6999999999999998E-2</v>
      </c>
    </row>
    <row r="135" spans="2:20" x14ac:dyDescent="0.25">
      <c r="B135" s="232">
        <v>44000</v>
      </c>
      <c r="C135" s="67">
        <v>-0.247</v>
      </c>
      <c r="D135" s="69">
        <v>-0.442</v>
      </c>
      <c r="F135" s="232">
        <v>43626</v>
      </c>
      <c r="G135" s="67">
        <v>-4.1000000000000002E-2</v>
      </c>
      <c r="H135" s="69">
        <v>-0.219</v>
      </c>
      <c r="J135" s="232">
        <v>43259</v>
      </c>
      <c r="K135" s="67">
        <v>0.64200000000000002</v>
      </c>
      <c r="L135" s="69">
        <v>0.44600000000000001</v>
      </c>
      <c r="N135" s="232">
        <v>42899</v>
      </c>
      <c r="O135" s="67">
        <v>0.48099999999999998</v>
      </c>
      <c r="P135" s="69">
        <v>0.26600000000000001</v>
      </c>
      <c r="R135" s="232">
        <v>42531</v>
      </c>
      <c r="S135" s="67">
        <v>0.245</v>
      </c>
      <c r="T135" s="69">
        <v>2.1000000000000001E-2</v>
      </c>
    </row>
    <row r="136" spans="2:20" x14ac:dyDescent="0.25">
      <c r="B136" s="232">
        <v>44001</v>
      </c>
      <c r="C136" s="67">
        <v>-0.26</v>
      </c>
      <c r="D136" s="69">
        <v>-0.41499999999999998</v>
      </c>
      <c r="F136" s="232">
        <v>43627</v>
      </c>
      <c r="G136" s="67">
        <v>-5.3999999999999999E-2</v>
      </c>
      <c r="H136" s="69">
        <v>-0.23300000000000001</v>
      </c>
      <c r="J136" s="232">
        <v>43262</v>
      </c>
      <c r="K136" s="67">
        <v>0.67700000000000005</v>
      </c>
      <c r="L136" s="69">
        <v>0.49399999999999999</v>
      </c>
      <c r="N136" s="232">
        <v>42900</v>
      </c>
      <c r="O136" s="67">
        <v>0.441</v>
      </c>
      <c r="P136" s="69">
        <v>0.22700000000000001</v>
      </c>
      <c r="R136" s="232">
        <v>42534</v>
      </c>
      <c r="S136" s="67">
        <v>0.26800000000000002</v>
      </c>
      <c r="T136" s="69">
        <v>0.03</v>
      </c>
    </row>
    <row r="137" spans="2:20" x14ac:dyDescent="0.25">
      <c r="B137" s="232">
        <v>44002</v>
      </c>
      <c r="C137" s="67">
        <v>-0.26200000000000001</v>
      </c>
      <c r="D137" s="69"/>
      <c r="F137" s="232">
        <v>43628</v>
      </c>
      <c r="G137" s="67">
        <v>-5.8999999999999997E-2</v>
      </c>
      <c r="H137" s="69">
        <v>-0.23699999999999999</v>
      </c>
      <c r="J137" s="232">
        <v>43263</v>
      </c>
      <c r="K137" s="67">
        <v>0.66800000000000004</v>
      </c>
      <c r="L137" s="69">
        <v>0.49</v>
      </c>
      <c r="N137" s="232">
        <v>42901</v>
      </c>
      <c r="O137" s="67">
        <v>0.5</v>
      </c>
      <c r="P137" s="69">
        <v>0.28599999999999998</v>
      </c>
      <c r="R137" s="232">
        <v>42535</v>
      </c>
      <c r="S137" s="67">
        <v>0.252</v>
      </c>
      <c r="T137" s="69">
        <v>-1E-3</v>
      </c>
    </row>
    <row r="138" spans="2:20" x14ac:dyDescent="0.25">
      <c r="B138" s="232">
        <v>44004</v>
      </c>
      <c r="C138" s="67">
        <v>-0.28199999999999997</v>
      </c>
      <c r="D138" s="69">
        <v>-0.436</v>
      </c>
      <c r="F138" s="232">
        <v>43629</v>
      </c>
      <c r="G138" s="67">
        <v>-6.5000000000000002E-2</v>
      </c>
      <c r="H138" s="69">
        <v>-0.24199999999999999</v>
      </c>
      <c r="J138" s="232">
        <v>43264</v>
      </c>
      <c r="K138" s="67">
        <v>0.64700000000000002</v>
      </c>
      <c r="L138" s="69">
        <v>0.48399999999999999</v>
      </c>
      <c r="N138" s="232">
        <v>42902</v>
      </c>
      <c r="O138" s="67">
        <v>0.48499999999999999</v>
      </c>
      <c r="P138" s="69">
        <v>0.27700000000000002</v>
      </c>
      <c r="R138" s="232">
        <v>42536</v>
      </c>
      <c r="S138" s="67">
        <v>0.24399999999999999</v>
      </c>
      <c r="T138" s="69">
        <v>-1.4E-2</v>
      </c>
    </row>
    <row r="139" spans="2:20" x14ac:dyDescent="0.25">
      <c r="B139" s="232">
        <v>44005</v>
      </c>
      <c r="C139" s="67">
        <v>-0.249</v>
      </c>
      <c r="D139" s="69">
        <v>-0.40500000000000003</v>
      </c>
      <c r="F139" s="232">
        <v>43630</v>
      </c>
      <c r="G139" s="67">
        <v>-0.08</v>
      </c>
      <c r="H139" s="69">
        <v>-0.25600000000000001</v>
      </c>
      <c r="J139" s="232">
        <v>43265</v>
      </c>
      <c r="K139" s="67">
        <v>0.58399999999999996</v>
      </c>
      <c r="L139" s="69">
        <v>0.43099999999999999</v>
      </c>
      <c r="N139" s="232">
        <v>42903</v>
      </c>
      <c r="O139" s="67">
        <v>0.48299999999999998</v>
      </c>
      <c r="P139" s="69">
        <v>0.27700000000000002</v>
      </c>
      <c r="R139" s="232">
        <v>42537</v>
      </c>
      <c r="S139" s="67">
        <v>0.246</v>
      </c>
      <c r="T139" s="69">
        <v>-2.1999999999999999E-2</v>
      </c>
    </row>
    <row r="140" spans="2:20" x14ac:dyDescent="0.25">
      <c r="B140" s="232">
        <v>44006</v>
      </c>
      <c r="C140" s="67">
        <v>-0.28199999999999997</v>
      </c>
      <c r="D140" s="69">
        <v>-0.439</v>
      </c>
      <c r="F140" s="232">
        <v>43633</v>
      </c>
      <c r="G140" s="67">
        <v>-7.1999999999999995E-2</v>
      </c>
      <c r="H140" s="69">
        <v>-0.245</v>
      </c>
      <c r="J140" s="232">
        <v>43266</v>
      </c>
      <c r="K140" s="67">
        <v>0.56399999999999995</v>
      </c>
      <c r="L140" s="69">
        <v>0.40300000000000002</v>
      </c>
      <c r="N140" s="232">
        <v>42904</v>
      </c>
      <c r="O140" s="67"/>
      <c r="P140" s="69">
        <v>0.27700000000000002</v>
      </c>
      <c r="R140" s="232">
        <v>42538</v>
      </c>
      <c r="S140" s="67">
        <v>0.27800000000000002</v>
      </c>
      <c r="T140" s="69">
        <v>0.02</v>
      </c>
    </row>
    <row r="141" spans="2:20" x14ac:dyDescent="0.25">
      <c r="B141" s="232">
        <v>44007</v>
      </c>
      <c r="C141" s="67">
        <v>-0.30099999999999999</v>
      </c>
      <c r="D141" s="69">
        <v>-0.46500000000000002</v>
      </c>
      <c r="F141" s="232">
        <v>43634</v>
      </c>
      <c r="G141" s="67">
        <v>-0.16</v>
      </c>
      <c r="H141" s="69">
        <v>-0.317</v>
      </c>
      <c r="J141" s="232">
        <v>43267</v>
      </c>
      <c r="K141" s="67">
        <v>0.56100000000000005</v>
      </c>
      <c r="L141" s="69">
        <v>0.40200000000000002</v>
      </c>
      <c r="N141" s="232">
        <v>42905</v>
      </c>
      <c r="O141" s="67">
        <v>0.48799999999999999</v>
      </c>
      <c r="P141" s="69">
        <v>0.28299999999999997</v>
      </c>
      <c r="R141" s="232">
        <v>42541</v>
      </c>
      <c r="S141" s="67">
        <v>0.29699999999999999</v>
      </c>
      <c r="T141" s="69">
        <v>6.0999999999999999E-2</v>
      </c>
    </row>
    <row r="142" spans="2:20" x14ac:dyDescent="0.25">
      <c r="B142" s="232">
        <v>44008</v>
      </c>
      <c r="C142" s="67">
        <v>-0.317</v>
      </c>
      <c r="D142" s="69">
        <v>-0.48099999999999998</v>
      </c>
      <c r="F142" s="232">
        <v>43635</v>
      </c>
      <c r="G142" s="67">
        <v>-0.122</v>
      </c>
      <c r="H142" s="69">
        <v>-0.28899999999999998</v>
      </c>
      <c r="J142" s="232">
        <v>43268</v>
      </c>
      <c r="K142" s="67">
        <v>0.56100000000000005</v>
      </c>
      <c r="L142" s="69"/>
      <c r="N142" s="232">
        <v>42906</v>
      </c>
      <c r="O142" s="67">
        <v>0.47399999999999998</v>
      </c>
      <c r="P142" s="69">
        <v>0.25900000000000001</v>
      </c>
      <c r="R142" s="232">
        <v>42542</v>
      </c>
      <c r="S142" s="67">
        <v>0.29199999999999998</v>
      </c>
      <c r="T142" s="69">
        <v>4.7E-2</v>
      </c>
    </row>
    <row r="143" spans="2:20" x14ac:dyDescent="0.25">
      <c r="B143" s="232">
        <v>44009</v>
      </c>
      <c r="C143" s="67">
        <v>-0.318</v>
      </c>
      <c r="D143" s="69">
        <v>-0.48199999999999998</v>
      </c>
      <c r="F143" s="232">
        <v>43636</v>
      </c>
      <c r="G143" s="67">
        <v>-0.153</v>
      </c>
      <c r="H143" s="69">
        <v>-0.316</v>
      </c>
      <c r="J143" s="232">
        <v>43269</v>
      </c>
      <c r="K143" s="67">
        <v>0.55300000000000005</v>
      </c>
      <c r="L143" s="69">
        <v>0.4</v>
      </c>
      <c r="N143" s="232">
        <v>42907</v>
      </c>
      <c r="O143" s="67">
        <v>0.47199999999999998</v>
      </c>
      <c r="P143" s="69">
        <v>0.26400000000000001</v>
      </c>
      <c r="R143" s="232">
        <v>42543</v>
      </c>
      <c r="S143" s="67">
        <v>0.29299999999999998</v>
      </c>
      <c r="T143" s="69">
        <v>5.8999999999999997E-2</v>
      </c>
    </row>
    <row r="144" spans="2:20" x14ac:dyDescent="0.25">
      <c r="B144" s="232">
        <v>44011</v>
      </c>
      <c r="C144" s="67">
        <v>-0.309</v>
      </c>
      <c r="D144" s="69">
        <v>-0.47</v>
      </c>
      <c r="F144" s="232">
        <v>43637</v>
      </c>
      <c r="G144" s="67">
        <v>-0.115</v>
      </c>
      <c r="H144" s="69">
        <v>-0.28399999999999997</v>
      </c>
      <c r="J144" s="232">
        <v>43270</v>
      </c>
      <c r="K144" s="67">
        <v>0.53400000000000003</v>
      </c>
      <c r="L144" s="69">
        <v>0.373</v>
      </c>
      <c r="N144" s="232">
        <v>42908</v>
      </c>
      <c r="O144" s="67">
        <v>0.45400000000000001</v>
      </c>
      <c r="P144" s="69">
        <v>0.254</v>
      </c>
      <c r="R144" s="232">
        <v>42544</v>
      </c>
      <c r="S144" s="67">
        <v>0.29699999999999999</v>
      </c>
      <c r="T144" s="69">
        <v>9.9000000000000005E-2</v>
      </c>
    </row>
    <row r="145" spans="2:20" x14ac:dyDescent="0.25">
      <c r="B145" s="232">
        <v>44012</v>
      </c>
      <c r="C145" s="68">
        <v>-0.30199999999999999</v>
      </c>
      <c r="D145" s="69">
        <v>-0.45300000000000001</v>
      </c>
      <c r="F145" s="232">
        <v>43640</v>
      </c>
      <c r="G145" s="67">
        <v>-0.13500000000000001</v>
      </c>
      <c r="H145" s="69">
        <v>-0.30599999999999999</v>
      </c>
      <c r="J145" s="232">
        <v>43271</v>
      </c>
      <c r="K145" s="67">
        <v>0.53300000000000003</v>
      </c>
      <c r="L145" s="69">
        <v>0.377</v>
      </c>
      <c r="N145" s="232">
        <v>42909</v>
      </c>
      <c r="O145" s="67">
        <v>0.45600000000000002</v>
      </c>
      <c r="P145" s="69">
        <v>0.25600000000000001</v>
      </c>
      <c r="R145" s="232">
        <v>42545</v>
      </c>
      <c r="S145" s="67">
        <v>0.20399999999999999</v>
      </c>
      <c r="T145" s="69">
        <v>-5.1999999999999998E-2</v>
      </c>
    </row>
    <row r="146" spans="2:20" x14ac:dyDescent="0.25">
      <c r="B146" s="232">
        <v>44013</v>
      </c>
      <c r="C146" s="67">
        <v>-0.23899999999999999</v>
      </c>
      <c r="D146" s="69">
        <v>-0.39700000000000002</v>
      </c>
      <c r="F146" s="232">
        <v>43641</v>
      </c>
      <c r="G146" s="67">
        <v>-0.158</v>
      </c>
      <c r="H146" s="69">
        <v>-0.33100000000000002</v>
      </c>
      <c r="J146" s="232">
        <v>43272</v>
      </c>
      <c r="K146" s="67">
        <v>0.498</v>
      </c>
      <c r="L146" s="69">
        <v>0.33400000000000002</v>
      </c>
      <c r="N146" s="232">
        <v>42911</v>
      </c>
      <c r="O146" s="67">
        <v>0.46</v>
      </c>
      <c r="P146" s="69">
        <v>0.25800000000000001</v>
      </c>
      <c r="R146" s="232">
        <v>42548</v>
      </c>
      <c r="S146" s="67">
        <v>0.154</v>
      </c>
      <c r="T146" s="69">
        <v>-0.109</v>
      </c>
    </row>
    <row r="147" spans="2:20" x14ac:dyDescent="0.25">
      <c r="B147" s="232">
        <v>44014</v>
      </c>
      <c r="C147" s="67">
        <v>-0.28399999999999997</v>
      </c>
      <c r="D147" s="69">
        <v>-0.42899999999999999</v>
      </c>
      <c r="F147" s="232">
        <v>43642</v>
      </c>
      <c r="G147" s="67">
        <v>-0.13300000000000001</v>
      </c>
      <c r="H147" s="69">
        <v>-0.30299999999999999</v>
      </c>
      <c r="J147" s="232">
        <v>43273</v>
      </c>
      <c r="K147" s="67">
        <v>0.497</v>
      </c>
      <c r="L147" s="69">
        <v>0.33600000000000002</v>
      </c>
      <c r="N147" s="232">
        <v>42912</v>
      </c>
      <c r="O147" s="67">
        <v>0.45300000000000001</v>
      </c>
      <c r="P147" s="69">
        <v>0.24399999999999999</v>
      </c>
      <c r="R147" s="232">
        <v>42549</v>
      </c>
      <c r="S147" s="67">
        <v>0.128</v>
      </c>
      <c r="T147" s="69">
        <v>-0.11799999999999999</v>
      </c>
    </row>
    <row r="148" spans="2:20" x14ac:dyDescent="0.25">
      <c r="B148" s="232">
        <v>44015</v>
      </c>
      <c r="C148" s="67">
        <v>-0.28699999999999998</v>
      </c>
      <c r="D148" s="69">
        <v>-0.432</v>
      </c>
      <c r="F148" s="232">
        <v>43643</v>
      </c>
      <c r="G148" s="67">
        <v>-0.14799999999999999</v>
      </c>
      <c r="H148" s="69">
        <v>-0.32</v>
      </c>
      <c r="J148" s="232">
        <v>43274</v>
      </c>
      <c r="K148" s="67">
        <v>0.498</v>
      </c>
      <c r="L148" s="69">
        <v>0.33600000000000002</v>
      </c>
      <c r="N148" s="232">
        <v>42913</v>
      </c>
      <c r="O148" s="67">
        <v>0.55900000000000005</v>
      </c>
      <c r="P148" s="69">
        <v>0.36799999999999999</v>
      </c>
      <c r="R148" s="232">
        <v>42550</v>
      </c>
      <c r="S148" s="67">
        <v>0.112</v>
      </c>
      <c r="T148" s="69">
        <v>-0.126</v>
      </c>
    </row>
    <row r="149" spans="2:20" x14ac:dyDescent="0.25">
      <c r="B149" s="232">
        <v>44018</v>
      </c>
      <c r="C149" s="67">
        <v>-0.28799999999999998</v>
      </c>
      <c r="D149" s="69">
        <v>-0.432</v>
      </c>
      <c r="F149" s="232">
        <v>43644</v>
      </c>
      <c r="G149" s="67">
        <v>-0.159</v>
      </c>
      <c r="H149" s="69">
        <v>-0.32800000000000001</v>
      </c>
      <c r="J149" s="232">
        <v>43276</v>
      </c>
      <c r="K149" s="67">
        <v>0.49299999999999999</v>
      </c>
      <c r="L149" s="69">
        <v>0.32700000000000001</v>
      </c>
      <c r="N149" s="232">
        <v>42914</v>
      </c>
      <c r="O149" s="67">
        <v>0.56299999999999994</v>
      </c>
      <c r="P149" s="69">
        <v>0.36799999999999999</v>
      </c>
      <c r="R149" s="232">
        <v>42551</v>
      </c>
      <c r="S149" s="67">
        <v>8.6999999999999994E-2</v>
      </c>
      <c r="T149" s="69">
        <v>-0.127</v>
      </c>
    </row>
    <row r="150" spans="2:20" x14ac:dyDescent="0.25">
      <c r="B150" s="232">
        <v>44019</v>
      </c>
      <c r="C150" s="67">
        <v>-0.28599999999999998</v>
      </c>
      <c r="D150" s="69">
        <v>-0.42899999999999999</v>
      </c>
      <c r="F150" s="232">
        <v>43647</v>
      </c>
      <c r="G150" s="67">
        <v>-0.191</v>
      </c>
      <c r="H150" s="69">
        <v>-0.35299999999999998</v>
      </c>
      <c r="J150" s="232">
        <v>43277</v>
      </c>
      <c r="K150" s="67">
        <v>0.50700000000000001</v>
      </c>
      <c r="L150" s="69">
        <v>0.34200000000000003</v>
      </c>
      <c r="N150" s="232">
        <v>42915</v>
      </c>
      <c r="O150" s="67">
        <v>0.65</v>
      </c>
      <c r="P150" s="69">
        <v>0.45100000000000001</v>
      </c>
      <c r="R150" s="232">
        <v>42552</v>
      </c>
      <c r="S150" s="67">
        <v>7.2999999999999995E-2</v>
      </c>
      <c r="T150" s="69">
        <v>-0.13</v>
      </c>
    </row>
    <row r="151" spans="2:20" x14ac:dyDescent="0.25">
      <c r="B151" s="232">
        <v>44020</v>
      </c>
      <c r="C151" s="67">
        <v>-0.29599999999999999</v>
      </c>
      <c r="D151" s="69">
        <v>-0.439</v>
      </c>
      <c r="F151" s="232">
        <v>43648</v>
      </c>
      <c r="G151" s="67">
        <v>-0.2</v>
      </c>
      <c r="H151" s="69">
        <v>-0.36799999999999999</v>
      </c>
      <c r="J151" s="232">
        <v>43278</v>
      </c>
      <c r="K151" s="67">
        <v>0.49</v>
      </c>
      <c r="L151" s="69">
        <v>0.32400000000000001</v>
      </c>
      <c r="N151" s="232">
        <v>42916</v>
      </c>
      <c r="O151" s="67">
        <v>0.66</v>
      </c>
      <c r="P151" s="69">
        <v>0.46500000000000002</v>
      </c>
      <c r="R151" s="232">
        <v>42555</v>
      </c>
      <c r="S151" s="67">
        <v>7.1999999999999995E-2</v>
      </c>
      <c r="T151" s="69">
        <v>-0.13500000000000001</v>
      </c>
    </row>
    <row r="152" spans="2:20" x14ac:dyDescent="0.25">
      <c r="B152" s="232">
        <v>44021</v>
      </c>
      <c r="C152" s="67">
        <v>-0.315</v>
      </c>
      <c r="D152" s="69">
        <v>-0.45900000000000002</v>
      </c>
      <c r="F152" s="232">
        <v>43649</v>
      </c>
      <c r="G152" s="67">
        <v>-0.222</v>
      </c>
      <c r="H152" s="69">
        <v>-0.38500000000000001</v>
      </c>
      <c r="J152" s="232">
        <v>43279</v>
      </c>
      <c r="K152" s="67">
        <v>0.48199999999999998</v>
      </c>
      <c r="L152" s="69">
        <v>0.31900000000000001</v>
      </c>
      <c r="N152" s="232">
        <v>42917</v>
      </c>
      <c r="O152" s="67">
        <v>0.65500000000000003</v>
      </c>
      <c r="P152" s="69">
        <v>0.46700000000000003</v>
      </c>
      <c r="R152" s="232">
        <v>42556</v>
      </c>
      <c r="S152" s="67">
        <v>0.03</v>
      </c>
      <c r="T152" s="69">
        <v>-0.18099999999999999</v>
      </c>
    </row>
    <row r="153" spans="2:20" x14ac:dyDescent="0.25">
      <c r="B153" s="232">
        <v>44022</v>
      </c>
      <c r="C153" s="67">
        <v>-0.32300000000000001</v>
      </c>
      <c r="D153" s="69">
        <v>-0.46800000000000003</v>
      </c>
      <c r="F153" s="232">
        <v>43650</v>
      </c>
      <c r="G153" s="67">
        <v>-0.245</v>
      </c>
      <c r="H153" s="69">
        <v>-0.39900000000000002</v>
      </c>
      <c r="J153" s="232">
        <v>43280</v>
      </c>
      <c r="K153" s="67">
        <v>0.46800000000000003</v>
      </c>
      <c r="L153" s="69">
        <v>0.30299999999999999</v>
      </c>
      <c r="N153" s="232">
        <v>42918</v>
      </c>
      <c r="O153" s="67">
        <v>0.65500000000000003</v>
      </c>
      <c r="P153" s="69">
        <v>0.46700000000000003</v>
      </c>
      <c r="R153" s="232">
        <v>42557</v>
      </c>
      <c r="S153" s="67">
        <v>3.4000000000000002E-2</v>
      </c>
      <c r="T153" s="69">
        <v>-0.17899999999999999</v>
      </c>
    </row>
    <row r="154" spans="2:20" x14ac:dyDescent="0.25">
      <c r="B154" s="232">
        <v>44023</v>
      </c>
      <c r="C154" s="67">
        <v>-0.32600000000000001</v>
      </c>
      <c r="D154" s="69"/>
      <c r="F154" s="232">
        <v>43651</v>
      </c>
      <c r="G154" s="67">
        <v>-0.20300000000000001</v>
      </c>
      <c r="H154" s="69">
        <v>-0.36099999999999999</v>
      </c>
      <c r="J154" s="232">
        <v>43281</v>
      </c>
      <c r="K154" s="67">
        <v>0.47599999999999998</v>
      </c>
      <c r="L154" s="69"/>
      <c r="N154" s="232">
        <v>42919</v>
      </c>
      <c r="O154" s="67">
        <v>0.66700000000000004</v>
      </c>
      <c r="P154" s="69">
        <v>0.47399999999999998</v>
      </c>
      <c r="R154" s="232">
        <v>42558</v>
      </c>
      <c r="S154" s="67">
        <v>4.8000000000000001E-2</v>
      </c>
      <c r="T154" s="69">
        <v>-0.16600000000000001</v>
      </c>
    </row>
    <row r="155" spans="2:20" x14ac:dyDescent="0.25">
      <c r="B155" s="232">
        <v>44025</v>
      </c>
      <c r="C155" s="67">
        <v>-0.26900000000000002</v>
      </c>
      <c r="D155" s="69">
        <v>-0.41599999999999998</v>
      </c>
      <c r="F155" s="232">
        <v>43654</v>
      </c>
      <c r="G155" s="67">
        <v>-0.20899999999999999</v>
      </c>
      <c r="H155" s="69">
        <v>-0.36599999999999999</v>
      </c>
      <c r="J155" s="232">
        <v>43283</v>
      </c>
      <c r="K155" s="67">
        <v>0.46200000000000002</v>
      </c>
      <c r="L155" s="69">
        <v>0.30499999999999999</v>
      </c>
      <c r="N155" s="232">
        <v>42920</v>
      </c>
      <c r="O155" s="67">
        <v>0.67</v>
      </c>
      <c r="P155" s="69">
        <v>0.47499999999999998</v>
      </c>
      <c r="R155" s="232">
        <v>42559</v>
      </c>
      <c r="S155" s="67">
        <v>5.0000000000000001E-3</v>
      </c>
      <c r="T155" s="69">
        <v>-0.184</v>
      </c>
    </row>
    <row r="156" spans="2:20" x14ac:dyDescent="0.25">
      <c r="B156" s="232">
        <v>44026</v>
      </c>
      <c r="C156" s="67">
        <v>-0.30399999999999999</v>
      </c>
      <c r="D156" s="69">
        <v>-0.44700000000000001</v>
      </c>
      <c r="F156" s="232">
        <v>43655</v>
      </c>
      <c r="G156" s="67">
        <v>-0.19500000000000001</v>
      </c>
      <c r="H156" s="69">
        <v>-0.35399999999999998</v>
      </c>
      <c r="J156" s="232">
        <v>43284</v>
      </c>
      <c r="K156" s="67">
        <v>0.45400000000000001</v>
      </c>
      <c r="L156" s="69">
        <v>0.29299999999999998</v>
      </c>
      <c r="N156" s="232">
        <v>42921</v>
      </c>
      <c r="O156" s="67">
        <v>0.66500000000000004</v>
      </c>
      <c r="P156" s="69">
        <v>0.46899999999999997</v>
      </c>
      <c r="R156" s="232">
        <v>42562</v>
      </c>
      <c r="S156" s="67">
        <v>2.5999999999999999E-2</v>
      </c>
      <c r="T156" s="69">
        <v>-0.16700000000000001</v>
      </c>
    </row>
    <row r="157" spans="2:20" x14ac:dyDescent="0.25">
      <c r="B157" s="232">
        <v>44027</v>
      </c>
      <c r="C157" s="67">
        <v>-0.30299999999999999</v>
      </c>
      <c r="D157" s="69">
        <v>-0.443</v>
      </c>
      <c r="F157" s="232">
        <v>43656</v>
      </c>
      <c r="G157" s="67">
        <v>-0.14799999999999999</v>
      </c>
      <c r="H157" s="69">
        <v>-0.30599999999999999</v>
      </c>
      <c r="J157" s="232">
        <v>43285</v>
      </c>
      <c r="K157" s="67">
        <v>0.46200000000000002</v>
      </c>
      <c r="L157" s="69">
        <v>0.30599999999999999</v>
      </c>
      <c r="N157" s="232">
        <v>42922</v>
      </c>
      <c r="O157" s="67">
        <v>0.76</v>
      </c>
      <c r="P157" s="69">
        <v>0.56000000000000005</v>
      </c>
      <c r="R157" s="232">
        <v>42563</v>
      </c>
      <c r="S157" s="67">
        <v>7.4999999999999997E-2</v>
      </c>
      <c r="T157" s="69">
        <v>-9.2999999999999999E-2</v>
      </c>
    </row>
    <row r="158" spans="2:20" x14ac:dyDescent="0.25">
      <c r="B158" s="232">
        <v>44028</v>
      </c>
      <c r="C158" s="67">
        <v>-0.32300000000000001</v>
      </c>
      <c r="D158" s="69">
        <v>-0.46899999999999997</v>
      </c>
      <c r="F158" s="232">
        <v>43657</v>
      </c>
      <c r="G158" s="67">
        <v>-0.109</v>
      </c>
      <c r="H158" s="69">
        <v>-0.26400000000000001</v>
      </c>
      <c r="J158" s="232">
        <v>43286</v>
      </c>
      <c r="K158" s="67">
        <v>0.46800000000000003</v>
      </c>
      <c r="L158" s="69">
        <v>0.29699999999999999</v>
      </c>
      <c r="N158" s="232">
        <v>42923</v>
      </c>
      <c r="O158" s="67">
        <v>0.77300000000000002</v>
      </c>
      <c r="P158" s="69">
        <v>0.57299999999999995</v>
      </c>
      <c r="R158" s="232">
        <v>42564</v>
      </c>
      <c r="S158" s="67">
        <v>3.7999999999999999E-2</v>
      </c>
      <c r="T158" s="69">
        <v>-0.14199999999999999</v>
      </c>
    </row>
    <row r="159" spans="2:20" x14ac:dyDescent="0.25">
      <c r="B159" s="232">
        <v>44029</v>
      </c>
      <c r="C159" s="67">
        <v>-0.318</v>
      </c>
      <c r="D159" s="69">
        <v>-0.45500000000000002</v>
      </c>
      <c r="F159" s="232">
        <v>43658</v>
      </c>
      <c r="G159" s="67">
        <v>-8.4000000000000005E-2</v>
      </c>
      <c r="H159" s="69">
        <v>-0.248</v>
      </c>
      <c r="J159" s="232">
        <v>43287</v>
      </c>
      <c r="K159" s="67">
        <v>0.45500000000000002</v>
      </c>
      <c r="L159" s="69">
        <v>0.29599999999999999</v>
      </c>
      <c r="N159" s="232">
        <v>42924</v>
      </c>
      <c r="O159" s="67"/>
      <c r="P159" s="69">
        <v>0.57199999999999995</v>
      </c>
      <c r="R159" s="232">
        <v>42565</v>
      </c>
      <c r="S159" s="67">
        <v>7.5999999999999998E-2</v>
      </c>
      <c r="T159" s="69">
        <v>-0.129</v>
      </c>
    </row>
    <row r="160" spans="2:20" x14ac:dyDescent="0.25">
      <c r="B160" s="232">
        <v>44031</v>
      </c>
      <c r="C160" s="67">
        <v>-0.31900000000000001</v>
      </c>
      <c r="D160" s="69">
        <v>-0.45200000000000001</v>
      </c>
      <c r="F160" s="232">
        <v>43659</v>
      </c>
      <c r="G160" s="67"/>
      <c r="H160" s="69">
        <v>-0.252</v>
      </c>
      <c r="J160" s="232">
        <v>43288</v>
      </c>
      <c r="K160" s="67">
        <v>0.45800000000000002</v>
      </c>
      <c r="L160" s="69"/>
      <c r="N160" s="232">
        <v>42926</v>
      </c>
      <c r="O160" s="67">
        <v>0.73899999999999999</v>
      </c>
      <c r="P160" s="69">
        <v>0.54300000000000004</v>
      </c>
      <c r="R160" s="232">
        <v>42566</v>
      </c>
      <c r="S160" s="67">
        <v>0.11799999999999999</v>
      </c>
      <c r="T160" s="69">
        <v>7.0000000000000001E-3</v>
      </c>
    </row>
    <row r="161" spans="2:20" x14ac:dyDescent="0.25">
      <c r="B161" s="232">
        <v>44032</v>
      </c>
      <c r="C161" s="67">
        <v>-0.33</v>
      </c>
      <c r="D161" s="69">
        <v>-0.46300000000000002</v>
      </c>
      <c r="F161" s="232">
        <v>43661</v>
      </c>
      <c r="G161" s="67">
        <v>-0.128</v>
      </c>
      <c r="H161" s="69">
        <v>-0.29399999999999998</v>
      </c>
      <c r="J161" s="232">
        <v>43290</v>
      </c>
      <c r="K161" s="67">
        <v>0.46</v>
      </c>
      <c r="L161" s="69">
        <v>0.30199999999999999</v>
      </c>
      <c r="N161" s="232">
        <v>42927</v>
      </c>
      <c r="O161" s="67">
        <v>0.749</v>
      </c>
      <c r="P161" s="69">
        <v>0.55200000000000005</v>
      </c>
      <c r="R161" s="232">
        <v>42569</v>
      </c>
      <c r="S161" s="67">
        <v>8.8999999999999996E-2</v>
      </c>
      <c r="T161" s="69">
        <v>-1.4999999999999999E-2</v>
      </c>
    </row>
    <row r="162" spans="2:20" x14ac:dyDescent="0.25">
      <c r="B162" s="232">
        <v>44033</v>
      </c>
      <c r="C162" s="67">
        <v>-0.32700000000000001</v>
      </c>
      <c r="D162" s="69">
        <v>-0.46200000000000002</v>
      </c>
      <c r="F162" s="232">
        <v>43662</v>
      </c>
      <c r="G162" s="67">
        <v>-0.13</v>
      </c>
      <c r="H162" s="69">
        <v>-0.28899999999999998</v>
      </c>
      <c r="J162" s="232">
        <v>43291</v>
      </c>
      <c r="K162" s="67">
        <v>0.47799999999999998</v>
      </c>
      <c r="L162" s="69">
        <v>0.31900000000000001</v>
      </c>
      <c r="N162" s="232">
        <v>42928</v>
      </c>
      <c r="O162" s="67">
        <v>0.70799999999999996</v>
      </c>
      <c r="P162" s="69">
        <v>0.57899999999999996</v>
      </c>
      <c r="R162" s="232">
        <v>42570</v>
      </c>
      <c r="S162" s="67">
        <v>9.0999999999999998E-2</v>
      </c>
      <c r="T162" s="69">
        <v>-2.5000000000000001E-2</v>
      </c>
    </row>
    <row r="163" spans="2:20" x14ac:dyDescent="0.25">
      <c r="B163" s="232">
        <v>44034</v>
      </c>
      <c r="C163" s="67">
        <v>-0.36099999999999999</v>
      </c>
      <c r="D163" s="69">
        <v>-0.49299999999999999</v>
      </c>
      <c r="F163" s="232">
        <v>43663</v>
      </c>
      <c r="G163" s="67">
        <v>-0.16800000000000001</v>
      </c>
      <c r="H163" s="69">
        <v>-0.28699999999999998</v>
      </c>
      <c r="J163" s="232">
        <v>43292</v>
      </c>
      <c r="K163" s="67">
        <v>0.47</v>
      </c>
      <c r="L163" s="69">
        <v>0.311</v>
      </c>
      <c r="N163" s="232">
        <v>42929</v>
      </c>
      <c r="O163" s="67">
        <v>0.73199999999999998</v>
      </c>
      <c r="P163" s="69">
        <v>0.60399999999999998</v>
      </c>
      <c r="R163" s="232">
        <v>42571</v>
      </c>
      <c r="S163" s="67">
        <v>0.105</v>
      </c>
      <c r="T163" s="69">
        <v>-0.01</v>
      </c>
    </row>
    <row r="164" spans="2:20" x14ac:dyDescent="0.25">
      <c r="B164" s="232">
        <v>44035</v>
      </c>
      <c r="C164" s="67">
        <v>-0.34899999999999998</v>
      </c>
      <c r="D164" s="69">
        <v>-0.48199999999999998</v>
      </c>
      <c r="F164" s="232">
        <v>43664</v>
      </c>
      <c r="G164" s="67">
        <v>-0.192</v>
      </c>
      <c r="H164" s="69">
        <v>-0.31</v>
      </c>
      <c r="J164" s="232">
        <v>43293</v>
      </c>
      <c r="K164" s="67">
        <v>0.45600000000000002</v>
      </c>
      <c r="L164" s="69">
        <v>0.29599999999999999</v>
      </c>
      <c r="N164" s="232">
        <v>42930</v>
      </c>
      <c r="O164" s="67">
        <v>0.72099999999999997</v>
      </c>
      <c r="P164" s="69">
        <v>0.59399999999999997</v>
      </c>
      <c r="R164" s="232">
        <v>42572</v>
      </c>
      <c r="S164" s="67">
        <v>0.105</v>
      </c>
      <c r="T164" s="69">
        <v>-1.6E-2</v>
      </c>
    </row>
    <row r="165" spans="2:20" x14ac:dyDescent="0.25">
      <c r="B165" s="232">
        <v>44036</v>
      </c>
      <c r="C165" s="67">
        <v>-0.31900000000000001</v>
      </c>
      <c r="D165" s="69">
        <v>-0.44500000000000001</v>
      </c>
      <c r="F165" s="232">
        <v>43665</v>
      </c>
      <c r="G165" s="67">
        <v>-0.20799999999999999</v>
      </c>
      <c r="H165" s="69">
        <v>-0.32200000000000001</v>
      </c>
      <c r="J165" s="232">
        <v>43294</v>
      </c>
      <c r="K165" s="67">
        <v>0.434</v>
      </c>
      <c r="L165" s="69">
        <v>0.28399999999999997</v>
      </c>
      <c r="N165" s="232">
        <v>42932</v>
      </c>
      <c r="O165" s="67">
        <v>0.71699999999999997</v>
      </c>
      <c r="P165" s="69">
        <v>0.59399999999999997</v>
      </c>
      <c r="R165" s="232">
        <v>42573</v>
      </c>
      <c r="S165" s="67">
        <v>9.9000000000000005E-2</v>
      </c>
      <c r="T165" s="69">
        <v>-2.9000000000000001E-2</v>
      </c>
    </row>
    <row r="166" spans="2:20" x14ac:dyDescent="0.25">
      <c r="B166" s="232">
        <v>44039</v>
      </c>
      <c r="C166" s="67">
        <v>-0.36399999999999999</v>
      </c>
      <c r="D166" s="69">
        <v>-0.49199999999999999</v>
      </c>
      <c r="F166" s="232">
        <v>43666</v>
      </c>
      <c r="G166" s="67">
        <v>-0.20499999999999999</v>
      </c>
      <c r="H166" s="69">
        <v>-0.32400000000000001</v>
      </c>
      <c r="J166" s="232">
        <v>43297</v>
      </c>
      <c r="K166" s="67">
        <v>0.46200000000000002</v>
      </c>
      <c r="L166" s="69">
        <v>0.30399999999999999</v>
      </c>
      <c r="N166" s="232">
        <v>42933</v>
      </c>
      <c r="O166" s="67">
        <v>0.70299999999999996</v>
      </c>
      <c r="P166" s="69">
        <v>0.57899999999999996</v>
      </c>
      <c r="R166" s="232">
        <v>42576</v>
      </c>
      <c r="S166" s="67">
        <v>7.5999999999999998E-2</v>
      </c>
      <c r="T166" s="69">
        <v>-0.04</v>
      </c>
    </row>
    <row r="167" spans="2:20" x14ac:dyDescent="0.25">
      <c r="B167" s="232">
        <v>44040</v>
      </c>
      <c r="C167" s="67">
        <v>-0.375</v>
      </c>
      <c r="D167" s="69">
        <v>-0.51</v>
      </c>
      <c r="F167" s="232">
        <v>43668</v>
      </c>
      <c r="G167" s="67">
        <v>-0.22800000000000001</v>
      </c>
      <c r="H167" s="69">
        <v>-0.34399999999999997</v>
      </c>
      <c r="J167" s="232">
        <v>43298</v>
      </c>
      <c r="K167" s="67">
        <v>0.443</v>
      </c>
      <c r="L167" s="69">
        <v>0.34599999999999997</v>
      </c>
      <c r="N167" s="232">
        <v>42934</v>
      </c>
      <c r="O167" s="67">
        <v>0.67800000000000005</v>
      </c>
      <c r="P167" s="69">
        <v>0.55400000000000005</v>
      </c>
      <c r="R167" s="232">
        <v>42577</v>
      </c>
      <c r="S167" s="67">
        <v>9.1999999999999998E-2</v>
      </c>
      <c r="T167" s="69">
        <v>-2.8000000000000001E-2</v>
      </c>
    </row>
    <row r="168" spans="2:20" x14ac:dyDescent="0.25">
      <c r="B168" s="232">
        <v>44041</v>
      </c>
      <c r="C168" s="67">
        <v>-0.36699999999999999</v>
      </c>
      <c r="D168" s="69">
        <v>-0.499</v>
      </c>
      <c r="F168" s="232">
        <v>43669</v>
      </c>
      <c r="G168" s="67">
        <v>-0.23599999999999999</v>
      </c>
      <c r="H168" s="69">
        <v>-0.35299999999999998</v>
      </c>
      <c r="J168" s="232">
        <v>43299</v>
      </c>
      <c r="K168" s="67">
        <v>0.439</v>
      </c>
      <c r="L168" s="69">
        <v>0.34300000000000003</v>
      </c>
      <c r="N168" s="232">
        <v>42935</v>
      </c>
      <c r="O168" s="67">
        <v>0.66400000000000003</v>
      </c>
      <c r="P168" s="69">
        <v>0.54100000000000004</v>
      </c>
      <c r="R168" s="232">
        <v>42578</v>
      </c>
      <c r="S168" s="67">
        <v>0.04</v>
      </c>
      <c r="T168" s="69">
        <v>-7.8E-2</v>
      </c>
    </row>
    <row r="169" spans="2:20" x14ac:dyDescent="0.25">
      <c r="B169" s="232">
        <v>44042</v>
      </c>
      <c r="C169" s="67">
        <v>-0.40699999999999997</v>
      </c>
      <c r="D169" s="69">
        <v>-0.54500000000000004</v>
      </c>
      <c r="F169" s="232">
        <v>43670</v>
      </c>
      <c r="G169" s="67">
        <v>-0.25900000000000001</v>
      </c>
      <c r="H169" s="69">
        <v>-0.378</v>
      </c>
      <c r="J169" s="232">
        <v>43300</v>
      </c>
      <c r="K169" s="67">
        <v>0.43099999999999999</v>
      </c>
      <c r="L169" s="69">
        <v>0.33200000000000002</v>
      </c>
      <c r="N169" s="232">
        <v>42936</v>
      </c>
      <c r="O169" s="67">
        <v>0.65200000000000002</v>
      </c>
      <c r="P169" s="69">
        <v>0.53100000000000003</v>
      </c>
      <c r="R169" s="232">
        <v>42579</v>
      </c>
      <c r="S169" s="67">
        <v>2.9000000000000001E-2</v>
      </c>
      <c r="T169" s="69">
        <v>-0.09</v>
      </c>
    </row>
    <row r="170" spans="2:20" x14ac:dyDescent="0.25">
      <c r="B170" s="232">
        <v>44043</v>
      </c>
      <c r="C170" s="67">
        <v>-0.39200000000000002</v>
      </c>
      <c r="D170" s="69">
        <v>-0.53100000000000003</v>
      </c>
      <c r="F170" s="232">
        <v>43671</v>
      </c>
      <c r="G170" s="67">
        <v>-0.248</v>
      </c>
      <c r="H170" s="69">
        <v>-0.36099999999999999</v>
      </c>
      <c r="J170" s="232">
        <v>43301</v>
      </c>
      <c r="K170" s="67">
        <v>0.47299999999999998</v>
      </c>
      <c r="L170" s="69">
        <v>0.373</v>
      </c>
      <c r="N170" s="232">
        <v>42937</v>
      </c>
      <c r="O170" s="67">
        <v>0.628</v>
      </c>
      <c r="P170" s="69">
        <v>0.505</v>
      </c>
      <c r="R170" s="232">
        <v>42580</v>
      </c>
      <c r="S170" s="67">
        <v>-6.0000000000000001E-3</v>
      </c>
      <c r="T170" s="69">
        <v>-0.12</v>
      </c>
    </row>
    <row r="171" spans="2:20" x14ac:dyDescent="0.25">
      <c r="B171" s="232">
        <v>44046</v>
      </c>
      <c r="C171" s="67">
        <v>-0.38700000000000001</v>
      </c>
      <c r="D171" s="69">
        <v>-0.52300000000000002</v>
      </c>
      <c r="F171" s="232">
        <v>43672</v>
      </c>
      <c r="G171" s="67">
        <v>-0.25900000000000001</v>
      </c>
      <c r="H171" s="69">
        <v>-0.377</v>
      </c>
      <c r="J171" s="232">
        <v>43304</v>
      </c>
      <c r="K171" s="67">
        <v>0.505</v>
      </c>
      <c r="L171" s="69">
        <v>0.40799999999999997</v>
      </c>
      <c r="N171" s="232">
        <v>42940</v>
      </c>
      <c r="O171" s="67">
        <v>0.622</v>
      </c>
      <c r="P171" s="69">
        <v>0.50700000000000001</v>
      </c>
      <c r="R171" s="232">
        <v>42583</v>
      </c>
      <c r="S171" s="67">
        <v>-2E-3</v>
      </c>
      <c r="T171" s="69">
        <v>-9.6000000000000002E-2</v>
      </c>
    </row>
    <row r="172" spans="2:20" x14ac:dyDescent="0.25">
      <c r="B172" s="232">
        <v>44047</v>
      </c>
      <c r="C172" s="67">
        <v>-0.42199999999999999</v>
      </c>
      <c r="D172" s="69">
        <v>-0.55000000000000004</v>
      </c>
      <c r="F172" s="232">
        <v>43673</v>
      </c>
      <c r="G172" s="67">
        <v>-0.25900000000000001</v>
      </c>
      <c r="H172" s="69">
        <v>-0.377</v>
      </c>
      <c r="J172" s="232">
        <v>43305</v>
      </c>
      <c r="K172" s="67">
        <v>0.499</v>
      </c>
      <c r="L172" s="69">
        <v>0.39800000000000002</v>
      </c>
      <c r="N172" s="232">
        <v>42941</v>
      </c>
      <c r="O172" s="67">
        <v>0.68100000000000005</v>
      </c>
      <c r="P172" s="69">
        <v>0.56299999999999994</v>
      </c>
      <c r="R172" s="232">
        <v>42584</v>
      </c>
      <c r="S172" s="67">
        <v>5.2999999999999999E-2</v>
      </c>
      <c r="T172" s="69">
        <v>-3.5000000000000003E-2</v>
      </c>
    </row>
    <row r="173" spans="2:20" x14ac:dyDescent="0.25">
      <c r="B173" s="232">
        <v>44048</v>
      </c>
      <c r="C173" s="67">
        <v>-0.379</v>
      </c>
      <c r="D173" s="69">
        <v>-0.50600000000000001</v>
      </c>
      <c r="F173" s="232">
        <v>43675</v>
      </c>
      <c r="G173" s="67">
        <v>-0.28000000000000003</v>
      </c>
      <c r="H173" s="69">
        <v>-0.38900000000000001</v>
      </c>
      <c r="J173" s="232">
        <v>43306</v>
      </c>
      <c r="K173" s="67">
        <v>0.49199999999999999</v>
      </c>
      <c r="L173" s="69">
        <v>0.39600000000000002</v>
      </c>
      <c r="N173" s="232">
        <v>42942</v>
      </c>
      <c r="O173" s="67">
        <v>0.67300000000000004</v>
      </c>
      <c r="P173" s="69">
        <v>0.55900000000000005</v>
      </c>
      <c r="R173" s="232">
        <v>42585</v>
      </c>
      <c r="S173" s="67">
        <v>6.5000000000000002E-2</v>
      </c>
      <c r="T173" s="69">
        <v>-3.7999999999999999E-2</v>
      </c>
    </row>
    <row r="174" spans="2:20" x14ac:dyDescent="0.25">
      <c r="B174" s="232">
        <v>44049</v>
      </c>
      <c r="C174" s="67">
        <v>-0.41099999999999998</v>
      </c>
      <c r="D174" s="69">
        <v>-0.53900000000000003</v>
      </c>
      <c r="F174" s="232">
        <v>43676</v>
      </c>
      <c r="G174" s="67">
        <v>-0.28699999999999998</v>
      </c>
      <c r="H174" s="69">
        <v>-0.39700000000000002</v>
      </c>
      <c r="J174" s="232">
        <v>43307</v>
      </c>
      <c r="K174" s="67">
        <v>0.495</v>
      </c>
      <c r="L174" s="69">
        <v>0.40699999999999997</v>
      </c>
      <c r="N174" s="232">
        <v>42943</v>
      </c>
      <c r="O174" s="67">
        <v>0.64200000000000002</v>
      </c>
      <c r="P174" s="69">
        <v>0.53500000000000003</v>
      </c>
      <c r="R174" s="232">
        <v>42586</v>
      </c>
      <c r="S174" s="67">
        <v>1.0999999999999999E-2</v>
      </c>
      <c r="T174" s="69">
        <v>-9.4E-2</v>
      </c>
    </row>
    <row r="175" spans="2:20" x14ac:dyDescent="0.25">
      <c r="B175" s="232">
        <v>44050</v>
      </c>
      <c r="C175" s="67">
        <v>-0.38400000000000001</v>
      </c>
      <c r="D175" s="69">
        <v>-0.505</v>
      </c>
      <c r="F175" s="232">
        <v>43677</v>
      </c>
      <c r="G175" s="67">
        <v>-0.32500000000000001</v>
      </c>
      <c r="H175" s="69">
        <v>-0.442</v>
      </c>
      <c r="J175" s="232">
        <v>43308</v>
      </c>
      <c r="K175" s="67">
        <v>0.505</v>
      </c>
      <c r="L175" s="69">
        <v>0.40500000000000003</v>
      </c>
      <c r="N175" s="232">
        <v>42944</v>
      </c>
      <c r="O175" s="67">
        <v>0.65700000000000003</v>
      </c>
      <c r="P175" s="69">
        <v>0.54200000000000004</v>
      </c>
      <c r="R175" s="232">
        <v>42587</v>
      </c>
      <c r="S175" s="67">
        <v>3.7999999999999999E-2</v>
      </c>
      <c r="T175" s="69">
        <v>-6.7000000000000004E-2</v>
      </c>
    </row>
    <row r="176" spans="2:20" x14ac:dyDescent="0.25">
      <c r="B176" s="232">
        <v>44053</v>
      </c>
      <c r="C176" s="67">
        <v>-0.41099999999999998</v>
      </c>
      <c r="D176" s="69">
        <v>-0.52500000000000002</v>
      </c>
      <c r="F176" s="232">
        <v>43678</v>
      </c>
      <c r="G176" s="67">
        <v>-0.33400000000000002</v>
      </c>
      <c r="H176" s="69">
        <v>-0.44900000000000001</v>
      </c>
      <c r="J176" s="232">
        <v>43309</v>
      </c>
      <c r="K176" s="67">
        <v>0.496</v>
      </c>
      <c r="L176" s="69">
        <v>0.4</v>
      </c>
      <c r="N176" s="232">
        <v>42947</v>
      </c>
      <c r="O176" s="67">
        <v>0.65400000000000003</v>
      </c>
      <c r="P176" s="69">
        <v>0.53300000000000003</v>
      </c>
      <c r="R176" s="232">
        <v>42588</v>
      </c>
      <c r="S176" s="67">
        <v>3.5000000000000003E-2</v>
      </c>
      <c r="T176" s="69">
        <v>-0.06</v>
      </c>
    </row>
    <row r="177" spans="2:20" x14ac:dyDescent="0.25">
      <c r="B177" s="232">
        <v>44054</v>
      </c>
      <c r="C177" s="67">
        <v>-0.36299999999999999</v>
      </c>
      <c r="D177" s="69">
        <v>-0.47199999999999998</v>
      </c>
      <c r="F177" s="232">
        <v>43679</v>
      </c>
      <c r="G177" s="67">
        <v>-0.38</v>
      </c>
      <c r="H177" s="69">
        <v>-0.495</v>
      </c>
      <c r="J177" s="232">
        <v>43311</v>
      </c>
      <c r="K177" s="67">
        <v>0.54200000000000004</v>
      </c>
      <c r="L177" s="69">
        <v>0.44700000000000001</v>
      </c>
      <c r="N177" s="232">
        <v>42948</v>
      </c>
      <c r="O177" s="67">
        <v>0.60699999999999998</v>
      </c>
      <c r="P177" s="69">
        <v>0.48899999999999999</v>
      </c>
      <c r="R177" s="232">
        <v>42590</v>
      </c>
      <c r="S177" s="67">
        <v>2.8000000000000001E-2</v>
      </c>
      <c r="T177" s="69">
        <v>-6.6000000000000003E-2</v>
      </c>
    </row>
    <row r="178" spans="2:20" x14ac:dyDescent="0.25">
      <c r="B178" s="232">
        <v>44055</v>
      </c>
      <c r="C178" s="67">
        <v>-0.33600000000000002</v>
      </c>
      <c r="D178" s="69">
        <v>-0.44900000000000001</v>
      </c>
      <c r="F178" s="232">
        <v>43682</v>
      </c>
      <c r="G178" s="67">
        <v>-0.39500000000000002</v>
      </c>
      <c r="H178" s="69">
        <v>-0.51600000000000001</v>
      </c>
      <c r="J178" s="232">
        <v>43312</v>
      </c>
      <c r="K178" s="67">
        <v>0.53400000000000003</v>
      </c>
      <c r="L178" s="69">
        <v>0.44500000000000001</v>
      </c>
      <c r="N178" s="232">
        <v>42949</v>
      </c>
      <c r="O178" s="67">
        <v>0.60299999999999998</v>
      </c>
      <c r="P178" s="69">
        <v>0.48799999999999999</v>
      </c>
      <c r="R178" s="232">
        <v>42591</v>
      </c>
      <c r="S178" s="67">
        <v>1.2999999999999999E-2</v>
      </c>
      <c r="T178" s="69">
        <v>-7.5999999999999998E-2</v>
      </c>
    </row>
    <row r="179" spans="2:20" x14ac:dyDescent="0.25">
      <c r="B179" s="232">
        <v>44056</v>
      </c>
      <c r="C179" s="67">
        <v>-0.29799999999999999</v>
      </c>
      <c r="D179" s="69">
        <v>-0.41</v>
      </c>
      <c r="F179" s="232">
        <v>43683</v>
      </c>
      <c r="G179" s="67">
        <v>-0.42499999999999999</v>
      </c>
      <c r="H179" s="69">
        <v>-0.53700000000000003</v>
      </c>
      <c r="J179" s="232">
        <v>43313</v>
      </c>
      <c r="K179" s="67">
        <v>0.57299999999999995</v>
      </c>
      <c r="L179" s="69">
        <v>0.47799999999999998</v>
      </c>
      <c r="N179" s="232">
        <v>42950</v>
      </c>
      <c r="O179" s="67">
        <v>0.56999999999999995</v>
      </c>
      <c r="P179" s="69">
        <v>0.45100000000000001</v>
      </c>
      <c r="R179" s="232">
        <v>42592</v>
      </c>
      <c r="S179" s="67">
        <v>-1.2E-2</v>
      </c>
      <c r="T179" s="69">
        <v>-0.108</v>
      </c>
    </row>
    <row r="180" spans="2:20" x14ac:dyDescent="0.25">
      <c r="B180" s="232">
        <v>44057</v>
      </c>
      <c r="C180" s="67">
        <v>-0.28999999999999998</v>
      </c>
      <c r="D180" s="69">
        <v>-0.41899999999999998</v>
      </c>
      <c r="F180" s="232">
        <v>43684</v>
      </c>
      <c r="G180" s="67">
        <v>-0.47499999999999998</v>
      </c>
      <c r="H180" s="69">
        <v>-0.58199999999999996</v>
      </c>
      <c r="J180" s="232">
        <v>43314</v>
      </c>
      <c r="K180" s="67">
        <v>0.56000000000000005</v>
      </c>
      <c r="L180" s="69">
        <v>0.46100000000000002</v>
      </c>
      <c r="N180" s="232">
        <v>42951</v>
      </c>
      <c r="O180" s="67">
        <v>0.59199999999999997</v>
      </c>
      <c r="P180" s="69">
        <v>0.47099999999999997</v>
      </c>
      <c r="R180" s="232">
        <v>42593</v>
      </c>
      <c r="S180" s="67">
        <v>1E-3</v>
      </c>
      <c r="T180" s="69">
        <v>-9.1999999999999998E-2</v>
      </c>
    </row>
    <row r="181" spans="2:20" x14ac:dyDescent="0.25">
      <c r="B181" s="232">
        <v>44060</v>
      </c>
      <c r="C181" s="67">
        <v>-0.32300000000000001</v>
      </c>
      <c r="D181" s="69">
        <v>-0.45300000000000001</v>
      </c>
      <c r="F181" s="232">
        <v>43685</v>
      </c>
      <c r="G181" s="67">
        <v>-0.45500000000000002</v>
      </c>
      <c r="H181" s="69">
        <v>-0.55800000000000005</v>
      </c>
      <c r="J181" s="232">
        <v>43315</v>
      </c>
      <c r="K181" s="67">
        <v>0.51500000000000001</v>
      </c>
      <c r="L181" s="69">
        <v>0.41</v>
      </c>
      <c r="N181" s="232">
        <v>42953</v>
      </c>
      <c r="O181" s="67">
        <v>0.58799999999999997</v>
      </c>
      <c r="P181" s="69">
        <v>0.46800000000000003</v>
      </c>
      <c r="R181" s="232">
        <v>42594</v>
      </c>
      <c r="S181" s="67">
        <v>-8.0000000000000002E-3</v>
      </c>
      <c r="T181" s="69">
        <v>-0.107</v>
      </c>
    </row>
    <row r="182" spans="2:20" x14ac:dyDescent="0.25">
      <c r="B182" s="232">
        <v>44061</v>
      </c>
      <c r="C182" s="67">
        <v>-0.33300000000000002</v>
      </c>
      <c r="D182" s="69">
        <v>-0.45600000000000002</v>
      </c>
      <c r="F182" s="232">
        <v>43686</v>
      </c>
      <c r="G182" s="67">
        <v>-0.45400000000000001</v>
      </c>
      <c r="H182" s="69">
        <v>-0.57499999999999996</v>
      </c>
      <c r="J182" s="232">
        <v>43316</v>
      </c>
      <c r="K182" s="67"/>
      <c r="L182" s="69">
        <v>0.40799999999999997</v>
      </c>
      <c r="N182" s="232">
        <v>42954</v>
      </c>
      <c r="O182" s="67">
        <v>0.57399999999999995</v>
      </c>
      <c r="P182" s="69">
        <v>0.45800000000000002</v>
      </c>
      <c r="R182" s="232">
        <v>42595</v>
      </c>
      <c r="S182" s="67">
        <v>3.0000000000000001E-3</v>
      </c>
      <c r="T182" s="69">
        <v>-9.6000000000000002E-2</v>
      </c>
    </row>
    <row r="183" spans="2:20" x14ac:dyDescent="0.25">
      <c r="B183" s="232">
        <v>44062</v>
      </c>
      <c r="C183" s="67">
        <v>-0.34499999999999997</v>
      </c>
      <c r="D183" s="69">
        <v>-0.47499999999999998</v>
      </c>
      <c r="F183" s="232">
        <v>43689</v>
      </c>
      <c r="G183" s="67">
        <v>-0.46899999999999997</v>
      </c>
      <c r="H183" s="69">
        <v>-0.59299999999999997</v>
      </c>
      <c r="J183" s="232">
        <v>43318</v>
      </c>
      <c r="K183" s="67">
        <v>0.49399999999999999</v>
      </c>
      <c r="L183" s="69">
        <v>0.39200000000000002</v>
      </c>
      <c r="N183" s="232">
        <v>42955</v>
      </c>
      <c r="O183" s="67">
        <v>0.59399999999999997</v>
      </c>
      <c r="P183" s="69">
        <v>0.47199999999999998</v>
      </c>
      <c r="R183" s="232">
        <v>42596</v>
      </c>
      <c r="S183" s="67">
        <v>3.0000000000000001E-3</v>
      </c>
      <c r="T183" s="69">
        <v>-9.6000000000000002E-2</v>
      </c>
    </row>
    <row r="184" spans="2:20" x14ac:dyDescent="0.25">
      <c r="B184" s="232">
        <v>44063</v>
      </c>
      <c r="C184" s="67">
        <v>-0.372</v>
      </c>
      <c r="D184" s="69">
        <v>-0.495</v>
      </c>
      <c r="F184" s="232">
        <v>43690</v>
      </c>
      <c r="G184" s="67">
        <v>-0.48799999999999999</v>
      </c>
      <c r="H184" s="69">
        <v>-0.60799999999999998</v>
      </c>
      <c r="J184" s="232">
        <v>43319</v>
      </c>
      <c r="K184" s="67">
        <v>0.51200000000000001</v>
      </c>
      <c r="L184" s="69">
        <v>0.41</v>
      </c>
      <c r="N184" s="232">
        <v>42956</v>
      </c>
      <c r="O184" s="67">
        <v>0.54600000000000004</v>
      </c>
      <c r="P184" s="69">
        <v>0.42499999999999999</v>
      </c>
      <c r="R184" s="232">
        <v>42597</v>
      </c>
      <c r="S184" s="67">
        <v>0.03</v>
      </c>
      <c r="T184" s="69">
        <v>-7.2999999999999995E-2</v>
      </c>
    </row>
    <row r="185" spans="2:20" x14ac:dyDescent="0.25">
      <c r="B185" s="232">
        <v>44064</v>
      </c>
      <c r="C185" s="67">
        <v>-0.376</v>
      </c>
      <c r="D185" s="69">
        <v>-0.50800000000000001</v>
      </c>
      <c r="F185" s="232">
        <v>43691</v>
      </c>
      <c r="G185" s="67">
        <v>-0.53200000000000003</v>
      </c>
      <c r="H185" s="69">
        <v>-0.64900000000000002</v>
      </c>
      <c r="J185" s="232">
        <v>43320</v>
      </c>
      <c r="K185" s="67">
        <v>0.502</v>
      </c>
      <c r="L185" s="69">
        <v>0.39900000000000002</v>
      </c>
      <c r="N185" s="232">
        <v>42957</v>
      </c>
      <c r="O185" s="67">
        <v>0.53900000000000003</v>
      </c>
      <c r="P185" s="69">
        <v>0.41399999999999998</v>
      </c>
      <c r="R185" s="232">
        <v>42598</v>
      </c>
      <c r="S185" s="67">
        <v>6.6000000000000003E-2</v>
      </c>
      <c r="T185" s="69">
        <v>-2.9000000000000001E-2</v>
      </c>
    </row>
    <row r="186" spans="2:20" x14ac:dyDescent="0.25">
      <c r="B186" s="232">
        <v>44067</v>
      </c>
      <c r="C186" s="67">
        <v>-0.36299999999999999</v>
      </c>
      <c r="D186" s="69">
        <v>-0.49399999999999999</v>
      </c>
      <c r="F186" s="232">
        <v>43692</v>
      </c>
      <c r="G186" s="67">
        <v>-0.58799999999999997</v>
      </c>
      <c r="H186" s="69">
        <v>-0.71099999999999997</v>
      </c>
      <c r="J186" s="232">
        <v>43321</v>
      </c>
      <c r="K186" s="67">
        <v>0.48099999999999998</v>
      </c>
      <c r="L186" s="69">
        <v>0.377</v>
      </c>
      <c r="N186" s="232">
        <v>42958</v>
      </c>
      <c r="O186" s="67">
        <v>0.50600000000000001</v>
      </c>
      <c r="P186" s="69">
        <v>0.38500000000000001</v>
      </c>
      <c r="R186" s="232">
        <v>42599</v>
      </c>
      <c r="S186" s="67">
        <v>4.8000000000000001E-2</v>
      </c>
      <c r="T186" s="69">
        <v>-4.9000000000000002E-2</v>
      </c>
    </row>
    <row r="187" spans="2:20" x14ac:dyDescent="0.25">
      <c r="B187" s="232">
        <v>44068</v>
      </c>
      <c r="C187" s="67">
        <v>-0.311</v>
      </c>
      <c r="D187" s="69">
        <v>-0.42599999999999999</v>
      </c>
      <c r="F187" s="232">
        <v>43693</v>
      </c>
      <c r="G187" s="67">
        <v>-0.56499999999999995</v>
      </c>
      <c r="H187" s="69">
        <v>-0.68400000000000005</v>
      </c>
      <c r="J187" s="232">
        <v>43322</v>
      </c>
      <c r="K187" s="67">
        <v>0.43099999999999999</v>
      </c>
      <c r="L187" s="69">
        <v>0.32100000000000001</v>
      </c>
      <c r="N187" s="232">
        <v>42961</v>
      </c>
      <c r="O187" s="67">
        <v>0.53300000000000003</v>
      </c>
      <c r="P187" s="69">
        <v>0.40500000000000003</v>
      </c>
      <c r="R187" s="232">
        <v>42600</v>
      </c>
      <c r="S187" s="67">
        <v>2.1000000000000001E-2</v>
      </c>
      <c r="T187" s="69">
        <v>-8.2000000000000003E-2</v>
      </c>
    </row>
    <row r="188" spans="2:20" x14ac:dyDescent="0.25">
      <c r="B188" s="232">
        <v>44069</v>
      </c>
      <c r="C188" s="67">
        <v>-0.30199999999999999</v>
      </c>
      <c r="D188" s="69">
        <v>-0.41099999999999998</v>
      </c>
      <c r="F188" s="232">
        <v>43696</v>
      </c>
      <c r="G188" s="67">
        <v>-0.52600000000000002</v>
      </c>
      <c r="H188" s="69">
        <v>-0.65100000000000002</v>
      </c>
      <c r="J188" s="232">
        <v>43325</v>
      </c>
      <c r="K188" s="67">
        <v>0.436</v>
      </c>
      <c r="L188" s="69">
        <v>0.313</v>
      </c>
      <c r="N188" s="232">
        <v>42962</v>
      </c>
      <c r="O188" s="67">
        <v>0.55500000000000005</v>
      </c>
      <c r="P188" s="69">
        <v>0.432</v>
      </c>
      <c r="R188" s="232">
        <v>42601</v>
      </c>
      <c r="S188" s="67">
        <v>5.6000000000000001E-2</v>
      </c>
      <c r="T188" s="69">
        <v>-3.4000000000000002E-2</v>
      </c>
    </row>
    <row r="189" spans="2:20" x14ac:dyDescent="0.25">
      <c r="B189" s="232">
        <v>44070</v>
      </c>
      <c r="C189" s="67">
        <v>-0.29299999999999998</v>
      </c>
      <c r="D189" s="69">
        <v>-0.40300000000000002</v>
      </c>
      <c r="F189" s="232">
        <v>43697</v>
      </c>
      <c r="G189" s="67">
        <v>-0.56299999999999994</v>
      </c>
      <c r="H189" s="69">
        <v>-0.69099999999999995</v>
      </c>
      <c r="J189" s="232">
        <v>43326</v>
      </c>
      <c r="K189" s="67">
        <v>0.443</v>
      </c>
      <c r="L189" s="69">
        <v>0.32800000000000001</v>
      </c>
      <c r="N189" s="232">
        <v>42963</v>
      </c>
      <c r="O189" s="67">
        <v>0.57099999999999995</v>
      </c>
      <c r="P189" s="69">
        <v>0.44500000000000001</v>
      </c>
      <c r="R189" s="232">
        <v>42604</v>
      </c>
      <c r="S189" s="67">
        <v>2.5999999999999999E-2</v>
      </c>
      <c r="T189" s="69">
        <v>-8.7999999999999995E-2</v>
      </c>
    </row>
    <row r="190" spans="2:20" x14ac:dyDescent="0.25">
      <c r="B190" s="232">
        <v>44071</v>
      </c>
      <c r="C190" s="67">
        <v>-0.29199999999999998</v>
      </c>
      <c r="D190" s="69">
        <v>-0.40699999999999997</v>
      </c>
      <c r="F190" s="232">
        <v>43698</v>
      </c>
      <c r="G190" s="67">
        <v>-0.54700000000000004</v>
      </c>
      <c r="H190" s="69">
        <v>-0.67100000000000004</v>
      </c>
      <c r="J190" s="232">
        <v>43327</v>
      </c>
      <c r="K190" s="67">
        <v>0.41699999999999998</v>
      </c>
      <c r="L190" s="69">
        <v>0.30499999999999999</v>
      </c>
      <c r="N190" s="232">
        <v>42964</v>
      </c>
      <c r="O190" s="67">
        <v>0.56100000000000005</v>
      </c>
      <c r="P190" s="69">
        <v>0.42299999999999999</v>
      </c>
      <c r="R190" s="232">
        <v>42605</v>
      </c>
      <c r="S190" s="67">
        <v>2.1999999999999999E-2</v>
      </c>
      <c r="T190" s="69">
        <v>-9.2999999999999999E-2</v>
      </c>
    </row>
    <row r="191" spans="2:20" x14ac:dyDescent="0.25">
      <c r="B191" s="233">
        <v>44074</v>
      </c>
      <c r="C191" s="229">
        <v>-0.27900000000000003</v>
      </c>
      <c r="D191" s="230">
        <v>-0.39800000000000002</v>
      </c>
      <c r="F191" s="232">
        <v>43699</v>
      </c>
      <c r="G191" s="67">
        <v>-0.51</v>
      </c>
      <c r="H191" s="69">
        <v>-0.64500000000000002</v>
      </c>
      <c r="J191" s="232">
        <v>43328</v>
      </c>
      <c r="K191" s="67">
        <v>0.43099999999999999</v>
      </c>
      <c r="L191" s="69">
        <v>0.32</v>
      </c>
      <c r="N191" s="232">
        <v>42965</v>
      </c>
      <c r="O191" s="67">
        <v>0.54400000000000004</v>
      </c>
      <c r="P191" s="69">
        <v>0.41599999999999998</v>
      </c>
      <c r="R191" s="232">
        <v>42606</v>
      </c>
      <c r="S191" s="67">
        <v>2.7E-2</v>
      </c>
      <c r="T191" s="69">
        <v>-8.8999999999999996E-2</v>
      </c>
    </row>
    <row r="192" spans="2:20" x14ac:dyDescent="0.25">
      <c r="F192" s="232">
        <v>43700</v>
      </c>
      <c r="G192" s="67">
        <v>-0.53700000000000003</v>
      </c>
      <c r="H192" s="69">
        <v>-0.67700000000000005</v>
      </c>
      <c r="J192" s="232">
        <v>43329</v>
      </c>
      <c r="K192" s="67">
        <v>0.42399999999999999</v>
      </c>
      <c r="L192" s="69">
        <v>0.30599999999999999</v>
      </c>
      <c r="N192" s="232">
        <v>42968</v>
      </c>
      <c r="O192" s="67">
        <v>0.53100000000000003</v>
      </c>
      <c r="P192" s="69">
        <v>0.40400000000000003</v>
      </c>
      <c r="R192" s="232">
        <v>42607</v>
      </c>
      <c r="S192" s="67">
        <v>0.03</v>
      </c>
      <c r="T192" s="69">
        <v>-6.9000000000000006E-2</v>
      </c>
    </row>
    <row r="193" spans="6:20" x14ac:dyDescent="0.25">
      <c r="F193" s="232">
        <v>43703</v>
      </c>
      <c r="G193" s="67">
        <v>-0.53200000000000003</v>
      </c>
      <c r="H193" s="69">
        <v>-0.66300000000000003</v>
      </c>
      <c r="J193" s="232">
        <v>43330</v>
      </c>
      <c r="K193" s="67">
        <v>0.42899999999999999</v>
      </c>
      <c r="L193" s="69">
        <v>0.312</v>
      </c>
      <c r="N193" s="232">
        <v>42969</v>
      </c>
      <c r="O193" s="67">
        <v>0.52900000000000003</v>
      </c>
      <c r="P193" s="69">
        <v>0.40200000000000002</v>
      </c>
      <c r="R193" s="232">
        <v>42608</v>
      </c>
      <c r="S193" s="67">
        <v>1.4E-2</v>
      </c>
      <c r="T193" s="69">
        <v>-7.0999999999999994E-2</v>
      </c>
    </row>
    <row r="194" spans="6:20" x14ac:dyDescent="0.25">
      <c r="F194" s="232">
        <v>43704</v>
      </c>
      <c r="G194" s="67">
        <v>-0.55900000000000005</v>
      </c>
      <c r="H194" s="69">
        <v>-0.69399999999999995</v>
      </c>
      <c r="J194" s="232">
        <v>43332</v>
      </c>
      <c r="K194" s="67">
        <v>0.41399999999999998</v>
      </c>
      <c r="L194" s="69">
        <v>0.30599999999999999</v>
      </c>
      <c r="N194" s="232">
        <v>42970</v>
      </c>
      <c r="O194" s="67">
        <v>0.50700000000000001</v>
      </c>
      <c r="P194" s="69">
        <v>0.377</v>
      </c>
      <c r="R194" s="232">
        <v>42611</v>
      </c>
      <c r="S194" s="67">
        <v>4.4999999999999998E-2</v>
      </c>
      <c r="T194" s="69">
        <v>-8.1000000000000003E-2</v>
      </c>
    </row>
    <row r="195" spans="6:20" x14ac:dyDescent="0.25">
      <c r="F195" s="232">
        <v>43705</v>
      </c>
      <c r="G195" s="67">
        <v>-0.57499999999999996</v>
      </c>
      <c r="H195" s="69">
        <v>-0.71</v>
      </c>
      <c r="J195" s="232">
        <v>43333</v>
      </c>
      <c r="K195" s="67">
        <v>0.439</v>
      </c>
      <c r="L195" s="69">
        <v>0.33500000000000002</v>
      </c>
      <c r="N195" s="232">
        <v>42971</v>
      </c>
      <c r="O195" s="67">
        <v>0.50900000000000001</v>
      </c>
      <c r="P195" s="69">
        <v>0.375</v>
      </c>
      <c r="R195" s="232">
        <v>42612</v>
      </c>
      <c r="S195" s="67">
        <v>1.7000000000000001E-2</v>
      </c>
      <c r="T195" s="69">
        <v>-9.0999999999999998E-2</v>
      </c>
    </row>
    <row r="196" spans="6:20" x14ac:dyDescent="0.25">
      <c r="F196" s="232">
        <v>43706</v>
      </c>
      <c r="G196" s="67">
        <v>-0.54100000000000004</v>
      </c>
      <c r="H196" s="69">
        <v>-0.69399999999999995</v>
      </c>
      <c r="J196" s="232">
        <v>43334</v>
      </c>
      <c r="K196" s="67">
        <v>0.45900000000000002</v>
      </c>
      <c r="L196" s="69">
        <v>0.34499999999999997</v>
      </c>
      <c r="N196" s="232">
        <v>42972</v>
      </c>
      <c r="O196" s="67">
        <v>0.51900000000000002</v>
      </c>
      <c r="P196" s="69">
        <v>0.38</v>
      </c>
      <c r="R196" s="232">
        <v>42613</v>
      </c>
      <c r="S196" s="67">
        <v>2.5999999999999999E-2</v>
      </c>
      <c r="T196" s="69">
        <v>-6.5000000000000002E-2</v>
      </c>
    </row>
    <row r="197" spans="6:20" x14ac:dyDescent="0.25">
      <c r="F197" s="232">
        <v>43707</v>
      </c>
      <c r="G197" s="67">
        <v>-0.55200000000000005</v>
      </c>
      <c r="H197" s="69">
        <v>-0.70299999999999996</v>
      </c>
      <c r="J197" s="232">
        <v>43335</v>
      </c>
      <c r="K197" s="67">
        <v>0.45100000000000001</v>
      </c>
      <c r="L197" s="69">
        <v>0.34100000000000003</v>
      </c>
      <c r="N197" s="232">
        <v>42975</v>
      </c>
      <c r="O197" s="67">
        <v>0.50900000000000001</v>
      </c>
      <c r="P197" s="69">
        <v>0.374</v>
      </c>
      <c r="R197" s="232">
        <v>42614</v>
      </c>
      <c r="S197" s="67">
        <v>5.1999999999999998E-2</v>
      </c>
      <c r="T197" s="69">
        <v>-6.6000000000000003E-2</v>
      </c>
    </row>
    <row r="198" spans="6:20" x14ac:dyDescent="0.25">
      <c r="F198" s="232">
        <v>43708</v>
      </c>
      <c r="G198" s="67">
        <v>-0.54600000000000004</v>
      </c>
      <c r="H198" s="69"/>
      <c r="J198" s="232">
        <v>43336</v>
      </c>
      <c r="K198" s="67">
        <v>0.45600000000000002</v>
      </c>
      <c r="L198" s="69">
        <v>0.34399999999999997</v>
      </c>
      <c r="N198" s="232">
        <v>42976</v>
      </c>
      <c r="O198" s="67">
        <v>0.47699999999999998</v>
      </c>
      <c r="P198" s="69">
        <v>0.34300000000000003</v>
      </c>
      <c r="R198" s="232">
        <v>42615</v>
      </c>
      <c r="S198" s="67">
        <v>7.0999999999999994E-2</v>
      </c>
      <c r="T198" s="69">
        <v>-4.2000000000000003E-2</v>
      </c>
    </row>
    <row r="199" spans="6:20" x14ac:dyDescent="0.25">
      <c r="F199" s="232">
        <v>43710</v>
      </c>
      <c r="G199" s="67">
        <v>-0.54600000000000004</v>
      </c>
      <c r="H199" s="69">
        <v>-0.70199999999999996</v>
      </c>
      <c r="J199" s="232">
        <v>43337</v>
      </c>
      <c r="K199" s="67">
        <v>0.45900000000000002</v>
      </c>
      <c r="L199" s="69">
        <v>0.35</v>
      </c>
      <c r="N199" s="232">
        <v>42977</v>
      </c>
      <c r="O199" s="67">
        <v>0.498</v>
      </c>
      <c r="P199" s="69">
        <v>0.35899999999999999</v>
      </c>
      <c r="R199" s="232">
        <v>42618</v>
      </c>
      <c r="S199" s="67">
        <v>5.8999999999999997E-2</v>
      </c>
      <c r="T199" s="69">
        <v>-4.7E-2</v>
      </c>
    </row>
    <row r="200" spans="6:20" x14ac:dyDescent="0.25">
      <c r="F200" s="232">
        <v>43711</v>
      </c>
      <c r="G200" s="67">
        <v>-0.56000000000000005</v>
      </c>
      <c r="H200" s="69">
        <v>-0.70299999999999996</v>
      </c>
      <c r="J200" s="232">
        <v>43339</v>
      </c>
      <c r="K200" s="67">
        <v>0.48499999999999999</v>
      </c>
      <c r="L200" s="69">
        <v>0.378</v>
      </c>
      <c r="N200" s="232">
        <v>42978</v>
      </c>
      <c r="O200" s="67">
        <v>0.49299999999999999</v>
      </c>
      <c r="P200" s="69">
        <v>0.35899999999999999</v>
      </c>
      <c r="R200" s="232">
        <v>42619</v>
      </c>
      <c r="S200" s="67">
        <v>-4.0000000000000001E-3</v>
      </c>
      <c r="T200" s="69">
        <v>-0.109</v>
      </c>
    </row>
    <row r="201" spans="6:20" x14ac:dyDescent="0.25">
      <c r="F201" s="232">
        <v>43712</v>
      </c>
      <c r="G201" s="67">
        <v>-0.52700000000000002</v>
      </c>
      <c r="H201" s="69">
        <v>-0.67500000000000004</v>
      </c>
      <c r="J201" s="232">
        <v>43340</v>
      </c>
      <c r="K201" s="67">
        <v>0.48799999999999999</v>
      </c>
      <c r="L201" s="69">
        <v>0.38100000000000001</v>
      </c>
      <c r="N201" s="232">
        <v>42979</v>
      </c>
      <c r="O201" s="67">
        <v>0.51300000000000001</v>
      </c>
      <c r="P201" s="69">
        <v>0.379</v>
      </c>
      <c r="R201" s="232">
        <v>42620</v>
      </c>
      <c r="S201" s="67">
        <v>-1.2E-2</v>
      </c>
      <c r="T201" s="69">
        <v>-0.11600000000000001</v>
      </c>
    </row>
    <row r="202" spans="6:20" x14ac:dyDescent="0.25">
      <c r="F202" s="232">
        <v>43713</v>
      </c>
      <c r="G202" s="67">
        <v>-0.434</v>
      </c>
      <c r="H202" s="69">
        <v>-0.59499999999999997</v>
      </c>
      <c r="J202" s="232">
        <v>43341</v>
      </c>
      <c r="K202" s="67">
        <v>0.51700000000000002</v>
      </c>
      <c r="L202" s="69">
        <v>0.40600000000000003</v>
      </c>
      <c r="N202" s="232">
        <v>42982</v>
      </c>
      <c r="O202" s="67">
        <v>0.502</v>
      </c>
      <c r="P202" s="69">
        <v>0.36799999999999999</v>
      </c>
      <c r="R202" s="232">
        <v>42621</v>
      </c>
      <c r="S202" s="67">
        <v>5.2999999999999999E-2</v>
      </c>
      <c r="T202" s="69">
        <v>-6.2E-2</v>
      </c>
    </row>
    <row r="203" spans="6:20" x14ac:dyDescent="0.25">
      <c r="F203" s="232">
        <v>43714</v>
      </c>
      <c r="G203" s="67">
        <v>-0.495</v>
      </c>
      <c r="H203" s="69">
        <v>-0.63700000000000001</v>
      </c>
      <c r="J203" s="232">
        <v>43342</v>
      </c>
      <c r="K203" s="67">
        <v>0.46200000000000002</v>
      </c>
      <c r="L203" s="69">
        <v>0.34599999999999997</v>
      </c>
      <c r="N203" s="232">
        <v>42983</v>
      </c>
      <c r="O203" s="67">
        <v>0.47499999999999998</v>
      </c>
      <c r="P203" s="69">
        <v>0.33500000000000002</v>
      </c>
      <c r="R203" s="232">
        <v>42622</v>
      </c>
      <c r="S203" s="67">
        <v>0.11700000000000001</v>
      </c>
      <c r="T203" s="69">
        <v>1.2E-2</v>
      </c>
    </row>
    <row r="204" spans="6:20" x14ac:dyDescent="0.25">
      <c r="F204" s="232">
        <v>43715</v>
      </c>
      <c r="G204" s="67">
        <v>-0.496</v>
      </c>
      <c r="H204" s="69">
        <v>-0.63800000000000001</v>
      </c>
      <c r="J204" s="232">
        <v>43343</v>
      </c>
      <c r="K204" s="67">
        <v>0.45300000000000001</v>
      </c>
      <c r="L204" s="69">
        <v>0.33100000000000002</v>
      </c>
      <c r="N204" s="232">
        <v>42984</v>
      </c>
      <c r="O204" s="67">
        <v>0.48099999999999998</v>
      </c>
      <c r="P204" s="69">
        <v>0.34699999999999998</v>
      </c>
      <c r="R204" s="232">
        <v>42625</v>
      </c>
      <c r="S204" s="67">
        <v>0.13900000000000001</v>
      </c>
      <c r="T204" s="69">
        <v>3.6999999999999998E-2</v>
      </c>
    </row>
    <row r="205" spans="6:20" x14ac:dyDescent="0.25">
      <c r="F205" s="232">
        <v>43717</v>
      </c>
      <c r="G205" s="67">
        <v>-0.439</v>
      </c>
      <c r="H205" s="69">
        <v>-0.58199999999999996</v>
      </c>
      <c r="J205" s="232">
        <v>43346</v>
      </c>
      <c r="K205" s="67">
        <v>0.46300000000000002</v>
      </c>
      <c r="L205" s="69">
        <v>0.33700000000000002</v>
      </c>
      <c r="N205" s="232">
        <v>42985</v>
      </c>
      <c r="O205" s="67">
        <v>0.44500000000000001</v>
      </c>
      <c r="P205" s="69">
        <v>0.30499999999999999</v>
      </c>
      <c r="R205" s="232">
        <v>42626</v>
      </c>
      <c r="S205" s="67">
        <v>0.153</v>
      </c>
      <c r="T205" s="69">
        <v>7.1999999999999995E-2</v>
      </c>
    </row>
    <row r="206" spans="6:20" x14ac:dyDescent="0.25">
      <c r="F206" s="232">
        <v>43718</v>
      </c>
      <c r="G206" s="67">
        <v>-0.40699999999999997</v>
      </c>
      <c r="H206" s="69">
        <v>-0.54800000000000004</v>
      </c>
      <c r="J206" s="232">
        <v>43347</v>
      </c>
      <c r="K206" s="67">
        <v>0.47499999999999998</v>
      </c>
      <c r="L206" s="69">
        <v>0.36</v>
      </c>
      <c r="N206" s="232">
        <v>42986</v>
      </c>
      <c r="O206" s="67">
        <v>0.45</v>
      </c>
      <c r="P206" s="69">
        <v>0.312</v>
      </c>
      <c r="R206" s="232">
        <v>42627</v>
      </c>
      <c r="S206" s="67">
        <v>0.12</v>
      </c>
      <c r="T206" s="69">
        <v>2.1999999999999999E-2</v>
      </c>
    </row>
    <row r="207" spans="6:20" x14ac:dyDescent="0.25">
      <c r="F207" s="232">
        <v>43719</v>
      </c>
      <c r="G207" s="67">
        <v>-0.42</v>
      </c>
      <c r="H207" s="69">
        <v>-0.56100000000000005</v>
      </c>
      <c r="J207" s="232">
        <v>43348</v>
      </c>
      <c r="K207" s="67">
        <v>0.48599999999999999</v>
      </c>
      <c r="L207" s="69">
        <v>0.38200000000000001</v>
      </c>
      <c r="N207" s="232">
        <v>42989</v>
      </c>
      <c r="O207" s="67">
        <v>0.46400000000000002</v>
      </c>
      <c r="P207" s="69">
        <v>0.33700000000000002</v>
      </c>
      <c r="R207" s="232">
        <v>42628</v>
      </c>
      <c r="S207" s="67">
        <v>0.13700000000000001</v>
      </c>
      <c r="T207" s="69">
        <v>3.4000000000000002E-2</v>
      </c>
    </row>
    <row r="208" spans="6:20" x14ac:dyDescent="0.25">
      <c r="F208" s="232">
        <v>43720</v>
      </c>
      <c r="G208" s="67">
        <v>-0.38800000000000001</v>
      </c>
      <c r="H208" s="69">
        <v>-0.52400000000000002</v>
      </c>
      <c r="J208" s="232">
        <v>43349</v>
      </c>
      <c r="K208" s="67">
        <v>0.46700000000000003</v>
      </c>
      <c r="L208" s="69">
        <v>0.35599999999999998</v>
      </c>
      <c r="N208" s="232">
        <v>42990</v>
      </c>
      <c r="O208" s="67">
        <v>0.52500000000000002</v>
      </c>
      <c r="P208" s="69">
        <v>0.40200000000000002</v>
      </c>
      <c r="R208" s="232">
        <v>42629</v>
      </c>
      <c r="S208" s="67">
        <v>0.113</v>
      </c>
      <c r="T208" s="69">
        <v>7.0000000000000001E-3</v>
      </c>
    </row>
    <row r="209" spans="6:20" x14ac:dyDescent="0.25">
      <c r="F209" s="232">
        <v>43721</v>
      </c>
      <c r="G209" s="67">
        <v>-0.32</v>
      </c>
      <c r="H209" s="69">
        <v>-0.44500000000000001</v>
      </c>
      <c r="J209" s="232">
        <v>43350</v>
      </c>
      <c r="K209" s="67">
        <v>0.5</v>
      </c>
      <c r="L209" s="69">
        <v>0.39100000000000001</v>
      </c>
      <c r="N209" s="232">
        <v>42991</v>
      </c>
      <c r="O209" s="67">
        <v>0.52700000000000002</v>
      </c>
      <c r="P209" s="69">
        <v>0.40300000000000002</v>
      </c>
      <c r="R209" s="232">
        <v>42630</v>
      </c>
      <c r="S209" s="67">
        <v>0.11700000000000001</v>
      </c>
      <c r="T209" s="69">
        <v>2E-3</v>
      </c>
    </row>
    <row r="210" spans="6:20" x14ac:dyDescent="0.25">
      <c r="F210" s="232">
        <v>43724</v>
      </c>
      <c r="G210" s="67">
        <v>-0.34799999999999998</v>
      </c>
      <c r="H210" s="69">
        <v>-0.48</v>
      </c>
      <c r="J210" s="232">
        <v>43353</v>
      </c>
      <c r="K210" s="67">
        <v>0.50600000000000001</v>
      </c>
      <c r="L210" s="69">
        <v>0.40300000000000002</v>
      </c>
      <c r="N210" s="232">
        <v>42992</v>
      </c>
      <c r="O210" s="67">
        <v>0.53600000000000003</v>
      </c>
      <c r="P210" s="69">
        <v>0.41499999999999998</v>
      </c>
      <c r="R210" s="232">
        <v>42632</v>
      </c>
      <c r="S210" s="67">
        <v>0.125</v>
      </c>
      <c r="T210" s="69">
        <v>1.7999999999999999E-2</v>
      </c>
    </row>
    <row r="211" spans="6:20" x14ac:dyDescent="0.25">
      <c r="F211" s="232">
        <v>43725</v>
      </c>
      <c r="G211" s="67">
        <v>-0.33100000000000002</v>
      </c>
      <c r="H211" s="69">
        <v>-0.47399999999999998</v>
      </c>
      <c r="J211" s="232">
        <v>43354</v>
      </c>
      <c r="K211" s="67">
        <v>0.52900000000000003</v>
      </c>
      <c r="L211" s="69">
        <v>0.43</v>
      </c>
      <c r="N211" s="232">
        <v>42993</v>
      </c>
      <c r="O211" s="67">
        <v>0.56000000000000005</v>
      </c>
      <c r="P211" s="69">
        <v>0.432</v>
      </c>
      <c r="R211" s="232">
        <v>42633</v>
      </c>
      <c r="S211" s="67">
        <v>9.1999999999999998E-2</v>
      </c>
      <c r="T211" s="69">
        <v>-1.7000000000000001E-2</v>
      </c>
    </row>
    <row r="212" spans="6:20" x14ac:dyDescent="0.25">
      <c r="F212" s="232">
        <v>43726</v>
      </c>
      <c r="G212" s="67">
        <v>-0.36899999999999999</v>
      </c>
      <c r="H212" s="69">
        <v>-0.50800000000000001</v>
      </c>
      <c r="J212" s="232">
        <v>43355</v>
      </c>
      <c r="K212" s="67">
        <v>0.51700000000000002</v>
      </c>
      <c r="L212" s="69">
        <v>0.40899999999999997</v>
      </c>
      <c r="N212" s="232">
        <v>42996</v>
      </c>
      <c r="O212" s="67">
        <v>0.58099999999999996</v>
      </c>
      <c r="P212" s="69">
        <v>0.45600000000000002</v>
      </c>
      <c r="R212" s="232">
        <v>42634</v>
      </c>
      <c r="S212" s="67">
        <v>0.113</v>
      </c>
      <c r="T212" s="69">
        <v>3.0000000000000001E-3</v>
      </c>
    </row>
    <row r="213" spans="6:20" x14ac:dyDescent="0.25">
      <c r="F213" s="232">
        <v>43727</v>
      </c>
      <c r="G213" s="67">
        <v>-0.36299999999999999</v>
      </c>
      <c r="H213" s="69">
        <v>-0.50700000000000001</v>
      </c>
      <c r="J213" s="232">
        <v>43356</v>
      </c>
      <c r="K213" s="67">
        <v>0.52300000000000002</v>
      </c>
      <c r="L213" s="69">
        <v>0.42399999999999999</v>
      </c>
      <c r="N213" s="232">
        <v>42997</v>
      </c>
      <c r="O213" s="67">
        <v>0.57799999999999996</v>
      </c>
      <c r="P213" s="69">
        <v>0.45</v>
      </c>
      <c r="R213" s="232">
        <v>42635</v>
      </c>
      <c r="S213" s="67">
        <v>1.6E-2</v>
      </c>
      <c r="T213" s="69">
        <v>-9.5000000000000001E-2</v>
      </c>
    </row>
    <row r="214" spans="6:20" x14ac:dyDescent="0.25">
      <c r="F214" s="232">
        <v>43728</v>
      </c>
      <c r="G214" s="67">
        <v>-0.377</v>
      </c>
      <c r="H214" s="69">
        <v>-0.52200000000000002</v>
      </c>
      <c r="J214" s="232">
        <v>43357</v>
      </c>
      <c r="K214" s="67">
        <v>0.54700000000000004</v>
      </c>
      <c r="L214" s="69">
        <v>0.44500000000000001</v>
      </c>
      <c r="N214" s="232">
        <v>42998</v>
      </c>
      <c r="O214" s="67">
        <v>0.56699999999999995</v>
      </c>
      <c r="P214" s="69">
        <v>0.442</v>
      </c>
      <c r="R214" s="232">
        <v>42636</v>
      </c>
      <c r="S214" s="67">
        <v>3.5999999999999997E-2</v>
      </c>
      <c r="T214" s="69">
        <v>-8.1000000000000003E-2</v>
      </c>
    </row>
    <row r="215" spans="6:20" x14ac:dyDescent="0.25">
      <c r="F215" s="232">
        <v>43729</v>
      </c>
      <c r="G215" s="67">
        <v>-0.36499999999999999</v>
      </c>
      <c r="H215" s="69"/>
      <c r="J215" s="232">
        <v>43359</v>
      </c>
      <c r="K215" s="67">
        <v>0.51500000000000001</v>
      </c>
      <c r="L215" s="69">
        <v>0.41399999999999998</v>
      </c>
      <c r="N215" s="232">
        <v>42999</v>
      </c>
      <c r="O215" s="67">
        <v>0.57999999999999996</v>
      </c>
      <c r="P215" s="69">
        <v>0.45400000000000001</v>
      </c>
      <c r="R215" s="232">
        <v>42637</v>
      </c>
      <c r="S215" s="67">
        <v>3.3000000000000002E-2</v>
      </c>
      <c r="T215" s="69">
        <v>-8.5000000000000006E-2</v>
      </c>
    </row>
    <row r="216" spans="6:20" x14ac:dyDescent="0.25">
      <c r="F216" s="232">
        <v>43731</v>
      </c>
      <c r="G216" s="67">
        <v>-0.437</v>
      </c>
      <c r="H216" s="69">
        <v>-0.58299999999999996</v>
      </c>
      <c r="J216" s="232">
        <v>43360</v>
      </c>
      <c r="K216" s="67">
        <v>0.55700000000000005</v>
      </c>
      <c r="L216" s="69">
        <v>0.45800000000000002</v>
      </c>
      <c r="N216" s="232">
        <v>43000</v>
      </c>
      <c r="O216" s="67">
        <v>0.56799999999999995</v>
      </c>
      <c r="P216" s="69">
        <v>0.44700000000000001</v>
      </c>
      <c r="R216" s="232">
        <v>42638</v>
      </c>
      <c r="S216" s="67">
        <v>3.3000000000000002E-2</v>
      </c>
      <c r="T216" s="69">
        <v>-8.5000000000000006E-2</v>
      </c>
    </row>
    <row r="217" spans="6:20" x14ac:dyDescent="0.25">
      <c r="F217" s="232">
        <v>43732</v>
      </c>
      <c r="G217" s="67">
        <v>-0.45500000000000002</v>
      </c>
      <c r="H217" s="69">
        <v>-0.6</v>
      </c>
      <c r="J217" s="232">
        <v>43361</v>
      </c>
      <c r="K217" s="67">
        <v>0.58099999999999996</v>
      </c>
      <c r="L217" s="69">
        <v>0.48199999999999998</v>
      </c>
      <c r="N217" s="232">
        <v>43003</v>
      </c>
      <c r="O217" s="67">
        <v>0.52500000000000002</v>
      </c>
      <c r="P217" s="69">
        <v>0.40100000000000002</v>
      </c>
      <c r="R217" s="232">
        <v>42639</v>
      </c>
      <c r="S217" s="67">
        <v>-1E-3</v>
      </c>
      <c r="T217" s="69">
        <v>-0.115</v>
      </c>
    </row>
    <row r="218" spans="6:20" x14ac:dyDescent="0.25">
      <c r="F218" s="232">
        <v>43733</v>
      </c>
      <c r="G218" s="67">
        <v>-0.42399999999999999</v>
      </c>
      <c r="H218" s="69">
        <v>-0.57599999999999996</v>
      </c>
      <c r="J218" s="232">
        <v>43362</v>
      </c>
      <c r="K218" s="67">
        <v>0.58899999999999997</v>
      </c>
      <c r="L218" s="69">
        <v>0.48899999999999999</v>
      </c>
      <c r="N218" s="232">
        <v>43004</v>
      </c>
      <c r="O218" s="67">
        <v>0.53500000000000003</v>
      </c>
      <c r="P218" s="69">
        <v>0.40699999999999997</v>
      </c>
      <c r="R218" s="232">
        <v>42640</v>
      </c>
      <c r="S218" s="67">
        <v>-2.4E-2</v>
      </c>
      <c r="T218" s="69">
        <v>-0.13800000000000001</v>
      </c>
    </row>
    <row r="219" spans="6:20" x14ac:dyDescent="0.25">
      <c r="F219" s="232">
        <v>43734</v>
      </c>
      <c r="G219" s="67">
        <v>-0.435</v>
      </c>
      <c r="H219" s="69">
        <v>-0.58299999999999996</v>
      </c>
      <c r="J219" s="232">
        <v>43363</v>
      </c>
      <c r="K219" s="67">
        <v>0.57599999999999996</v>
      </c>
      <c r="L219" s="69">
        <v>0.47199999999999998</v>
      </c>
      <c r="N219" s="232">
        <v>43005</v>
      </c>
      <c r="O219" s="67">
        <v>0.58899999999999997</v>
      </c>
      <c r="P219" s="69">
        <v>0.46600000000000003</v>
      </c>
      <c r="R219" s="232">
        <v>42641</v>
      </c>
      <c r="S219" s="67">
        <v>-2.8000000000000001E-2</v>
      </c>
      <c r="T219" s="69">
        <v>-0.14499999999999999</v>
      </c>
    </row>
    <row r="220" spans="6:20" x14ac:dyDescent="0.25">
      <c r="F220" s="232">
        <v>43735</v>
      </c>
      <c r="G220" s="67">
        <v>-0.43</v>
      </c>
      <c r="H220" s="69">
        <v>-0.57499999999999996</v>
      </c>
      <c r="J220" s="232">
        <v>43364</v>
      </c>
      <c r="K220" s="67">
        <v>0.56599999999999995</v>
      </c>
      <c r="L220" s="69">
        <v>0.46100000000000002</v>
      </c>
      <c r="N220" s="232">
        <v>43006</v>
      </c>
      <c r="O220" s="67">
        <v>0.60399999999999998</v>
      </c>
      <c r="P220" s="69">
        <v>0.47599999999999998</v>
      </c>
      <c r="R220" s="232">
        <v>42642</v>
      </c>
      <c r="S220" s="67">
        <v>5.0000000000000001E-3</v>
      </c>
      <c r="T220" s="69">
        <v>-0.11700000000000001</v>
      </c>
    </row>
    <row r="221" spans="6:20" x14ac:dyDescent="0.25">
      <c r="F221" s="232">
        <v>43736</v>
      </c>
      <c r="G221" s="67">
        <v>-0.42599999999999999</v>
      </c>
      <c r="H221" s="69">
        <v>-0.57299999999999995</v>
      </c>
      <c r="J221" s="232">
        <v>43367</v>
      </c>
      <c r="K221" s="67">
        <v>0.61599999999999999</v>
      </c>
      <c r="L221" s="69">
        <v>0.50900000000000001</v>
      </c>
      <c r="N221" s="232">
        <v>43007</v>
      </c>
      <c r="O221" s="67">
        <v>0.57599999999999996</v>
      </c>
      <c r="P221" s="69">
        <v>0.46400000000000002</v>
      </c>
      <c r="R221" s="232">
        <v>42643</v>
      </c>
      <c r="S221" s="67">
        <v>5.0000000000000001E-3</v>
      </c>
      <c r="T221" s="69">
        <v>-0.12</v>
      </c>
    </row>
    <row r="222" spans="6:20" x14ac:dyDescent="0.25">
      <c r="F222" s="232">
        <v>43738</v>
      </c>
      <c r="G222" s="67">
        <v>-0.42499999999999999</v>
      </c>
      <c r="H222" s="69">
        <v>-0.57199999999999995</v>
      </c>
      <c r="J222" s="232">
        <v>43368</v>
      </c>
      <c r="K222" s="67">
        <v>0.64200000000000002</v>
      </c>
      <c r="L222" s="69">
        <v>0.54200000000000004</v>
      </c>
      <c r="N222" s="232">
        <v>43010</v>
      </c>
      <c r="O222" s="67">
        <v>0.57299999999999995</v>
      </c>
      <c r="P222" s="69">
        <v>0.45300000000000001</v>
      </c>
      <c r="R222" s="232">
        <v>42646</v>
      </c>
      <c r="S222" s="67">
        <v>3.5999999999999997E-2</v>
      </c>
      <c r="T222" s="69">
        <v>-9.4E-2</v>
      </c>
    </row>
    <row r="223" spans="6:20" x14ac:dyDescent="0.25">
      <c r="F223" s="232">
        <v>43739</v>
      </c>
      <c r="G223" s="67">
        <v>-0.42199999999999999</v>
      </c>
      <c r="H223" s="69">
        <v>-0.56200000000000006</v>
      </c>
      <c r="J223" s="232">
        <v>43369</v>
      </c>
      <c r="K223" s="67">
        <v>0.63200000000000001</v>
      </c>
      <c r="L223" s="69">
        <v>0.52400000000000002</v>
      </c>
      <c r="N223" s="232">
        <v>43011</v>
      </c>
      <c r="O223" s="67">
        <v>0.58499999999999996</v>
      </c>
      <c r="P223" s="69">
        <v>0.46300000000000002</v>
      </c>
      <c r="R223" s="232">
        <v>42647</v>
      </c>
      <c r="S223" s="67">
        <v>4.2000000000000003E-2</v>
      </c>
      <c r="T223" s="69">
        <v>-5.2999999999999999E-2</v>
      </c>
    </row>
    <row r="224" spans="6:20" x14ac:dyDescent="0.25">
      <c r="F224" s="232">
        <v>43740</v>
      </c>
      <c r="G224" s="67">
        <v>-0.40699999999999997</v>
      </c>
      <c r="H224" s="69">
        <v>-0.54700000000000004</v>
      </c>
      <c r="J224" s="232">
        <v>43370</v>
      </c>
      <c r="K224" s="67">
        <v>0.63400000000000001</v>
      </c>
      <c r="L224" s="69">
        <v>0.52700000000000002</v>
      </c>
      <c r="N224" s="232">
        <v>43012</v>
      </c>
      <c r="O224" s="67">
        <v>0.57999999999999996</v>
      </c>
      <c r="P224" s="69">
        <v>0.45300000000000001</v>
      </c>
      <c r="R224" s="232">
        <v>42648</v>
      </c>
      <c r="S224" s="67">
        <v>0.127</v>
      </c>
      <c r="T224" s="69">
        <v>-3.0000000000000001E-3</v>
      </c>
    </row>
    <row r="225" spans="6:20" x14ac:dyDescent="0.25">
      <c r="F225" s="232">
        <v>43741</v>
      </c>
      <c r="G225" s="67">
        <v>-0.443</v>
      </c>
      <c r="H225" s="69">
        <v>-0.58699999999999997</v>
      </c>
      <c r="J225" s="232">
        <v>43371</v>
      </c>
      <c r="K225" s="67">
        <v>0.57999999999999996</v>
      </c>
      <c r="L225" s="69">
        <v>0.47199999999999998</v>
      </c>
      <c r="N225" s="232">
        <v>43013</v>
      </c>
      <c r="O225" s="67">
        <v>0.57799999999999996</v>
      </c>
      <c r="P225" s="69">
        <v>0.45800000000000002</v>
      </c>
      <c r="R225" s="232">
        <v>42649</v>
      </c>
      <c r="S225" s="67">
        <v>0.11700000000000001</v>
      </c>
      <c r="T225" s="69">
        <v>-1.7000000000000001E-2</v>
      </c>
    </row>
    <row r="226" spans="6:20" x14ac:dyDescent="0.25">
      <c r="F226" s="232">
        <v>43742</v>
      </c>
      <c r="G226" s="67">
        <v>-0.442</v>
      </c>
      <c r="H226" s="69">
        <v>-0.58699999999999997</v>
      </c>
      <c r="J226" s="232">
        <v>43374</v>
      </c>
      <c r="K226" s="67">
        <v>0.57899999999999996</v>
      </c>
      <c r="L226" s="69">
        <v>0.47499999999999998</v>
      </c>
      <c r="N226" s="232">
        <v>43014</v>
      </c>
      <c r="O226" s="67">
        <v>0.57699999999999996</v>
      </c>
      <c r="P226" s="69">
        <v>0.46</v>
      </c>
      <c r="R226" s="232">
        <v>42650</v>
      </c>
      <c r="S226" s="67">
        <v>0.14599999999999999</v>
      </c>
      <c r="T226" s="69">
        <v>2.1000000000000001E-2</v>
      </c>
    </row>
    <row r="227" spans="6:20" x14ac:dyDescent="0.25">
      <c r="F227" s="232">
        <v>43743</v>
      </c>
      <c r="G227" s="67"/>
      <c r="H227" s="69">
        <v>-0.58499999999999996</v>
      </c>
      <c r="J227" s="232">
        <v>43375</v>
      </c>
      <c r="K227" s="67">
        <v>0.52700000000000002</v>
      </c>
      <c r="L227" s="69">
        <v>0.42299999999999999</v>
      </c>
      <c r="N227" s="232">
        <v>43017</v>
      </c>
      <c r="O227" s="67">
        <v>0.56699999999999995</v>
      </c>
      <c r="P227" s="69">
        <v>0.44400000000000001</v>
      </c>
      <c r="R227" s="232">
        <v>42653</v>
      </c>
      <c r="S227" s="67">
        <v>0.17499999999999999</v>
      </c>
      <c r="T227" s="69">
        <v>5.7000000000000002E-2</v>
      </c>
    </row>
    <row r="228" spans="6:20" x14ac:dyDescent="0.25">
      <c r="F228" s="232">
        <v>43745</v>
      </c>
      <c r="G228" s="67">
        <v>-0.432</v>
      </c>
      <c r="H228" s="69">
        <v>-0.57499999999999996</v>
      </c>
      <c r="J228" s="232">
        <v>43376</v>
      </c>
      <c r="K228" s="67">
        <v>0.58299999999999996</v>
      </c>
      <c r="L228" s="69">
        <v>0.47599999999999998</v>
      </c>
      <c r="N228" s="232">
        <v>43018</v>
      </c>
      <c r="O228" s="67">
        <v>0.56000000000000005</v>
      </c>
      <c r="P228" s="69">
        <v>0.442</v>
      </c>
      <c r="R228" s="232">
        <v>42654</v>
      </c>
      <c r="S228" s="67">
        <v>0.14199999999999999</v>
      </c>
      <c r="T228" s="69">
        <v>2.5000000000000001E-2</v>
      </c>
    </row>
    <row r="229" spans="6:20" x14ac:dyDescent="0.25">
      <c r="F229" s="232">
        <v>43746</v>
      </c>
      <c r="G229" s="67">
        <v>-0.45400000000000001</v>
      </c>
      <c r="H229" s="69">
        <v>-0.59399999999999997</v>
      </c>
      <c r="J229" s="232">
        <v>43377</v>
      </c>
      <c r="K229" s="67">
        <v>0.64100000000000001</v>
      </c>
      <c r="L229" s="69">
        <v>0.53</v>
      </c>
      <c r="N229" s="232">
        <v>43019</v>
      </c>
      <c r="O229" s="67">
        <v>0.58899999999999997</v>
      </c>
      <c r="P229" s="69">
        <v>0.46600000000000003</v>
      </c>
      <c r="R229" s="232">
        <v>42655</v>
      </c>
      <c r="S229" s="67">
        <v>0.189</v>
      </c>
      <c r="T229" s="69">
        <v>6.8000000000000005E-2</v>
      </c>
    </row>
    <row r="230" spans="6:20" x14ac:dyDescent="0.25">
      <c r="F230" s="232">
        <v>43747</v>
      </c>
      <c r="G230" s="67">
        <v>-0.40699999999999997</v>
      </c>
      <c r="H230" s="69">
        <v>-0.54900000000000004</v>
      </c>
      <c r="J230" s="232">
        <v>43378</v>
      </c>
      <c r="K230" s="67">
        <v>0.66700000000000004</v>
      </c>
      <c r="L230" s="69">
        <v>0.57699999999999996</v>
      </c>
      <c r="N230" s="232">
        <v>43020</v>
      </c>
      <c r="O230" s="67">
        <v>0.55600000000000005</v>
      </c>
      <c r="P230" s="69">
        <v>0.44600000000000001</v>
      </c>
      <c r="R230" s="232">
        <v>42656</v>
      </c>
      <c r="S230" s="67">
        <v>0.158</v>
      </c>
      <c r="T230" s="69">
        <v>0.04</v>
      </c>
    </row>
    <row r="231" spans="6:20" x14ac:dyDescent="0.25">
      <c r="F231" s="232">
        <v>43748</v>
      </c>
      <c r="G231" s="67">
        <v>-0.33500000000000002</v>
      </c>
      <c r="H231" s="69">
        <v>-0.46899999999999997</v>
      </c>
      <c r="J231" s="232">
        <v>43381</v>
      </c>
      <c r="K231" s="67">
        <v>0.63900000000000001</v>
      </c>
      <c r="L231" s="69">
        <v>0.52700000000000002</v>
      </c>
      <c r="N231" s="232">
        <v>43021</v>
      </c>
      <c r="O231" s="67">
        <v>0.51300000000000001</v>
      </c>
      <c r="P231" s="69">
        <v>0.40500000000000003</v>
      </c>
      <c r="R231" s="232">
        <v>42657</v>
      </c>
      <c r="S231" s="67">
        <v>0.16200000000000001</v>
      </c>
      <c r="T231" s="69">
        <v>5.8999999999999997E-2</v>
      </c>
    </row>
    <row r="232" spans="6:20" x14ac:dyDescent="0.25">
      <c r="F232" s="232">
        <v>43749</v>
      </c>
      <c r="G232" s="67">
        <v>-0.31</v>
      </c>
      <c r="H232" s="69">
        <v>-0.44500000000000001</v>
      </c>
      <c r="J232" s="232">
        <v>43382</v>
      </c>
      <c r="K232" s="67">
        <v>0.65500000000000003</v>
      </c>
      <c r="L232" s="69">
        <v>0.55100000000000005</v>
      </c>
      <c r="N232" s="232">
        <v>43024</v>
      </c>
      <c r="O232" s="67">
        <v>0.48399999999999999</v>
      </c>
      <c r="P232" s="69">
        <v>0.37</v>
      </c>
      <c r="R232" s="232">
        <v>42658</v>
      </c>
      <c r="S232" s="67">
        <v>0.16700000000000001</v>
      </c>
      <c r="T232" s="69">
        <v>6.9000000000000006E-2</v>
      </c>
    </row>
    <row r="233" spans="6:20" x14ac:dyDescent="0.25">
      <c r="F233" s="232">
        <v>43752</v>
      </c>
      <c r="G233" s="67">
        <v>-0.31900000000000001</v>
      </c>
      <c r="H233" s="69">
        <v>-0.45400000000000001</v>
      </c>
      <c r="J233" s="232">
        <v>43383</v>
      </c>
      <c r="K233" s="67">
        <v>0.66400000000000003</v>
      </c>
      <c r="L233" s="69">
        <v>0.55500000000000005</v>
      </c>
      <c r="N233" s="232">
        <v>43025</v>
      </c>
      <c r="O233" s="67">
        <v>0.48099999999999998</v>
      </c>
      <c r="P233" s="69">
        <v>0.36699999999999999</v>
      </c>
      <c r="R233" s="232">
        <v>42660</v>
      </c>
      <c r="S233" s="67">
        <v>0.16400000000000001</v>
      </c>
      <c r="T233" s="69">
        <v>5.6000000000000001E-2</v>
      </c>
    </row>
    <row r="234" spans="6:20" x14ac:dyDescent="0.25">
      <c r="F234" s="232">
        <v>43753</v>
      </c>
      <c r="G234" s="67">
        <v>-0.29099999999999998</v>
      </c>
      <c r="H234" s="69">
        <v>-0.41699999999999998</v>
      </c>
      <c r="J234" s="232">
        <v>43384</v>
      </c>
      <c r="K234" s="67">
        <v>0.63200000000000001</v>
      </c>
      <c r="L234" s="69">
        <v>0.52100000000000002</v>
      </c>
      <c r="N234" s="232">
        <v>43026</v>
      </c>
      <c r="O234" s="67">
        <v>0.50800000000000001</v>
      </c>
      <c r="P234" s="69">
        <v>0.40600000000000003</v>
      </c>
      <c r="R234" s="232">
        <v>42661</v>
      </c>
      <c r="S234" s="67">
        <v>0.14599999999999999</v>
      </c>
      <c r="T234" s="69">
        <v>3.6999999999999998E-2</v>
      </c>
    </row>
    <row r="235" spans="6:20" x14ac:dyDescent="0.25">
      <c r="F235" s="232">
        <v>43754</v>
      </c>
      <c r="G235" s="67">
        <v>-0.25800000000000001</v>
      </c>
      <c r="H235" s="69">
        <v>-0.38500000000000001</v>
      </c>
      <c r="J235" s="232">
        <v>43385</v>
      </c>
      <c r="K235" s="67">
        <v>0.61399999999999999</v>
      </c>
      <c r="L235" s="69">
        <v>0.498</v>
      </c>
      <c r="N235" s="232">
        <v>43027</v>
      </c>
      <c r="O235" s="67">
        <v>0.50900000000000001</v>
      </c>
      <c r="P235" s="69">
        <v>0.39600000000000002</v>
      </c>
      <c r="R235" s="232">
        <v>42662</v>
      </c>
      <c r="S235" s="67">
        <v>0.13200000000000001</v>
      </c>
      <c r="T235" s="69">
        <v>3.1E-2</v>
      </c>
    </row>
    <row r="236" spans="6:20" x14ac:dyDescent="0.25">
      <c r="F236" s="232">
        <v>43755</v>
      </c>
      <c r="G236" s="67">
        <v>-0.27800000000000002</v>
      </c>
      <c r="H236" s="69">
        <v>-0.40799999999999997</v>
      </c>
      <c r="J236" s="232">
        <v>43388</v>
      </c>
      <c r="K236" s="67">
        <v>0.623</v>
      </c>
      <c r="L236" s="69">
        <v>0.499</v>
      </c>
      <c r="N236" s="232">
        <v>43028</v>
      </c>
      <c r="O236" s="67">
        <v>0.56399999999999995</v>
      </c>
      <c r="P236" s="69">
        <v>0.45500000000000002</v>
      </c>
      <c r="R236" s="232">
        <v>42663</v>
      </c>
      <c r="S236" s="67">
        <v>0.111</v>
      </c>
      <c r="T236" s="69">
        <v>0</v>
      </c>
    </row>
    <row r="237" spans="6:20" x14ac:dyDescent="0.25">
      <c r="F237" s="232">
        <v>43756</v>
      </c>
      <c r="G237" s="67">
        <v>-0.25700000000000001</v>
      </c>
      <c r="H237" s="69">
        <v>-0.38</v>
      </c>
      <c r="J237" s="232">
        <v>43389</v>
      </c>
      <c r="K237" s="67">
        <v>0.61</v>
      </c>
      <c r="L237" s="69">
        <v>0.49099999999999999</v>
      </c>
      <c r="N237" s="232">
        <v>43029</v>
      </c>
      <c r="O237" s="67">
        <v>0.56100000000000005</v>
      </c>
      <c r="P237" s="69">
        <v>0.44900000000000001</v>
      </c>
      <c r="R237" s="232">
        <v>42664</v>
      </c>
      <c r="S237" s="67">
        <v>0.114</v>
      </c>
      <c r="T237" s="69">
        <v>4.0000000000000001E-3</v>
      </c>
    </row>
    <row r="238" spans="6:20" x14ac:dyDescent="0.25">
      <c r="F238" s="232">
        <v>43759</v>
      </c>
      <c r="G238" s="67">
        <v>-0.21199999999999999</v>
      </c>
      <c r="H238" s="69">
        <v>-0.34499999999999997</v>
      </c>
      <c r="J238" s="232">
        <v>43390</v>
      </c>
      <c r="K238" s="67">
        <v>0.58499999999999996</v>
      </c>
      <c r="L238" s="69">
        <v>0.46300000000000002</v>
      </c>
      <c r="N238" s="232">
        <v>43030</v>
      </c>
      <c r="O238" s="67">
        <v>0.56100000000000005</v>
      </c>
      <c r="P238" s="69">
        <v>0.44900000000000001</v>
      </c>
      <c r="R238" s="232">
        <v>42667</v>
      </c>
      <c r="S238" s="67">
        <v>0.13</v>
      </c>
      <c r="T238" s="69">
        <v>2.7E-2</v>
      </c>
    </row>
    <row r="239" spans="6:20" x14ac:dyDescent="0.25">
      <c r="F239" s="232">
        <v>43760</v>
      </c>
      <c r="G239" s="67">
        <v>-0.23100000000000001</v>
      </c>
      <c r="H239" s="69">
        <v>-0.36699999999999999</v>
      </c>
      <c r="J239" s="232">
        <v>43391</v>
      </c>
      <c r="K239" s="67">
        <v>0.55300000000000005</v>
      </c>
      <c r="L239" s="69">
        <v>0.41399999999999998</v>
      </c>
      <c r="N239" s="232">
        <v>43031</v>
      </c>
      <c r="O239" s="67">
        <v>0.54</v>
      </c>
      <c r="P239" s="69">
        <v>0.434</v>
      </c>
      <c r="R239" s="232">
        <v>42668</v>
      </c>
      <c r="S239" s="67">
        <v>0.13200000000000001</v>
      </c>
      <c r="T239" s="69">
        <v>3.1E-2</v>
      </c>
    </row>
    <row r="240" spans="6:20" x14ac:dyDescent="0.25">
      <c r="F240" s="232">
        <v>43761</v>
      </c>
      <c r="G240" s="67">
        <v>-0.25900000000000001</v>
      </c>
      <c r="H240" s="69">
        <v>-0.39</v>
      </c>
      <c r="J240" s="232">
        <v>43392</v>
      </c>
      <c r="K240" s="67">
        <v>0.57999999999999996</v>
      </c>
      <c r="L240" s="69">
        <v>0.45900000000000002</v>
      </c>
      <c r="N240" s="232">
        <v>43032</v>
      </c>
      <c r="O240" s="67">
        <v>0.58099999999999996</v>
      </c>
      <c r="P240" s="69">
        <v>0.47799999999999998</v>
      </c>
      <c r="R240" s="232">
        <v>42669</v>
      </c>
      <c r="S240" s="67">
        <v>0.193</v>
      </c>
      <c r="T240" s="69">
        <v>8.5000000000000006E-2</v>
      </c>
    </row>
    <row r="241" spans="6:20" x14ac:dyDescent="0.25">
      <c r="F241" s="232">
        <v>43762</v>
      </c>
      <c r="G241" s="67">
        <v>-0.27</v>
      </c>
      <c r="H241" s="69">
        <v>-0.40600000000000003</v>
      </c>
      <c r="J241" s="232">
        <v>43393</v>
      </c>
      <c r="K241" s="67">
        <v>0.57799999999999996</v>
      </c>
      <c r="L241" s="69">
        <v>0.44400000000000001</v>
      </c>
      <c r="N241" s="232">
        <v>43033</v>
      </c>
      <c r="O241" s="67">
        <v>0.59</v>
      </c>
      <c r="P241" s="69">
        <v>0.48099999999999998</v>
      </c>
      <c r="R241" s="232">
        <v>42670</v>
      </c>
      <c r="S241" s="67">
        <v>0.27500000000000002</v>
      </c>
      <c r="T241" s="69">
        <v>0.17</v>
      </c>
    </row>
    <row r="242" spans="6:20" x14ac:dyDescent="0.25">
      <c r="F242" s="232">
        <v>43763</v>
      </c>
      <c r="G242" s="67">
        <v>-0.23899999999999999</v>
      </c>
      <c r="H242" s="69">
        <v>-0.36399999999999999</v>
      </c>
      <c r="J242" s="232">
        <v>43395</v>
      </c>
      <c r="K242" s="67">
        <v>0.58199999999999996</v>
      </c>
      <c r="L242" s="69">
        <v>0.44900000000000001</v>
      </c>
      <c r="N242" s="232">
        <v>43034</v>
      </c>
      <c r="O242" s="67">
        <v>0.52500000000000002</v>
      </c>
      <c r="P242" s="69">
        <v>0.41699999999999998</v>
      </c>
      <c r="R242" s="232">
        <v>42671</v>
      </c>
      <c r="S242" s="67">
        <v>0.27300000000000002</v>
      </c>
      <c r="T242" s="69">
        <v>0.16800000000000001</v>
      </c>
    </row>
    <row r="243" spans="6:20" x14ac:dyDescent="0.25">
      <c r="F243" s="232">
        <v>43766</v>
      </c>
      <c r="G243" s="67">
        <v>-0.19900000000000001</v>
      </c>
      <c r="H243" s="69">
        <v>-0.33100000000000002</v>
      </c>
      <c r="J243" s="232">
        <v>43396</v>
      </c>
      <c r="K243" s="67">
        <v>0.54200000000000004</v>
      </c>
      <c r="L243" s="69">
        <v>0.41</v>
      </c>
      <c r="N243" s="232">
        <v>43035</v>
      </c>
      <c r="O243" s="67">
        <v>0.49199999999999999</v>
      </c>
      <c r="P243" s="69">
        <v>0.38400000000000001</v>
      </c>
      <c r="R243" s="232">
        <v>42674</v>
      </c>
      <c r="S243" s="67">
        <v>0.28100000000000003</v>
      </c>
      <c r="T243" s="69">
        <v>0.16300000000000001</v>
      </c>
    </row>
    <row r="244" spans="6:20" x14ac:dyDescent="0.25">
      <c r="F244" s="232">
        <v>43767</v>
      </c>
      <c r="G244" s="67">
        <v>-0.22</v>
      </c>
      <c r="H244" s="69">
        <v>-0.35099999999999998</v>
      </c>
      <c r="J244" s="232">
        <v>43397</v>
      </c>
      <c r="K244" s="67">
        <v>0.52400000000000002</v>
      </c>
      <c r="L244" s="69">
        <v>0.39500000000000002</v>
      </c>
      <c r="N244" s="232">
        <v>43037</v>
      </c>
      <c r="O244" s="67">
        <v>0.49399999999999999</v>
      </c>
      <c r="P244" s="69">
        <v>0.39100000000000001</v>
      </c>
      <c r="R244" s="232">
        <v>42675</v>
      </c>
      <c r="S244" s="67">
        <v>0.29699999999999999</v>
      </c>
      <c r="T244" s="69">
        <v>0.18</v>
      </c>
    </row>
    <row r="245" spans="6:20" x14ac:dyDescent="0.25">
      <c r="F245" s="232">
        <v>43768</v>
      </c>
      <c r="G245" s="67">
        <v>-0.223</v>
      </c>
      <c r="H245" s="69">
        <v>-0.35499999999999998</v>
      </c>
      <c r="J245" s="232">
        <v>43398</v>
      </c>
      <c r="K245" s="67">
        <v>0.53</v>
      </c>
      <c r="L245" s="69">
        <v>0.39900000000000002</v>
      </c>
      <c r="N245" s="232">
        <v>43038</v>
      </c>
      <c r="O245" s="67">
        <v>0.47</v>
      </c>
      <c r="P245" s="69">
        <v>0.36799999999999999</v>
      </c>
      <c r="R245" s="232">
        <v>42676</v>
      </c>
      <c r="S245" s="67">
        <v>0.25</v>
      </c>
      <c r="T245" s="69">
        <v>0.13100000000000001</v>
      </c>
    </row>
    <row r="246" spans="6:20" x14ac:dyDescent="0.25">
      <c r="F246" s="232">
        <v>43769</v>
      </c>
      <c r="G246" s="67">
        <v>-0.27300000000000002</v>
      </c>
      <c r="H246" s="69">
        <v>-0.40300000000000002</v>
      </c>
      <c r="J246" s="232">
        <v>43399</v>
      </c>
      <c r="K246" s="67">
        <v>0.49099999999999999</v>
      </c>
      <c r="L246" s="69">
        <v>0.35699999999999998</v>
      </c>
      <c r="N246" s="232">
        <v>43039</v>
      </c>
      <c r="O246" s="67">
        <v>0.47</v>
      </c>
      <c r="P246" s="69">
        <v>0.36399999999999999</v>
      </c>
      <c r="R246" s="232">
        <v>42677</v>
      </c>
      <c r="S246" s="67">
        <v>0.27900000000000003</v>
      </c>
      <c r="T246" s="69">
        <v>0.159</v>
      </c>
    </row>
    <row r="247" spans="6:20" x14ac:dyDescent="0.25">
      <c r="F247" s="232">
        <v>43770</v>
      </c>
      <c r="G247" s="67">
        <v>-0.246</v>
      </c>
      <c r="H247" s="69">
        <v>-0.38100000000000001</v>
      </c>
      <c r="J247" s="232">
        <v>43402</v>
      </c>
      <c r="K247" s="67">
        <v>0.51700000000000002</v>
      </c>
      <c r="L247" s="69">
        <v>0.38100000000000001</v>
      </c>
      <c r="N247" s="232">
        <v>43040</v>
      </c>
      <c r="O247" s="67">
        <v>0.48199999999999998</v>
      </c>
      <c r="P247" s="69">
        <v>0.37</v>
      </c>
      <c r="R247" s="232">
        <v>42678</v>
      </c>
      <c r="S247" s="67">
        <v>0.26</v>
      </c>
      <c r="T247" s="69">
        <v>0.13500000000000001</v>
      </c>
    </row>
    <row r="248" spans="6:20" x14ac:dyDescent="0.25">
      <c r="F248" s="232">
        <v>43773</v>
      </c>
      <c r="G248" s="67">
        <v>-0.216</v>
      </c>
      <c r="H248" s="69">
        <v>-0.34899999999999998</v>
      </c>
      <c r="J248" s="232">
        <v>43403</v>
      </c>
      <c r="K248" s="67">
        <v>0.50900000000000001</v>
      </c>
      <c r="L248" s="69">
        <v>0.36899999999999999</v>
      </c>
      <c r="N248" s="232">
        <v>43041</v>
      </c>
      <c r="O248" s="67">
        <v>0.47799999999999998</v>
      </c>
      <c r="P248" s="69">
        <v>0.371</v>
      </c>
      <c r="R248" s="232">
        <v>42681</v>
      </c>
      <c r="S248" s="67">
        <v>0.26500000000000001</v>
      </c>
      <c r="T248" s="69">
        <v>0.155</v>
      </c>
    </row>
    <row r="249" spans="6:20" x14ac:dyDescent="0.25">
      <c r="F249" s="232">
        <v>43774</v>
      </c>
      <c r="G249" s="67">
        <v>-0.184</v>
      </c>
      <c r="H249" s="69">
        <v>-0.309</v>
      </c>
      <c r="J249" s="232">
        <v>43404</v>
      </c>
      <c r="K249" s="67">
        <v>0.52</v>
      </c>
      <c r="L249" s="69">
        <v>0.38600000000000001</v>
      </c>
      <c r="N249" s="232">
        <v>43042</v>
      </c>
      <c r="O249" s="67">
        <v>0.47699999999999998</v>
      </c>
      <c r="P249" s="69">
        <v>0.36399999999999999</v>
      </c>
      <c r="R249" s="232">
        <v>42682</v>
      </c>
      <c r="S249" s="67">
        <v>0.29499999999999998</v>
      </c>
      <c r="T249" s="69">
        <v>0.188</v>
      </c>
    </row>
    <row r="250" spans="6:20" x14ac:dyDescent="0.25">
      <c r="F250" s="232">
        <v>43775</v>
      </c>
      <c r="G250" s="67">
        <v>-0.19800000000000001</v>
      </c>
      <c r="H250" s="69">
        <v>-0.33400000000000002</v>
      </c>
      <c r="J250" s="232">
        <v>43405</v>
      </c>
      <c r="K250" s="67">
        <v>0.51900000000000002</v>
      </c>
      <c r="L250" s="69">
        <v>0.4</v>
      </c>
      <c r="N250" s="232">
        <v>43045</v>
      </c>
      <c r="O250" s="67">
        <v>0.45</v>
      </c>
      <c r="P250" s="69">
        <v>0.33700000000000002</v>
      </c>
      <c r="R250" s="232">
        <v>42683</v>
      </c>
      <c r="S250" s="67">
        <v>0.32600000000000001</v>
      </c>
      <c r="T250" s="69">
        <v>0.20399999999999999</v>
      </c>
    </row>
    <row r="251" spans="6:20" x14ac:dyDescent="0.25">
      <c r="F251" s="232">
        <v>43776</v>
      </c>
      <c r="G251" s="67">
        <v>-0.115</v>
      </c>
      <c r="H251" s="69">
        <v>-0.23400000000000001</v>
      </c>
      <c r="J251" s="232">
        <v>43406</v>
      </c>
      <c r="K251" s="67">
        <v>0.54700000000000004</v>
      </c>
      <c r="L251" s="69">
        <v>0.42599999999999999</v>
      </c>
      <c r="N251" s="232">
        <v>43046</v>
      </c>
      <c r="O251" s="67">
        <v>0.432</v>
      </c>
      <c r="P251" s="69">
        <v>0.33</v>
      </c>
      <c r="R251" s="232">
        <v>42684</v>
      </c>
      <c r="S251" s="67">
        <v>0.438</v>
      </c>
      <c r="T251" s="69">
        <v>0.27500000000000002</v>
      </c>
    </row>
    <row r="252" spans="6:20" x14ac:dyDescent="0.25">
      <c r="F252" s="232">
        <v>43777</v>
      </c>
      <c r="G252" s="67">
        <v>-0.13200000000000001</v>
      </c>
      <c r="H252" s="69">
        <v>-0.26100000000000001</v>
      </c>
      <c r="J252" s="232">
        <v>43409</v>
      </c>
      <c r="K252" s="67">
        <v>0.54300000000000004</v>
      </c>
      <c r="L252" s="69">
        <v>0.42499999999999999</v>
      </c>
      <c r="N252" s="232">
        <v>43047</v>
      </c>
      <c r="O252" s="67">
        <v>0.435</v>
      </c>
      <c r="P252" s="69">
        <v>0.32900000000000001</v>
      </c>
      <c r="R252" s="232">
        <v>42685</v>
      </c>
      <c r="S252" s="67">
        <v>0.48599999999999999</v>
      </c>
      <c r="T252" s="69">
        <v>0.309</v>
      </c>
    </row>
    <row r="253" spans="6:20" x14ac:dyDescent="0.25">
      <c r="F253" s="232">
        <v>43778</v>
      </c>
      <c r="G253" s="67"/>
      <c r="H253" s="69">
        <v>-0.26800000000000002</v>
      </c>
      <c r="J253" s="232">
        <v>43410</v>
      </c>
      <c r="K253" s="67">
        <v>0.55400000000000005</v>
      </c>
      <c r="L253" s="69">
        <v>0.432</v>
      </c>
      <c r="N253" s="232">
        <v>43048</v>
      </c>
      <c r="O253" s="67">
        <v>0.48699999999999999</v>
      </c>
      <c r="P253" s="69">
        <v>0.374</v>
      </c>
      <c r="R253" s="232">
        <v>42688</v>
      </c>
      <c r="S253" s="67">
        <v>0.50800000000000001</v>
      </c>
      <c r="T253" s="69">
        <v>0.31900000000000001</v>
      </c>
    </row>
    <row r="254" spans="6:20" x14ac:dyDescent="0.25">
      <c r="F254" s="232">
        <v>43780</v>
      </c>
      <c r="G254" s="67">
        <v>-0.111</v>
      </c>
      <c r="H254" s="69">
        <v>-0.24399999999999999</v>
      </c>
      <c r="J254" s="232">
        <v>43411</v>
      </c>
      <c r="K254" s="67">
        <v>0.56799999999999995</v>
      </c>
      <c r="L254" s="69">
        <v>0.44700000000000001</v>
      </c>
      <c r="N254" s="232">
        <v>43049</v>
      </c>
      <c r="O254" s="67">
        <v>0.51900000000000002</v>
      </c>
      <c r="P254" s="69">
        <v>0.41</v>
      </c>
      <c r="R254" s="232">
        <v>42689</v>
      </c>
      <c r="S254" s="67">
        <v>0.45700000000000002</v>
      </c>
      <c r="T254" s="69">
        <v>0.308</v>
      </c>
    </row>
    <row r="255" spans="6:20" x14ac:dyDescent="0.25">
      <c r="F255" s="232">
        <v>43781</v>
      </c>
      <c r="G255" s="67">
        <v>-0.124</v>
      </c>
      <c r="H255" s="69">
        <v>-0.252</v>
      </c>
      <c r="J255" s="232">
        <v>43412</v>
      </c>
      <c r="K255" s="67">
        <v>0.58499999999999996</v>
      </c>
      <c r="L255" s="69">
        <v>0.45900000000000002</v>
      </c>
      <c r="N255" s="232">
        <v>43052</v>
      </c>
      <c r="O255" s="67">
        <v>0.51800000000000002</v>
      </c>
      <c r="P255" s="69">
        <v>0.41799999999999998</v>
      </c>
      <c r="R255" s="232">
        <v>42690</v>
      </c>
      <c r="S255" s="67">
        <v>0.45</v>
      </c>
      <c r="T255" s="69">
        <v>0.29799999999999999</v>
      </c>
    </row>
    <row r="256" spans="6:20" x14ac:dyDescent="0.25">
      <c r="F256" s="232">
        <v>43782</v>
      </c>
      <c r="G256" s="67">
        <v>-0.16400000000000001</v>
      </c>
      <c r="H256" s="69">
        <v>-0.29799999999999999</v>
      </c>
      <c r="J256" s="232">
        <v>43413</v>
      </c>
      <c r="K256" s="67">
        <v>0.54400000000000004</v>
      </c>
      <c r="L256" s="69">
        <v>0.40699999999999997</v>
      </c>
      <c r="N256" s="232">
        <v>43053</v>
      </c>
      <c r="O256" s="67">
        <v>0.495</v>
      </c>
      <c r="P256" s="69">
        <v>0.39800000000000002</v>
      </c>
      <c r="R256" s="232">
        <v>42691</v>
      </c>
      <c r="S256" s="67">
        <v>0.434</v>
      </c>
      <c r="T256" s="69">
        <v>0.27800000000000002</v>
      </c>
    </row>
    <row r="257" spans="6:20" x14ac:dyDescent="0.25">
      <c r="F257" s="232">
        <v>43783</v>
      </c>
      <c r="G257" s="67">
        <v>-0.20699999999999999</v>
      </c>
      <c r="H257" s="69">
        <v>-0.35</v>
      </c>
      <c r="J257" s="232">
        <v>43415</v>
      </c>
      <c r="K257" s="67"/>
      <c r="L257" s="69">
        <v>0.40799999999999997</v>
      </c>
      <c r="N257" s="232">
        <v>43054</v>
      </c>
      <c r="O257" s="67">
        <v>0.48099999999999998</v>
      </c>
      <c r="P257" s="69">
        <v>0.376</v>
      </c>
      <c r="R257" s="232">
        <v>42692</v>
      </c>
      <c r="S257" s="67">
        <v>0.44900000000000001</v>
      </c>
      <c r="T257" s="69">
        <v>0.27200000000000002</v>
      </c>
    </row>
    <row r="258" spans="6:20" x14ac:dyDescent="0.25">
      <c r="F258" s="232">
        <v>43784</v>
      </c>
      <c r="G258" s="67">
        <v>-0.191</v>
      </c>
      <c r="H258" s="69">
        <v>-0.33500000000000002</v>
      </c>
      <c r="J258" s="232">
        <v>43416</v>
      </c>
      <c r="K258" s="67">
        <v>0.52700000000000002</v>
      </c>
      <c r="L258" s="69">
        <v>0.4</v>
      </c>
      <c r="N258" s="232">
        <v>43055</v>
      </c>
      <c r="O258" s="67">
        <v>0.47499999999999998</v>
      </c>
      <c r="P258" s="69">
        <v>0.375</v>
      </c>
      <c r="R258" s="232">
        <v>42695</v>
      </c>
      <c r="S258" s="67">
        <v>0.435</v>
      </c>
      <c r="T258" s="69">
        <v>0.27400000000000002</v>
      </c>
    </row>
    <row r="259" spans="6:20" x14ac:dyDescent="0.25">
      <c r="F259" s="232">
        <v>43785</v>
      </c>
      <c r="G259" s="67">
        <v>-0.19500000000000001</v>
      </c>
      <c r="H259" s="69">
        <v>-0.33500000000000002</v>
      </c>
      <c r="J259" s="232">
        <v>43417</v>
      </c>
      <c r="K259" s="67">
        <v>0.54700000000000004</v>
      </c>
      <c r="L259" s="69">
        <v>0.41</v>
      </c>
      <c r="N259" s="232">
        <v>43056</v>
      </c>
      <c r="O259" s="67">
        <v>0.45800000000000002</v>
      </c>
      <c r="P259" s="69">
        <v>0.36199999999999999</v>
      </c>
      <c r="R259" s="232">
        <v>42696</v>
      </c>
      <c r="S259" s="67">
        <v>0.38400000000000001</v>
      </c>
      <c r="T259" s="69">
        <v>0.221</v>
      </c>
    </row>
    <row r="260" spans="6:20" x14ac:dyDescent="0.25">
      <c r="F260" s="232">
        <v>43787</v>
      </c>
      <c r="G260" s="67">
        <v>-0.19500000000000001</v>
      </c>
      <c r="H260" s="69">
        <v>-0.33600000000000002</v>
      </c>
      <c r="J260" s="232">
        <v>43418</v>
      </c>
      <c r="K260" s="67">
        <v>0.53</v>
      </c>
      <c r="L260" s="69">
        <v>0.39900000000000002</v>
      </c>
      <c r="N260" s="232">
        <v>43059</v>
      </c>
      <c r="O260" s="67">
        <v>0.45800000000000002</v>
      </c>
      <c r="P260" s="69">
        <v>0.36199999999999999</v>
      </c>
      <c r="R260" s="232">
        <v>42697</v>
      </c>
      <c r="S260" s="67">
        <v>0.43099999999999999</v>
      </c>
      <c r="T260" s="69">
        <v>0.26300000000000001</v>
      </c>
    </row>
    <row r="261" spans="6:20" x14ac:dyDescent="0.25">
      <c r="F261" s="232">
        <v>43788</v>
      </c>
      <c r="G261" s="67">
        <v>-0.19500000000000001</v>
      </c>
      <c r="H261" s="69">
        <v>-0.33900000000000002</v>
      </c>
      <c r="J261" s="232">
        <v>43419</v>
      </c>
      <c r="K261" s="67">
        <v>0.498</v>
      </c>
      <c r="L261" s="69">
        <v>0.36</v>
      </c>
      <c r="N261" s="232">
        <v>43060</v>
      </c>
      <c r="O261" s="67">
        <v>0.44</v>
      </c>
      <c r="P261" s="69">
        <v>0.35199999999999998</v>
      </c>
      <c r="R261" s="232">
        <v>42698</v>
      </c>
      <c r="S261" s="67">
        <v>0.41599999999999998</v>
      </c>
      <c r="T261" s="69">
        <v>0.25900000000000001</v>
      </c>
    </row>
    <row r="262" spans="6:20" x14ac:dyDescent="0.25">
      <c r="F262" s="232">
        <v>43789</v>
      </c>
      <c r="G262" s="67">
        <v>-0.20799999999999999</v>
      </c>
      <c r="H262" s="69">
        <v>-0.34699999999999998</v>
      </c>
      <c r="J262" s="232">
        <v>43420</v>
      </c>
      <c r="K262" s="67">
        <v>0.50900000000000001</v>
      </c>
      <c r="L262" s="69">
        <v>0.36699999999999999</v>
      </c>
      <c r="N262" s="232">
        <v>43061</v>
      </c>
      <c r="O262" s="67">
        <v>0.44700000000000001</v>
      </c>
      <c r="P262" s="69">
        <v>0.35</v>
      </c>
      <c r="R262" s="232">
        <v>42699</v>
      </c>
      <c r="S262" s="67">
        <v>0.41499999999999998</v>
      </c>
      <c r="T262" s="69">
        <v>0.24099999999999999</v>
      </c>
    </row>
    <row r="263" spans="6:20" x14ac:dyDescent="0.25">
      <c r="F263" s="232">
        <v>43790</v>
      </c>
      <c r="G263" s="67">
        <v>-0.183</v>
      </c>
      <c r="H263" s="69">
        <v>-0.32600000000000001</v>
      </c>
      <c r="J263" s="232">
        <v>43423</v>
      </c>
      <c r="K263" s="67">
        <v>0.51700000000000002</v>
      </c>
      <c r="L263" s="69">
        <v>0.372</v>
      </c>
      <c r="N263" s="232">
        <v>43062</v>
      </c>
      <c r="O263" s="67">
        <v>0.45400000000000001</v>
      </c>
      <c r="P263" s="69">
        <v>0.34699999999999998</v>
      </c>
      <c r="R263" s="232">
        <v>42702</v>
      </c>
      <c r="S263" s="67">
        <v>0.39200000000000002</v>
      </c>
      <c r="T263" s="69">
        <v>0.20499999999999999</v>
      </c>
    </row>
    <row r="264" spans="6:20" x14ac:dyDescent="0.25">
      <c r="F264" s="232">
        <v>43791</v>
      </c>
      <c r="G264" s="67">
        <v>-0.216</v>
      </c>
      <c r="H264" s="69">
        <v>-0.35899999999999999</v>
      </c>
      <c r="J264" s="232">
        <v>43424</v>
      </c>
      <c r="K264" s="67">
        <v>0.503</v>
      </c>
      <c r="L264" s="69">
        <v>0.35</v>
      </c>
      <c r="N264" s="232">
        <v>43063</v>
      </c>
      <c r="O264" s="67">
        <v>0.47399999999999998</v>
      </c>
      <c r="P264" s="69">
        <v>0.36099999999999999</v>
      </c>
      <c r="R264" s="232">
        <v>42703</v>
      </c>
      <c r="S264" s="67">
        <v>0.39100000000000001</v>
      </c>
      <c r="T264" s="69">
        <v>0.221</v>
      </c>
    </row>
    <row r="265" spans="6:20" x14ac:dyDescent="0.25">
      <c r="F265" s="232">
        <v>43794</v>
      </c>
      <c r="G265" s="67">
        <v>-0.20200000000000001</v>
      </c>
      <c r="H265" s="69">
        <v>-0.34899999999999998</v>
      </c>
      <c r="J265" s="232">
        <v>43425</v>
      </c>
      <c r="K265" s="67">
        <v>0.52400000000000002</v>
      </c>
      <c r="L265" s="69">
        <v>0.377</v>
      </c>
      <c r="N265" s="232">
        <v>43064</v>
      </c>
      <c r="O265" s="67">
        <v>0.47499999999999998</v>
      </c>
      <c r="P265" s="69">
        <v>0.36199999999999999</v>
      </c>
      <c r="R265" s="232">
        <v>42704</v>
      </c>
      <c r="S265" s="67">
        <v>0.439</v>
      </c>
      <c r="T265" s="69">
        <v>0.27400000000000002</v>
      </c>
    </row>
    <row r="266" spans="6:20" x14ac:dyDescent="0.25">
      <c r="F266" s="232">
        <v>43795</v>
      </c>
      <c r="G266" s="67">
        <v>-0.22900000000000001</v>
      </c>
      <c r="H266" s="69">
        <v>-0.371</v>
      </c>
      <c r="J266" s="232">
        <v>43426</v>
      </c>
      <c r="K266" s="67">
        <v>0.52200000000000002</v>
      </c>
      <c r="L266" s="69">
        <v>0.37</v>
      </c>
      <c r="N266" s="232">
        <v>43066</v>
      </c>
      <c r="O266" s="67">
        <v>0.45300000000000001</v>
      </c>
      <c r="P266" s="69">
        <v>0.34300000000000003</v>
      </c>
      <c r="R266" s="232">
        <v>42705</v>
      </c>
      <c r="S266" s="67">
        <v>0.51300000000000001</v>
      </c>
      <c r="T266" s="69">
        <v>0.36699999999999999</v>
      </c>
    </row>
    <row r="267" spans="6:20" x14ac:dyDescent="0.25">
      <c r="F267" s="232">
        <v>43796</v>
      </c>
      <c r="G267" s="67">
        <v>-0.23</v>
      </c>
      <c r="H267" s="69">
        <v>-0.372</v>
      </c>
      <c r="J267" s="232">
        <v>43427</v>
      </c>
      <c r="K267" s="67">
        <v>0.495</v>
      </c>
      <c r="L267" s="69">
        <v>0.34</v>
      </c>
      <c r="N267" s="232">
        <v>43067</v>
      </c>
      <c r="O267" s="67">
        <v>0.45200000000000001</v>
      </c>
      <c r="P267" s="69">
        <v>0.34</v>
      </c>
      <c r="R267" s="232">
        <v>42706</v>
      </c>
      <c r="S267" s="67">
        <v>0.43</v>
      </c>
      <c r="T267" s="69">
        <v>0.28000000000000003</v>
      </c>
    </row>
    <row r="268" spans="6:20" x14ac:dyDescent="0.25">
      <c r="F268" s="232">
        <v>43797</v>
      </c>
      <c r="G268" s="67">
        <v>-0.22</v>
      </c>
      <c r="H268" s="69">
        <v>-0.36</v>
      </c>
      <c r="J268" s="232">
        <v>43430</v>
      </c>
      <c r="K268" s="67">
        <v>0.504</v>
      </c>
      <c r="L268" s="69">
        <v>0.36199999999999999</v>
      </c>
      <c r="N268" s="232">
        <v>43068</v>
      </c>
      <c r="O268" s="67">
        <v>0.48599999999999999</v>
      </c>
      <c r="P268" s="69">
        <v>0.38700000000000001</v>
      </c>
      <c r="R268" s="232">
        <v>42709</v>
      </c>
      <c r="S268" s="67">
        <v>0.48099999999999998</v>
      </c>
      <c r="T268" s="69">
        <v>0.33200000000000002</v>
      </c>
    </row>
    <row r="269" spans="6:20" x14ac:dyDescent="0.25">
      <c r="F269" s="232">
        <v>43798</v>
      </c>
      <c r="G269" s="67">
        <v>-0.222</v>
      </c>
      <c r="H269" s="69">
        <v>-0.36</v>
      </c>
      <c r="J269" s="232">
        <v>43431</v>
      </c>
      <c r="K269" s="67">
        <v>0.49099999999999999</v>
      </c>
      <c r="L269" s="69">
        <v>0.35099999999999998</v>
      </c>
      <c r="N269" s="232">
        <v>43069</v>
      </c>
      <c r="O269" s="67">
        <v>0.46200000000000002</v>
      </c>
      <c r="P269" s="69">
        <v>0.36699999999999999</v>
      </c>
      <c r="R269" s="232">
        <v>42710</v>
      </c>
      <c r="S269" s="67">
        <v>0.504</v>
      </c>
      <c r="T269" s="69">
        <v>0.36799999999999999</v>
      </c>
    </row>
    <row r="270" spans="6:20" x14ac:dyDescent="0.25">
      <c r="F270" s="232">
        <v>43801</v>
      </c>
      <c r="G270" s="67">
        <v>-0.14699999999999999</v>
      </c>
      <c r="H270" s="69">
        <v>-0.28000000000000003</v>
      </c>
      <c r="J270" s="232">
        <v>43432</v>
      </c>
      <c r="K270" s="67">
        <v>0.48499999999999999</v>
      </c>
      <c r="L270" s="69">
        <v>0.34799999999999998</v>
      </c>
      <c r="N270" s="232">
        <v>43070</v>
      </c>
      <c r="O270" s="67">
        <v>0.38600000000000001</v>
      </c>
      <c r="P270" s="69">
        <v>0.307</v>
      </c>
      <c r="R270" s="232">
        <v>42711</v>
      </c>
      <c r="S270" s="67">
        <v>0.47599999999999998</v>
      </c>
      <c r="T270" s="69">
        <v>0.34499999999999997</v>
      </c>
    </row>
    <row r="271" spans="6:20" x14ac:dyDescent="0.25">
      <c r="F271" s="232">
        <v>43802</v>
      </c>
      <c r="G271" s="67">
        <v>-0.216</v>
      </c>
      <c r="H271" s="69">
        <v>-0.34799999999999998</v>
      </c>
      <c r="J271" s="232">
        <v>43433</v>
      </c>
      <c r="K271" s="67">
        <v>0.45600000000000002</v>
      </c>
      <c r="L271" s="69">
        <v>0.32100000000000001</v>
      </c>
      <c r="N271" s="232">
        <v>43071</v>
      </c>
      <c r="O271" s="67">
        <v>0.39700000000000002</v>
      </c>
      <c r="P271" s="69"/>
      <c r="R271" s="232">
        <v>42712</v>
      </c>
      <c r="S271" s="67">
        <v>0.51300000000000001</v>
      </c>
      <c r="T271" s="69">
        <v>0.38200000000000001</v>
      </c>
    </row>
    <row r="272" spans="6:20" x14ac:dyDescent="0.25">
      <c r="F272" s="232">
        <v>43803</v>
      </c>
      <c r="G272" s="67">
        <v>-0.184</v>
      </c>
      <c r="H272" s="69">
        <v>-0.313</v>
      </c>
      <c r="J272" s="232">
        <v>43434</v>
      </c>
      <c r="K272" s="67">
        <v>0.44400000000000001</v>
      </c>
      <c r="L272" s="69">
        <v>0.315</v>
      </c>
      <c r="N272" s="232">
        <v>43073</v>
      </c>
      <c r="O272" s="67">
        <v>0.433</v>
      </c>
      <c r="P272" s="69">
        <v>0.34399999999999997</v>
      </c>
      <c r="R272" s="232">
        <v>42713</v>
      </c>
      <c r="S272" s="67">
        <v>0.503</v>
      </c>
      <c r="T272" s="69">
        <v>0.36599999999999999</v>
      </c>
    </row>
    <row r="273" spans="6:20" x14ac:dyDescent="0.25">
      <c r="F273" s="232">
        <v>43804</v>
      </c>
      <c r="G273" s="67">
        <v>-0.16200000000000001</v>
      </c>
      <c r="H273" s="69">
        <v>-0.29699999999999999</v>
      </c>
      <c r="J273" s="232">
        <v>43435</v>
      </c>
      <c r="K273" s="67">
        <v>0.44500000000000001</v>
      </c>
      <c r="L273" s="69">
        <v>0.32200000000000001</v>
      </c>
      <c r="N273" s="232">
        <v>43074</v>
      </c>
      <c r="O273" s="67">
        <v>0.40500000000000003</v>
      </c>
      <c r="P273" s="69">
        <v>0.317</v>
      </c>
      <c r="R273" s="232">
        <v>42716</v>
      </c>
      <c r="S273" s="67">
        <v>0.56200000000000006</v>
      </c>
      <c r="T273" s="69">
        <v>0.39900000000000002</v>
      </c>
    </row>
    <row r="274" spans="6:20" x14ac:dyDescent="0.25">
      <c r="F274" s="232">
        <v>43805</v>
      </c>
      <c r="G274" s="67">
        <v>-0.156</v>
      </c>
      <c r="H274" s="69">
        <v>-0.28699999999999998</v>
      </c>
      <c r="J274" s="232">
        <v>43437</v>
      </c>
      <c r="K274" s="67">
        <v>0.439</v>
      </c>
      <c r="L274" s="69">
        <v>0.30499999999999999</v>
      </c>
      <c r="N274" s="232">
        <v>43075</v>
      </c>
      <c r="O274" s="67">
        <v>0.38600000000000001</v>
      </c>
      <c r="P274" s="69">
        <v>0.29599999999999999</v>
      </c>
      <c r="R274" s="232">
        <v>42717</v>
      </c>
      <c r="S274" s="67">
        <v>0.498</v>
      </c>
      <c r="T274" s="69">
        <v>0.35899999999999999</v>
      </c>
    </row>
    <row r="275" spans="6:20" x14ac:dyDescent="0.25">
      <c r="F275" s="232">
        <v>43806</v>
      </c>
      <c r="G275" s="67">
        <v>-0.154</v>
      </c>
      <c r="H275" s="69"/>
      <c r="J275" s="232">
        <v>43438</v>
      </c>
      <c r="K275" s="67">
        <v>0.41199999999999998</v>
      </c>
      <c r="L275" s="69">
        <v>0.26200000000000001</v>
      </c>
      <c r="N275" s="232">
        <v>43076</v>
      </c>
      <c r="O275" s="67">
        <v>0.38400000000000001</v>
      </c>
      <c r="P275" s="69">
        <v>0.29499999999999998</v>
      </c>
      <c r="R275" s="232">
        <v>42718</v>
      </c>
      <c r="S275" s="67">
        <v>0.442</v>
      </c>
      <c r="T275" s="69">
        <v>0.30099999999999999</v>
      </c>
    </row>
    <row r="276" spans="6:20" x14ac:dyDescent="0.25">
      <c r="F276" s="232">
        <v>43808</v>
      </c>
      <c r="G276" s="67">
        <v>-0.16900000000000001</v>
      </c>
      <c r="H276" s="69">
        <v>-0.307</v>
      </c>
      <c r="J276" s="232">
        <v>43439</v>
      </c>
      <c r="K276" s="67">
        <v>0.41799999999999998</v>
      </c>
      <c r="L276" s="69">
        <v>0.27600000000000002</v>
      </c>
      <c r="N276" s="232">
        <v>43077</v>
      </c>
      <c r="O276" s="67">
        <v>0.39400000000000002</v>
      </c>
      <c r="P276" s="69">
        <v>0.309</v>
      </c>
      <c r="R276" s="232">
        <v>42719</v>
      </c>
      <c r="S276" s="67">
        <v>0.501</v>
      </c>
      <c r="T276" s="69">
        <v>0.36399999999999999</v>
      </c>
    </row>
    <row r="277" spans="6:20" x14ac:dyDescent="0.25">
      <c r="F277" s="232">
        <v>43809</v>
      </c>
      <c r="G277" s="67">
        <v>-0.16</v>
      </c>
      <c r="H277" s="69">
        <v>-0.29599999999999999</v>
      </c>
      <c r="J277" s="232">
        <v>43440</v>
      </c>
      <c r="K277" s="67">
        <v>0.376</v>
      </c>
      <c r="L277" s="69">
        <v>0.23599999999999999</v>
      </c>
      <c r="N277" s="232">
        <v>43080</v>
      </c>
      <c r="O277" s="67">
        <v>0.38600000000000001</v>
      </c>
      <c r="P277" s="69">
        <v>0.29299999999999998</v>
      </c>
      <c r="R277" s="232">
        <v>42720</v>
      </c>
      <c r="S277" s="67">
        <v>0.45800000000000002</v>
      </c>
      <c r="T277" s="69">
        <v>0.315</v>
      </c>
    </row>
    <row r="278" spans="6:20" x14ac:dyDescent="0.25">
      <c r="F278" s="232">
        <v>43810</v>
      </c>
      <c r="G278" s="67">
        <v>-0.184</v>
      </c>
      <c r="H278" s="69">
        <v>-0.32200000000000001</v>
      </c>
      <c r="J278" s="232">
        <v>43441</v>
      </c>
      <c r="K278" s="67">
        <v>0.40400000000000003</v>
      </c>
      <c r="L278" s="69">
        <v>0.251</v>
      </c>
      <c r="N278" s="232">
        <v>43081</v>
      </c>
      <c r="O278" s="67">
        <v>0.40799999999999997</v>
      </c>
      <c r="P278" s="69">
        <v>0.318</v>
      </c>
      <c r="R278" s="232">
        <v>42723</v>
      </c>
      <c r="S278" s="67">
        <v>0.39600000000000002</v>
      </c>
      <c r="T278" s="69">
        <v>0.247</v>
      </c>
    </row>
    <row r="279" spans="6:20" x14ac:dyDescent="0.25">
      <c r="F279" s="232">
        <v>43811</v>
      </c>
      <c r="G279" s="67">
        <v>-0.13300000000000001</v>
      </c>
      <c r="H279" s="69">
        <v>-0.26900000000000002</v>
      </c>
      <c r="J279" s="232">
        <v>43444</v>
      </c>
      <c r="K279" s="67">
        <v>0.40400000000000003</v>
      </c>
      <c r="L279" s="69">
        <v>0.246</v>
      </c>
      <c r="N279" s="232">
        <v>43082</v>
      </c>
      <c r="O279" s="67">
        <v>0.41499999999999998</v>
      </c>
      <c r="P279" s="69">
        <v>0.314</v>
      </c>
      <c r="R279" s="232">
        <v>42724</v>
      </c>
      <c r="S279" s="67">
        <v>0.41199999999999998</v>
      </c>
      <c r="T279" s="69">
        <v>0.26800000000000002</v>
      </c>
    </row>
    <row r="280" spans="6:20" x14ac:dyDescent="0.25">
      <c r="F280" s="232">
        <v>43812</v>
      </c>
      <c r="G280" s="67">
        <v>-0.16400000000000001</v>
      </c>
      <c r="H280" s="69">
        <v>-0.28999999999999998</v>
      </c>
      <c r="J280" s="232">
        <v>43445</v>
      </c>
      <c r="K280" s="67">
        <v>0.39400000000000002</v>
      </c>
      <c r="L280" s="69">
        <v>0.23300000000000001</v>
      </c>
      <c r="N280" s="232">
        <v>43083</v>
      </c>
      <c r="O280" s="67">
        <v>0.41499999999999998</v>
      </c>
      <c r="P280" s="69">
        <v>0.311</v>
      </c>
      <c r="R280" s="232">
        <v>42725</v>
      </c>
      <c r="S280" s="67">
        <v>0.38200000000000001</v>
      </c>
      <c r="T280" s="69">
        <v>0.246</v>
      </c>
    </row>
    <row r="281" spans="6:20" x14ac:dyDescent="0.25">
      <c r="F281" s="232">
        <v>43815</v>
      </c>
      <c r="G281" s="67">
        <v>-0.14499999999999999</v>
      </c>
      <c r="H281" s="69">
        <v>-0.27500000000000002</v>
      </c>
      <c r="J281" s="232">
        <v>43446</v>
      </c>
      <c r="K281" s="67">
        <v>0.42399999999999999</v>
      </c>
      <c r="L281" s="69">
        <v>0.27700000000000002</v>
      </c>
      <c r="N281" s="232">
        <v>43084</v>
      </c>
      <c r="O281" s="67">
        <v>0.40600000000000003</v>
      </c>
      <c r="P281" s="69">
        <v>0.30199999999999999</v>
      </c>
      <c r="R281" s="232">
        <v>42726</v>
      </c>
      <c r="S281" s="67">
        <v>0.39300000000000002</v>
      </c>
      <c r="T281" s="69">
        <v>0.26100000000000001</v>
      </c>
    </row>
    <row r="282" spans="6:20" x14ac:dyDescent="0.25">
      <c r="F282" s="232">
        <v>43816</v>
      </c>
      <c r="G282" s="67">
        <v>-0.16400000000000001</v>
      </c>
      <c r="H282" s="69">
        <v>-0.29299999999999998</v>
      </c>
      <c r="J282" s="232">
        <v>43447</v>
      </c>
      <c r="K282" s="67">
        <v>0.439</v>
      </c>
      <c r="L282" s="69">
        <v>0.28499999999999998</v>
      </c>
      <c r="N282" s="232">
        <v>43085</v>
      </c>
      <c r="O282" s="67">
        <v>0.40200000000000002</v>
      </c>
      <c r="P282" s="69">
        <v>0.30099999999999999</v>
      </c>
      <c r="R282" s="232">
        <v>42727</v>
      </c>
      <c r="S282" s="67">
        <v>0.36399999999999999</v>
      </c>
      <c r="T282" s="69">
        <v>0.222</v>
      </c>
    </row>
    <row r="283" spans="6:20" x14ac:dyDescent="0.25">
      <c r="F283" s="232">
        <v>43817</v>
      </c>
      <c r="G283" s="67">
        <v>-0.123</v>
      </c>
      <c r="H283" s="69">
        <v>-0.248</v>
      </c>
      <c r="J283" s="232">
        <v>43448</v>
      </c>
      <c r="K283" s="67">
        <v>0.41099999999999998</v>
      </c>
      <c r="L283" s="69">
        <v>0.25600000000000001</v>
      </c>
      <c r="N283" s="232">
        <v>43087</v>
      </c>
      <c r="O283" s="67">
        <v>0.41</v>
      </c>
      <c r="P283" s="69">
        <v>0.308</v>
      </c>
      <c r="R283" s="232">
        <v>42730</v>
      </c>
      <c r="S283" s="67"/>
      <c r="T283" s="69">
        <v>0.222</v>
      </c>
    </row>
    <row r="284" spans="6:20" x14ac:dyDescent="0.25">
      <c r="F284" s="232">
        <v>43818</v>
      </c>
      <c r="G284" s="67">
        <v>-0.108</v>
      </c>
      <c r="H284" s="69">
        <v>-0.23400000000000001</v>
      </c>
      <c r="J284" s="232">
        <v>43451</v>
      </c>
      <c r="K284" s="67">
        <v>0.41199999999999998</v>
      </c>
      <c r="L284" s="69">
        <v>0.25700000000000001</v>
      </c>
      <c r="N284" s="232">
        <v>43088</v>
      </c>
      <c r="O284" s="67">
        <v>0.46800000000000003</v>
      </c>
      <c r="P284" s="69">
        <v>0.38</v>
      </c>
      <c r="R284" s="232">
        <v>42731</v>
      </c>
      <c r="S284" s="67">
        <v>0.34599999999999997</v>
      </c>
      <c r="T284" s="69">
        <v>0.20699999999999999</v>
      </c>
    </row>
    <row r="285" spans="6:20" x14ac:dyDescent="0.25">
      <c r="F285" s="232">
        <v>43819</v>
      </c>
      <c r="G285" s="67">
        <v>-0.11700000000000001</v>
      </c>
      <c r="H285" s="69">
        <v>-0.25</v>
      </c>
      <c r="J285" s="232">
        <v>43452</v>
      </c>
      <c r="K285" s="67">
        <v>0.40200000000000002</v>
      </c>
      <c r="L285" s="69">
        <v>0.24299999999999999</v>
      </c>
      <c r="N285" s="232">
        <v>43089</v>
      </c>
      <c r="O285" s="67">
        <v>0.51300000000000001</v>
      </c>
      <c r="P285" s="69">
        <v>0.40400000000000003</v>
      </c>
      <c r="R285" s="232">
        <v>42732</v>
      </c>
      <c r="S285" s="67">
        <v>0.33800000000000002</v>
      </c>
      <c r="T285" s="69">
        <v>0.19600000000000001</v>
      </c>
    </row>
    <row r="286" spans="6:20" x14ac:dyDescent="0.25">
      <c r="F286" s="232">
        <v>43822</v>
      </c>
      <c r="G286" s="67">
        <v>-0.108</v>
      </c>
      <c r="H286" s="69">
        <v>-0.23899999999999999</v>
      </c>
      <c r="J286" s="232">
        <v>43453</v>
      </c>
      <c r="K286" s="67">
        <v>0.39500000000000002</v>
      </c>
      <c r="L286" s="69">
        <v>0.24099999999999999</v>
      </c>
      <c r="N286" s="232">
        <v>43090</v>
      </c>
      <c r="O286" s="67">
        <v>0.52200000000000002</v>
      </c>
      <c r="P286" s="69">
        <v>0.41699999999999998</v>
      </c>
      <c r="R286" s="232">
        <v>42733</v>
      </c>
      <c r="S286" s="67">
        <v>0.314</v>
      </c>
      <c r="T286" s="69">
        <v>0.17599999999999999</v>
      </c>
    </row>
    <row r="287" spans="6:20" x14ac:dyDescent="0.25">
      <c r="F287" s="232">
        <v>43823</v>
      </c>
      <c r="G287" s="67">
        <v>-0.107</v>
      </c>
      <c r="H287" s="69">
        <v>-0.24399999999999999</v>
      </c>
      <c r="J287" s="232">
        <v>43454</v>
      </c>
      <c r="K287" s="67">
        <v>0.379</v>
      </c>
      <c r="L287" s="69">
        <v>0.23200000000000001</v>
      </c>
      <c r="N287" s="232">
        <v>43091</v>
      </c>
      <c r="O287" s="67">
        <v>0.52200000000000002</v>
      </c>
      <c r="P287" s="69">
        <v>0.42199999999999999</v>
      </c>
      <c r="R287" s="233">
        <v>42734</v>
      </c>
      <c r="S287" s="229">
        <v>0.35299999999999998</v>
      </c>
      <c r="T287" s="230">
        <v>0.20799999999999999</v>
      </c>
    </row>
    <row r="288" spans="6:20" x14ac:dyDescent="0.25">
      <c r="F288" s="232">
        <v>43824</v>
      </c>
      <c r="G288" s="67">
        <v>-0.112</v>
      </c>
      <c r="H288" s="69">
        <v>-0.245</v>
      </c>
      <c r="J288" s="232">
        <v>43455</v>
      </c>
      <c r="K288" s="67">
        <v>0.39800000000000002</v>
      </c>
      <c r="L288" s="69">
        <v>0.25</v>
      </c>
      <c r="N288" s="232">
        <v>43094</v>
      </c>
      <c r="O288" s="67">
        <v>0.51800000000000002</v>
      </c>
      <c r="P288" s="69">
        <v>0.42199999999999999</v>
      </c>
      <c r="R288" s="169"/>
    </row>
    <row r="289" spans="6:18" x14ac:dyDescent="0.25">
      <c r="F289" s="232">
        <v>43825</v>
      </c>
      <c r="G289" s="67">
        <v>-0.108</v>
      </c>
      <c r="H289" s="69">
        <v>-0.245</v>
      </c>
      <c r="J289" s="232">
        <v>43458</v>
      </c>
      <c r="K289" s="67">
        <v>0.39600000000000002</v>
      </c>
      <c r="L289" s="69">
        <v>0.249</v>
      </c>
      <c r="N289" s="232">
        <v>43095</v>
      </c>
      <c r="O289" s="67">
        <v>0.52300000000000002</v>
      </c>
      <c r="P289" s="69">
        <v>0.42199999999999999</v>
      </c>
      <c r="R289" s="169"/>
    </row>
    <row r="290" spans="6:18" x14ac:dyDescent="0.25">
      <c r="F290" s="232">
        <v>43826</v>
      </c>
      <c r="G290" s="67">
        <v>-0.114</v>
      </c>
      <c r="H290" s="69">
        <v>-0.252</v>
      </c>
      <c r="J290" s="232">
        <v>43459</v>
      </c>
      <c r="K290" s="67">
        <v>0.39600000000000002</v>
      </c>
      <c r="L290" s="69">
        <v>0.248</v>
      </c>
      <c r="N290" s="232">
        <v>43096</v>
      </c>
      <c r="O290" s="67">
        <v>0.49099999999999999</v>
      </c>
      <c r="P290" s="69">
        <v>0.38</v>
      </c>
      <c r="R290" s="169"/>
    </row>
    <row r="291" spans="6:18" x14ac:dyDescent="0.25">
      <c r="F291" s="232">
        <v>43829</v>
      </c>
      <c r="G291" s="67">
        <v>-5.3999999999999999E-2</v>
      </c>
      <c r="H291" s="69">
        <v>-0.182</v>
      </c>
      <c r="J291" s="232">
        <v>43460</v>
      </c>
      <c r="K291" s="67">
        <v>0.39600000000000002</v>
      </c>
      <c r="L291" s="69">
        <v>0.25</v>
      </c>
      <c r="N291" s="232">
        <v>43097</v>
      </c>
      <c r="O291" s="67">
        <v>0.52500000000000002</v>
      </c>
      <c r="P291" s="69">
        <v>0.42299999999999999</v>
      </c>
      <c r="R291" s="169"/>
    </row>
    <row r="292" spans="6:18" x14ac:dyDescent="0.25">
      <c r="F292" s="233">
        <v>43830</v>
      </c>
      <c r="G292" s="229">
        <v>-5.6000000000000001E-2</v>
      </c>
      <c r="H292" s="230">
        <v>-0.187</v>
      </c>
      <c r="J292" s="232">
        <v>43461</v>
      </c>
      <c r="K292" s="67">
        <v>0.372</v>
      </c>
      <c r="L292" s="69">
        <v>0.22500000000000001</v>
      </c>
      <c r="N292" s="233">
        <v>43098</v>
      </c>
      <c r="O292" s="229">
        <v>0.53100000000000003</v>
      </c>
      <c r="P292" s="230">
        <v>0.42699999999999999</v>
      </c>
      <c r="R292" s="169"/>
    </row>
    <row r="293" spans="6:18" x14ac:dyDescent="0.25">
      <c r="J293" s="232">
        <v>43462</v>
      </c>
      <c r="K293" s="67">
        <v>0.38300000000000001</v>
      </c>
      <c r="L293" s="69">
        <v>0.23400000000000001</v>
      </c>
      <c r="N293" s="169"/>
      <c r="R293" s="169"/>
    </row>
    <row r="294" spans="6:18" x14ac:dyDescent="0.25">
      <c r="J294" s="233">
        <v>43465</v>
      </c>
      <c r="K294" s="229">
        <v>0.38500000000000001</v>
      </c>
      <c r="L294" s="230">
        <v>0.246</v>
      </c>
      <c r="N294" s="169"/>
      <c r="R294" s="169"/>
    </row>
    <row r="1125" spans="2:4" x14ac:dyDescent="0.25">
      <c r="B1125" s="221">
        <v>42734</v>
      </c>
      <c r="C1125" s="44">
        <v>0.35299999999999998</v>
      </c>
      <c r="D1125" s="222">
        <v>0.20799999999999999</v>
      </c>
    </row>
    <row r="1126" spans="2:4" x14ac:dyDescent="0.25">
      <c r="B1126" s="223">
        <v>42733</v>
      </c>
      <c r="C1126" s="46">
        <v>0.314</v>
      </c>
      <c r="D1126" s="224">
        <v>0.17599999999999999</v>
      </c>
    </row>
    <row r="1127" spans="2:4" x14ac:dyDescent="0.25">
      <c r="B1127" s="223">
        <v>42732</v>
      </c>
      <c r="C1127" s="46">
        <v>0.33800000000000002</v>
      </c>
      <c r="D1127" s="224">
        <v>0.19600000000000001</v>
      </c>
    </row>
    <row r="1128" spans="2:4" x14ac:dyDescent="0.25">
      <c r="B1128" s="223">
        <v>42731</v>
      </c>
      <c r="C1128" s="46">
        <v>0.34599999999999997</v>
      </c>
      <c r="D1128" s="224">
        <v>0.20699999999999999</v>
      </c>
    </row>
    <row r="1129" spans="2:4" x14ac:dyDescent="0.25">
      <c r="B1129" s="223">
        <v>42730</v>
      </c>
      <c r="C1129" s="46"/>
      <c r="D1129" s="224">
        <v>0.222</v>
      </c>
    </row>
    <row r="1130" spans="2:4" x14ac:dyDescent="0.25">
      <c r="B1130" s="223">
        <v>42727</v>
      </c>
      <c r="C1130" s="46">
        <v>0.36399999999999999</v>
      </c>
      <c r="D1130" s="224">
        <v>0.222</v>
      </c>
    </row>
    <row r="1131" spans="2:4" x14ac:dyDescent="0.25">
      <c r="B1131" s="223">
        <v>42726</v>
      </c>
      <c r="C1131" s="46">
        <v>0.39300000000000002</v>
      </c>
      <c r="D1131" s="224">
        <v>0.26100000000000001</v>
      </c>
    </row>
    <row r="1132" spans="2:4" x14ac:dyDescent="0.25">
      <c r="B1132" s="223">
        <v>42725</v>
      </c>
      <c r="C1132" s="46">
        <v>0.38200000000000001</v>
      </c>
      <c r="D1132" s="224">
        <v>0.246</v>
      </c>
    </row>
    <row r="1133" spans="2:4" x14ac:dyDescent="0.25">
      <c r="B1133" s="223">
        <v>42724</v>
      </c>
      <c r="C1133" s="46">
        <v>0.41199999999999998</v>
      </c>
      <c r="D1133" s="224">
        <v>0.26800000000000002</v>
      </c>
    </row>
    <row r="1134" spans="2:4" x14ac:dyDescent="0.25">
      <c r="B1134" s="223">
        <v>42723</v>
      </c>
      <c r="C1134" s="46">
        <v>0.39600000000000002</v>
      </c>
      <c r="D1134" s="224">
        <v>0.247</v>
      </c>
    </row>
    <row r="1135" spans="2:4" x14ac:dyDescent="0.25">
      <c r="B1135" s="223">
        <v>42720</v>
      </c>
      <c r="C1135" s="46">
        <v>0.45800000000000002</v>
      </c>
      <c r="D1135" s="224">
        <v>0.315</v>
      </c>
    </row>
    <row r="1136" spans="2:4" x14ac:dyDescent="0.25">
      <c r="B1136" s="223">
        <v>42719</v>
      </c>
      <c r="C1136" s="46">
        <v>0.501</v>
      </c>
      <c r="D1136" s="224">
        <v>0.36399999999999999</v>
      </c>
    </row>
    <row r="1137" spans="2:4" x14ac:dyDescent="0.25">
      <c r="B1137" s="223">
        <v>42718</v>
      </c>
      <c r="C1137" s="46">
        <v>0.442</v>
      </c>
      <c r="D1137" s="224">
        <v>0.30099999999999999</v>
      </c>
    </row>
    <row r="1138" spans="2:4" x14ac:dyDescent="0.25">
      <c r="B1138" s="223">
        <v>42717</v>
      </c>
      <c r="C1138" s="46">
        <v>0.498</v>
      </c>
      <c r="D1138" s="224">
        <v>0.35899999999999999</v>
      </c>
    </row>
    <row r="1139" spans="2:4" x14ac:dyDescent="0.25">
      <c r="B1139" s="223">
        <v>42716</v>
      </c>
      <c r="C1139" s="46">
        <v>0.56200000000000006</v>
      </c>
      <c r="D1139" s="224">
        <v>0.39900000000000002</v>
      </c>
    </row>
    <row r="1140" spans="2:4" x14ac:dyDescent="0.25">
      <c r="B1140" s="223">
        <v>42713</v>
      </c>
      <c r="C1140" s="46">
        <v>0.503</v>
      </c>
      <c r="D1140" s="224">
        <v>0.36599999999999999</v>
      </c>
    </row>
    <row r="1141" spans="2:4" x14ac:dyDescent="0.25">
      <c r="B1141" s="223">
        <v>42712</v>
      </c>
      <c r="C1141" s="46">
        <v>0.51300000000000001</v>
      </c>
      <c r="D1141" s="224">
        <v>0.38200000000000001</v>
      </c>
    </row>
    <row r="1142" spans="2:4" x14ac:dyDescent="0.25">
      <c r="B1142" s="223">
        <v>42711</v>
      </c>
      <c r="C1142" s="46">
        <v>0.47599999999999998</v>
      </c>
      <c r="D1142" s="224">
        <v>0.34499999999999997</v>
      </c>
    </row>
    <row r="1143" spans="2:4" x14ac:dyDescent="0.25">
      <c r="B1143" s="223">
        <v>42710</v>
      </c>
      <c r="C1143" s="46">
        <v>0.504</v>
      </c>
      <c r="D1143" s="224">
        <v>0.36799999999999999</v>
      </c>
    </row>
    <row r="1144" spans="2:4" x14ac:dyDescent="0.25">
      <c r="B1144" s="223">
        <v>42709</v>
      </c>
      <c r="C1144" s="46">
        <v>0.48099999999999998</v>
      </c>
      <c r="D1144" s="224">
        <v>0.33200000000000002</v>
      </c>
    </row>
    <row r="1145" spans="2:4" x14ac:dyDescent="0.25">
      <c r="B1145" s="223">
        <v>42706</v>
      </c>
      <c r="C1145" s="46">
        <v>0.43</v>
      </c>
      <c r="D1145" s="224">
        <v>0.28000000000000003</v>
      </c>
    </row>
    <row r="1146" spans="2:4" x14ac:dyDescent="0.25">
      <c r="B1146" s="223">
        <v>42705</v>
      </c>
      <c r="C1146" s="46">
        <v>0.51300000000000001</v>
      </c>
      <c r="D1146" s="224">
        <v>0.36699999999999999</v>
      </c>
    </row>
    <row r="1147" spans="2:4" x14ac:dyDescent="0.25">
      <c r="B1147" s="223">
        <v>42704</v>
      </c>
      <c r="C1147" s="46">
        <v>0.439</v>
      </c>
      <c r="D1147" s="224">
        <v>0.27400000000000002</v>
      </c>
    </row>
    <row r="1148" spans="2:4" x14ac:dyDescent="0.25">
      <c r="B1148" s="223">
        <v>42703</v>
      </c>
      <c r="C1148" s="46">
        <v>0.39100000000000001</v>
      </c>
      <c r="D1148" s="224">
        <v>0.221</v>
      </c>
    </row>
    <row r="1149" spans="2:4" x14ac:dyDescent="0.25">
      <c r="B1149" s="223">
        <v>42702</v>
      </c>
      <c r="C1149" s="46">
        <v>0.39200000000000002</v>
      </c>
      <c r="D1149" s="224">
        <v>0.20499999999999999</v>
      </c>
    </row>
    <row r="1150" spans="2:4" x14ac:dyDescent="0.25">
      <c r="B1150" s="223">
        <v>42699</v>
      </c>
      <c r="C1150" s="46">
        <v>0.41499999999999998</v>
      </c>
      <c r="D1150" s="224">
        <v>0.24099999999999999</v>
      </c>
    </row>
    <row r="1151" spans="2:4" x14ac:dyDescent="0.25">
      <c r="B1151" s="223">
        <v>42698</v>
      </c>
      <c r="C1151" s="46">
        <v>0.41599999999999998</v>
      </c>
      <c r="D1151" s="224">
        <v>0.25900000000000001</v>
      </c>
    </row>
    <row r="1152" spans="2:4" x14ac:dyDescent="0.25">
      <c r="B1152" s="223">
        <v>42697</v>
      </c>
      <c r="C1152" s="46">
        <v>0.43099999999999999</v>
      </c>
      <c r="D1152" s="224">
        <v>0.26300000000000001</v>
      </c>
    </row>
    <row r="1153" spans="2:4" x14ac:dyDescent="0.25">
      <c r="B1153" s="223">
        <v>42696</v>
      </c>
      <c r="C1153" s="46">
        <v>0.38400000000000001</v>
      </c>
      <c r="D1153" s="224">
        <v>0.221</v>
      </c>
    </row>
    <row r="1154" spans="2:4" x14ac:dyDescent="0.25">
      <c r="B1154" s="223">
        <v>42695</v>
      </c>
      <c r="C1154" s="46">
        <v>0.435</v>
      </c>
      <c r="D1154" s="224">
        <v>0.27400000000000002</v>
      </c>
    </row>
    <row r="1155" spans="2:4" x14ac:dyDescent="0.25">
      <c r="B1155" s="223">
        <v>42692</v>
      </c>
      <c r="C1155" s="46">
        <v>0.44900000000000001</v>
      </c>
      <c r="D1155" s="224">
        <v>0.27200000000000002</v>
      </c>
    </row>
    <row r="1156" spans="2:4" x14ac:dyDescent="0.25">
      <c r="B1156" s="223">
        <v>42691</v>
      </c>
      <c r="C1156" s="46">
        <v>0.434</v>
      </c>
      <c r="D1156" s="224">
        <v>0.27800000000000002</v>
      </c>
    </row>
    <row r="1157" spans="2:4" x14ac:dyDescent="0.25">
      <c r="B1157" s="223">
        <v>42690</v>
      </c>
      <c r="C1157" s="46">
        <v>0.45</v>
      </c>
      <c r="D1157" s="224">
        <v>0.29799999999999999</v>
      </c>
    </row>
    <row r="1158" spans="2:4" x14ac:dyDescent="0.25">
      <c r="B1158" s="223">
        <v>42689</v>
      </c>
      <c r="C1158" s="46">
        <v>0.45700000000000002</v>
      </c>
      <c r="D1158" s="224">
        <v>0.308</v>
      </c>
    </row>
    <row r="1159" spans="2:4" x14ac:dyDescent="0.25">
      <c r="B1159" s="223">
        <v>42688</v>
      </c>
      <c r="C1159" s="46">
        <v>0.50800000000000001</v>
      </c>
      <c r="D1159" s="224">
        <v>0.31900000000000001</v>
      </c>
    </row>
    <row r="1160" spans="2:4" x14ac:dyDescent="0.25">
      <c r="B1160" s="223">
        <v>42685</v>
      </c>
      <c r="C1160" s="46">
        <v>0.48599999999999999</v>
      </c>
      <c r="D1160" s="224">
        <v>0.309</v>
      </c>
    </row>
    <row r="1161" spans="2:4" x14ac:dyDescent="0.25">
      <c r="B1161" s="223">
        <v>42684</v>
      </c>
      <c r="C1161" s="46">
        <v>0.438</v>
      </c>
      <c r="D1161" s="224">
        <v>0.27500000000000002</v>
      </c>
    </row>
    <row r="1162" spans="2:4" x14ac:dyDescent="0.25">
      <c r="B1162" s="223">
        <v>42683</v>
      </c>
      <c r="C1162" s="46">
        <v>0.32600000000000001</v>
      </c>
      <c r="D1162" s="224">
        <v>0.20399999999999999</v>
      </c>
    </row>
    <row r="1163" spans="2:4" x14ac:dyDescent="0.25">
      <c r="B1163" s="223">
        <v>42682</v>
      </c>
      <c r="C1163" s="46">
        <v>0.29499999999999998</v>
      </c>
      <c r="D1163" s="224">
        <v>0.188</v>
      </c>
    </row>
    <row r="1164" spans="2:4" x14ac:dyDescent="0.25">
      <c r="B1164" s="223">
        <v>42681</v>
      </c>
      <c r="C1164" s="46">
        <v>0.26500000000000001</v>
      </c>
      <c r="D1164" s="224">
        <v>0.155</v>
      </c>
    </row>
    <row r="1165" spans="2:4" x14ac:dyDescent="0.25">
      <c r="B1165" s="223">
        <v>42678</v>
      </c>
      <c r="C1165" s="46">
        <v>0.26</v>
      </c>
      <c r="D1165" s="224">
        <v>0.13500000000000001</v>
      </c>
    </row>
    <row r="1166" spans="2:4" x14ac:dyDescent="0.25">
      <c r="B1166" s="223">
        <v>42677</v>
      </c>
      <c r="C1166" s="46">
        <v>0.27900000000000003</v>
      </c>
      <c r="D1166" s="224">
        <v>0.159</v>
      </c>
    </row>
    <row r="1167" spans="2:4" x14ac:dyDescent="0.25">
      <c r="B1167" s="223">
        <v>42676</v>
      </c>
      <c r="C1167" s="46">
        <v>0.25</v>
      </c>
      <c r="D1167" s="224">
        <v>0.13100000000000001</v>
      </c>
    </row>
    <row r="1168" spans="2:4" x14ac:dyDescent="0.25">
      <c r="B1168" s="223">
        <v>42675</v>
      </c>
      <c r="C1168" s="46">
        <v>0.29699999999999999</v>
      </c>
      <c r="D1168" s="224">
        <v>0.18</v>
      </c>
    </row>
    <row r="1169" spans="2:4" x14ac:dyDescent="0.25">
      <c r="B1169" s="223">
        <v>42674</v>
      </c>
      <c r="C1169" s="46">
        <v>0.28100000000000003</v>
      </c>
      <c r="D1169" s="224">
        <v>0.16300000000000001</v>
      </c>
    </row>
    <row r="1170" spans="2:4" x14ac:dyDescent="0.25">
      <c r="B1170" s="223">
        <v>42671</v>
      </c>
      <c r="C1170" s="46">
        <v>0.27300000000000002</v>
      </c>
      <c r="D1170" s="224">
        <v>0.16800000000000001</v>
      </c>
    </row>
    <row r="1171" spans="2:4" x14ac:dyDescent="0.25">
      <c r="B1171" s="223">
        <v>42670</v>
      </c>
      <c r="C1171" s="46">
        <v>0.27500000000000002</v>
      </c>
      <c r="D1171" s="224">
        <v>0.17</v>
      </c>
    </row>
    <row r="1172" spans="2:4" x14ac:dyDescent="0.25">
      <c r="B1172" s="223">
        <v>42669</v>
      </c>
      <c r="C1172" s="46">
        <v>0.193</v>
      </c>
      <c r="D1172" s="224">
        <v>8.5000000000000006E-2</v>
      </c>
    </row>
    <row r="1173" spans="2:4" x14ac:dyDescent="0.25">
      <c r="B1173" s="223">
        <v>42668</v>
      </c>
      <c r="C1173" s="46">
        <v>0.13200000000000001</v>
      </c>
      <c r="D1173" s="224">
        <v>3.1E-2</v>
      </c>
    </row>
    <row r="1174" spans="2:4" x14ac:dyDescent="0.25">
      <c r="B1174" s="223">
        <v>42667</v>
      </c>
      <c r="C1174" s="46">
        <v>0.13</v>
      </c>
      <c r="D1174" s="224">
        <v>2.7E-2</v>
      </c>
    </row>
    <row r="1175" spans="2:4" x14ac:dyDescent="0.25">
      <c r="B1175" s="223">
        <v>42664</v>
      </c>
      <c r="C1175" s="46">
        <v>0.114</v>
      </c>
      <c r="D1175" s="224">
        <v>4.0000000000000001E-3</v>
      </c>
    </row>
    <row r="1176" spans="2:4" x14ac:dyDescent="0.25">
      <c r="B1176" s="223">
        <v>42663</v>
      </c>
      <c r="C1176" s="46">
        <v>0.111</v>
      </c>
      <c r="D1176" s="224">
        <v>0</v>
      </c>
    </row>
    <row r="1177" spans="2:4" x14ac:dyDescent="0.25">
      <c r="B1177" s="223">
        <v>42662</v>
      </c>
      <c r="C1177" s="46">
        <v>0.13200000000000001</v>
      </c>
      <c r="D1177" s="224">
        <v>3.1E-2</v>
      </c>
    </row>
    <row r="1178" spans="2:4" x14ac:dyDescent="0.25">
      <c r="B1178" s="223">
        <v>42661</v>
      </c>
      <c r="C1178" s="46">
        <v>0.14599999999999999</v>
      </c>
      <c r="D1178" s="224">
        <v>3.6999999999999998E-2</v>
      </c>
    </row>
    <row r="1179" spans="2:4" x14ac:dyDescent="0.25">
      <c r="B1179" s="223">
        <v>42660</v>
      </c>
      <c r="C1179" s="46">
        <v>0.16400000000000001</v>
      </c>
      <c r="D1179" s="224">
        <v>5.6000000000000001E-2</v>
      </c>
    </row>
    <row r="1180" spans="2:4" x14ac:dyDescent="0.25">
      <c r="B1180" s="223">
        <v>42658</v>
      </c>
      <c r="C1180" s="46">
        <v>0.16700000000000001</v>
      </c>
      <c r="D1180" s="224">
        <v>6.9000000000000006E-2</v>
      </c>
    </row>
    <row r="1181" spans="2:4" x14ac:dyDescent="0.25">
      <c r="B1181" s="223">
        <v>42657</v>
      </c>
      <c r="C1181" s="46">
        <v>0.16200000000000001</v>
      </c>
      <c r="D1181" s="224">
        <v>5.8999999999999997E-2</v>
      </c>
    </row>
    <row r="1182" spans="2:4" x14ac:dyDescent="0.25">
      <c r="B1182" s="223">
        <v>42656</v>
      </c>
      <c r="C1182" s="46">
        <v>0.158</v>
      </c>
      <c r="D1182" s="224">
        <v>0.04</v>
      </c>
    </row>
    <row r="1183" spans="2:4" x14ac:dyDescent="0.25">
      <c r="B1183" s="223">
        <v>42655</v>
      </c>
      <c r="C1183" s="46">
        <v>0.189</v>
      </c>
      <c r="D1183" s="224">
        <v>6.8000000000000005E-2</v>
      </c>
    </row>
    <row r="1184" spans="2:4" x14ac:dyDescent="0.25">
      <c r="B1184" s="223">
        <v>42654</v>
      </c>
      <c r="C1184" s="46">
        <v>0.14199999999999999</v>
      </c>
      <c r="D1184" s="224">
        <v>2.5000000000000001E-2</v>
      </c>
    </row>
    <row r="1185" spans="2:4" x14ac:dyDescent="0.25">
      <c r="B1185" s="223">
        <v>42653</v>
      </c>
      <c r="C1185" s="46">
        <v>0.17499999999999999</v>
      </c>
      <c r="D1185" s="224">
        <v>5.7000000000000002E-2</v>
      </c>
    </row>
    <row r="1186" spans="2:4" x14ac:dyDescent="0.25">
      <c r="B1186" s="223">
        <v>42650</v>
      </c>
      <c r="C1186" s="46">
        <v>0.14599999999999999</v>
      </c>
      <c r="D1186" s="224">
        <v>2.1000000000000001E-2</v>
      </c>
    </row>
    <row r="1187" spans="2:4" x14ac:dyDescent="0.25">
      <c r="B1187" s="223">
        <v>42649</v>
      </c>
      <c r="C1187" s="46">
        <v>0.11700000000000001</v>
      </c>
      <c r="D1187" s="224">
        <v>-1.7000000000000001E-2</v>
      </c>
    </row>
    <row r="1188" spans="2:4" x14ac:dyDescent="0.25">
      <c r="B1188" s="223">
        <v>42648</v>
      </c>
      <c r="C1188" s="46">
        <v>0.127</v>
      </c>
      <c r="D1188" s="224">
        <v>-3.0000000000000001E-3</v>
      </c>
    </row>
    <row r="1189" spans="2:4" x14ac:dyDescent="0.25">
      <c r="B1189" s="223">
        <v>42647</v>
      </c>
      <c r="C1189" s="46">
        <v>4.2000000000000003E-2</v>
      </c>
      <c r="D1189" s="224">
        <v>-5.2999999999999999E-2</v>
      </c>
    </row>
    <row r="1190" spans="2:4" x14ac:dyDescent="0.25">
      <c r="B1190" s="223">
        <v>42646</v>
      </c>
      <c r="C1190" s="46">
        <v>3.5999999999999997E-2</v>
      </c>
      <c r="D1190" s="224">
        <v>-9.4E-2</v>
      </c>
    </row>
    <row r="1191" spans="2:4" x14ac:dyDescent="0.25">
      <c r="B1191" s="223">
        <v>42643</v>
      </c>
      <c r="C1191" s="46">
        <v>5.0000000000000001E-3</v>
      </c>
      <c r="D1191" s="224">
        <v>-0.12</v>
      </c>
    </row>
    <row r="1192" spans="2:4" x14ac:dyDescent="0.25">
      <c r="B1192" s="223">
        <v>42642</v>
      </c>
      <c r="C1192" s="46">
        <v>5.0000000000000001E-3</v>
      </c>
      <c r="D1192" s="224">
        <v>-0.11700000000000001</v>
      </c>
    </row>
    <row r="1193" spans="2:4" x14ac:dyDescent="0.25">
      <c r="B1193" s="223">
        <v>42641</v>
      </c>
      <c r="C1193" s="46">
        <v>-2.8000000000000001E-2</v>
      </c>
      <c r="D1193" s="224">
        <v>-0.14499999999999999</v>
      </c>
    </row>
    <row r="1194" spans="2:4" x14ac:dyDescent="0.25">
      <c r="B1194" s="223">
        <v>42640</v>
      </c>
      <c r="C1194" s="46">
        <v>-2.4E-2</v>
      </c>
      <c r="D1194" s="224">
        <v>-0.13800000000000001</v>
      </c>
    </row>
    <row r="1195" spans="2:4" x14ac:dyDescent="0.25">
      <c r="B1195" s="223">
        <v>42639</v>
      </c>
      <c r="C1195" s="46">
        <v>-1E-3</v>
      </c>
      <c r="D1195" s="224">
        <v>-0.115</v>
      </c>
    </row>
    <row r="1196" spans="2:4" x14ac:dyDescent="0.25">
      <c r="B1196" s="223">
        <v>42638</v>
      </c>
      <c r="C1196" s="46">
        <v>3.3000000000000002E-2</v>
      </c>
      <c r="D1196" s="224">
        <v>-8.5000000000000006E-2</v>
      </c>
    </row>
    <row r="1197" spans="2:4" x14ac:dyDescent="0.25">
      <c r="B1197" s="223">
        <v>42637</v>
      </c>
      <c r="C1197" s="46">
        <v>3.3000000000000002E-2</v>
      </c>
      <c r="D1197" s="224">
        <v>-8.5000000000000006E-2</v>
      </c>
    </row>
    <row r="1198" spans="2:4" x14ac:dyDescent="0.25">
      <c r="B1198" s="223">
        <v>42636</v>
      </c>
      <c r="C1198" s="46">
        <v>3.5999999999999997E-2</v>
      </c>
      <c r="D1198" s="224">
        <v>-8.1000000000000003E-2</v>
      </c>
    </row>
    <row r="1199" spans="2:4" x14ac:dyDescent="0.25">
      <c r="B1199" s="223">
        <v>42635</v>
      </c>
      <c r="C1199" s="46">
        <v>1.6E-2</v>
      </c>
      <c r="D1199" s="224">
        <v>-9.5000000000000001E-2</v>
      </c>
    </row>
    <row r="1200" spans="2:4" x14ac:dyDescent="0.25">
      <c r="B1200" s="223">
        <v>42634</v>
      </c>
      <c r="C1200" s="46">
        <v>0.113</v>
      </c>
      <c r="D1200" s="224">
        <v>3.0000000000000001E-3</v>
      </c>
    </row>
    <row r="1201" spans="2:4" x14ac:dyDescent="0.25">
      <c r="B1201" s="223">
        <v>42633</v>
      </c>
      <c r="C1201" s="46">
        <v>9.1999999999999998E-2</v>
      </c>
      <c r="D1201" s="224">
        <v>-1.7000000000000001E-2</v>
      </c>
    </row>
    <row r="1202" spans="2:4" x14ac:dyDescent="0.25">
      <c r="B1202" s="223">
        <v>42632</v>
      </c>
      <c r="C1202" s="46">
        <v>0.125</v>
      </c>
      <c r="D1202" s="224">
        <v>1.7999999999999999E-2</v>
      </c>
    </row>
    <row r="1203" spans="2:4" x14ac:dyDescent="0.25">
      <c r="B1203" s="223">
        <v>42630</v>
      </c>
      <c r="C1203" s="46">
        <v>0.11700000000000001</v>
      </c>
      <c r="D1203" s="224">
        <v>2E-3</v>
      </c>
    </row>
    <row r="1204" spans="2:4" x14ac:dyDescent="0.25">
      <c r="B1204" s="223">
        <v>42629</v>
      </c>
      <c r="C1204" s="46">
        <v>0.113</v>
      </c>
      <c r="D1204" s="224">
        <v>7.0000000000000001E-3</v>
      </c>
    </row>
    <row r="1205" spans="2:4" x14ac:dyDescent="0.25">
      <c r="B1205" s="223">
        <v>42628</v>
      </c>
      <c r="C1205" s="46">
        <v>0.13700000000000001</v>
      </c>
      <c r="D1205" s="224">
        <v>3.4000000000000002E-2</v>
      </c>
    </row>
    <row r="1206" spans="2:4" x14ac:dyDescent="0.25">
      <c r="B1206" s="223">
        <v>42627</v>
      </c>
      <c r="C1206" s="46">
        <v>0.12</v>
      </c>
      <c r="D1206" s="224">
        <v>2.1999999999999999E-2</v>
      </c>
    </row>
    <row r="1207" spans="2:4" x14ac:dyDescent="0.25">
      <c r="B1207" s="223">
        <v>42626</v>
      </c>
      <c r="C1207" s="46">
        <v>0.153</v>
      </c>
      <c r="D1207" s="224">
        <v>7.1999999999999995E-2</v>
      </c>
    </row>
    <row r="1208" spans="2:4" x14ac:dyDescent="0.25">
      <c r="B1208" s="223">
        <v>42625</v>
      </c>
      <c r="C1208" s="46">
        <v>0.13900000000000001</v>
      </c>
      <c r="D1208" s="224">
        <v>3.6999999999999998E-2</v>
      </c>
    </row>
    <row r="1209" spans="2:4" x14ac:dyDescent="0.25">
      <c r="B1209" s="223">
        <v>42622</v>
      </c>
      <c r="C1209" s="46">
        <v>0.11700000000000001</v>
      </c>
      <c r="D1209" s="224">
        <v>1.2E-2</v>
      </c>
    </row>
    <row r="1210" spans="2:4" x14ac:dyDescent="0.25">
      <c r="B1210" s="223">
        <v>42621</v>
      </c>
      <c r="C1210" s="46">
        <v>5.2999999999999999E-2</v>
      </c>
      <c r="D1210" s="224">
        <v>-6.2E-2</v>
      </c>
    </row>
    <row r="1211" spans="2:4" x14ac:dyDescent="0.25">
      <c r="B1211" s="223">
        <v>42620</v>
      </c>
      <c r="C1211" s="46">
        <v>-1.2E-2</v>
      </c>
      <c r="D1211" s="224">
        <v>-0.11600000000000001</v>
      </c>
    </row>
    <row r="1212" spans="2:4" x14ac:dyDescent="0.25">
      <c r="B1212" s="223">
        <v>42619</v>
      </c>
      <c r="C1212" s="46">
        <v>-4.0000000000000001E-3</v>
      </c>
      <c r="D1212" s="224">
        <v>-0.109</v>
      </c>
    </row>
    <row r="1213" spans="2:4" x14ac:dyDescent="0.25">
      <c r="B1213" s="223">
        <v>42618</v>
      </c>
      <c r="C1213" s="46">
        <v>5.8999999999999997E-2</v>
      </c>
      <c r="D1213" s="224">
        <v>-4.7E-2</v>
      </c>
    </row>
    <row r="1214" spans="2:4" x14ac:dyDescent="0.25">
      <c r="B1214" s="223">
        <v>42615</v>
      </c>
      <c r="C1214" s="46">
        <v>7.0999999999999994E-2</v>
      </c>
      <c r="D1214" s="224">
        <v>-4.2000000000000003E-2</v>
      </c>
    </row>
    <row r="1215" spans="2:4" x14ac:dyDescent="0.25">
      <c r="B1215" s="223">
        <v>42614</v>
      </c>
      <c r="C1215" s="46">
        <v>5.1999999999999998E-2</v>
      </c>
      <c r="D1215" s="224">
        <v>-6.6000000000000003E-2</v>
      </c>
    </row>
    <row r="1216" spans="2:4" x14ac:dyDescent="0.25">
      <c r="B1216" s="223">
        <v>42613</v>
      </c>
      <c r="C1216" s="46">
        <v>2.5999999999999999E-2</v>
      </c>
      <c r="D1216" s="224">
        <v>-6.5000000000000002E-2</v>
      </c>
    </row>
    <row r="1217" spans="2:4" x14ac:dyDescent="0.25">
      <c r="B1217" s="223">
        <v>42612</v>
      </c>
      <c r="C1217" s="46">
        <v>1.7000000000000001E-2</v>
      </c>
      <c r="D1217" s="224">
        <v>-9.0999999999999998E-2</v>
      </c>
    </row>
    <row r="1218" spans="2:4" x14ac:dyDescent="0.25">
      <c r="B1218" s="223">
        <v>42611</v>
      </c>
      <c r="C1218" s="46">
        <v>4.4999999999999998E-2</v>
      </c>
      <c r="D1218" s="224">
        <v>-8.1000000000000003E-2</v>
      </c>
    </row>
    <row r="1219" spans="2:4" x14ac:dyDescent="0.25">
      <c r="B1219" s="223">
        <v>42608</v>
      </c>
      <c r="C1219" s="46">
        <v>1.4E-2</v>
      </c>
      <c r="D1219" s="224">
        <v>-7.0999999999999994E-2</v>
      </c>
    </row>
    <row r="1220" spans="2:4" x14ac:dyDescent="0.25">
      <c r="B1220" s="223">
        <v>42607</v>
      </c>
      <c r="C1220" s="46">
        <v>0.03</v>
      </c>
      <c r="D1220" s="224">
        <v>-6.9000000000000006E-2</v>
      </c>
    </row>
    <row r="1221" spans="2:4" x14ac:dyDescent="0.25">
      <c r="B1221" s="223">
        <v>42606</v>
      </c>
      <c r="C1221" s="46">
        <v>2.7E-2</v>
      </c>
      <c r="D1221" s="224">
        <v>-8.8999999999999996E-2</v>
      </c>
    </row>
    <row r="1222" spans="2:4" x14ac:dyDescent="0.25">
      <c r="B1222" s="223">
        <v>42605</v>
      </c>
      <c r="C1222" s="46">
        <v>2.1999999999999999E-2</v>
      </c>
      <c r="D1222" s="224">
        <v>-9.2999999999999999E-2</v>
      </c>
    </row>
    <row r="1223" spans="2:4" x14ac:dyDescent="0.25">
      <c r="B1223" s="223">
        <v>42604</v>
      </c>
      <c r="C1223" s="46">
        <v>2.5999999999999999E-2</v>
      </c>
      <c r="D1223" s="224">
        <v>-8.7999999999999995E-2</v>
      </c>
    </row>
    <row r="1224" spans="2:4" x14ac:dyDescent="0.25">
      <c r="B1224" s="223">
        <v>42601</v>
      </c>
      <c r="C1224" s="46">
        <v>5.6000000000000001E-2</v>
      </c>
      <c r="D1224" s="224">
        <v>-3.4000000000000002E-2</v>
      </c>
    </row>
    <row r="1225" spans="2:4" x14ac:dyDescent="0.25">
      <c r="B1225" s="223">
        <v>42600</v>
      </c>
      <c r="C1225" s="46">
        <v>2.1000000000000001E-2</v>
      </c>
      <c r="D1225" s="224">
        <v>-8.2000000000000003E-2</v>
      </c>
    </row>
    <row r="1226" spans="2:4" x14ac:dyDescent="0.25">
      <c r="B1226" s="223">
        <v>42599</v>
      </c>
      <c r="C1226" s="46">
        <v>4.8000000000000001E-2</v>
      </c>
      <c r="D1226" s="224">
        <v>-4.9000000000000002E-2</v>
      </c>
    </row>
    <row r="1227" spans="2:4" x14ac:dyDescent="0.25">
      <c r="B1227" s="223">
        <v>42598</v>
      </c>
      <c r="C1227" s="46">
        <v>6.6000000000000003E-2</v>
      </c>
      <c r="D1227" s="224">
        <v>-2.9000000000000001E-2</v>
      </c>
    </row>
    <row r="1228" spans="2:4" x14ac:dyDescent="0.25">
      <c r="B1228" s="223">
        <v>42597</v>
      </c>
      <c r="C1228" s="46">
        <v>0.03</v>
      </c>
      <c r="D1228" s="224">
        <v>-7.2999999999999995E-2</v>
      </c>
    </row>
    <row r="1229" spans="2:4" x14ac:dyDescent="0.25">
      <c r="B1229" s="223">
        <v>42596</v>
      </c>
      <c r="C1229" s="46">
        <v>3.0000000000000001E-3</v>
      </c>
      <c r="D1229" s="224">
        <v>-9.6000000000000002E-2</v>
      </c>
    </row>
    <row r="1230" spans="2:4" x14ac:dyDescent="0.25">
      <c r="B1230" s="223">
        <v>42595</v>
      </c>
      <c r="C1230" s="46">
        <v>3.0000000000000001E-3</v>
      </c>
      <c r="D1230" s="224">
        <v>-9.6000000000000002E-2</v>
      </c>
    </row>
    <row r="1231" spans="2:4" x14ac:dyDescent="0.25">
      <c r="B1231" s="223">
        <v>42594</v>
      </c>
      <c r="C1231" s="46">
        <v>-8.0000000000000002E-3</v>
      </c>
      <c r="D1231" s="224">
        <v>-0.107</v>
      </c>
    </row>
    <row r="1232" spans="2:4" x14ac:dyDescent="0.25">
      <c r="B1232" s="223">
        <v>42593</v>
      </c>
      <c r="C1232" s="46">
        <v>1E-3</v>
      </c>
      <c r="D1232" s="224">
        <v>-9.1999999999999998E-2</v>
      </c>
    </row>
    <row r="1233" spans="2:4" x14ac:dyDescent="0.25">
      <c r="B1233" s="223">
        <v>42592</v>
      </c>
      <c r="C1233" s="46">
        <v>-1.2E-2</v>
      </c>
      <c r="D1233" s="224">
        <v>-0.108</v>
      </c>
    </row>
    <row r="1234" spans="2:4" x14ac:dyDescent="0.25">
      <c r="B1234" s="223">
        <v>42591</v>
      </c>
      <c r="C1234" s="46">
        <v>1.2999999999999999E-2</v>
      </c>
      <c r="D1234" s="224">
        <v>-7.5999999999999998E-2</v>
      </c>
    </row>
    <row r="1235" spans="2:4" x14ac:dyDescent="0.25">
      <c r="B1235" s="223">
        <v>42590</v>
      </c>
      <c r="C1235" s="46">
        <v>2.8000000000000001E-2</v>
      </c>
      <c r="D1235" s="224">
        <v>-6.6000000000000003E-2</v>
      </c>
    </row>
    <row r="1236" spans="2:4" x14ac:dyDescent="0.25">
      <c r="B1236" s="223">
        <v>42588</v>
      </c>
      <c r="C1236" s="46">
        <v>3.5000000000000003E-2</v>
      </c>
      <c r="D1236" s="224">
        <v>-0.06</v>
      </c>
    </row>
    <row r="1237" spans="2:4" x14ac:dyDescent="0.25">
      <c r="B1237" s="223">
        <v>42587</v>
      </c>
      <c r="C1237" s="46">
        <v>3.7999999999999999E-2</v>
      </c>
      <c r="D1237" s="224">
        <v>-6.7000000000000004E-2</v>
      </c>
    </row>
    <row r="1238" spans="2:4" x14ac:dyDescent="0.25">
      <c r="B1238" s="223">
        <v>42586</v>
      </c>
      <c r="C1238" s="46">
        <v>1.0999999999999999E-2</v>
      </c>
      <c r="D1238" s="224">
        <v>-9.4E-2</v>
      </c>
    </row>
    <row r="1239" spans="2:4" x14ac:dyDescent="0.25">
      <c r="B1239" s="223">
        <v>42585</v>
      </c>
      <c r="C1239" s="46">
        <v>6.5000000000000002E-2</v>
      </c>
      <c r="D1239" s="224">
        <v>-3.7999999999999999E-2</v>
      </c>
    </row>
    <row r="1240" spans="2:4" x14ac:dyDescent="0.25">
      <c r="B1240" s="223">
        <v>42584</v>
      </c>
      <c r="C1240" s="46">
        <v>5.2999999999999999E-2</v>
      </c>
      <c r="D1240" s="224">
        <v>-3.5000000000000003E-2</v>
      </c>
    </row>
    <row r="1241" spans="2:4" x14ac:dyDescent="0.25">
      <c r="B1241" s="223">
        <v>42583</v>
      </c>
      <c r="C1241" s="46">
        <v>-2E-3</v>
      </c>
      <c r="D1241" s="224">
        <v>-9.6000000000000002E-2</v>
      </c>
    </row>
    <row r="1242" spans="2:4" x14ac:dyDescent="0.25">
      <c r="B1242" s="223">
        <v>42580</v>
      </c>
      <c r="C1242" s="46">
        <v>-6.0000000000000001E-3</v>
      </c>
      <c r="D1242" s="224">
        <v>-0.12</v>
      </c>
    </row>
    <row r="1243" spans="2:4" x14ac:dyDescent="0.25">
      <c r="B1243" s="223">
        <v>42579</v>
      </c>
      <c r="C1243" s="46">
        <v>2.9000000000000001E-2</v>
      </c>
      <c r="D1243" s="224">
        <v>-0.09</v>
      </c>
    </row>
    <row r="1244" spans="2:4" x14ac:dyDescent="0.25">
      <c r="B1244" s="223">
        <v>42578</v>
      </c>
      <c r="C1244" s="46">
        <v>0.04</v>
      </c>
      <c r="D1244" s="224">
        <v>-7.8E-2</v>
      </c>
    </row>
    <row r="1245" spans="2:4" x14ac:dyDescent="0.25">
      <c r="B1245" s="223">
        <v>42577</v>
      </c>
      <c r="C1245" s="46">
        <v>9.1999999999999998E-2</v>
      </c>
      <c r="D1245" s="224">
        <v>-2.8000000000000001E-2</v>
      </c>
    </row>
    <row r="1246" spans="2:4" x14ac:dyDescent="0.25">
      <c r="B1246" s="223">
        <v>42576</v>
      </c>
      <c r="C1246" s="46">
        <v>7.5999999999999998E-2</v>
      </c>
      <c r="D1246" s="224">
        <v>-0.04</v>
      </c>
    </row>
    <row r="1247" spans="2:4" x14ac:dyDescent="0.25">
      <c r="B1247" s="223">
        <v>42573</v>
      </c>
      <c r="C1247" s="46">
        <v>9.9000000000000005E-2</v>
      </c>
      <c r="D1247" s="224">
        <v>-2.9000000000000001E-2</v>
      </c>
    </row>
    <row r="1248" spans="2:4" x14ac:dyDescent="0.25">
      <c r="B1248" s="223">
        <v>42572</v>
      </c>
      <c r="C1248" s="46">
        <v>0.105</v>
      </c>
      <c r="D1248" s="224">
        <v>-1.6E-2</v>
      </c>
    </row>
    <row r="1249" spans="2:4" x14ac:dyDescent="0.25">
      <c r="B1249" s="223">
        <v>42571</v>
      </c>
      <c r="C1249" s="46">
        <v>0.105</v>
      </c>
      <c r="D1249" s="224">
        <v>-0.01</v>
      </c>
    </row>
    <row r="1250" spans="2:4" x14ac:dyDescent="0.25">
      <c r="B1250" s="223">
        <v>42570</v>
      </c>
      <c r="C1250" s="46">
        <v>9.0999999999999998E-2</v>
      </c>
      <c r="D1250" s="224">
        <v>-2.5000000000000001E-2</v>
      </c>
    </row>
    <row r="1251" spans="2:4" x14ac:dyDescent="0.25">
      <c r="B1251" s="223">
        <v>42569</v>
      </c>
      <c r="C1251" s="46">
        <v>8.8999999999999996E-2</v>
      </c>
      <c r="D1251" s="224">
        <v>-1.4999999999999999E-2</v>
      </c>
    </row>
    <row r="1252" spans="2:4" x14ac:dyDescent="0.25">
      <c r="B1252" s="223">
        <v>42566</v>
      </c>
      <c r="C1252" s="46">
        <v>0.11799999999999999</v>
      </c>
      <c r="D1252" s="224">
        <v>7.0000000000000001E-3</v>
      </c>
    </row>
    <row r="1253" spans="2:4" x14ac:dyDescent="0.25">
      <c r="B1253" s="223">
        <v>42565</v>
      </c>
      <c r="C1253" s="46">
        <v>7.5999999999999998E-2</v>
      </c>
      <c r="D1253" s="224">
        <v>-0.129</v>
      </c>
    </row>
    <row r="1254" spans="2:4" x14ac:dyDescent="0.25">
      <c r="B1254" s="223">
        <v>42564</v>
      </c>
      <c r="C1254" s="46">
        <v>3.7999999999999999E-2</v>
      </c>
      <c r="D1254" s="224">
        <v>-0.14199999999999999</v>
      </c>
    </row>
    <row r="1255" spans="2:4" x14ac:dyDescent="0.25">
      <c r="B1255" s="223">
        <v>42563</v>
      </c>
      <c r="C1255" s="46">
        <v>7.4999999999999997E-2</v>
      </c>
      <c r="D1255" s="224">
        <v>-9.2999999999999999E-2</v>
      </c>
    </row>
    <row r="1256" spans="2:4" x14ac:dyDescent="0.25">
      <c r="B1256" s="223">
        <v>42562</v>
      </c>
      <c r="C1256" s="46">
        <v>2.5999999999999999E-2</v>
      </c>
      <c r="D1256" s="224">
        <v>-0.16700000000000001</v>
      </c>
    </row>
    <row r="1257" spans="2:4" x14ac:dyDescent="0.25">
      <c r="B1257" s="223">
        <v>42559</v>
      </c>
      <c r="C1257" s="46">
        <v>5.0000000000000001E-3</v>
      </c>
      <c r="D1257" s="224">
        <v>-0.184</v>
      </c>
    </row>
    <row r="1258" spans="2:4" x14ac:dyDescent="0.25">
      <c r="B1258" s="223">
        <v>42558</v>
      </c>
      <c r="C1258" s="46">
        <v>4.8000000000000001E-2</v>
      </c>
      <c r="D1258" s="224">
        <v>-0.16600000000000001</v>
      </c>
    </row>
    <row r="1259" spans="2:4" x14ac:dyDescent="0.25">
      <c r="B1259" s="223">
        <v>42557</v>
      </c>
      <c r="C1259" s="46">
        <v>3.4000000000000002E-2</v>
      </c>
      <c r="D1259" s="224">
        <v>-0.17899999999999999</v>
      </c>
    </row>
    <row r="1260" spans="2:4" x14ac:dyDescent="0.25">
      <c r="B1260" s="223">
        <v>42556</v>
      </c>
      <c r="C1260" s="46">
        <v>0.03</v>
      </c>
      <c r="D1260" s="224">
        <v>-0.18099999999999999</v>
      </c>
    </row>
    <row r="1261" spans="2:4" x14ac:dyDescent="0.25">
      <c r="B1261" s="223">
        <v>42555</v>
      </c>
      <c r="C1261" s="46">
        <v>7.1999999999999995E-2</v>
      </c>
      <c r="D1261" s="224">
        <v>-0.13500000000000001</v>
      </c>
    </row>
    <row r="1262" spans="2:4" x14ac:dyDescent="0.25">
      <c r="B1262" s="223">
        <v>42552</v>
      </c>
      <c r="C1262" s="46">
        <v>7.2999999999999995E-2</v>
      </c>
      <c r="D1262" s="224">
        <v>-0.13</v>
      </c>
    </row>
    <row r="1263" spans="2:4" x14ac:dyDescent="0.25">
      <c r="B1263" s="223">
        <v>42551</v>
      </c>
      <c r="C1263" s="46">
        <v>8.6999999999999994E-2</v>
      </c>
      <c r="D1263" s="224">
        <v>-0.127</v>
      </c>
    </row>
    <row r="1264" spans="2:4" x14ac:dyDescent="0.25">
      <c r="B1264" s="223">
        <v>42550</v>
      </c>
      <c r="C1264" s="46">
        <v>0.112</v>
      </c>
      <c r="D1264" s="224">
        <v>-0.126</v>
      </c>
    </row>
    <row r="1265" spans="2:4" x14ac:dyDescent="0.25">
      <c r="B1265" s="223">
        <v>42549</v>
      </c>
      <c r="C1265" s="46">
        <v>0.128</v>
      </c>
      <c r="D1265" s="224">
        <v>-0.11799999999999999</v>
      </c>
    </row>
    <row r="1266" spans="2:4" x14ac:dyDescent="0.25">
      <c r="B1266" s="223">
        <v>42548</v>
      </c>
      <c r="C1266" s="46">
        <v>0.154</v>
      </c>
      <c r="D1266" s="224">
        <v>-0.109</v>
      </c>
    </row>
    <row r="1267" spans="2:4" x14ac:dyDescent="0.25">
      <c r="B1267" s="223">
        <v>42545</v>
      </c>
      <c r="C1267" s="46">
        <v>0.20399999999999999</v>
      </c>
      <c r="D1267" s="224">
        <v>-5.1999999999999998E-2</v>
      </c>
    </row>
    <row r="1268" spans="2:4" x14ac:dyDescent="0.25">
      <c r="B1268" s="223">
        <v>42544</v>
      </c>
      <c r="C1268" s="46">
        <v>0.29699999999999999</v>
      </c>
      <c r="D1268" s="224">
        <v>9.9000000000000005E-2</v>
      </c>
    </row>
    <row r="1269" spans="2:4" x14ac:dyDescent="0.25">
      <c r="B1269" s="223">
        <v>42543</v>
      </c>
      <c r="C1269" s="46">
        <v>0.29299999999999998</v>
      </c>
      <c r="D1269" s="224">
        <v>5.8999999999999997E-2</v>
      </c>
    </row>
    <row r="1270" spans="2:4" x14ac:dyDescent="0.25">
      <c r="B1270" s="223">
        <v>42542</v>
      </c>
      <c r="C1270" s="46">
        <v>0.29199999999999998</v>
      </c>
      <c r="D1270" s="224">
        <v>4.7E-2</v>
      </c>
    </row>
    <row r="1271" spans="2:4" x14ac:dyDescent="0.25">
      <c r="B1271" s="223">
        <v>42541</v>
      </c>
      <c r="C1271" s="46">
        <v>0.29699999999999999</v>
      </c>
      <c r="D1271" s="224">
        <v>6.0999999999999999E-2</v>
      </c>
    </row>
    <row r="1272" spans="2:4" x14ac:dyDescent="0.25">
      <c r="B1272" s="223">
        <v>42538</v>
      </c>
      <c r="C1272" s="46">
        <v>0.27800000000000002</v>
      </c>
      <c r="D1272" s="224">
        <v>0.02</v>
      </c>
    </row>
    <row r="1273" spans="2:4" x14ac:dyDescent="0.25">
      <c r="B1273" s="223">
        <v>42537</v>
      </c>
      <c r="C1273" s="46">
        <v>0.246</v>
      </c>
      <c r="D1273" s="224">
        <v>-2.1999999999999999E-2</v>
      </c>
    </row>
    <row r="1274" spans="2:4" x14ac:dyDescent="0.25">
      <c r="B1274" s="223">
        <v>42536</v>
      </c>
      <c r="C1274" s="46">
        <v>0.24399999999999999</v>
      </c>
      <c r="D1274" s="224">
        <v>-1.4E-2</v>
      </c>
    </row>
    <row r="1275" spans="2:4" x14ac:dyDescent="0.25">
      <c r="B1275" s="223">
        <v>42535</v>
      </c>
      <c r="C1275" s="46">
        <v>0.252</v>
      </c>
      <c r="D1275" s="224">
        <v>-1E-3</v>
      </c>
    </row>
    <row r="1276" spans="2:4" x14ac:dyDescent="0.25">
      <c r="B1276" s="223">
        <v>42534</v>
      </c>
      <c r="C1276" s="46">
        <v>0.26800000000000002</v>
      </c>
      <c r="D1276" s="224">
        <v>0.03</v>
      </c>
    </row>
    <row r="1277" spans="2:4" x14ac:dyDescent="0.25">
      <c r="B1277" s="223">
        <v>42531</v>
      </c>
      <c r="C1277" s="46">
        <v>0.245</v>
      </c>
      <c r="D1277" s="224">
        <v>2.1000000000000001E-2</v>
      </c>
    </row>
    <row r="1278" spans="2:4" x14ac:dyDescent="0.25">
      <c r="B1278" s="223">
        <v>42530</v>
      </c>
      <c r="C1278" s="46">
        <v>0.249</v>
      </c>
      <c r="D1278" s="224">
        <v>3.6999999999999998E-2</v>
      </c>
    </row>
    <row r="1279" spans="2:4" x14ac:dyDescent="0.25">
      <c r="B1279" s="223">
        <v>42529</v>
      </c>
      <c r="C1279" s="46">
        <v>0.28000000000000003</v>
      </c>
      <c r="D1279" s="224">
        <v>0.06</v>
      </c>
    </row>
    <row r="1280" spans="2:4" x14ac:dyDescent="0.25">
      <c r="B1280" s="223">
        <v>42528</v>
      </c>
      <c r="C1280" s="46">
        <v>0.28199999999999997</v>
      </c>
      <c r="D1280" s="224">
        <v>5.5E-2</v>
      </c>
    </row>
    <row r="1281" spans="2:4" x14ac:dyDescent="0.25">
      <c r="B1281" s="223">
        <v>42527</v>
      </c>
      <c r="C1281" s="46">
        <v>0.308</v>
      </c>
      <c r="D1281" s="224">
        <v>8.5999999999999993E-2</v>
      </c>
    </row>
    <row r="1282" spans="2:4" x14ac:dyDescent="0.25">
      <c r="B1282" s="223">
        <v>42524</v>
      </c>
      <c r="C1282" s="46">
        <v>0.29099999999999998</v>
      </c>
      <c r="D1282" s="224">
        <v>7.3999999999999996E-2</v>
      </c>
    </row>
    <row r="1283" spans="2:4" x14ac:dyDescent="0.25">
      <c r="B1283" s="223">
        <v>42523</v>
      </c>
      <c r="C1283" s="46">
        <v>0.33600000000000002</v>
      </c>
      <c r="D1283" s="224">
        <v>0.112</v>
      </c>
    </row>
    <row r="1284" spans="2:4" x14ac:dyDescent="0.25">
      <c r="B1284" s="223">
        <v>42522</v>
      </c>
      <c r="C1284" s="46">
        <v>0.34699999999999998</v>
      </c>
      <c r="D1284" s="224">
        <v>0.13400000000000001</v>
      </c>
    </row>
    <row r="1285" spans="2:4" x14ac:dyDescent="0.25">
      <c r="B1285" s="223">
        <v>42521</v>
      </c>
      <c r="C1285" s="46">
        <v>0.35699999999999998</v>
      </c>
      <c r="D1285" s="224">
        <v>0.14699999999999999</v>
      </c>
    </row>
    <row r="1286" spans="2:4" x14ac:dyDescent="0.25">
      <c r="B1286" s="223">
        <v>42520</v>
      </c>
      <c r="C1286" s="46">
        <v>0.38700000000000001</v>
      </c>
      <c r="D1286" s="224">
        <v>0.16700000000000001</v>
      </c>
    </row>
    <row r="1287" spans="2:4" x14ac:dyDescent="0.25">
      <c r="B1287" s="223">
        <v>42517</v>
      </c>
      <c r="C1287" s="46">
        <v>0.35799999999999998</v>
      </c>
      <c r="D1287" s="224">
        <v>0.14299999999999999</v>
      </c>
    </row>
    <row r="1288" spans="2:4" x14ac:dyDescent="0.25">
      <c r="B1288" s="223">
        <v>42516</v>
      </c>
      <c r="C1288" s="46">
        <v>0.35699999999999998</v>
      </c>
      <c r="D1288" s="224">
        <v>0.14399999999999999</v>
      </c>
    </row>
    <row r="1289" spans="2:4" x14ac:dyDescent="0.25">
      <c r="B1289" s="223">
        <v>42515</v>
      </c>
      <c r="C1289" s="46">
        <v>0.35799999999999998</v>
      </c>
      <c r="D1289" s="224">
        <v>0.152</v>
      </c>
    </row>
    <row r="1290" spans="2:4" x14ac:dyDescent="0.25">
      <c r="B1290" s="223">
        <v>42514</v>
      </c>
      <c r="C1290" s="46">
        <v>0.38900000000000001</v>
      </c>
      <c r="D1290" s="224">
        <v>0.17599999999999999</v>
      </c>
    </row>
    <row r="1291" spans="2:4" x14ac:dyDescent="0.25">
      <c r="B1291" s="223">
        <v>42513</v>
      </c>
      <c r="C1291" s="46">
        <v>0.40100000000000002</v>
      </c>
      <c r="D1291" s="224">
        <v>0.183</v>
      </c>
    </row>
    <row r="1292" spans="2:4" x14ac:dyDescent="0.25">
      <c r="B1292" s="223">
        <v>42510</v>
      </c>
      <c r="C1292" s="46">
        <v>0.38700000000000001</v>
      </c>
      <c r="D1292" s="224">
        <v>0.17100000000000001</v>
      </c>
    </row>
    <row r="1293" spans="2:4" x14ac:dyDescent="0.25">
      <c r="B1293" s="223">
        <v>42509</v>
      </c>
      <c r="C1293" s="46">
        <v>0.39300000000000002</v>
      </c>
      <c r="D1293" s="224">
        <v>0.17399999999999999</v>
      </c>
    </row>
    <row r="1294" spans="2:4" x14ac:dyDescent="0.25">
      <c r="B1294" s="223">
        <v>42508</v>
      </c>
      <c r="C1294" s="46">
        <v>0.39100000000000001</v>
      </c>
      <c r="D1294" s="224">
        <v>0.16300000000000001</v>
      </c>
    </row>
    <row r="1295" spans="2:4" x14ac:dyDescent="0.25">
      <c r="B1295" s="223">
        <v>42507</v>
      </c>
      <c r="C1295" s="46">
        <v>0.35399999999999998</v>
      </c>
      <c r="D1295" s="224">
        <v>0.13200000000000001</v>
      </c>
    </row>
    <row r="1296" spans="2:4" x14ac:dyDescent="0.25">
      <c r="B1296" s="223">
        <v>42506</v>
      </c>
      <c r="C1296" s="46">
        <v>0.36799999999999999</v>
      </c>
      <c r="D1296" s="224">
        <v>0.14099999999999999</v>
      </c>
    </row>
    <row r="1297" spans="2:4" x14ac:dyDescent="0.25">
      <c r="B1297" s="223">
        <v>42503</v>
      </c>
      <c r="C1297" s="46">
        <v>0.35</v>
      </c>
      <c r="D1297" s="224">
        <v>0.129</v>
      </c>
    </row>
    <row r="1298" spans="2:4" x14ac:dyDescent="0.25">
      <c r="B1298" s="223">
        <v>42502</v>
      </c>
      <c r="C1298" s="46">
        <v>0.374</v>
      </c>
      <c r="D1298" s="224">
        <v>0.154</v>
      </c>
    </row>
    <row r="1299" spans="2:4" x14ac:dyDescent="0.25">
      <c r="B1299" s="223">
        <v>42501</v>
      </c>
      <c r="C1299" s="46">
        <v>0.34</v>
      </c>
      <c r="D1299" s="224">
        <v>0.126</v>
      </c>
    </row>
    <row r="1300" spans="2:4" x14ac:dyDescent="0.25">
      <c r="B1300" s="223">
        <v>42500</v>
      </c>
      <c r="C1300" s="46">
        <v>0.34300000000000003</v>
      </c>
      <c r="D1300" s="224">
        <v>0.121</v>
      </c>
    </row>
    <row r="1301" spans="2:4" x14ac:dyDescent="0.25">
      <c r="B1301" s="223">
        <v>42499</v>
      </c>
      <c r="C1301" s="46">
        <v>0.35899999999999999</v>
      </c>
      <c r="D1301" s="224">
        <v>0.13100000000000001</v>
      </c>
    </row>
    <row r="1302" spans="2:4" x14ac:dyDescent="0.25">
      <c r="B1302" s="223">
        <v>42496</v>
      </c>
      <c r="C1302" s="46">
        <v>0.38700000000000001</v>
      </c>
      <c r="D1302" s="224">
        <v>0.14599999999999999</v>
      </c>
    </row>
    <row r="1303" spans="2:4" x14ac:dyDescent="0.25">
      <c r="B1303" s="223">
        <v>42495</v>
      </c>
      <c r="C1303" s="46">
        <v>0.41699999999999998</v>
      </c>
      <c r="D1303" s="224">
        <v>0.16300000000000001</v>
      </c>
    </row>
    <row r="1304" spans="2:4" x14ac:dyDescent="0.25">
      <c r="B1304" s="223">
        <v>42494</v>
      </c>
      <c r="C1304" s="46">
        <v>0.438</v>
      </c>
      <c r="D1304" s="224">
        <v>0.20399999999999999</v>
      </c>
    </row>
    <row r="1305" spans="2:4" x14ac:dyDescent="0.25">
      <c r="B1305" s="223">
        <v>42493</v>
      </c>
      <c r="C1305" s="46">
        <v>0.439</v>
      </c>
      <c r="D1305" s="224">
        <v>0.19700000000000001</v>
      </c>
    </row>
    <row r="1306" spans="2:4" x14ac:dyDescent="0.25">
      <c r="B1306" s="223">
        <v>42492</v>
      </c>
      <c r="C1306" s="46">
        <v>0.501</v>
      </c>
      <c r="D1306" s="224">
        <v>0.27500000000000002</v>
      </c>
    </row>
    <row r="1307" spans="2:4" x14ac:dyDescent="0.25">
      <c r="B1307" s="223">
        <v>42489</v>
      </c>
      <c r="C1307" s="46">
        <v>0.52300000000000002</v>
      </c>
      <c r="D1307" s="224">
        <v>0.28199999999999997</v>
      </c>
    </row>
    <row r="1308" spans="2:4" x14ac:dyDescent="0.25">
      <c r="B1308" s="223">
        <v>42488</v>
      </c>
      <c r="C1308" s="46">
        <v>0.48199999999999998</v>
      </c>
      <c r="D1308" s="224">
        <v>0.249</v>
      </c>
    </row>
    <row r="1309" spans="2:4" x14ac:dyDescent="0.25">
      <c r="B1309" s="223">
        <v>42487</v>
      </c>
      <c r="C1309" s="46">
        <v>0.504</v>
      </c>
      <c r="D1309" s="224">
        <v>0.28999999999999998</v>
      </c>
    </row>
    <row r="1310" spans="2:4" x14ac:dyDescent="0.25">
      <c r="B1310" s="223">
        <v>42486</v>
      </c>
      <c r="C1310" s="46">
        <v>0.505</v>
      </c>
      <c r="D1310" s="224">
        <v>0.30199999999999999</v>
      </c>
    </row>
    <row r="1311" spans="2:4" x14ac:dyDescent="0.25">
      <c r="B1311" s="223">
        <v>42485</v>
      </c>
      <c r="C1311" s="46">
        <v>0.47399999999999998</v>
      </c>
      <c r="D1311" s="224">
        <v>0.26800000000000002</v>
      </c>
    </row>
    <row r="1312" spans="2:4" x14ac:dyDescent="0.25">
      <c r="B1312" s="223">
        <v>42482</v>
      </c>
      <c r="C1312" s="46">
        <v>0.44</v>
      </c>
      <c r="D1312" s="224">
        <v>0.23200000000000001</v>
      </c>
    </row>
    <row r="1313" spans="2:4" x14ac:dyDescent="0.25">
      <c r="B1313" s="223">
        <v>42481</v>
      </c>
      <c r="C1313" s="46">
        <v>0.433</v>
      </c>
      <c r="D1313" s="224">
        <v>0.23300000000000001</v>
      </c>
    </row>
    <row r="1314" spans="2:4" x14ac:dyDescent="0.25">
      <c r="B1314" s="223">
        <v>42480</v>
      </c>
      <c r="C1314" s="46">
        <v>0.36499999999999999</v>
      </c>
      <c r="D1314" s="224">
        <v>0.15</v>
      </c>
    </row>
    <row r="1315" spans="2:4" x14ac:dyDescent="0.25">
      <c r="B1315" s="223">
        <v>42479</v>
      </c>
      <c r="C1315" s="46">
        <v>0.39700000000000002</v>
      </c>
      <c r="D1315" s="224">
        <v>0.17799999999999999</v>
      </c>
    </row>
    <row r="1316" spans="2:4" x14ac:dyDescent="0.25">
      <c r="B1316" s="223">
        <v>42478</v>
      </c>
      <c r="C1316" s="46">
        <v>0.371</v>
      </c>
      <c r="D1316" s="224">
        <v>0.17</v>
      </c>
    </row>
    <row r="1317" spans="2:4" x14ac:dyDescent="0.25">
      <c r="B1317" s="223">
        <v>42475</v>
      </c>
      <c r="C1317" s="46">
        <v>0.34599999999999997</v>
      </c>
      <c r="D1317" s="224">
        <v>0.13300000000000001</v>
      </c>
    </row>
    <row r="1318" spans="2:4" x14ac:dyDescent="0.25">
      <c r="B1318" s="223">
        <v>42474</v>
      </c>
      <c r="C1318" s="46">
        <v>0.378</v>
      </c>
      <c r="D1318" s="224">
        <v>0.16300000000000001</v>
      </c>
    </row>
    <row r="1319" spans="2:4" x14ac:dyDescent="0.25">
      <c r="B1319" s="223">
        <v>42473</v>
      </c>
      <c r="C1319" s="46">
        <v>0.36</v>
      </c>
      <c r="D1319" s="224">
        <v>0.13700000000000001</v>
      </c>
    </row>
    <row r="1320" spans="2:4" x14ac:dyDescent="0.25">
      <c r="B1320" s="223">
        <v>42472</v>
      </c>
      <c r="C1320" s="46">
        <v>0.38400000000000001</v>
      </c>
      <c r="D1320" s="224">
        <v>0.16</v>
      </c>
    </row>
    <row r="1321" spans="2:4" x14ac:dyDescent="0.25">
      <c r="B1321" s="223">
        <v>42471</v>
      </c>
      <c r="C1321" s="46">
        <v>0.34599999999999997</v>
      </c>
      <c r="D1321" s="224">
        <v>0.11700000000000001</v>
      </c>
    </row>
    <row r="1322" spans="2:4" x14ac:dyDescent="0.25">
      <c r="B1322" s="223">
        <v>42468</v>
      </c>
      <c r="C1322" s="46">
        <v>0.31900000000000001</v>
      </c>
      <c r="D1322" s="224">
        <v>9.7000000000000003E-2</v>
      </c>
    </row>
    <row r="1323" spans="2:4" x14ac:dyDescent="0.25">
      <c r="B1323" s="223">
        <v>42467</v>
      </c>
      <c r="C1323" s="46">
        <v>0.19400000000000001</v>
      </c>
      <c r="D1323" s="224">
        <v>8.6999999999999994E-2</v>
      </c>
    </row>
    <row r="1324" spans="2:4" x14ac:dyDescent="0.25">
      <c r="B1324" s="223">
        <v>42466</v>
      </c>
      <c r="C1324" s="46">
        <v>0.20499999999999999</v>
      </c>
      <c r="D1324" s="224">
        <v>0.11600000000000001</v>
      </c>
    </row>
    <row r="1325" spans="2:4" x14ac:dyDescent="0.25">
      <c r="B1325" s="223">
        <v>42465</v>
      </c>
      <c r="C1325" s="46">
        <v>0.185</v>
      </c>
      <c r="D1325" s="224">
        <v>0.105</v>
      </c>
    </row>
    <row r="1326" spans="2:4" x14ac:dyDescent="0.25">
      <c r="B1326" s="223">
        <v>42464</v>
      </c>
      <c r="C1326" s="46">
        <v>0.218</v>
      </c>
      <c r="D1326" s="224">
        <v>0.128</v>
      </c>
    </row>
    <row r="1327" spans="2:4" x14ac:dyDescent="0.25">
      <c r="B1327" s="223">
        <v>42462</v>
      </c>
      <c r="C1327" s="46">
        <v>0.20899999999999999</v>
      </c>
      <c r="D1327" s="224"/>
    </row>
    <row r="1328" spans="2:4" x14ac:dyDescent="0.25">
      <c r="B1328" s="223">
        <v>42461</v>
      </c>
      <c r="C1328" s="46">
        <v>0.22</v>
      </c>
      <c r="D1328" s="224">
        <v>0.14499999999999999</v>
      </c>
    </row>
    <row r="1329" spans="2:4" x14ac:dyDescent="0.25">
      <c r="B1329" s="223">
        <v>42460</v>
      </c>
      <c r="C1329" s="46">
        <v>0.23499999999999999</v>
      </c>
      <c r="D1329" s="224">
        <v>0.156</v>
      </c>
    </row>
    <row r="1330" spans="2:4" x14ac:dyDescent="0.25">
      <c r="B1330" s="223">
        <v>42459</v>
      </c>
      <c r="C1330" s="46">
        <v>0.247</v>
      </c>
      <c r="D1330" s="224">
        <v>0.16400000000000001</v>
      </c>
    </row>
    <row r="1331" spans="2:4" x14ac:dyDescent="0.25">
      <c r="B1331" s="223">
        <v>42458</v>
      </c>
      <c r="C1331" s="46">
        <v>0.24099999999999999</v>
      </c>
      <c r="D1331" s="224">
        <v>0.14099999999999999</v>
      </c>
    </row>
    <row r="1332" spans="2:4" x14ac:dyDescent="0.25">
      <c r="B1332" s="223">
        <v>42457</v>
      </c>
      <c r="C1332" s="46">
        <v>0.27300000000000002</v>
      </c>
      <c r="D1332" s="224"/>
    </row>
    <row r="1333" spans="2:4" x14ac:dyDescent="0.25">
      <c r="B1333" s="223">
        <v>42454</v>
      </c>
      <c r="C1333" s="46">
        <v>0.27700000000000002</v>
      </c>
      <c r="D1333" s="224"/>
    </row>
    <row r="1334" spans="2:4" x14ac:dyDescent="0.25">
      <c r="B1334" s="223">
        <v>42453</v>
      </c>
      <c r="C1334" s="46">
        <v>0.27400000000000002</v>
      </c>
      <c r="D1334" s="224">
        <v>0.17899999999999999</v>
      </c>
    </row>
    <row r="1335" spans="2:4" x14ac:dyDescent="0.25">
      <c r="B1335" s="223">
        <v>42452</v>
      </c>
      <c r="C1335" s="46">
        <v>0.29499999999999998</v>
      </c>
      <c r="D1335" s="224">
        <v>0.19800000000000001</v>
      </c>
    </row>
    <row r="1336" spans="2:4" x14ac:dyDescent="0.25">
      <c r="B1336" s="223">
        <v>42451</v>
      </c>
      <c r="C1336" s="46">
        <v>0.30099999999999999</v>
      </c>
      <c r="D1336" s="224">
        <v>0.21</v>
      </c>
    </row>
    <row r="1337" spans="2:4" x14ac:dyDescent="0.25">
      <c r="B1337" s="223">
        <v>42450</v>
      </c>
      <c r="C1337" s="46">
        <v>0.316</v>
      </c>
      <c r="D1337" s="224">
        <v>0.23100000000000001</v>
      </c>
    </row>
    <row r="1338" spans="2:4" x14ac:dyDescent="0.25">
      <c r="B1338" s="223">
        <v>42449</v>
      </c>
      <c r="C1338" s="46">
        <v>0.308</v>
      </c>
      <c r="D1338" s="224"/>
    </row>
    <row r="1339" spans="2:4" x14ac:dyDescent="0.25">
      <c r="B1339" s="223">
        <v>42447</v>
      </c>
      <c r="C1339" s="46">
        <v>0.314</v>
      </c>
      <c r="D1339" s="224">
        <v>0.218</v>
      </c>
    </row>
    <row r="1340" spans="2:4" x14ac:dyDescent="0.25">
      <c r="B1340" s="223">
        <v>42446</v>
      </c>
      <c r="C1340" s="46">
        <v>0.33200000000000002</v>
      </c>
      <c r="D1340" s="224">
        <v>0.23300000000000001</v>
      </c>
    </row>
    <row r="1341" spans="2:4" x14ac:dyDescent="0.25">
      <c r="B1341" s="223">
        <v>42445</v>
      </c>
      <c r="C1341" s="46">
        <v>0.38400000000000001</v>
      </c>
      <c r="D1341" s="224">
        <v>0.31</v>
      </c>
    </row>
    <row r="1342" spans="2:4" x14ac:dyDescent="0.25">
      <c r="B1342" s="223">
        <v>42444</v>
      </c>
      <c r="C1342" s="46">
        <v>0.40100000000000002</v>
      </c>
      <c r="D1342" s="224">
        <v>0.316</v>
      </c>
    </row>
    <row r="1343" spans="2:4" x14ac:dyDescent="0.25">
      <c r="B1343" s="223">
        <v>42443</v>
      </c>
      <c r="C1343" s="46">
        <v>0.36399999999999999</v>
      </c>
      <c r="D1343" s="224">
        <v>0.28000000000000003</v>
      </c>
    </row>
    <row r="1344" spans="2:4" x14ac:dyDescent="0.25">
      <c r="B1344" s="223">
        <v>42440</v>
      </c>
      <c r="C1344" s="46">
        <v>0.36099999999999999</v>
      </c>
      <c r="D1344" s="224">
        <v>0.28000000000000003</v>
      </c>
    </row>
    <row r="1345" spans="2:4" x14ac:dyDescent="0.25">
      <c r="B1345" s="223">
        <v>42439</v>
      </c>
      <c r="C1345" s="46">
        <v>0.42699999999999999</v>
      </c>
      <c r="D1345" s="224">
        <v>0.29699999999999999</v>
      </c>
    </row>
    <row r="1346" spans="2:4" x14ac:dyDescent="0.25">
      <c r="B1346" s="223">
        <v>42438</v>
      </c>
      <c r="C1346" s="46">
        <v>0.35</v>
      </c>
      <c r="D1346" s="224">
        <v>0.23799999999999999</v>
      </c>
    </row>
    <row r="1347" spans="2:4" x14ac:dyDescent="0.25">
      <c r="B1347" s="223">
        <v>42437</v>
      </c>
      <c r="C1347" s="46">
        <v>0.29599999999999999</v>
      </c>
      <c r="D1347" s="224">
        <v>0.17899999999999999</v>
      </c>
    </row>
    <row r="1348" spans="2:4" x14ac:dyDescent="0.25">
      <c r="B1348" s="223">
        <v>42436</v>
      </c>
      <c r="C1348" s="46">
        <v>0.35099999999999998</v>
      </c>
      <c r="D1348" s="224">
        <v>0.218</v>
      </c>
    </row>
    <row r="1349" spans="2:4" x14ac:dyDescent="0.25">
      <c r="B1349" s="223">
        <v>42433</v>
      </c>
      <c r="C1349" s="46">
        <v>0.36699999999999999</v>
      </c>
      <c r="D1349" s="224">
        <v>0.23899999999999999</v>
      </c>
    </row>
    <row r="1350" spans="2:4" x14ac:dyDescent="0.25">
      <c r="B1350" s="223">
        <v>42432</v>
      </c>
      <c r="C1350" s="46">
        <v>0.33100000000000002</v>
      </c>
      <c r="D1350" s="224">
        <v>0.17100000000000001</v>
      </c>
    </row>
    <row r="1351" spans="2:4" x14ac:dyDescent="0.25">
      <c r="B1351" s="223">
        <v>42431</v>
      </c>
      <c r="C1351" s="46">
        <v>0.33700000000000002</v>
      </c>
      <c r="D1351" s="224">
        <v>0.21299999999999999</v>
      </c>
    </row>
    <row r="1352" spans="2:4" x14ac:dyDescent="0.25">
      <c r="B1352" s="223">
        <v>42430</v>
      </c>
      <c r="C1352" s="46">
        <v>0.28699999999999998</v>
      </c>
      <c r="D1352" s="224">
        <v>0.15</v>
      </c>
    </row>
    <row r="1353" spans="2:4" x14ac:dyDescent="0.25">
      <c r="B1353" s="223">
        <v>42429</v>
      </c>
      <c r="C1353" s="46">
        <v>0.247</v>
      </c>
      <c r="D1353" s="224">
        <v>0.108</v>
      </c>
    </row>
    <row r="1354" spans="2:4" x14ac:dyDescent="0.25">
      <c r="B1354" s="223">
        <v>42427</v>
      </c>
      <c r="C1354" s="46">
        <v>0.28799999999999998</v>
      </c>
      <c r="D1354" s="224">
        <v>0.14599999999999999</v>
      </c>
    </row>
    <row r="1355" spans="2:4" x14ac:dyDescent="0.25">
      <c r="B1355" s="223">
        <v>42426</v>
      </c>
      <c r="C1355" s="46">
        <v>0.29499999999999998</v>
      </c>
      <c r="D1355" s="224">
        <v>0.14599999999999999</v>
      </c>
    </row>
    <row r="1356" spans="2:4" x14ac:dyDescent="0.25">
      <c r="B1356" s="223">
        <v>42425</v>
      </c>
      <c r="C1356" s="46">
        <v>0.29299999999999998</v>
      </c>
      <c r="D1356" s="224">
        <v>0.13700000000000001</v>
      </c>
    </row>
    <row r="1357" spans="2:4" x14ac:dyDescent="0.25">
      <c r="B1357" s="223">
        <v>42424</v>
      </c>
      <c r="C1357" s="46">
        <v>0.30399999999999999</v>
      </c>
      <c r="D1357" s="224">
        <v>0.14899999999999999</v>
      </c>
    </row>
    <row r="1358" spans="2:4" x14ac:dyDescent="0.25">
      <c r="B1358" s="223">
        <v>42423</v>
      </c>
      <c r="C1358" s="46">
        <v>0.32100000000000001</v>
      </c>
      <c r="D1358" s="224">
        <v>0.185</v>
      </c>
    </row>
    <row r="1359" spans="2:4" x14ac:dyDescent="0.25">
      <c r="B1359" s="223">
        <v>42422</v>
      </c>
      <c r="C1359" s="46">
        <v>0.312</v>
      </c>
      <c r="D1359" s="224">
        <v>0.17899999999999999</v>
      </c>
    </row>
    <row r="1360" spans="2:4" x14ac:dyDescent="0.25">
      <c r="B1360" s="223">
        <v>42419</v>
      </c>
      <c r="C1360" s="46">
        <v>0.33300000000000002</v>
      </c>
      <c r="D1360" s="224">
        <v>0.20499999999999999</v>
      </c>
    </row>
    <row r="1361" spans="2:4" x14ac:dyDescent="0.25">
      <c r="B1361" s="223">
        <v>42418</v>
      </c>
      <c r="C1361" s="46">
        <v>0.35299999999999998</v>
      </c>
      <c r="D1361" s="224">
        <v>0.214</v>
      </c>
    </row>
    <row r="1362" spans="2:4" x14ac:dyDescent="0.25">
      <c r="B1362" s="223">
        <v>42417</v>
      </c>
      <c r="C1362" s="46">
        <v>0.41899999999999998</v>
      </c>
      <c r="D1362" s="224">
        <v>0.27500000000000002</v>
      </c>
    </row>
    <row r="1363" spans="2:4" x14ac:dyDescent="0.25">
      <c r="B1363" s="223">
        <v>42416</v>
      </c>
      <c r="C1363" s="46">
        <v>0.41399999999999998</v>
      </c>
      <c r="D1363" s="224">
        <v>0.26200000000000001</v>
      </c>
    </row>
    <row r="1364" spans="2:4" x14ac:dyDescent="0.25">
      <c r="B1364" s="223">
        <v>42415</v>
      </c>
      <c r="C1364" s="46">
        <v>0.38200000000000001</v>
      </c>
      <c r="D1364" s="224">
        <v>0.24</v>
      </c>
    </row>
    <row r="1365" spans="2:4" x14ac:dyDescent="0.25">
      <c r="B1365" s="223">
        <v>42414</v>
      </c>
      <c r="C1365" s="46">
        <v>0.42399999999999999</v>
      </c>
      <c r="D1365" s="224">
        <v>0.26400000000000001</v>
      </c>
    </row>
    <row r="1366" spans="2:4" x14ac:dyDescent="0.25">
      <c r="B1366" s="223">
        <v>42412</v>
      </c>
      <c r="C1366" s="46">
        <v>0.40699999999999997</v>
      </c>
      <c r="D1366" s="224">
        <v>0.26500000000000001</v>
      </c>
    </row>
    <row r="1367" spans="2:4" x14ac:dyDescent="0.25">
      <c r="B1367" s="223">
        <v>42411</v>
      </c>
      <c r="C1367" s="46">
        <v>0.34300000000000003</v>
      </c>
      <c r="D1367" s="224">
        <v>0.17699999999999999</v>
      </c>
    </row>
    <row r="1368" spans="2:4" x14ac:dyDescent="0.25">
      <c r="B1368" s="223">
        <v>42410</v>
      </c>
      <c r="C1368" s="46">
        <v>0.39500000000000002</v>
      </c>
      <c r="D1368" s="224">
        <v>0.25</v>
      </c>
    </row>
    <row r="1369" spans="2:4" x14ac:dyDescent="0.25">
      <c r="B1369" s="223">
        <v>42409</v>
      </c>
      <c r="C1369" s="46">
        <v>0.39900000000000002</v>
      </c>
      <c r="D1369" s="224">
        <v>0.23899999999999999</v>
      </c>
    </row>
    <row r="1370" spans="2:4" x14ac:dyDescent="0.25">
      <c r="B1370" s="223">
        <v>42408</v>
      </c>
      <c r="C1370" s="46">
        <v>0.38900000000000001</v>
      </c>
      <c r="D1370" s="224">
        <v>0.22500000000000001</v>
      </c>
    </row>
    <row r="1371" spans="2:4" x14ac:dyDescent="0.25">
      <c r="B1371" s="223">
        <v>42405</v>
      </c>
      <c r="C1371" s="46">
        <v>0.441</v>
      </c>
      <c r="D1371" s="224">
        <v>0.30099999999999999</v>
      </c>
    </row>
    <row r="1372" spans="2:4" x14ac:dyDescent="0.25">
      <c r="B1372" s="223">
        <v>42404</v>
      </c>
      <c r="C1372" s="46">
        <v>0.44400000000000001</v>
      </c>
      <c r="D1372" s="224">
        <v>0.308</v>
      </c>
    </row>
    <row r="1373" spans="2:4" x14ac:dyDescent="0.25">
      <c r="B1373" s="223">
        <v>42403</v>
      </c>
      <c r="C1373" s="46">
        <v>0.41599999999999998</v>
      </c>
      <c r="D1373" s="224">
        <v>0.27500000000000002</v>
      </c>
    </row>
    <row r="1374" spans="2:4" x14ac:dyDescent="0.25">
      <c r="B1374" s="223">
        <v>42402</v>
      </c>
      <c r="C1374" s="46">
        <v>0.437</v>
      </c>
      <c r="D1374" s="224">
        <v>0.314</v>
      </c>
    </row>
    <row r="1375" spans="2:4" x14ac:dyDescent="0.25">
      <c r="B1375" s="223">
        <v>42401</v>
      </c>
      <c r="C1375" s="46">
        <v>0.47199999999999998</v>
      </c>
      <c r="D1375" s="224">
        <v>0.36</v>
      </c>
    </row>
    <row r="1376" spans="2:4" x14ac:dyDescent="0.25">
      <c r="B1376" s="223">
        <v>42398</v>
      </c>
      <c r="C1376" s="46">
        <v>0.45</v>
      </c>
      <c r="D1376" s="224">
        <v>0.33400000000000002</v>
      </c>
    </row>
    <row r="1377" spans="2:4" x14ac:dyDescent="0.25">
      <c r="B1377" s="223">
        <v>42397</v>
      </c>
      <c r="C1377" s="46">
        <v>0.52500000000000002</v>
      </c>
      <c r="D1377" s="224">
        <v>0.40600000000000003</v>
      </c>
    </row>
    <row r="1378" spans="2:4" x14ac:dyDescent="0.25">
      <c r="B1378" s="223">
        <v>42396</v>
      </c>
      <c r="C1378" s="46">
        <v>0.56000000000000005</v>
      </c>
      <c r="D1378" s="224">
        <v>0.44500000000000001</v>
      </c>
    </row>
    <row r="1379" spans="2:4" x14ac:dyDescent="0.25">
      <c r="B1379" s="223">
        <v>42395</v>
      </c>
      <c r="C1379" s="46">
        <v>0.55700000000000005</v>
      </c>
      <c r="D1379" s="224">
        <v>0.443</v>
      </c>
    </row>
    <row r="1380" spans="2:4" x14ac:dyDescent="0.25">
      <c r="B1380" s="223">
        <v>42394</v>
      </c>
      <c r="C1380" s="46">
        <v>0.58399999999999996</v>
      </c>
      <c r="D1380" s="224">
        <v>0.47699999999999998</v>
      </c>
    </row>
    <row r="1381" spans="2:4" x14ac:dyDescent="0.25">
      <c r="B1381" s="223">
        <v>42393</v>
      </c>
      <c r="C1381" s="46">
        <v>0.60099999999999998</v>
      </c>
      <c r="D1381" s="224"/>
    </row>
    <row r="1382" spans="2:4" x14ac:dyDescent="0.25">
      <c r="B1382" s="223">
        <v>42391</v>
      </c>
      <c r="C1382" s="46">
        <v>0.60099999999999998</v>
      </c>
      <c r="D1382" s="224">
        <v>0.48499999999999999</v>
      </c>
    </row>
    <row r="1383" spans="2:4" x14ac:dyDescent="0.25">
      <c r="B1383" s="223">
        <v>42390</v>
      </c>
      <c r="C1383" s="46">
        <v>0.57499999999999996</v>
      </c>
      <c r="D1383" s="224">
        <v>0.45500000000000002</v>
      </c>
    </row>
    <row r="1384" spans="2:4" x14ac:dyDescent="0.25">
      <c r="B1384" s="223">
        <v>42389</v>
      </c>
      <c r="C1384" s="46">
        <v>0.61699999999999999</v>
      </c>
      <c r="D1384" s="224">
        <v>0.48699999999999999</v>
      </c>
    </row>
    <row r="1385" spans="2:4" x14ac:dyDescent="0.25">
      <c r="B1385" s="223">
        <v>42388</v>
      </c>
      <c r="C1385" s="46">
        <v>0.66700000000000004</v>
      </c>
      <c r="D1385" s="224">
        <v>0.48299999999999998</v>
      </c>
    </row>
    <row r="1386" spans="2:4" x14ac:dyDescent="0.25">
      <c r="B1386" s="223">
        <v>42387</v>
      </c>
      <c r="C1386" s="46">
        <v>0.66300000000000003</v>
      </c>
      <c r="D1386" s="224">
        <v>0.47</v>
      </c>
    </row>
    <row r="1387" spans="2:4" x14ac:dyDescent="0.25">
      <c r="B1387" s="223">
        <v>42386</v>
      </c>
      <c r="C1387" s="46">
        <v>0.66600000000000004</v>
      </c>
      <c r="D1387" s="224">
        <v>0.47199999999999998</v>
      </c>
    </row>
    <row r="1388" spans="2:4" x14ac:dyDescent="0.25">
      <c r="B1388" s="223">
        <v>42384</v>
      </c>
      <c r="C1388" s="46">
        <v>0.65400000000000003</v>
      </c>
      <c r="D1388" s="224">
        <v>0.47299999999999998</v>
      </c>
    </row>
    <row r="1389" spans="2:4" x14ac:dyDescent="0.25">
      <c r="B1389" s="223">
        <v>42383</v>
      </c>
      <c r="C1389" s="46">
        <v>0.7</v>
      </c>
      <c r="D1389" s="224">
        <v>0.50700000000000001</v>
      </c>
    </row>
    <row r="1390" spans="2:4" x14ac:dyDescent="0.25">
      <c r="B1390" s="223">
        <v>42382</v>
      </c>
      <c r="C1390" s="46">
        <v>0.70299999999999996</v>
      </c>
      <c r="D1390" s="224">
        <v>0.50900000000000001</v>
      </c>
    </row>
    <row r="1391" spans="2:4" x14ac:dyDescent="0.25">
      <c r="B1391" s="223">
        <v>42381</v>
      </c>
      <c r="C1391" s="46">
        <v>0.73199999999999998</v>
      </c>
      <c r="D1391" s="224">
        <v>0.53</v>
      </c>
    </row>
    <row r="1392" spans="2:4" x14ac:dyDescent="0.25">
      <c r="B1392" s="223">
        <v>42380</v>
      </c>
      <c r="C1392" s="46">
        <v>0.72099999999999997</v>
      </c>
      <c r="D1392" s="224">
        <v>0.54300000000000004</v>
      </c>
    </row>
    <row r="1393" spans="2:4" x14ac:dyDescent="0.25">
      <c r="B1393" s="223">
        <v>42379</v>
      </c>
      <c r="C1393" s="46">
        <v>0.68899999999999995</v>
      </c>
      <c r="D1393" s="224">
        <v>0.50700000000000001</v>
      </c>
    </row>
    <row r="1394" spans="2:4" x14ac:dyDescent="0.25">
      <c r="B1394" s="223">
        <v>42377</v>
      </c>
      <c r="C1394" s="46">
        <v>0.69899999999999995</v>
      </c>
      <c r="D1394" s="224">
        <v>0.50900000000000001</v>
      </c>
    </row>
    <row r="1395" spans="2:4" x14ac:dyDescent="0.25">
      <c r="B1395" s="223">
        <v>42376</v>
      </c>
      <c r="C1395" s="46">
        <v>0.74</v>
      </c>
      <c r="D1395" s="224">
        <v>0.54500000000000004</v>
      </c>
    </row>
    <row r="1396" spans="2:4" x14ac:dyDescent="0.25">
      <c r="B1396" s="223">
        <v>42375</v>
      </c>
      <c r="C1396" s="46">
        <v>0.69</v>
      </c>
      <c r="D1396" s="224">
        <v>0.51300000000000001</v>
      </c>
    </row>
    <row r="1397" spans="2:4" x14ac:dyDescent="0.25">
      <c r="B1397" s="223">
        <v>42374</v>
      </c>
      <c r="C1397" s="46">
        <v>0.73099999999999998</v>
      </c>
      <c r="D1397" s="224">
        <v>0.54800000000000004</v>
      </c>
    </row>
    <row r="1398" spans="2:4" x14ac:dyDescent="0.25">
      <c r="B1398" s="223">
        <v>42373</v>
      </c>
      <c r="C1398" s="46">
        <v>0.73399999999999999</v>
      </c>
      <c r="D1398" s="224">
        <v>0.56399999999999995</v>
      </c>
    </row>
    <row r="1399" spans="2:4" x14ac:dyDescent="0.25">
      <c r="B1399" s="223">
        <v>42372</v>
      </c>
      <c r="C1399" s="46">
        <v>0.79200000000000004</v>
      </c>
      <c r="D1399" s="224">
        <v>0.628</v>
      </c>
    </row>
    <row r="1400" spans="2:4" x14ac:dyDescent="0.25">
      <c r="B1400" s="225">
        <v>42370</v>
      </c>
      <c r="C1400" s="52">
        <v>0.79400000000000004</v>
      </c>
      <c r="D1400" s="226">
        <v>0.629</v>
      </c>
    </row>
    <row r="1416" spans="2:2" x14ac:dyDescent="0.25">
      <c r="B1416" s="168"/>
    </row>
  </sheetData>
  <sortState ref="R12:T277">
    <sortCondition ref="R12:R277"/>
  </sortState>
  <phoneticPr fontId="30" type="noConversion"/>
  <pageMargins left="0.7" right="0.7" top="0.75" bottom="0.75" header="0.3" footer="0.3"/>
  <pageSetup orientation="portrait" r:id="rId1"/>
  <ignoredErrors>
    <ignoredError sqref="W1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S84"/>
  <sheetViews>
    <sheetView workbookViewId="0">
      <selection activeCell="S49" sqref="S49:T49"/>
    </sheetView>
  </sheetViews>
  <sheetFormatPr defaultRowHeight="15" x14ac:dyDescent="0.25"/>
  <cols>
    <col min="2" max="2" width="35.42578125" customWidth="1"/>
    <col min="3" max="3" width="13.7109375" customWidth="1"/>
    <col min="4" max="4" width="14.28515625" customWidth="1"/>
    <col min="5" max="5" width="14.5703125" customWidth="1"/>
    <col min="6" max="7" width="13.7109375" customWidth="1"/>
    <col min="8" max="8" width="14.28515625" customWidth="1"/>
    <col min="9" max="9" width="12.5703125" customWidth="1"/>
    <col min="10" max="10" width="12.42578125" customWidth="1"/>
    <col min="11" max="11" width="14" customWidth="1"/>
    <col min="12" max="12" width="13.7109375" customWidth="1"/>
    <col min="13" max="13" width="14.28515625" customWidth="1"/>
    <col min="14" max="14" width="14.5703125" customWidth="1"/>
    <col min="15" max="16" width="13.7109375" customWidth="1"/>
    <col min="17" max="17" width="14.28515625" customWidth="1"/>
    <col min="18" max="18" width="13.5703125" customWidth="1"/>
    <col min="20" max="20" width="42.28515625" customWidth="1"/>
  </cols>
  <sheetData>
    <row r="2" spans="2:18" s="34" customFormat="1" ht="18" x14ac:dyDescent="0.25">
      <c r="B2" s="34" t="s">
        <v>377</v>
      </c>
    </row>
    <row r="4" spans="2:18" x14ac:dyDescent="0.25">
      <c r="B4" t="s">
        <v>38</v>
      </c>
    </row>
    <row r="5" spans="2:18" x14ac:dyDescent="0.25">
      <c r="B5" t="s">
        <v>106</v>
      </c>
    </row>
    <row r="6" spans="2:18" x14ac:dyDescent="0.25">
      <c r="B6" t="s">
        <v>368</v>
      </c>
    </row>
    <row r="8" spans="2:18" s="3" customFormat="1" ht="12.75" x14ac:dyDescent="0.25">
      <c r="C8" s="59"/>
      <c r="D8" s="59"/>
    </row>
    <row r="10" spans="2:18" x14ac:dyDescent="0.25">
      <c r="B10" s="419" t="s">
        <v>95</v>
      </c>
      <c r="C10" s="420"/>
      <c r="D10" s="420"/>
      <c r="E10" s="420"/>
      <c r="F10" s="420"/>
      <c r="G10" s="420"/>
      <c r="H10" s="420"/>
      <c r="I10" s="421"/>
      <c r="K10" s="419" t="s">
        <v>352</v>
      </c>
      <c r="L10" s="420"/>
      <c r="M10" s="420"/>
      <c r="N10" s="420"/>
      <c r="O10" s="420"/>
      <c r="P10" s="420"/>
      <c r="Q10" s="420"/>
      <c r="R10" s="421"/>
    </row>
    <row r="11" spans="2:18" x14ac:dyDescent="0.25">
      <c r="H11" s="47"/>
    </row>
    <row r="12" spans="2:18" x14ac:dyDescent="0.25">
      <c r="B12" s="53" t="s">
        <v>94</v>
      </c>
      <c r="C12" s="58">
        <v>2016</v>
      </c>
      <c r="D12" s="58">
        <v>2017</v>
      </c>
      <c r="E12" s="58">
        <v>2018</v>
      </c>
      <c r="F12" s="58">
        <v>2019</v>
      </c>
      <c r="G12" s="58">
        <v>2020</v>
      </c>
      <c r="H12" s="58">
        <v>2021</v>
      </c>
      <c r="K12" s="53"/>
      <c r="L12" s="40">
        <v>2016</v>
      </c>
      <c r="M12" s="41">
        <v>2017</v>
      </c>
      <c r="N12" s="41">
        <v>2018</v>
      </c>
      <c r="O12" s="41">
        <v>2019</v>
      </c>
      <c r="P12" s="41">
        <v>2020</v>
      </c>
      <c r="Q12" s="42">
        <v>2021</v>
      </c>
    </row>
    <row r="13" spans="2:18" ht="15" customHeight="1" x14ac:dyDescent="0.25">
      <c r="B13" s="49">
        <v>2007</v>
      </c>
      <c r="C13" s="64">
        <v>4.29</v>
      </c>
      <c r="D13" s="14"/>
      <c r="E13" s="14"/>
      <c r="F13" s="14"/>
      <c r="G13" s="14"/>
      <c r="H13" s="14"/>
      <c r="I13" s="422" t="s">
        <v>99</v>
      </c>
      <c r="K13" s="49">
        <v>2007</v>
      </c>
      <c r="L13" s="65">
        <v>4.29</v>
      </c>
      <c r="M13" s="14"/>
      <c r="N13" s="14"/>
      <c r="O13" s="14"/>
      <c r="P13" s="14"/>
      <c r="Q13" s="14"/>
      <c r="R13" s="422" t="s">
        <v>99</v>
      </c>
    </row>
    <row r="14" spans="2:18" x14ac:dyDescent="0.25">
      <c r="B14" s="50">
        <v>2008</v>
      </c>
      <c r="C14" s="67">
        <v>4.22</v>
      </c>
      <c r="D14" s="68">
        <v>4.22</v>
      </c>
      <c r="E14" s="14"/>
      <c r="F14" s="14"/>
      <c r="G14" s="14"/>
      <c r="H14" s="14"/>
      <c r="I14" s="423"/>
      <c r="K14" s="50">
        <v>2008</v>
      </c>
      <c r="L14" s="68">
        <v>4.22</v>
      </c>
      <c r="M14" s="68">
        <v>4.22</v>
      </c>
      <c r="N14" s="14"/>
      <c r="O14" s="14"/>
      <c r="P14" s="14"/>
      <c r="Q14" s="14"/>
      <c r="R14" s="423"/>
    </row>
    <row r="15" spans="2:18" x14ac:dyDescent="0.25">
      <c r="B15" s="50">
        <v>2009</v>
      </c>
      <c r="C15" s="67">
        <v>3.65</v>
      </c>
      <c r="D15" s="68">
        <v>3.65</v>
      </c>
      <c r="E15" s="68">
        <v>3.65</v>
      </c>
      <c r="F15" s="14"/>
      <c r="G15" s="14"/>
      <c r="H15" s="14"/>
      <c r="I15" s="423"/>
      <c r="K15" s="50">
        <v>2009</v>
      </c>
      <c r="L15" s="68">
        <v>3.65</v>
      </c>
      <c r="M15" s="68">
        <v>3.65</v>
      </c>
      <c r="N15" s="68">
        <v>3.65</v>
      </c>
      <c r="O15" s="14"/>
      <c r="P15" s="14"/>
      <c r="Q15" s="14"/>
      <c r="R15" s="423"/>
    </row>
    <row r="16" spans="2:18" x14ac:dyDescent="0.25">
      <c r="B16" s="50">
        <v>2010</v>
      </c>
      <c r="C16" s="67">
        <v>2.99</v>
      </c>
      <c r="D16" s="68">
        <v>2.99</v>
      </c>
      <c r="E16" s="68">
        <v>2.99</v>
      </c>
      <c r="F16" s="68">
        <v>2.99</v>
      </c>
      <c r="G16" s="14"/>
      <c r="H16" s="14"/>
      <c r="I16" s="423"/>
      <c r="K16" s="50">
        <v>2010</v>
      </c>
      <c r="L16" s="68">
        <v>2.99</v>
      </c>
      <c r="M16" s="68">
        <v>2.99</v>
      </c>
      <c r="N16" s="68">
        <v>2.99</v>
      </c>
      <c r="O16" s="68">
        <v>2.99</v>
      </c>
      <c r="P16" s="14"/>
      <c r="Q16" s="14"/>
      <c r="R16" s="423"/>
    </row>
    <row r="17" spans="2:18" x14ac:dyDescent="0.25">
      <c r="B17" s="50">
        <v>2011</v>
      </c>
      <c r="C17" s="67">
        <v>2.91</v>
      </c>
      <c r="D17" s="68">
        <v>2.91</v>
      </c>
      <c r="E17" s="68">
        <v>2.91</v>
      </c>
      <c r="F17" s="68">
        <v>2.91</v>
      </c>
      <c r="G17" s="68">
        <v>2.91</v>
      </c>
      <c r="H17" s="14"/>
      <c r="I17" s="423"/>
      <c r="K17" s="50">
        <v>2011</v>
      </c>
      <c r="L17" s="68">
        <v>2.91</v>
      </c>
      <c r="M17" s="68">
        <v>2.91</v>
      </c>
      <c r="N17" s="68">
        <v>2.91</v>
      </c>
      <c r="O17" s="68">
        <v>2.91</v>
      </c>
      <c r="P17" s="68">
        <v>2.91</v>
      </c>
      <c r="Q17" s="14"/>
      <c r="R17" s="423"/>
    </row>
    <row r="18" spans="2:18" x14ac:dyDescent="0.25">
      <c r="B18" s="50">
        <v>2012</v>
      </c>
      <c r="C18" s="67">
        <v>1.81</v>
      </c>
      <c r="D18" s="68">
        <v>1.81</v>
      </c>
      <c r="E18" s="68">
        <v>1.81</v>
      </c>
      <c r="F18" s="68">
        <v>1.81</v>
      </c>
      <c r="G18" s="68">
        <v>1.81</v>
      </c>
      <c r="H18" s="69">
        <v>1.81</v>
      </c>
      <c r="I18" s="423"/>
      <c r="K18" s="50">
        <v>2012</v>
      </c>
      <c r="L18" s="68">
        <v>1.81</v>
      </c>
      <c r="M18" s="68">
        <v>1.81</v>
      </c>
      <c r="N18" s="68">
        <v>1.81</v>
      </c>
      <c r="O18" s="68">
        <v>1.81</v>
      </c>
      <c r="P18" s="68">
        <v>1.81</v>
      </c>
      <c r="Q18" s="69">
        <v>1.81</v>
      </c>
      <c r="R18" s="423"/>
    </row>
    <row r="19" spans="2:18" x14ac:dyDescent="0.25">
      <c r="B19" s="50">
        <v>2013</v>
      </c>
      <c r="C19" s="67">
        <v>1.83</v>
      </c>
      <c r="D19" s="68">
        <v>1.83</v>
      </c>
      <c r="E19" s="68">
        <v>1.83</v>
      </c>
      <c r="F19" s="68">
        <v>1.83</v>
      </c>
      <c r="G19" s="68">
        <v>1.83</v>
      </c>
      <c r="H19" s="69">
        <v>1.83</v>
      </c>
      <c r="I19" s="423"/>
      <c r="K19" s="50">
        <v>2013</v>
      </c>
      <c r="L19" s="68">
        <v>1.83</v>
      </c>
      <c r="M19" s="68">
        <v>1.83</v>
      </c>
      <c r="N19" s="68">
        <v>1.83</v>
      </c>
      <c r="O19" s="68">
        <v>1.83</v>
      </c>
      <c r="P19" s="68">
        <v>1.83</v>
      </c>
      <c r="Q19" s="68">
        <v>1.83</v>
      </c>
      <c r="R19" s="423"/>
    </row>
    <row r="20" spans="2:18" x14ac:dyDescent="0.25">
      <c r="B20" s="50">
        <v>2014</v>
      </c>
      <c r="C20" s="67">
        <v>1.38</v>
      </c>
      <c r="D20" s="68">
        <v>1.38</v>
      </c>
      <c r="E20" s="68">
        <v>1.38</v>
      </c>
      <c r="F20" s="68">
        <v>1.38</v>
      </c>
      <c r="G20" s="68">
        <v>1.38</v>
      </c>
      <c r="H20" s="69">
        <v>1.38</v>
      </c>
      <c r="I20" s="423"/>
      <c r="K20" s="50">
        <v>2014</v>
      </c>
      <c r="L20" s="68">
        <v>1.38</v>
      </c>
      <c r="M20" s="68">
        <v>1.38</v>
      </c>
      <c r="N20" s="68">
        <v>1.38</v>
      </c>
      <c r="O20" s="68">
        <v>1.38</v>
      </c>
      <c r="P20" s="68">
        <v>1.38</v>
      </c>
      <c r="Q20" s="68">
        <v>1.38</v>
      </c>
      <c r="R20" s="423"/>
    </row>
    <row r="21" spans="2:18" x14ac:dyDescent="0.25">
      <c r="B21" s="51">
        <v>2015</v>
      </c>
      <c r="C21" s="67">
        <v>0.62</v>
      </c>
      <c r="D21" s="68">
        <v>0.62</v>
      </c>
      <c r="E21" s="68">
        <v>0.62</v>
      </c>
      <c r="F21" s="68">
        <v>0.62</v>
      </c>
      <c r="G21" s="68">
        <v>0.62</v>
      </c>
      <c r="H21" s="69">
        <v>0.62</v>
      </c>
      <c r="I21" s="424"/>
      <c r="K21" s="51">
        <v>2015</v>
      </c>
      <c r="L21" s="70">
        <v>0.62</v>
      </c>
      <c r="M21" s="70">
        <v>0.62</v>
      </c>
      <c r="N21" s="70">
        <v>0.62</v>
      </c>
      <c r="O21" s="70">
        <v>0.62</v>
      </c>
      <c r="P21" s="70">
        <v>0.62</v>
      </c>
      <c r="Q21" s="70">
        <v>0.62</v>
      </c>
      <c r="R21" s="424"/>
    </row>
    <row r="22" spans="2:18" x14ac:dyDescent="0.25">
      <c r="B22" s="38">
        <v>2016</v>
      </c>
      <c r="C22" s="64">
        <v>1.28</v>
      </c>
      <c r="D22" s="65">
        <v>1.28</v>
      </c>
      <c r="E22" s="65">
        <v>1.28</v>
      </c>
      <c r="F22" s="65">
        <v>1.28</v>
      </c>
      <c r="G22" s="65">
        <v>1.28</v>
      </c>
      <c r="H22" s="66">
        <v>1.28</v>
      </c>
      <c r="I22" s="425" t="s">
        <v>64</v>
      </c>
      <c r="K22" s="50">
        <v>2016</v>
      </c>
      <c r="L22" s="170">
        <f>'10 Y Bonds'!W18</f>
        <v>0.211619302247568</v>
      </c>
      <c r="M22" s="71">
        <f>L22</f>
        <v>0.211619302247568</v>
      </c>
      <c r="N22" s="71">
        <f>M22</f>
        <v>0.211619302247568</v>
      </c>
      <c r="O22" s="71">
        <f>N22</f>
        <v>0.211619302247568</v>
      </c>
      <c r="P22" s="71">
        <f>O22</f>
        <v>0.211619302247568</v>
      </c>
      <c r="Q22" s="71">
        <f>P22</f>
        <v>0.211619302247568</v>
      </c>
      <c r="R22" s="423" t="s">
        <v>231</v>
      </c>
    </row>
    <row r="23" spans="2:18" x14ac:dyDescent="0.25">
      <c r="B23" s="38">
        <v>2017</v>
      </c>
      <c r="C23" s="14"/>
      <c r="D23" s="68">
        <v>1.28</v>
      </c>
      <c r="E23" s="68">
        <v>1.28</v>
      </c>
      <c r="F23" s="68">
        <v>1.28</v>
      </c>
      <c r="G23" s="68">
        <v>1.28</v>
      </c>
      <c r="H23" s="69">
        <v>1.28</v>
      </c>
      <c r="I23" s="426"/>
      <c r="K23" s="50">
        <v>2017</v>
      </c>
      <c r="L23" s="14"/>
      <c r="M23" s="170">
        <f>'10 Y Bonds'!X18</f>
        <v>0.44302504431763751</v>
      </c>
      <c r="N23" s="71">
        <f>M23</f>
        <v>0.44302504431763751</v>
      </c>
      <c r="O23" s="71">
        <f>N23</f>
        <v>0.44302504431763751</v>
      </c>
      <c r="P23" s="71">
        <f>O23</f>
        <v>0.44302504431763751</v>
      </c>
      <c r="Q23" s="71">
        <f>P23</f>
        <v>0.44302504431763751</v>
      </c>
      <c r="R23" s="423"/>
    </row>
    <row r="24" spans="2:18" x14ac:dyDescent="0.25">
      <c r="B24" s="38">
        <v>2018</v>
      </c>
      <c r="C24" s="14"/>
      <c r="D24" s="14"/>
      <c r="E24" s="68">
        <v>1.28</v>
      </c>
      <c r="F24" s="68">
        <v>1.28</v>
      </c>
      <c r="G24" s="68">
        <v>1.28</v>
      </c>
      <c r="H24" s="69">
        <v>1.28</v>
      </c>
      <c r="I24" s="426"/>
      <c r="K24" s="50">
        <v>2018</v>
      </c>
      <c r="L24" s="14"/>
      <c r="M24" s="14"/>
      <c r="N24" s="170">
        <f>'10 Y Bonds'!Y18</f>
        <v>0.52113068300312826</v>
      </c>
      <c r="O24" s="71">
        <f>N24</f>
        <v>0.52113068300312826</v>
      </c>
      <c r="P24" s="71">
        <f>O24</f>
        <v>0.52113068300312826</v>
      </c>
      <c r="Q24" s="71">
        <f>P24</f>
        <v>0.52113068300312826</v>
      </c>
      <c r="R24" s="423"/>
    </row>
    <row r="25" spans="2:18" x14ac:dyDescent="0.25">
      <c r="B25" s="38">
        <v>2019</v>
      </c>
      <c r="C25" s="14"/>
      <c r="D25" s="14"/>
      <c r="E25" s="14"/>
      <c r="F25" s="68">
        <v>1.28</v>
      </c>
      <c r="G25" s="68">
        <v>1.28</v>
      </c>
      <c r="H25" s="69">
        <v>1.28</v>
      </c>
      <c r="I25" s="426"/>
      <c r="K25" s="50">
        <v>2019</v>
      </c>
      <c r="L25" s="14"/>
      <c r="M25" s="14"/>
      <c r="N25" s="14"/>
      <c r="O25" s="170">
        <f>'10 Y Bonds'!Z18</f>
        <v>-0.13554437326051566</v>
      </c>
      <c r="P25" s="71">
        <f>O25</f>
        <v>-0.13554437326051566</v>
      </c>
      <c r="Q25" s="71">
        <f>P25</f>
        <v>-0.13554437326051566</v>
      </c>
      <c r="R25" s="423"/>
    </row>
    <row r="26" spans="2:18" x14ac:dyDescent="0.25">
      <c r="B26" s="38">
        <v>2020</v>
      </c>
      <c r="C26" s="14"/>
      <c r="D26" s="14"/>
      <c r="E26" s="14"/>
      <c r="F26" s="14"/>
      <c r="G26" s="68">
        <v>1.28</v>
      </c>
      <c r="H26" s="69">
        <v>1.28</v>
      </c>
      <c r="I26" s="426"/>
      <c r="K26" s="50">
        <v>2020</v>
      </c>
      <c r="L26" s="14"/>
      <c r="M26" s="14"/>
      <c r="N26" s="14"/>
      <c r="O26" s="14"/>
      <c r="P26" s="170">
        <f>'10 Y Bonds'!AB18</f>
        <v>-0.34632230827831378</v>
      </c>
      <c r="Q26" s="71">
        <f>P26</f>
        <v>-0.34632230827831378</v>
      </c>
      <c r="R26" s="423"/>
    </row>
    <row r="27" spans="2:18" x14ac:dyDescent="0.25">
      <c r="B27" s="36">
        <v>2021</v>
      </c>
      <c r="C27" s="14"/>
      <c r="D27" s="14"/>
      <c r="E27" s="14"/>
      <c r="F27" s="14"/>
      <c r="G27" s="14"/>
      <c r="H27" s="69">
        <v>1.28</v>
      </c>
      <c r="I27" s="427"/>
      <c r="K27" s="51">
        <v>2021</v>
      </c>
      <c r="L27" s="14"/>
      <c r="M27" s="14"/>
      <c r="N27" s="14"/>
      <c r="O27" s="14"/>
      <c r="P27" s="14"/>
      <c r="Q27" s="170">
        <f>'10 Y Bonds'!AC18</f>
        <v>-0.33850000000000002</v>
      </c>
      <c r="R27" s="424"/>
    </row>
    <row r="28" spans="2:18" x14ac:dyDescent="0.25">
      <c r="B28" s="82" t="s">
        <v>102</v>
      </c>
      <c r="C28" s="86">
        <f>AVERAGE(C13:C27)/100</f>
        <v>2.4980000000000002E-2</v>
      </c>
      <c r="D28" s="88">
        <f t="shared" ref="D28:H28" si="0">AVERAGE(D13:D27)/100</f>
        <v>2.197E-2</v>
      </c>
      <c r="E28" s="88">
        <f t="shared" si="0"/>
        <v>1.9030000000000002E-2</v>
      </c>
      <c r="F28" s="88">
        <f t="shared" si="0"/>
        <v>1.6659999999999998E-2</v>
      </c>
      <c r="G28" s="88">
        <f t="shared" si="0"/>
        <v>1.4949999999999996E-2</v>
      </c>
      <c r="H28" s="89">
        <f t="shared" si="0"/>
        <v>1.3319999999999997E-2</v>
      </c>
      <c r="K28" s="54" t="s">
        <v>63</v>
      </c>
      <c r="L28" s="86">
        <f>AVERAGE(L13:L27)/100</f>
        <v>2.3911619302247569E-2</v>
      </c>
      <c r="M28" s="88">
        <f t="shared" ref="M28" si="1">AVERAGE(M13:M27)/100</f>
        <v>2.0064644346565203E-2</v>
      </c>
      <c r="N28" s="88">
        <f t="shared" ref="N28" si="2">AVERAGE(N13:N27)/100</f>
        <v>1.6365775029568333E-2</v>
      </c>
      <c r="O28" s="88">
        <f t="shared" ref="O28" si="3">AVERAGE(O13:O27)/100</f>
        <v>1.258023065630782E-2</v>
      </c>
      <c r="P28" s="88">
        <f t="shared" ref="P28" si="4">AVERAGE(P13:P27)/100</f>
        <v>9.2439083480295066E-3</v>
      </c>
      <c r="Q28" s="89">
        <f t="shared" ref="Q28" si="5">AVERAGE(Q13:Q27)/100</f>
        <v>5.9954083480295043E-3</v>
      </c>
    </row>
    <row r="30" spans="2:18" s="3" customFormat="1" ht="12.75" x14ac:dyDescent="0.25">
      <c r="C30" s="59"/>
      <c r="D30" s="59"/>
    </row>
    <row r="32" spans="2:18" x14ac:dyDescent="0.25">
      <c r="B32" s="419" t="s">
        <v>96</v>
      </c>
      <c r="C32" s="420"/>
      <c r="D32" s="420"/>
      <c r="E32" s="420"/>
      <c r="F32" s="420"/>
      <c r="G32" s="420"/>
      <c r="H32" s="421"/>
      <c r="K32" s="419" t="s">
        <v>213</v>
      </c>
      <c r="L32" s="420"/>
      <c r="M32" s="420"/>
      <c r="N32" s="420"/>
      <c r="O32" s="420"/>
      <c r="P32" s="420"/>
      <c r="Q32" s="421"/>
    </row>
    <row r="35" spans="2:19" x14ac:dyDescent="0.25">
      <c r="B35" s="53"/>
      <c r="C35" s="78">
        <v>2016</v>
      </c>
      <c r="D35" s="60">
        <v>2017</v>
      </c>
      <c r="E35" s="60">
        <v>2018</v>
      </c>
      <c r="F35" s="60">
        <v>2019</v>
      </c>
      <c r="G35" s="60">
        <v>2020</v>
      </c>
      <c r="H35" s="61">
        <v>2021</v>
      </c>
      <c r="L35" s="114">
        <v>2016</v>
      </c>
      <c r="M35" s="97">
        <v>2017</v>
      </c>
      <c r="N35" s="60">
        <v>2018</v>
      </c>
      <c r="O35" s="60">
        <v>2019</v>
      </c>
      <c r="P35" s="61">
        <v>2020</v>
      </c>
      <c r="Q35" s="78">
        <v>2021</v>
      </c>
    </row>
    <row r="36" spans="2:19" x14ac:dyDescent="0.25">
      <c r="B36" s="62" t="s">
        <v>77</v>
      </c>
      <c r="C36" s="91">
        <f>C28</f>
        <v>2.4980000000000002E-2</v>
      </c>
      <c r="D36" s="46"/>
      <c r="E36" s="46"/>
      <c r="F36" s="46"/>
      <c r="G36" s="46"/>
      <c r="H36" s="91">
        <f>H28</f>
        <v>1.3319999999999997E-2</v>
      </c>
      <c r="L36" s="219">
        <f>L28</f>
        <v>2.3911619302247569E-2</v>
      </c>
      <c r="M36" s="96">
        <f t="shared" ref="M36:P36" si="6">M28</f>
        <v>2.0064644346565203E-2</v>
      </c>
      <c r="N36" s="96">
        <f t="shared" si="6"/>
        <v>1.6365775029568333E-2</v>
      </c>
      <c r="O36" s="96">
        <f t="shared" si="6"/>
        <v>1.258023065630782E-2</v>
      </c>
      <c r="P36" s="96">
        <f t="shared" si="6"/>
        <v>9.2439083480295066E-3</v>
      </c>
      <c r="Q36" s="219">
        <f>Q28</f>
        <v>5.9954083480295043E-3</v>
      </c>
      <c r="S36" t="s">
        <v>97</v>
      </c>
    </row>
    <row r="37" spans="2:19" x14ac:dyDescent="0.25">
      <c r="B37" s="62" t="s">
        <v>78</v>
      </c>
      <c r="C37" s="90">
        <v>9.2999999999999992E-3</v>
      </c>
      <c r="D37" s="46"/>
      <c r="E37" s="46"/>
      <c r="F37" s="46"/>
      <c r="G37" s="46"/>
      <c r="H37" s="90">
        <v>8.0999999999999996E-3</v>
      </c>
      <c r="L37" s="90">
        <v>9.2999999999999992E-3</v>
      </c>
      <c r="M37" s="87">
        <f>$L37+($Q37-$L37)*(M35-$L35)/5</f>
        <v>9.0599999999999986E-3</v>
      </c>
      <c r="N37" s="87">
        <f t="shared" ref="N37:P37" si="7">$L37+($Q37-$L37)*(N35-$L35)/5</f>
        <v>8.8199999999999997E-3</v>
      </c>
      <c r="O37" s="87">
        <f t="shared" si="7"/>
        <v>8.5799999999999991E-3</v>
      </c>
      <c r="P37" s="87">
        <f t="shared" si="7"/>
        <v>8.3400000000000002E-3</v>
      </c>
      <c r="Q37" s="90">
        <v>8.0999999999999996E-3</v>
      </c>
      <c r="S37" t="s">
        <v>98</v>
      </c>
    </row>
    <row r="38" spans="2:19" x14ac:dyDescent="0.25">
      <c r="B38" s="62" t="s">
        <v>79</v>
      </c>
      <c r="C38" s="90">
        <v>1.5E-3</v>
      </c>
      <c r="D38" s="46"/>
      <c r="E38" s="46"/>
      <c r="F38" s="46"/>
      <c r="G38" s="46"/>
      <c r="H38" s="90">
        <v>1.5150000000000001E-3</v>
      </c>
      <c r="L38" s="172">
        <v>1.5E-3</v>
      </c>
      <c r="M38" s="87">
        <f>$L38+($Q38-$L38)*(M36-$L36)/5</f>
        <v>1.5E-3</v>
      </c>
      <c r="N38" s="87">
        <f t="shared" ref="N38:P38" si="8">$L38+($Q38-$L38)*(N36-$L36)/5</f>
        <v>1.5E-3</v>
      </c>
      <c r="O38" s="87">
        <f t="shared" si="8"/>
        <v>1.5E-3</v>
      </c>
      <c r="P38" s="87">
        <f t="shared" si="8"/>
        <v>1.5E-3</v>
      </c>
      <c r="Q38" s="172">
        <v>1.5E-3</v>
      </c>
      <c r="S38" t="s">
        <v>98</v>
      </c>
    </row>
    <row r="39" spans="2:19" x14ac:dyDescent="0.25">
      <c r="B39" s="63" t="s">
        <v>84</v>
      </c>
      <c r="C39" s="92">
        <f>SUM(C36:C38)</f>
        <v>3.5780000000000006E-2</v>
      </c>
      <c r="D39" s="93">
        <f>$C39+($H39-$C39)*(D35-$C35)/5</f>
        <v>3.3211000000000004E-2</v>
      </c>
      <c r="E39" s="93">
        <f t="shared" ref="E39:G39" si="9">$C39+($H39-$C39)*(E35-$C35)/5</f>
        <v>3.0642000000000003E-2</v>
      </c>
      <c r="F39" s="93">
        <f t="shared" si="9"/>
        <v>2.8072999999999997E-2</v>
      </c>
      <c r="G39" s="93">
        <f t="shared" si="9"/>
        <v>2.5503999999999995E-2</v>
      </c>
      <c r="H39" s="92">
        <f>SUM(H36:H38)</f>
        <v>2.2934999999999994E-2</v>
      </c>
      <c r="L39" s="173">
        <f>SUM(L36:L38)</f>
        <v>3.4711619302247573E-2</v>
      </c>
      <c r="M39" s="93">
        <f t="shared" ref="M39:P39" si="10">SUM(M36:M38)</f>
        <v>3.0624644346565203E-2</v>
      </c>
      <c r="N39" s="93">
        <f t="shared" si="10"/>
        <v>2.6685775029568336E-2</v>
      </c>
      <c r="O39" s="93">
        <f t="shared" si="10"/>
        <v>2.2660230656307821E-2</v>
      </c>
      <c r="P39" s="93">
        <f t="shared" si="10"/>
        <v>1.9083908348029508E-2</v>
      </c>
      <c r="Q39" s="92">
        <f>SUM(Q36:Q38)</f>
        <v>1.5595408348029504E-2</v>
      </c>
    </row>
    <row r="40" spans="2:19" x14ac:dyDescent="0.25">
      <c r="B40" s="62" t="s">
        <v>80</v>
      </c>
      <c r="C40" s="91">
        <f>C22/100</f>
        <v>1.2800000000000001E-2</v>
      </c>
      <c r="D40" s="46"/>
      <c r="E40" s="46"/>
      <c r="F40" s="46"/>
      <c r="G40" s="46"/>
      <c r="H40" s="91">
        <f>H22/100</f>
        <v>1.2800000000000001E-2</v>
      </c>
      <c r="L40" s="91">
        <f>L22/100</f>
        <v>2.1161930224756799E-3</v>
      </c>
      <c r="M40" s="96">
        <f>M23/100</f>
        <v>4.4302504431763751E-3</v>
      </c>
      <c r="N40" s="96">
        <f>N24/100</f>
        <v>5.2113068300312822E-3</v>
      </c>
      <c r="O40" s="96">
        <f>O25/100</f>
        <v>-1.3554437326051567E-3</v>
      </c>
      <c r="P40" s="96">
        <f>P26/100</f>
        <v>-3.4632230827831376E-3</v>
      </c>
      <c r="Q40" s="91">
        <f>Q27/100</f>
        <v>-3.3850000000000004E-3</v>
      </c>
      <c r="S40" t="s">
        <v>101</v>
      </c>
    </row>
    <row r="41" spans="2:19" x14ac:dyDescent="0.25">
      <c r="B41" s="62" t="s">
        <v>81</v>
      </c>
      <c r="C41" s="90">
        <v>5.0500000000000003E-2</v>
      </c>
      <c r="D41" s="46"/>
      <c r="E41" s="46"/>
      <c r="F41" s="46"/>
      <c r="G41" s="46"/>
      <c r="H41" s="90">
        <v>5.0500000000000003E-2</v>
      </c>
      <c r="L41" s="90">
        <v>5.0500000000000003E-2</v>
      </c>
      <c r="M41" s="87">
        <f>$L41+($Q41-$L41)*(M39-$L39)/5</f>
        <v>5.0500000000000003E-2</v>
      </c>
      <c r="N41" s="87">
        <f t="shared" ref="N41:P41" si="11">$L41+($Q41-$L41)*(N39-$L39)/5</f>
        <v>5.0500000000000003E-2</v>
      </c>
      <c r="O41" s="87">
        <f t="shared" si="11"/>
        <v>5.0500000000000003E-2</v>
      </c>
      <c r="P41" s="87">
        <f t="shared" si="11"/>
        <v>5.0500000000000003E-2</v>
      </c>
      <c r="Q41" s="90">
        <v>5.0500000000000003E-2</v>
      </c>
      <c r="S41" t="s">
        <v>98</v>
      </c>
    </row>
    <row r="42" spans="2:19" x14ac:dyDescent="0.25">
      <c r="B42" s="62" t="s">
        <v>82</v>
      </c>
      <c r="C42" s="73">
        <v>0.44</v>
      </c>
      <c r="D42" s="46"/>
      <c r="E42" s="46"/>
      <c r="F42" s="46"/>
      <c r="G42" s="46"/>
      <c r="H42" s="73">
        <v>0.39</v>
      </c>
      <c r="L42" s="73">
        <v>0.44</v>
      </c>
      <c r="M42" s="76">
        <f>$L42+($Q42-$L42)*(M35-$L35)/5</f>
        <v>0.43</v>
      </c>
      <c r="N42" s="76">
        <f t="shared" ref="N42:P42" si="12">$L42+($Q42-$L42)*(N35-$L35)/5</f>
        <v>0.42</v>
      </c>
      <c r="O42" s="76">
        <f t="shared" si="12"/>
        <v>0.41000000000000003</v>
      </c>
      <c r="P42" s="76">
        <f t="shared" si="12"/>
        <v>0.4</v>
      </c>
      <c r="Q42" s="73">
        <v>0.39</v>
      </c>
      <c r="S42" t="s">
        <v>98</v>
      </c>
    </row>
    <row r="43" spans="2:19" x14ac:dyDescent="0.25">
      <c r="B43" s="62" t="s">
        <v>83</v>
      </c>
      <c r="C43" s="73">
        <v>0.78</v>
      </c>
      <c r="D43" s="46"/>
      <c r="E43" s="46"/>
      <c r="F43" s="46"/>
      <c r="G43" s="46"/>
      <c r="H43" s="73">
        <v>0.68</v>
      </c>
      <c r="L43" s="73">
        <v>0.78</v>
      </c>
      <c r="M43" s="76">
        <f>$L43+($Q43-$L43)*(M12-$L12)/5</f>
        <v>0.76</v>
      </c>
      <c r="N43" s="76">
        <f t="shared" ref="N43:P43" si="13">$L43+($Q43-$L43)*(N12-$L12)/5</f>
        <v>0.74</v>
      </c>
      <c r="O43" s="76">
        <f t="shared" si="13"/>
        <v>0.72000000000000008</v>
      </c>
      <c r="P43" s="76">
        <f t="shared" si="13"/>
        <v>0.70000000000000007</v>
      </c>
      <c r="Q43" s="73">
        <v>0.68</v>
      </c>
      <c r="S43" t="s">
        <v>98</v>
      </c>
    </row>
    <row r="44" spans="2:19" x14ac:dyDescent="0.25">
      <c r="B44" s="63" t="s">
        <v>85</v>
      </c>
      <c r="C44" s="92">
        <f>C40+C43*C41</f>
        <v>5.219E-2</v>
      </c>
      <c r="D44" s="41"/>
      <c r="E44" s="41"/>
      <c r="F44" s="41"/>
      <c r="G44" s="41"/>
      <c r="H44" s="92">
        <f>H40+H43*H41</f>
        <v>4.7140000000000001E-2</v>
      </c>
      <c r="L44" s="92">
        <f>L40+L43*L41</f>
        <v>4.1506193022475685E-2</v>
      </c>
      <c r="M44" s="93">
        <f t="shared" ref="M44:P44" si="14">M40+M43*M41</f>
        <v>4.2810250443176379E-2</v>
      </c>
      <c r="N44" s="93">
        <f t="shared" si="14"/>
        <v>4.2581306830031279E-2</v>
      </c>
      <c r="O44" s="93">
        <f t="shared" si="14"/>
        <v>3.5004556267394848E-2</v>
      </c>
      <c r="P44" s="93">
        <f t="shared" si="14"/>
        <v>3.1886776917216871E-2</v>
      </c>
      <c r="Q44" s="92">
        <f>Q40+Q43*Q41</f>
        <v>3.0955000000000003E-2</v>
      </c>
    </row>
    <row r="45" spans="2:19" ht="30" x14ac:dyDescent="0.25">
      <c r="B45" s="62" t="s">
        <v>90</v>
      </c>
      <c r="C45" s="74">
        <v>0.5</v>
      </c>
      <c r="D45" s="46"/>
      <c r="E45" s="46"/>
      <c r="F45" s="46"/>
      <c r="G45" s="46"/>
      <c r="H45" s="74">
        <v>0.5</v>
      </c>
      <c r="L45" s="74">
        <v>0.5</v>
      </c>
      <c r="M45" s="77">
        <v>0.5</v>
      </c>
      <c r="N45" s="77">
        <v>0.5</v>
      </c>
      <c r="O45" s="77">
        <v>0.5</v>
      </c>
      <c r="P45" s="77">
        <v>0.5</v>
      </c>
      <c r="Q45" s="74">
        <v>0.5</v>
      </c>
      <c r="S45" t="s">
        <v>98</v>
      </c>
    </row>
    <row r="46" spans="2:19" x14ac:dyDescent="0.25">
      <c r="B46" s="62" t="s">
        <v>86</v>
      </c>
      <c r="C46" s="75">
        <v>0.25</v>
      </c>
      <c r="D46" s="46"/>
      <c r="E46" s="46"/>
      <c r="F46" s="46"/>
      <c r="G46" s="46"/>
      <c r="H46" s="75">
        <v>0.25</v>
      </c>
      <c r="L46" s="75">
        <v>0.25</v>
      </c>
      <c r="M46" s="77">
        <v>0.25</v>
      </c>
      <c r="N46" s="77">
        <v>0.25</v>
      </c>
      <c r="O46" s="77">
        <v>0.25</v>
      </c>
      <c r="P46" s="77">
        <v>0.25</v>
      </c>
      <c r="Q46" s="75">
        <v>0.25</v>
      </c>
      <c r="S46" t="s">
        <v>98</v>
      </c>
    </row>
    <row r="47" spans="2:19" x14ac:dyDescent="0.25">
      <c r="B47" s="63" t="s">
        <v>87</v>
      </c>
      <c r="C47" s="92">
        <f>(1-C45)*C44/(1-C46)+C45*C39</f>
        <v>5.2683333333333339E-2</v>
      </c>
      <c r="D47" s="41"/>
      <c r="E47" s="41"/>
      <c r="F47" s="41"/>
      <c r="G47" s="41"/>
      <c r="H47" s="92">
        <f>(1-H45)*H44/(1-H46)+H45*H39</f>
        <v>4.2894166666666664E-2</v>
      </c>
      <c r="L47" s="98">
        <f>(1-L45)*L44/(1-L46)+L45*L39</f>
        <v>4.502660499944091E-2</v>
      </c>
      <c r="M47" s="98">
        <f t="shared" ref="M47:P47" si="15">(1-M45)*M44/(1-M46)+M45*M39</f>
        <v>4.3852489135400186E-2</v>
      </c>
      <c r="N47" s="93">
        <f t="shared" si="15"/>
        <v>4.1730425401471691E-2</v>
      </c>
      <c r="O47" s="93">
        <f t="shared" si="15"/>
        <v>3.4666486173083808E-2</v>
      </c>
      <c r="P47" s="99">
        <f t="shared" si="15"/>
        <v>3.0799805452159337E-2</v>
      </c>
      <c r="Q47" s="99">
        <f>(1-Q45)*Q44/(1-Q46)+Q45*Q39</f>
        <v>2.8434370840681421E-2</v>
      </c>
    </row>
    <row r="48" spans="2:19" x14ac:dyDescent="0.25">
      <c r="B48" s="62" t="s">
        <v>88</v>
      </c>
      <c r="C48" s="90">
        <v>7.7000000000000002E-3</v>
      </c>
      <c r="D48" s="46"/>
      <c r="E48" s="46"/>
      <c r="F48" s="46"/>
      <c r="G48" s="46"/>
      <c r="H48" s="90">
        <v>1.4200000000000001E-2</v>
      </c>
      <c r="L48" s="90">
        <v>8.0000000000000002E-3</v>
      </c>
      <c r="M48" s="100">
        <v>2E-3</v>
      </c>
      <c r="N48" s="100">
        <v>1.4E-2</v>
      </c>
      <c r="O48" s="100">
        <v>1.2E-2</v>
      </c>
      <c r="P48" s="100">
        <v>2.5999999999999999E-2</v>
      </c>
      <c r="Q48" s="90">
        <v>1.6E-2</v>
      </c>
      <c r="S48" t="s">
        <v>353</v>
      </c>
    </row>
    <row r="49" spans="2:19" ht="15" customHeight="1" x14ac:dyDescent="0.25">
      <c r="B49" s="63" t="s">
        <v>89</v>
      </c>
      <c r="C49" s="92">
        <f>(1+C47)/(1+C48)-1</f>
        <v>4.4639608349045679E-2</v>
      </c>
      <c r="D49" s="41"/>
      <c r="E49" s="41"/>
      <c r="F49" s="41"/>
      <c r="G49" s="41"/>
      <c r="H49" s="92">
        <f>(1+H47)/(1+H48)-1</f>
        <v>2.8292414382436126E-2</v>
      </c>
      <c r="L49" s="92">
        <f>(1+L47)/(1+L48)-1</f>
        <v>3.6732743055001071E-2</v>
      </c>
      <c r="M49" s="93">
        <f t="shared" ref="M49:Q49" si="16">(1+M47)/(1+M48)-1</f>
        <v>4.1768951232934226E-2</v>
      </c>
      <c r="N49" s="93">
        <f t="shared" si="16"/>
        <v>2.7347559567526325E-2</v>
      </c>
      <c r="O49" s="93">
        <f t="shared" si="16"/>
        <v>2.2397713609766612E-2</v>
      </c>
      <c r="P49" s="99">
        <f t="shared" si="16"/>
        <v>4.678172955321136E-3</v>
      </c>
      <c r="Q49" s="92">
        <f t="shared" si="16"/>
        <v>1.223855397704865E-2</v>
      </c>
      <c r="S49" t="s">
        <v>215</v>
      </c>
    </row>
    <row r="51" spans="2:19" x14ac:dyDescent="0.25">
      <c r="B51" s="419" t="s">
        <v>217</v>
      </c>
      <c r="C51" s="420"/>
      <c r="D51" s="420"/>
      <c r="E51" s="420"/>
      <c r="F51" s="420"/>
      <c r="G51" s="420"/>
      <c r="H51" s="421"/>
    </row>
    <row r="53" spans="2:19" x14ac:dyDescent="0.25">
      <c r="C53" s="72">
        <v>2016</v>
      </c>
      <c r="D53" s="97">
        <v>2017</v>
      </c>
      <c r="E53" s="60">
        <v>2018</v>
      </c>
      <c r="F53" s="60">
        <v>2019</v>
      </c>
      <c r="G53" s="60">
        <v>2020</v>
      </c>
      <c r="H53" s="61">
        <v>2021</v>
      </c>
      <c r="J53" t="s">
        <v>160</v>
      </c>
      <c r="K53" t="s">
        <v>116</v>
      </c>
    </row>
    <row r="54" spans="2:19" x14ac:dyDescent="0.25">
      <c r="B54" s="43" t="s">
        <v>181</v>
      </c>
      <c r="C54" s="101">
        <f>C49</f>
        <v>4.4639608349045679E-2</v>
      </c>
      <c r="D54" s="171">
        <f>$C54+($H54-$C54)*(D53-$C53)/5</f>
        <v>4.1370169555723771E-2</v>
      </c>
      <c r="E54" s="102">
        <f t="shared" ref="E54:G54" si="17">$C54+($H54-$C54)*(E53-$C53)/5</f>
        <v>3.8100730762401856E-2</v>
      </c>
      <c r="F54" s="102">
        <f t="shared" si="17"/>
        <v>3.4831291969079949E-2</v>
      </c>
      <c r="G54" s="102">
        <f t="shared" si="17"/>
        <v>3.1561853175758034E-2</v>
      </c>
      <c r="H54" s="103">
        <f>H49</f>
        <v>2.8292414382436126E-2</v>
      </c>
      <c r="K54" t="s">
        <v>175</v>
      </c>
    </row>
    <row r="55" spans="2:19" x14ac:dyDescent="0.25">
      <c r="B55" s="38" t="s">
        <v>182</v>
      </c>
      <c r="C55" s="94">
        <f>L49</f>
        <v>3.6732743055001071E-2</v>
      </c>
      <c r="D55" s="94">
        <f t="shared" ref="D55:H55" si="18">M49</f>
        <v>4.1768951232934226E-2</v>
      </c>
      <c r="E55" s="96">
        <f t="shared" si="18"/>
        <v>2.7347559567526325E-2</v>
      </c>
      <c r="F55" s="96">
        <f t="shared" si="18"/>
        <v>2.2397713609766612E-2</v>
      </c>
      <c r="G55" s="96">
        <f t="shared" si="18"/>
        <v>4.678172955321136E-3</v>
      </c>
      <c r="H55" s="95">
        <f t="shared" si="18"/>
        <v>1.223855397704865E-2</v>
      </c>
      <c r="K55" t="s">
        <v>174</v>
      </c>
    </row>
    <row r="56" spans="2:19" x14ac:dyDescent="0.25">
      <c r="B56" s="40" t="s">
        <v>93</v>
      </c>
      <c r="C56" s="86">
        <f>C54-C55</f>
        <v>7.9068652940446071E-3</v>
      </c>
      <c r="D56" s="86">
        <f t="shared" ref="D56:H56" si="19">D54-D55</f>
        <v>-3.9878167721045521E-4</v>
      </c>
      <c r="E56" s="88">
        <f t="shared" si="19"/>
        <v>1.0753171194875531E-2</v>
      </c>
      <c r="F56" s="88">
        <f t="shared" si="19"/>
        <v>1.2433578359313337E-2</v>
      </c>
      <c r="G56" s="88">
        <f t="shared" si="19"/>
        <v>2.6883680220436898E-2</v>
      </c>
      <c r="H56" s="89">
        <f t="shared" si="19"/>
        <v>1.6053860405387477E-2</v>
      </c>
    </row>
    <row r="57" spans="2:19" x14ac:dyDescent="0.25">
      <c r="B57" s="36" t="s">
        <v>66</v>
      </c>
      <c r="C57" s="81">
        <v>7104563991.3431025</v>
      </c>
      <c r="D57" s="81">
        <v>6945997346.920639</v>
      </c>
      <c r="E57" s="79">
        <v>6955271047.1017151</v>
      </c>
      <c r="F57" s="79">
        <v>6739943642.1194744</v>
      </c>
      <c r="G57" s="79">
        <v>6753734020.4989853</v>
      </c>
      <c r="H57" s="80">
        <v>6684691944.8908215</v>
      </c>
      <c r="K57" t="s">
        <v>354</v>
      </c>
    </row>
    <row r="58" spans="2:19" x14ac:dyDescent="0.25">
      <c r="B58" s="36" t="s">
        <v>91</v>
      </c>
      <c r="C58" s="40"/>
      <c r="D58" s="156">
        <f>D56*D57</f>
        <v>-2769936.4719043844</v>
      </c>
      <c r="E58" s="104">
        <f t="shared" ref="E58:H58" si="20">E56*E57</f>
        <v>74791220.276245937</v>
      </c>
      <c r="F58" s="104">
        <f t="shared" si="20"/>
        <v>83801617.411648214</v>
      </c>
      <c r="G58" s="104">
        <f t="shared" si="20"/>
        <v>181565225.70098034</v>
      </c>
      <c r="H58" s="105">
        <f t="shared" si="20"/>
        <v>107315111.33629537</v>
      </c>
    </row>
    <row r="59" spans="2:19" x14ac:dyDescent="0.25">
      <c r="B59" s="46"/>
    </row>
    <row r="60" spans="2:19" x14ac:dyDescent="0.25">
      <c r="B60" s="251" t="s">
        <v>73</v>
      </c>
    </row>
    <row r="61" spans="2:19" x14ac:dyDescent="0.25">
      <c r="B61" s="128" t="s">
        <v>74</v>
      </c>
      <c r="C61" s="157">
        <v>1</v>
      </c>
      <c r="D61" s="151">
        <f>$C61-($C61-$H61)*(D$53-2016)/5</f>
        <v>0.97050000000000003</v>
      </c>
      <c r="E61" s="150">
        <f t="shared" ref="E61:G61" si="21">$C61-($C61-$H61)*(E$53-2016)/5</f>
        <v>0.94100000000000006</v>
      </c>
      <c r="F61" s="150">
        <f t="shared" si="21"/>
        <v>0.91149999999999998</v>
      </c>
      <c r="G61" s="150">
        <f t="shared" si="21"/>
        <v>0.88200000000000001</v>
      </c>
      <c r="H61" s="179">
        <v>0.85250000000000004</v>
      </c>
      <c r="J61" s="39">
        <v>1</v>
      </c>
      <c r="K61" t="s">
        <v>287</v>
      </c>
    </row>
    <row r="62" spans="2:19" x14ac:dyDescent="0.25">
      <c r="B62" s="55" t="s">
        <v>75</v>
      </c>
      <c r="C62" s="94">
        <f>J84</f>
        <v>0.76400000000000001</v>
      </c>
      <c r="D62" s="390">
        <f>C62</f>
        <v>0.76400000000000001</v>
      </c>
      <c r="E62" s="391">
        <f>C62</f>
        <v>0.76400000000000001</v>
      </c>
      <c r="F62" s="391">
        <f>C62</f>
        <v>0.76400000000000001</v>
      </c>
      <c r="G62" s="391">
        <f>C62</f>
        <v>0.76400000000000001</v>
      </c>
      <c r="H62" s="214">
        <f>J84</f>
        <v>0.76400000000000001</v>
      </c>
      <c r="J62" s="39">
        <v>1</v>
      </c>
      <c r="K62" t="s">
        <v>296</v>
      </c>
    </row>
    <row r="63" spans="2:19" ht="15" customHeight="1" x14ac:dyDescent="0.25">
      <c r="B63" s="153" t="s">
        <v>192</v>
      </c>
      <c r="C63" s="36"/>
      <c r="D63" s="246">
        <f>D58*D61*D62+(1-D62)*D58</f>
        <v>-2707507.6437006034</v>
      </c>
      <c r="E63" s="247">
        <f t="shared" ref="E63:H63" si="22">E58*E61*E62+(1-E62)*E58</f>
        <v>71419931.231073871</v>
      </c>
      <c r="F63" s="247">
        <f t="shared" si="22"/>
        <v>78135454.851977021</v>
      </c>
      <c r="G63" s="247">
        <f t="shared" si="22"/>
        <v>165196757.47358555</v>
      </c>
      <c r="H63" s="248">
        <f t="shared" si="22"/>
        <v>95221771.439808249</v>
      </c>
    </row>
    <row r="65" spans="2:11" x14ac:dyDescent="0.25">
      <c r="B65" s="43" t="s">
        <v>219</v>
      </c>
      <c r="C65" s="245">
        <v>0.04</v>
      </c>
      <c r="D65" s="249">
        <f>(1+$C65)^(2022-D53)</f>
        <v>1.2166529024000003</v>
      </c>
      <c r="E65" s="249">
        <f t="shared" ref="E65:H65" si="23">(1+$C65)^(2022-E53)</f>
        <v>1.1698585600000002</v>
      </c>
      <c r="F65" s="249">
        <f t="shared" si="23"/>
        <v>1.1248640000000001</v>
      </c>
      <c r="G65" s="249">
        <f t="shared" si="23"/>
        <v>1.0816000000000001</v>
      </c>
      <c r="H65" s="250">
        <f t="shared" si="23"/>
        <v>1.04</v>
      </c>
      <c r="K65" t="s">
        <v>220</v>
      </c>
    </row>
    <row r="66" spans="2:11" x14ac:dyDescent="0.25">
      <c r="B66" s="36" t="s">
        <v>232</v>
      </c>
      <c r="C66" s="52"/>
      <c r="D66" s="145">
        <f>D63*D65</f>
        <v>-3294097.0329785249</v>
      </c>
      <c r="E66" s="141">
        <f t="shared" ref="E66:H66" si="24">E63*E65</f>
        <v>83551217.905283123</v>
      </c>
      <c r="F66" s="141">
        <f t="shared" si="24"/>
        <v>87891760.286614284</v>
      </c>
      <c r="G66" s="141">
        <f t="shared" si="24"/>
        <v>178676812.88343015</v>
      </c>
      <c r="H66" s="142">
        <f t="shared" si="24"/>
        <v>99030642.297400579</v>
      </c>
      <c r="K66" t="s">
        <v>221</v>
      </c>
    </row>
    <row r="69" spans="2:11" x14ac:dyDescent="0.25">
      <c r="B69" s="82" t="s">
        <v>216</v>
      </c>
      <c r="C69" s="83">
        <f>SUM(D66:H66)</f>
        <v>445856336.33974963</v>
      </c>
    </row>
    <row r="72" spans="2:11" x14ac:dyDescent="0.25">
      <c r="B72">
        <v>1</v>
      </c>
      <c r="C72" t="s">
        <v>124</v>
      </c>
    </row>
    <row r="73" spans="2:11" x14ac:dyDescent="0.25">
      <c r="C73" t="s">
        <v>119</v>
      </c>
      <c r="H73" s="48"/>
    </row>
    <row r="74" spans="2:11" x14ac:dyDescent="0.25">
      <c r="C74" t="s">
        <v>218</v>
      </c>
    </row>
    <row r="76" spans="2:11" x14ac:dyDescent="0.25">
      <c r="C76" t="s">
        <v>297</v>
      </c>
    </row>
    <row r="77" spans="2:11" x14ac:dyDescent="0.25">
      <c r="C77" s="334" t="s">
        <v>288</v>
      </c>
      <c r="D77" s="335"/>
      <c r="E77" s="335"/>
      <c r="F77" s="335"/>
      <c r="G77" s="335"/>
      <c r="H77" s="335"/>
      <c r="I77" s="336"/>
      <c r="J77" s="337" t="s">
        <v>289</v>
      </c>
    </row>
    <row r="78" spans="2:11" x14ac:dyDescent="0.25">
      <c r="C78" s="338" t="s">
        <v>290</v>
      </c>
      <c r="D78" s="339"/>
      <c r="E78" s="339"/>
      <c r="F78" s="339"/>
      <c r="G78" s="339" t="s">
        <v>291</v>
      </c>
      <c r="H78" s="339"/>
      <c r="I78" s="333">
        <v>792291643.80034006</v>
      </c>
      <c r="J78" s="393">
        <v>0.82410005879817771</v>
      </c>
    </row>
    <row r="79" spans="2:11" x14ac:dyDescent="0.25">
      <c r="C79" s="338" t="s">
        <v>292</v>
      </c>
      <c r="D79" s="339"/>
      <c r="E79" s="339"/>
      <c r="F79" s="339"/>
      <c r="G79" s="339" t="s">
        <v>291</v>
      </c>
      <c r="H79" s="339"/>
      <c r="I79" s="333">
        <v>169110597.76214051</v>
      </c>
      <c r="J79" s="340"/>
    </row>
    <row r="80" spans="2:11" x14ac:dyDescent="0.25">
      <c r="C80" s="338"/>
      <c r="D80" s="339"/>
      <c r="E80" s="339"/>
      <c r="F80" s="339"/>
      <c r="G80" s="339"/>
      <c r="H80" s="339"/>
      <c r="I80" s="341"/>
      <c r="J80" s="340"/>
    </row>
    <row r="81" spans="3:10" x14ac:dyDescent="0.25">
      <c r="C81" s="342" t="s">
        <v>293</v>
      </c>
      <c r="D81" s="339"/>
      <c r="E81" s="339"/>
      <c r="F81" s="339"/>
      <c r="G81" s="339"/>
      <c r="H81" s="339"/>
      <c r="I81" s="343"/>
      <c r="J81" s="340"/>
    </row>
    <row r="82" spans="3:10" x14ac:dyDescent="0.25">
      <c r="C82" s="338" t="s">
        <v>294</v>
      </c>
      <c r="D82" s="339"/>
      <c r="E82" s="339"/>
      <c r="F82" s="339"/>
      <c r="G82" s="339" t="s">
        <v>291</v>
      </c>
      <c r="H82" s="339"/>
      <c r="I82" s="333">
        <v>676696272.32594287</v>
      </c>
      <c r="J82" s="393">
        <v>0.70386383874679703</v>
      </c>
    </row>
    <row r="83" spans="3:10" x14ac:dyDescent="0.25">
      <c r="C83" s="344" t="s">
        <v>295</v>
      </c>
      <c r="D83" s="345"/>
      <c r="E83" s="345"/>
      <c r="F83" s="345"/>
      <c r="G83" s="345" t="s">
        <v>291</v>
      </c>
      <c r="H83" s="345"/>
      <c r="I83" s="79">
        <v>284705969.23653746</v>
      </c>
      <c r="J83" s="346"/>
    </row>
    <row r="84" spans="3:10" x14ac:dyDescent="0.25">
      <c r="J84" s="392">
        <f>ROUND(AVERAGE(J78,J82),3)</f>
        <v>0.76400000000000001</v>
      </c>
    </row>
  </sheetData>
  <mergeCells count="9">
    <mergeCell ref="B10:I10"/>
    <mergeCell ref="K10:R10"/>
    <mergeCell ref="K32:Q32"/>
    <mergeCell ref="B32:H32"/>
    <mergeCell ref="B51:H51"/>
    <mergeCell ref="I13:I21"/>
    <mergeCell ref="I22:I27"/>
    <mergeCell ref="R13:R21"/>
    <mergeCell ref="R22:R2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H29"/>
  <sheetViews>
    <sheetView workbookViewId="0">
      <selection activeCell="E33" sqref="E33"/>
    </sheetView>
  </sheetViews>
  <sheetFormatPr defaultRowHeight="15" x14ac:dyDescent="0.25"/>
  <cols>
    <col min="2" max="2" width="36.28515625" bestFit="1" customWidth="1"/>
    <col min="3" max="3" width="7.28515625" style="39" customWidth="1"/>
    <col min="4" max="6" width="16.28515625" bestFit="1" customWidth="1"/>
  </cols>
  <sheetData>
    <row r="2" spans="2:8" s="34" customFormat="1" ht="18" x14ac:dyDescent="0.25">
      <c r="B2" s="34" t="s">
        <v>105</v>
      </c>
    </row>
    <row r="3" spans="2:8" x14ac:dyDescent="0.25">
      <c r="C3"/>
    </row>
    <row r="4" spans="2:8" x14ac:dyDescent="0.25">
      <c r="B4" t="s">
        <v>38</v>
      </c>
      <c r="C4"/>
    </row>
    <row r="5" spans="2:8" x14ac:dyDescent="0.25">
      <c r="B5" t="s">
        <v>107</v>
      </c>
      <c r="C5"/>
    </row>
    <row r="6" spans="2:8" x14ac:dyDescent="0.25">
      <c r="B6" t="s">
        <v>355</v>
      </c>
      <c r="C6"/>
    </row>
    <row r="7" spans="2:8" x14ac:dyDescent="0.25">
      <c r="C7"/>
    </row>
    <row r="8" spans="2:8" s="3" customFormat="1" ht="12.75" x14ac:dyDescent="0.25">
      <c r="C8" s="59"/>
      <c r="D8" s="59"/>
    </row>
    <row r="11" spans="2:8" x14ac:dyDescent="0.25">
      <c r="B11" s="82" t="s">
        <v>108</v>
      </c>
      <c r="C11" s="56"/>
      <c r="D11" s="114">
        <v>2017</v>
      </c>
      <c r="E11" s="114">
        <v>2018</v>
      </c>
      <c r="F11" s="114">
        <v>2019</v>
      </c>
      <c r="H11" t="s">
        <v>200</v>
      </c>
    </row>
    <row r="12" spans="2:8" x14ac:dyDescent="0.25">
      <c r="B12" s="43" t="s">
        <v>62</v>
      </c>
      <c r="C12" s="45" t="s">
        <v>61</v>
      </c>
      <c r="D12" s="312">
        <v>85.1</v>
      </c>
      <c r="E12" s="312">
        <v>85.2</v>
      </c>
      <c r="F12" s="312">
        <v>91.5</v>
      </c>
      <c r="H12" t="s">
        <v>378</v>
      </c>
    </row>
    <row r="13" spans="2:8" x14ac:dyDescent="0.25">
      <c r="B13" s="43" t="s">
        <v>67</v>
      </c>
      <c r="C13" s="45" t="s">
        <v>61</v>
      </c>
      <c r="D13" s="311">
        <f>'RFR 17-21'!D57/1000000</f>
        <v>6945.9973469206388</v>
      </c>
      <c r="E13" s="311">
        <f>'RFR 17-21'!E57/1000000</f>
        <v>6955.2710471017153</v>
      </c>
      <c r="F13" s="311">
        <f>'RFR 17-21'!F57/1000000</f>
        <v>6739.9436421194741</v>
      </c>
      <c r="H13" t="s">
        <v>298</v>
      </c>
    </row>
    <row r="14" spans="2:8" x14ac:dyDescent="0.25">
      <c r="B14" s="38" t="s">
        <v>65</v>
      </c>
      <c r="C14" s="266" t="s">
        <v>61</v>
      </c>
      <c r="D14" s="267">
        <f>'RFR 17-21'!M45</f>
        <v>0.5</v>
      </c>
      <c r="E14" s="265">
        <f>'RFR 17-21'!N45</f>
        <v>0.5</v>
      </c>
      <c r="F14" s="268">
        <f>'RFR 17-21'!O45</f>
        <v>0.5</v>
      </c>
      <c r="H14" t="s">
        <v>300</v>
      </c>
    </row>
    <row r="15" spans="2:8" x14ac:dyDescent="0.25">
      <c r="B15" s="117" t="s">
        <v>84</v>
      </c>
      <c r="C15" s="112" t="s">
        <v>61</v>
      </c>
      <c r="D15" s="269">
        <f>'RFR 17-21'!D39</f>
        <v>3.3211000000000004E-2</v>
      </c>
      <c r="E15" s="271">
        <f>'RFR 17-21'!E39</f>
        <v>3.0642000000000003E-2</v>
      </c>
      <c r="F15" s="270">
        <f>'RFR 17-21'!F39</f>
        <v>2.8072999999999997E-2</v>
      </c>
      <c r="H15" t="s">
        <v>299</v>
      </c>
    </row>
    <row r="16" spans="2:8" x14ac:dyDescent="0.25">
      <c r="B16" s="36" t="s">
        <v>103</v>
      </c>
      <c r="C16" s="112" t="s">
        <v>61</v>
      </c>
      <c r="D16" s="313">
        <f>D13*D14*D15</f>
        <v>115.34175894429069</v>
      </c>
      <c r="E16" s="313">
        <f t="shared" ref="E16:F16" si="0">E13*E14*E15</f>
        <v>106.56170771264539</v>
      </c>
      <c r="F16" s="313">
        <f t="shared" si="0"/>
        <v>94.605218932609986</v>
      </c>
      <c r="H16" t="s">
        <v>301</v>
      </c>
    </row>
    <row r="17" spans="2:8" x14ac:dyDescent="0.25">
      <c r="B17" s="82" t="s">
        <v>68</v>
      </c>
      <c r="C17" s="108" t="s">
        <v>61</v>
      </c>
      <c r="D17" s="314">
        <f>D16-D12</f>
        <v>30.241758944290694</v>
      </c>
      <c r="E17" s="314">
        <f t="shared" ref="E17:F17" si="1">E16-E12</f>
        <v>21.361707712645384</v>
      </c>
      <c r="F17" s="314">
        <f t="shared" si="1"/>
        <v>3.1052189326099864</v>
      </c>
      <c r="H17" t="s">
        <v>302</v>
      </c>
    </row>
    <row r="19" spans="2:8" x14ac:dyDescent="0.25">
      <c r="B19" s="35" t="s">
        <v>110</v>
      </c>
      <c r="C19" s="57"/>
      <c r="D19" s="114">
        <v>2017</v>
      </c>
      <c r="E19" s="114">
        <v>2018</v>
      </c>
      <c r="F19" s="110">
        <v>2019</v>
      </c>
    </row>
    <row r="20" spans="2:8" x14ac:dyDescent="0.25">
      <c r="B20" s="43" t="s">
        <v>62</v>
      </c>
      <c r="C20" s="45" t="s">
        <v>61</v>
      </c>
      <c r="D20" s="106">
        <v>79</v>
      </c>
      <c r="E20" s="106">
        <v>74</v>
      </c>
      <c r="F20" s="118">
        <v>81</v>
      </c>
      <c r="G20" s="44"/>
      <c r="H20" t="s">
        <v>379</v>
      </c>
    </row>
    <row r="21" spans="2:8" x14ac:dyDescent="0.25">
      <c r="B21" s="43" t="s">
        <v>104</v>
      </c>
      <c r="C21" s="45" t="s">
        <v>61</v>
      </c>
      <c r="D21" s="106">
        <v>9600</v>
      </c>
      <c r="E21" s="106">
        <v>9602</v>
      </c>
      <c r="F21" s="118">
        <v>9817</v>
      </c>
      <c r="H21" t="s">
        <v>380</v>
      </c>
    </row>
    <row r="22" spans="2:8" x14ac:dyDescent="0.25">
      <c r="B22" s="36" t="s">
        <v>201</v>
      </c>
      <c r="C22" s="112" t="s">
        <v>61</v>
      </c>
      <c r="D22" s="113">
        <f>D13</f>
        <v>6945.9973469206388</v>
      </c>
      <c r="E22" s="113">
        <f t="shared" ref="E22:F22" si="2">E13</f>
        <v>6955.2710471017153</v>
      </c>
      <c r="F22" s="116">
        <f t="shared" si="2"/>
        <v>6739.9436421194741</v>
      </c>
      <c r="H22" t="s">
        <v>100</v>
      </c>
    </row>
    <row r="23" spans="2:8" x14ac:dyDescent="0.25">
      <c r="B23" s="40" t="s">
        <v>69</v>
      </c>
      <c r="C23" s="107" t="s">
        <v>61</v>
      </c>
      <c r="D23" s="115">
        <f>(D22/D21)*D20</f>
        <v>57.159769834034428</v>
      </c>
      <c r="E23" s="115">
        <f t="shared" ref="E23:F23" si="3">(E22/E21)*E20</f>
        <v>53.602380492139858</v>
      </c>
      <c r="F23" s="105">
        <f t="shared" si="3"/>
        <v>55.611228991716146</v>
      </c>
      <c r="H23" t="s">
        <v>111</v>
      </c>
    </row>
    <row r="24" spans="2:8" x14ac:dyDescent="0.25">
      <c r="B24" s="82" t="s">
        <v>109</v>
      </c>
      <c r="C24" s="108" t="s">
        <v>61</v>
      </c>
      <c r="D24" s="83">
        <f>D12-D23</f>
        <v>27.940230165965566</v>
      </c>
      <c r="E24" s="83">
        <f t="shared" ref="E24:F24" si="4">E12-E23</f>
        <v>31.597619507860145</v>
      </c>
      <c r="F24" s="109">
        <f t="shared" si="4"/>
        <v>35.888771008283854</v>
      </c>
      <c r="H24" t="s">
        <v>222</v>
      </c>
    </row>
    <row r="25" spans="2:8" x14ac:dyDescent="0.25">
      <c r="C25"/>
    </row>
    <row r="26" spans="2:8" x14ac:dyDescent="0.25">
      <c r="B26" s="82" t="s">
        <v>70</v>
      </c>
      <c r="C26" s="108" t="s">
        <v>61</v>
      </c>
      <c r="D26" s="111">
        <f>D17+D24</f>
        <v>58.181989110256261</v>
      </c>
      <c r="E26" s="83">
        <f t="shared" ref="E26:F26" si="5">E17+E24</f>
        <v>52.959327220505529</v>
      </c>
      <c r="F26" s="109">
        <f t="shared" si="5"/>
        <v>38.99398994089384</v>
      </c>
      <c r="H26" t="s">
        <v>223</v>
      </c>
    </row>
    <row r="27" spans="2:8" x14ac:dyDescent="0.25">
      <c r="B27" s="43" t="s">
        <v>219</v>
      </c>
      <c r="C27" s="273"/>
      <c r="D27" s="308">
        <f>'RFR 17-21'!D65</f>
        <v>1.2166529024000003</v>
      </c>
      <c r="E27" s="309">
        <f>'RFR 17-21'!E65</f>
        <v>1.1698585600000002</v>
      </c>
      <c r="F27" s="310">
        <f>'RFR 17-21'!F65</f>
        <v>1.1248640000000001</v>
      </c>
      <c r="H27" t="s">
        <v>220</v>
      </c>
    </row>
    <row r="28" spans="2:8" x14ac:dyDescent="0.25">
      <c r="B28" s="36" t="s">
        <v>232</v>
      </c>
      <c r="C28" s="266" t="s">
        <v>61</v>
      </c>
      <c r="D28" s="115">
        <f>D27*D26</f>
        <v>70.787285918398496</v>
      </c>
      <c r="E28" s="115">
        <f t="shared" ref="E28:F28" si="6">E27*E26</f>
        <v>61.954922280749415</v>
      </c>
      <c r="F28" s="105">
        <f t="shared" si="6"/>
        <v>43.862935500873611</v>
      </c>
      <c r="H28" t="s">
        <v>254</v>
      </c>
    </row>
    <row r="29" spans="2:8" x14ac:dyDescent="0.25">
      <c r="B29" s="82" t="s">
        <v>112</v>
      </c>
      <c r="C29" s="108" t="s">
        <v>61</v>
      </c>
      <c r="D29" s="83">
        <f>SUM(D28:F28)</f>
        <v>176.60514370002153</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Titelblad</vt:lpstr>
      <vt:lpstr>Toelichting</vt:lpstr>
      <vt:lpstr>Bronnen en toepassingen</vt:lpstr>
      <vt:lpstr>Afschrijven en stelsel-------&gt; </vt:lpstr>
      <vt:lpstr> Afschrijven en stelsel</vt:lpstr>
      <vt:lpstr>RFR 17-21 -------&gt;</vt:lpstr>
      <vt:lpstr>10 Y Bonds</vt:lpstr>
      <vt:lpstr>RFR 17-21</vt:lpstr>
      <vt:lpstr>GTS financiering</vt:lpstr>
      <vt:lpstr>RFR 22-26 ------&gt;</vt:lpstr>
      <vt:lpstr>RFR 22-26</vt:lpstr>
      <vt:lpstr>Rente opslag</vt:lpstr>
      <vt:lpstr>Kapitaalkosten -------&gt;</vt:lpstr>
      <vt:lpstr>Ideaalcomplex 17-21</vt:lpstr>
      <vt:lpstr>GTS IP 22-26</vt:lpstr>
      <vt:lpstr>Nacalculatie 17 - 19 -------&gt;</vt:lpstr>
      <vt:lpstr>Nacalculatie</vt:lpstr>
      <vt:lpstr>' Afschrijven en stelsel'!comments</vt:lpstr>
      <vt:lpstr>'Rente opslag'!comments</vt:lpstr>
      <vt:lpstr>'RFR 17-21'!comments</vt:lpstr>
      <vt:lpstr>'RFR 22-26'!comments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dc:creator>
  <cp:lastModifiedBy>Akker, Angelina van den</cp:lastModifiedBy>
  <dcterms:created xsi:type="dcterms:W3CDTF">2020-07-13T13:47:21Z</dcterms:created>
  <dcterms:modified xsi:type="dcterms:W3CDTF">2020-10-12T13:14:24Z</dcterms:modified>
</cp:coreProperties>
</file>