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7 RN\04 Projecten en zaken\REG2022 modellen RNB's (tijdelijk)\Definitieve modellen MB\Elektriciteit\"/>
    </mc:Choice>
  </mc:AlternateContent>
  <xr:revisionPtr revIDLastSave="0" documentId="13_ncr:1_{9C44A7B8-56AC-427D-B3C4-483013F0994B}" xr6:coauthVersionLast="46" xr6:coauthVersionMax="46" xr10:uidLastSave="{00000000-0000-0000-0000-000000000000}"/>
  <bookViews>
    <workbookView xWindow="-120" yWindow="-120" windowWidth="29040" windowHeight="15840" tabRatio="894" xr2:uid="{00000000-000D-0000-FFFF-FFFF00000000}"/>
  </bookViews>
  <sheets>
    <sheet name="Titelblad" sheetId="24" r:id="rId1"/>
    <sheet name="Toelichting" sheetId="25" r:id="rId2"/>
    <sheet name="Bronnen en toepassingen" sheetId="26" r:id="rId3"/>
    <sheet name="Bijlage 1" sheetId="21" r:id="rId4"/>
    <sheet name="Input -&gt;" sheetId="15" r:id="rId5"/>
    <sheet name="1) Reguleringsparameters" sheetId="14" r:id="rId6"/>
    <sheet name="2) Kosten 2015-2020" sheetId="8" r:id="rId7"/>
    <sheet name="3) BI, EAV, SO &amp; PV" sheetId="17" r:id="rId8"/>
    <sheet name="Berekeningen --&gt;" sheetId="19" r:id="rId9"/>
    <sheet name="4) Berekeningen op parameters" sheetId="29" r:id="rId10"/>
    <sheet name="5) Productiviteitsverandering" sheetId="18" r:id="rId11"/>
    <sheet name="6) Totale kosten maatstaf" sheetId="7" r:id="rId12"/>
    <sheet name="7) X-factor + begininkomsten" sheetId="2" r:id="rId13"/>
    <sheet name="8) Q-factor &amp; tariefruimte" sheetId="28" r:id="rId14"/>
  </sheets>
  <definedNames>
    <definedName name="AS2DocOpenMode" hidden="1">"AS2DocumentEdit"</definedName>
    <definedName name="SAPBEXhrIndnt" hidden="1">"Wide"</definedName>
    <definedName name="SAPsysID" hidden="1">"708C5W7SBKP804JT78WJ0JNKI"</definedName>
    <definedName name="SAPwbID" hidden="1">"ARS"</definedName>
    <definedName name="solver_adj" localSheetId="12" hidden="1">'7) X-factor + begininkomsten'!$H$85</definedName>
    <definedName name="solver_adj" localSheetId="13" hidden="1">'8) Q-factor &amp; tariefruimte'!$L$31,'8) Q-factor &amp; tariefruimte'!$M$31,'8) Q-factor &amp; tariefruimte'!$N$31,'8) Q-factor &amp; tariefruimte'!$O$31,'8) Q-factor &amp; tariefruimte'!$P$31,'8) Q-factor &amp; tariefruimte'!$Q$31</definedName>
    <definedName name="solver_cvg" localSheetId="12" hidden="1">0.0001</definedName>
    <definedName name="solver_cvg" localSheetId="13" hidden="1">0.0001</definedName>
    <definedName name="solver_drv" localSheetId="12" hidden="1">1</definedName>
    <definedName name="solver_drv" localSheetId="13" hidden="1">1</definedName>
    <definedName name="solver_eng" localSheetId="12" hidden="1">1</definedName>
    <definedName name="solver_eng" localSheetId="13" hidden="1">1</definedName>
    <definedName name="solver_est" localSheetId="12" hidden="1">1</definedName>
    <definedName name="solver_est" localSheetId="13" hidden="1">1</definedName>
    <definedName name="solver_itr" localSheetId="12" hidden="1">2147483647</definedName>
    <definedName name="solver_itr" localSheetId="13" hidden="1">2147483647</definedName>
    <definedName name="solver_lhs0" localSheetId="12" hidden="1">'7) X-factor + begininkomsten'!$H$95</definedName>
    <definedName name="solver_lhs0" localSheetId="13" hidden="1">'8) Q-factor &amp; tariefruimte'!$Q$28</definedName>
    <definedName name="solver_lhs1" localSheetId="12" hidden="1">'7) X-factor + begininkomsten'!$H$82</definedName>
    <definedName name="solver_lhs1" localSheetId="13" hidden="1">'8) Q-factor &amp; tariefruimte'!$L$28</definedName>
    <definedName name="solver_lhs10" localSheetId="12" hidden="1">'7) X-factor + begininkomsten'!#REF!</definedName>
    <definedName name="solver_lhs10" localSheetId="13" hidden="1">'8) Q-factor &amp; tariefruimte'!#REF!</definedName>
    <definedName name="solver_lhs11" localSheetId="12" hidden="1">'7) X-factor + begininkomsten'!#REF!</definedName>
    <definedName name="solver_lhs11" localSheetId="13" hidden="1">'8) Q-factor &amp; tariefruimte'!#REF!</definedName>
    <definedName name="solver_lhs12" localSheetId="12" hidden="1">'7) X-factor + begininkomsten'!#REF!</definedName>
    <definedName name="solver_lhs12" localSheetId="13" hidden="1">'8) Q-factor &amp; tariefruimte'!#REF!</definedName>
    <definedName name="solver_lhs13" localSheetId="12" hidden="1">'7) X-factor + begininkomsten'!#REF!</definedName>
    <definedName name="solver_lhs13" localSheetId="13" hidden="1">'8) Q-factor &amp; tariefruimte'!#REF!</definedName>
    <definedName name="solver_lhs14" localSheetId="12" hidden="1">'7) X-factor + begininkomsten'!#REF!</definedName>
    <definedName name="solver_lhs14" localSheetId="13" hidden="1">'8) Q-factor &amp; tariefruimte'!#REF!</definedName>
    <definedName name="solver_lhs15" localSheetId="12" hidden="1">'7) X-factor + begininkomsten'!#REF!</definedName>
    <definedName name="solver_lhs15" localSheetId="13" hidden="1">'8) Q-factor &amp; tariefruimte'!#REF!</definedName>
    <definedName name="solver_lhs2" localSheetId="12" hidden="1">'7) X-factor + begininkomsten'!#REF!</definedName>
    <definedName name="solver_lhs2" localSheetId="13" hidden="1">'8) Q-factor &amp; tariefruimte'!$M$28</definedName>
    <definedName name="solver_lhs3" localSheetId="12" hidden="1">'7) X-factor + begininkomsten'!#REF!</definedName>
    <definedName name="solver_lhs3" localSheetId="13" hidden="1">'8) Q-factor &amp; tariefruimte'!$N$28</definedName>
    <definedName name="solver_lhs4" localSheetId="12" hidden="1">'7) X-factor + begininkomsten'!#REF!</definedName>
    <definedName name="solver_lhs4" localSheetId="13" hidden="1">'8) Q-factor &amp; tariefruimte'!$O$28</definedName>
    <definedName name="solver_lhs5" localSheetId="12" hidden="1">'7) X-factor + begininkomsten'!#REF!</definedName>
    <definedName name="solver_lhs5" localSheetId="13" hidden="1">'8) Q-factor &amp; tariefruimte'!$P$28</definedName>
    <definedName name="solver_lhs6" localSheetId="12" hidden="1">'7) X-factor + begininkomsten'!#REF!</definedName>
    <definedName name="solver_lhs6" localSheetId="13" hidden="1">'8) Q-factor &amp; tariefruimte'!$Q$28</definedName>
    <definedName name="solver_lhs7" localSheetId="12" hidden="1">'7) X-factor + begininkomsten'!#REF!</definedName>
    <definedName name="solver_lhs7" localSheetId="13" hidden="1">'8) Q-factor &amp; tariefruimte'!$Q$28</definedName>
    <definedName name="solver_lhs8" localSheetId="12" hidden="1">'7) X-factor + begininkomsten'!#REF!</definedName>
    <definedName name="solver_lhs8" localSheetId="13" hidden="1">'8) Q-factor &amp; tariefruimte'!#REF!</definedName>
    <definedName name="solver_lhs9" localSheetId="12" hidden="1">'7) X-factor + begininkomsten'!$Q$95</definedName>
    <definedName name="solver_lhs9" localSheetId="13" hidden="1">'8) Q-factor &amp; tariefruimte'!#REF!</definedName>
    <definedName name="solver_mip" localSheetId="12" hidden="1">2147483647</definedName>
    <definedName name="solver_mip" localSheetId="13" hidden="1">2147483647</definedName>
    <definedName name="solver_mni" localSheetId="12" hidden="1">30</definedName>
    <definedName name="solver_mni" localSheetId="13" hidden="1">30</definedName>
    <definedName name="solver_mrt" localSheetId="12" hidden="1">0.075</definedName>
    <definedName name="solver_mrt" localSheetId="13" hidden="1">0.075</definedName>
    <definedName name="solver_msl" localSheetId="12" hidden="1">2</definedName>
    <definedName name="solver_msl" localSheetId="13" hidden="1">2</definedName>
    <definedName name="solver_neg" localSheetId="12" hidden="1">2</definedName>
    <definedName name="solver_neg" localSheetId="13" hidden="1">2</definedName>
    <definedName name="solver_nod" localSheetId="12" hidden="1">2147483647</definedName>
    <definedName name="solver_nod" localSheetId="13" hidden="1">2147483647</definedName>
    <definedName name="solver_num" localSheetId="12" hidden="1">1</definedName>
    <definedName name="solver_num" localSheetId="13" hidden="1">6</definedName>
    <definedName name="solver_nwt" localSheetId="12" hidden="1">1</definedName>
    <definedName name="solver_nwt" localSheetId="13" hidden="1">1</definedName>
    <definedName name="solver_opt" localSheetId="12" hidden="1">'7) X-factor + begininkomsten'!$H$95</definedName>
    <definedName name="solver_opt" localSheetId="13" hidden="1">'8) Q-factor &amp; tariefruimte'!$L$31</definedName>
    <definedName name="solver_pre" localSheetId="12" hidden="1">0.0000001</definedName>
    <definedName name="solver_pre" localSheetId="13" hidden="1">0.0000000001</definedName>
    <definedName name="solver_rbv" localSheetId="12" hidden="1">1</definedName>
    <definedName name="solver_rbv" localSheetId="13" hidden="1">1</definedName>
    <definedName name="solver_rel0" localSheetId="12" hidden="1">2</definedName>
    <definedName name="solver_rel0" localSheetId="13" hidden="1">2</definedName>
    <definedName name="solver_rel1" localSheetId="12" hidden="1">2</definedName>
    <definedName name="solver_rel1" localSheetId="13" hidden="1">2</definedName>
    <definedName name="solver_rel10" localSheetId="12" hidden="1">2</definedName>
    <definedName name="solver_rel10" localSheetId="13" hidden="1">2</definedName>
    <definedName name="solver_rel11" localSheetId="12" hidden="1">2</definedName>
    <definedName name="solver_rel11" localSheetId="13" hidden="1">2</definedName>
    <definedName name="solver_rel12" localSheetId="12" hidden="1">2</definedName>
    <definedName name="solver_rel12" localSheetId="13" hidden="1">2</definedName>
    <definedName name="solver_rel13" localSheetId="12" hidden="1">2</definedName>
    <definedName name="solver_rel13" localSheetId="13" hidden="1">2</definedName>
    <definedName name="solver_rel14" localSheetId="12" hidden="1">2</definedName>
    <definedName name="solver_rel14" localSheetId="13" hidden="1">2</definedName>
    <definedName name="solver_rel15" localSheetId="12" hidden="1">2</definedName>
    <definedName name="solver_rel15" localSheetId="13" hidden="1">2</definedName>
    <definedName name="solver_rel2" localSheetId="12" hidden="1">2</definedName>
    <definedName name="solver_rel2" localSheetId="13" hidden="1">2</definedName>
    <definedName name="solver_rel3" localSheetId="12" hidden="1">2</definedName>
    <definedName name="solver_rel3" localSheetId="13" hidden="1">2</definedName>
    <definedName name="solver_rel4" localSheetId="12" hidden="1">2</definedName>
    <definedName name="solver_rel4" localSheetId="13" hidden="1">2</definedName>
    <definedName name="solver_rel5" localSheetId="12" hidden="1">2</definedName>
    <definedName name="solver_rel5" localSheetId="13" hidden="1">2</definedName>
    <definedName name="solver_rel6" localSheetId="12" hidden="1">2</definedName>
    <definedName name="solver_rel6" localSheetId="13" hidden="1">2</definedName>
    <definedName name="solver_rel7" localSheetId="12" hidden="1">2</definedName>
    <definedName name="solver_rel7" localSheetId="13" hidden="1">2</definedName>
    <definedName name="solver_rel8" localSheetId="12" hidden="1">2</definedName>
    <definedName name="solver_rel8" localSheetId="13" hidden="1">2</definedName>
    <definedName name="solver_rel9" localSheetId="12" hidden="1">2</definedName>
    <definedName name="solver_rel9" localSheetId="13" hidden="1">2</definedName>
    <definedName name="solver_rhs0" localSheetId="12" hidden="1">'7) X-factor + begininkomsten'!#REF!</definedName>
    <definedName name="solver_rhs0" localSheetId="13" hidden="1">'8) Q-factor &amp; tariefruimte'!$Q$27</definedName>
    <definedName name="solver_rhs1" localSheetId="12" hidden="1">'7) X-factor + begininkomsten'!$H$95</definedName>
    <definedName name="solver_rhs1" localSheetId="13" hidden="1">'8) Q-factor &amp; tariefruimte'!$L$27</definedName>
    <definedName name="solver_rhs10" localSheetId="12" hidden="1">'7) X-factor + begininkomsten'!$Q$95</definedName>
    <definedName name="solver_rhs10" localSheetId="13" hidden="1">'8) Q-factor &amp; tariefruimte'!#REF!</definedName>
    <definedName name="solver_rhs11" localSheetId="12" hidden="1">'7) X-factor + begininkomsten'!$Q$95</definedName>
    <definedName name="solver_rhs11" localSheetId="13" hidden="1">'8) Q-factor &amp; tariefruimte'!#REF!</definedName>
    <definedName name="solver_rhs12" localSheetId="12" hidden="1">'7) X-factor + begininkomsten'!$Q$95</definedName>
    <definedName name="solver_rhs12" localSheetId="13" hidden="1">'8) Q-factor &amp; tariefruimte'!#REF!</definedName>
    <definedName name="solver_rhs13" localSheetId="12" hidden="1">'7) X-factor + begininkomsten'!$Q$95</definedName>
    <definedName name="solver_rhs13" localSheetId="13" hidden="1">'8) Q-factor &amp; tariefruimte'!#REF!</definedName>
    <definedName name="solver_rhs14" localSheetId="12" hidden="1">'7) X-factor + begininkomsten'!$Q$95</definedName>
    <definedName name="solver_rhs14" localSheetId="13" hidden="1">'8) Q-factor &amp; tariefruimte'!#REF!</definedName>
    <definedName name="solver_rhs15" localSheetId="12" hidden="1">'7) X-factor + begininkomsten'!$Q$95</definedName>
    <definedName name="solver_rhs15" localSheetId="13" hidden="1">'8) Q-factor &amp; tariefruimte'!#REF!</definedName>
    <definedName name="solver_rhs2" localSheetId="12" hidden="1">'7) X-factor + begininkomsten'!#REF!</definedName>
    <definedName name="solver_rhs2" localSheetId="13" hidden="1">'8) Q-factor &amp; tariefruimte'!$M$27</definedName>
    <definedName name="solver_rhs3" localSheetId="12" hidden="1">'7) X-factor + begininkomsten'!#REF!</definedName>
    <definedName name="solver_rhs3" localSheetId="13" hidden="1">'8) Q-factor &amp; tariefruimte'!$N$27</definedName>
    <definedName name="solver_rhs4" localSheetId="12" hidden="1">'7) X-factor + begininkomsten'!#REF!</definedName>
    <definedName name="solver_rhs4" localSheetId="13" hidden="1">'8) Q-factor &amp; tariefruimte'!$O$27</definedName>
    <definedName name="solver_rhs5" localSheetId="12" hidden="1">'7) X-factor + begininkomsten'!#REF!</definedName>
    <definedName name="solver_rhs5" localSheetId="13" hidden="1">'8) Q-factor &amp; tariefruimte'!$P$27</definedName>
    <definedName name="solver_rhs6" localSheetId="12" hidden="1">'7) X-factor + begininkomsten'!#REF!</definedName>
    <definedName name="solver_rhs6" localSheetId="13" hidden="1">'8) Q-factor &amp; tariefruimte'!$Q$27</definedName>
    <definedName name="solver_rhs7" localSheetId="12" hidden="1">'7) X-factor + begininkomsten'!#REF!</definedName>
    <definedName name="solver_rhs7" localSheetId="13" hidden="1">'8) Q-factor &amp; tariefruimte'!$Q$27</definedName>
    <definedName name="solver_rhs8" localSheetId="12" hidden="1">'7) X-factor + begininkomsten'!#REF!</definedName>
    <definedName name="solver_rhs8" localSheetId="13" hidden="1">'8) Q-factor &amp; tariefruimte'!#REF!</definedName>
    <definedName name="solver_rhs9" localSheetId="12" hidden="1">'7) X-factor + begininkomsten'!#REF!</definedName>
    <definedName name="solver_rhs9" localSheetId="13" hidden="1">'8) Q-factor &amp; tariefruimte'!#REF!</definedName>
    <definedName name="solver_rlx" localSheetId="12" hidden="1">2</definedName>
    <definedName name="solver_rlx" localSheetId="13" hidden="1">2</definedName>
    <definedName name="solver_rsd" localSheetId="12" hidden="1">0</definedName>
    <definedName name="solver_rsd" localSheetId="13" hidden="1">0</definedName>
    <definedName name="solver_scl" localSheetId="12" hidden="1">1</definedName>
    <definedName name="solver_scl" localSheetId="13" hidden="1">1</definedName>
    <definedName name="solver_sho" localSheetId="12" hidden="1">2</definedName>
    <definedName name="solver_sho" localSheetId="13" hidden="1">2</definedName>
    <definedName name="solver_ssz" localSheetId="12" hidden="1">100</definedName>
    <definedName name="solver_ssz" localSheetId="13" hidden="1">100</definedName>
    <definedName name="solver_tim" localSheetId="12" hidden="1">2147483647</definedName>
    <definedName name="solver_tim" localSheetId="13" hidden="1">2147483647</definedName>
    <definedName name="solver_tol" localSheetId="12" hidden="1">0.01</definedName>
    <definedName name="solver_tol" localSheetId="13" hidden="1">0.01</definedName>
    <definedName name="solver_typ" localSheetId="12" hidden="1">1</definedName>
    <definedName name="solver_typ" localSheetId="13" hidden="1">1</definedName>
    <definedName name="solver_val" localSheetId="12" hidden="1">0</definedName>
    <definedName name="solver_val" localSheetId="13" hidden="1">0</definedName>
    <definedName name="solver_ver" localSheetId="12" hidden="1">3</definedName>
    <definedName name="solver_ver" localSheetId="13"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3" i="18" l="1"/>
  <c r="O34" i="7"/>
  <c r="O33" i="7"/>
  <c r="O26" i="7" l="1"/>
  <c r="O25" i="7"/>
  <c r="O23" i="7"/>
  <c r="R41" i="29" l="1"/>
  <c r="H40" i="29"/>
  <c r="H39" i="29"/>
  <c r="V52" i="18" l="1"/>
  <c r="V51" i="18"/>
  <c r="V50" i="18"/>
  <c r="V49" i="18"/>
  <c r="U52" i="18"/>
  <c r="U51" i="18"/>
  <c r="U50" i="18"/>
  <c r="U49" i="18"/>
  <c r="T52" i="18"/>
  <c r="T51" i="18"/>
  <c r="T50" i="18"/>
  <c r="T49" i="18"/>
  <c r="S52" i="18"/>
  <c r="R52" i="18"/>
  <c r="S51" i="18"/>
  <c r="R51" i="18"/>
  <c r="S50" i="18"/>
  <c r="S49" i="18"/>
  <c r="O58" i="18"/>
  <c r="Q56" i="18"/>
  <c r="Q57" i="18"/>
  <c r="R57" i="18"/>
  <c r="R59" i="18"/>
  <c r="Q59" i="18"/>
  <c r="P59" i="18"/>
  <c r="O59" i="18"/>
  <c r="N58" i="18"/>
  <c r="M58" i="18"/>
  <c r="L58" i="18"/>
  <c r="P56" i="18"/>
  <c r="P61" i="18" s="1"/>
  <c r="O56" i="18"/>
  <c r="O55" i="18"/>
  <c r="O60" i="18" s="1"/>
  <c r="N55" i="18"/>
  <c r="N60" i="18" s="1"/>
  <c r="M55" i="18"/>
  <c r="M60" i="18" s="1"/>
  <c r="L55" i="18"/>
  <c r="L60" i="18" s="1"/>
  <c r="R62" i="18" l="1"/>
  <c r="Q62" i="18"/>
  <c r="Q61" i="18"/>
  <c r="O61" i="18"/>
  <c r="R67" i="18"/>
  <c r="Q68" i="18"/>
  <c r="Q67" i="18"/>
  <c r="P68" i="18"/>
  <c r="P67" i="18"/>
  <c r="O68" i="18"/>
  <c r="O67" i="18"/>
  <c r="N68" i="18"/>
  <c r="N67" i="18"/>
  <c r="M68" i="18"/>
  <c r="M67" i="18"/>
  <c r="L68" i="18"/>
  <c r="M70" i="18" l="1"/>
  <c r="H80" i="18" s="1"/>
  <c r="O70" i="18"/>
  <c r="H82" i="18" s="1"/>
  <c r="Q70" i="18"/>
  <c r="H84" i="18" s="1"/>
  <c r="N70" i="18"/>
  <c r="H81" i="18" s="1"/>
  <c r="P70" i="18"/>
  <c r="H83" i="18" s="1"/>
  <c r="R70" i="18"/>
  <c r="H85" i="18" s="1"/>
  <c r="L18" i="28"/>
  <c r="M18" i="28"/>
  <c r="N18" i="28"/>
  <c r="O18" i="28"/>
  <c r="P18" i="28"/>
  <c r="Q18" i="28"/>
  <c r="H100" i="2" l="1"/>
  <c r="R42" i="29" s="1"/>
  <c r="H15" i="2"/>
  <c r="W15" i="29"/>
  <c r="R15" i="29"/>
  <c r="R22" i="29" s="1"/>
  <c r="S22" i="29" l="1"/>
  <c r="T22" i="29" s="1"/>
  <c r="U22" i="29" s="1"/>
  <c r="V22" i="29" s="1"/>
  <c r="W22" i="29" s="1"/>
  <c r="H44" i="29"/>
  <c r="T24" i="29"/>
  <c r="H16" i="2" s="1"/>
  <c r="H28" i="2" l="1"/>
  <c r="F27" i="21"/>
  <c r="U24" i="29"/>
  <c r="V24" i="29" l="1"/>
  <c r="H17" i="2"/>
  <c r="Q38" i="2"/>
  <c r="P38" i="2"/>
  <c r="O38" i="2"/>
  <c r="N38" i="2"/>
  <c r="M38" i="2"/>
  <c r="L38" i="2"/>
  <c r="L39" i="2"/>
  <c r="Q42" i="2"/>
  <c r="P42" i="2"/>
  <c r="O42" i="2"/>
  <c r="N42" i="2"/>
  <c r="M42" i="2"/>
  <c r="L42" i="2"/>
  <c r="Q41" i="2"/>
  <c r="P41" i="2"/>
  <c r="O41" i="2"/>
  <c r="N41" i="2"/>
  <c r="M41" i="2"/>
  <c r="L41" i="2"/>
  <c r="Q40" i="2"/>
  <c r="P40" i="2"/>
  <c r="O40" i="2"/>
  <c r="N40" i="2"/>
  <c r="M40" i="2"/>
  <c r="L40" i="2"/>
  <c r="Q39" i="2"/>
  <c r="P39" i="2"/>
  <c r="O39" i="2"/>
  <c r="N39" i="2"/>
  <c r="M39" i="2"/>
  <c r="W24" i="29" l="1"/>
  <c r="H19" i="2" s="1"/>
  <c r="H18" i="2"/>
  <c r="J41" i="2"/>
  <c r="J42" i="2"/>
  <c r="J39" i="2"/>
  <c r="J38" i="2"/>
  <c r="J40" i="2"/>
  <c r="N18" i="29" l="1"/>
  <c r="O18" i="29"/>
  <c r="P18" i="29"/>
  <c r="Q18" i="29"/>
  <c r="R18" i="29"/>
  <c r="M18" i="29"/>
  <c r="M30" i="29" s="1"/>
  <c r="Q34" i="29" l="1"/>
  <c r="R34" i="29" s="1"/>
  <c r="P33" i="29"/>
  <c r="Q33" i="29" s="1"/>
  <c r="R33" i="29" s="1"/>
  <c r="O32" i="29"/>
  <c r="P32" i="29" s="1"/>
  <c r="Q32" i="29" s="1"/>
  <c r="R32" i="29" s="1"/>
  <c r="H18" i="18" s="1"/>
  <c r="R35" i="29"/>
  <c r="N30" i="29"/>
  <c r="O30" i="29" s="1"/>
  <c r="P30" i="29" s="1"/>
  <c r="Q30" i="29" s="1"/>
  <c r="R30" i="29" s="1"/>
  <c r="H16" i="18" s="1"/>
  <c r="N31" i="29"/>
  <c r="O31" i="29" s="1"/>
  <c r="P31" i="29" s="1"/>
  <c r="Q31" i="29" s="1"/>
  <c r="R31" i="29" s="1"/>
  <c r="H17" i="18" s="1"/>
  <c r="H19" i="18" l="1"/>
  <c r="H18" i="7"/>
  <c r="H20" i="7"/>
  <c r="H21" i="18"/>
  <c r="H19" i="7"/>
  <c r="H20" i="18"/>
  <c r="S46" i="18" l="1"/>
  <c r="R46" i="18"/>
  <c r="S45" i="18"/>
  <c r="R45" i="18"/>
  <c r="S44" i="18"/>
  <c r="S43" i="18"/>
  <c r="M32" i="28" l="1"/>
  <c r="N32" i="28"/>
  <c r="O32" i="28"/>
  <c r="P32" i="28"/>
  <c r="Q32" i="28"/>
  <c r="L32" i="28"/>
  <c r="J18" i="28" l="1"/>
  <c r="H34" i="18" l="1"/>
  <c r="H33" i="18"/>
  <c r="H32" i="18"/>
  <c r="H31" i="18"/>
  <c r="H30" i="18"/>
  <c r="H29" i="18"/>
  <c r="H28" i="18"/>
  <c r="H27" i="18"/>
  <c r="H26" i="18"/>
  <c r="H25" i="18"/>
  <c r="H24" i="18"/>
  <c r="W63" i="18"/>
  <c r="V63" i="18"/>
  <c r="U63" i="18"/>
  <c r="T63" i="18"/>
  <c r="S63" i="18"/>
  <c r="T40" i="18"/>
  <c r="S40" i="18"/>
  <c r="R40" i="18"/>
  <c r="M36" i="7" l="1"/>
  <c r="L25" i="2"/>
  <c r="M25" i="2"/>
  <c r="I14" i="21"/>
  <c r="J14" i="21"/>
  <c r="K14" i="21"/>
  <c r="L14" i="21"/>
  <c r="M14" i="21"/>
  <c r="H14" i="21"/>
  <c r="B72" i="25"/>
  <c r="B60" i="25"/>
  <c r="B61" i="25" s="1"/>
  <c r="N25" i="2"/>
  <c r="O25" i="2"/>
  <c r="P25" i="2"/>
  <c r="Q25" i="2"/>
  <c r="M47" i="7"/>
  <c r="N47" i="7"/>
  <c r="O47" i="7"/>
  <c r="P47" i="7"/>
  <c r="Q47" i="7"/>
  <c r="L47" i="7"/>
  <c r="M44" i="7"/>
  <c r="N44" i="7"/>
  <c r="O44" i="7"/>
  <c r="P44" i="7"/>
  <c r="Q44" i="7"/>
  <c r="L44" i="7"/>
  <c r="M39" i="7"/>
  <c r="N39" i="7"/>
  <c r="O39" i="7"/>
  <c r="P39" i="7"/>
  <c r="Q39" i="7"/>
  <c r="M40" i="7"/>
  <c r="M69" i="7" s="1"/>
  <c r="N40" i="7"/>
  <c r="N69" i="7" s="1"/>
  <c r="O40" i="7"/>
  <c r="O69" i="7" s="1"/>
  <c r="P40" i="7"/>
  <c r="P69" i="7" s="1"/>
  <c r="Q40" i="7"/>
  <c r="Q69" i="7" s="1"/>
  <c r="M41" i="7"/>
  <c r="N41" i="7"/>
  <c r="O41" i="7"/>
  <c r="P41" i="7"/>
  <c r="Q41" i="7"/>
  <c r="M42" i="7"/>
  <c r="N42" i="7"/>
  <c r="O42" i="7"/>
  <c r="P42" i="7"/>
  <c r="Q42" i="7"/>
  <c r="L40" i="7"/>
  <c r="L69" i="7" s="1"/>
  <c r="L41" i="7"/>
  <c r="L42" i="7"/>
  <c r="L39" i="7"/>
  <c r="N36" i="7"/>
  <c r="O36" i="7"/>
  <c r="P36" i="7"/>
  <c r="Q36" i="7"/>
  <c r="L36" i="7"/>
  <c r="M31" i="7"/>
  <c r="N31" i="7"/>
  <c r="O31" i="7"/>
  <c r="P31" i="7"/>
  <c r="Q31" i="7"/>
  <c r="M32" i="7"/>
  <c r="M61" i="7" s="1"/>
  <c r="N32" i="7"/>
  <c r="N61" i="7" s="1"/>
  <c r="O32" i="7"/>
  <c r="O61" i="7" s="1"/>
  <c r="P32" i="7"/>
  <c r="P61" i="7" s="1"/>
  <c r="Q32" i="7"/>
  <c r="Q61" i="7" s="1"/>
  <c r="M33" i="7"/>
  <c r="N33" i="7"/>
  <c r="P33" i="7"/>
  <c r="Q33" i="7"/>
  <c r="M34" i="7"/>
  <c r="N34" i="7"/>
  <c r="P34" i="7"/>
  <c r="Q34" i="7"/>
  <c r="L32" i="7"/>
  <c r="L61" i="7" s="1"/>
  <c r="L33" i="7"/>
  <c r="L34" i="7"/>
  <c r="L31" i="7"/>
  <c r="M28" i="7"/>
  <c r="N28" i="7"/>
  <c r="O28" i="7"/>
  <c r="P28" i="7"/>
  <c r="Q28" i="7"/>
  <c r="L28" i="7"/>
  <c r="L24" i="7"/>
  <c r="L53" i="7" s="1"/>
  <c r="M24" i="7"/>
  <c r="M53" i="7" s="1"/>
  <c r="N24" i="7"/>
  <c r="N53" i="7" s="1"/>
  <c r="O24" i="7"/>
  <c r="O53" i="7" s="1"/>
  <c r="P24" i="7"/>
  <c r="P53" i="7" s="1"/>
  <c r="Q24" i="7"/>
  <c r="Q53" i="7" s="1"/>
  <c r="L25" i="7"/>
  <c r="M25" i="7"/>
  <c r="N25" i="7"/>
  <c r="P25" i="7"/>
  <c r="Q25" i="7"/>
  <c r="L26" i="7"/>
  <c r="M26" i="7"/>
  <c r="N26" i="7"/>
  <c r="P26" i="7"/>
  <c r="Q26" i="7"/>
  <c r="M23" i="7"/>
  <c r="N23" i="7"/>
  <c r="P23" i="7"/>
  <c r="Q23" i="7"/>
  <c r="L23" i="7"/>
  <c r="H76" i="18"/>
  <c r="H77" i="18"/>
  <c r="H78" i="18"/>
  <c r="H79" i="18"/>
  <c r="H75" i="18"/>
  <c r="J23" i="17"/>
  <c r="J24" i="17"/>
  <c r="J22" i="17"/>
  <c r="J67" i="8"/>
  <c r="W37" i="18" s="1"/>
  <c r="J68" i="8"/>
  <c r="W38" i="18" s="1"/>
  <c r="J64" i="8"/>
  <c r="J42" i="7" s="1"/>
  <c r="J63" i="8"/>
  <c r="J41" i="7" s="1"/>
  <c r="J62" i="8"/>
  <c r="J40" i="7" s="1"/>
  <c r="J61" i="8"/>
  <c r="J39" i="7" s="1"/>
  <c r="J56" i="8"/>
  <c r="V39" i="18" s="1"/>
  <c r="J55" i="8"/>
  <c r="V38" i="18" s="1"/>
  <c r="J54" i="8"/>
  <c r="V37" i="18" s="1"/>
  <c r="J51" i="8"/>
  <c r="J34" i="7" s="1"/>
  <c r="J50" i="8"/>
  <c r="J33" i="7" s="1"/>
  <c r="J49" i="8"/>
  <c r="J32" i="7" s="1"/>
  <c r="J48" i="8"/>
  <c r="J31" i="7" s="1"/>
  <c r="J30" i="8"/>
  <c r="T39" i="18" s="1"/>
  <c r="J29" i="8"/>
  <c r="T38" i="18" s="1"/>
  <c r="J28" i="8"/>
  <c r="T37" i="18" s="1"/>
  <c r="J23" i="8"/>
  <c r="S39" i="18" s="1"/>
  <c r="J22" i="8"/>
  <c r="S38" i="18" s="1"/>
  <c r="J21" i="8"/>
  <c r="S37" i="18" s="1"/>
  <c r="J16" i="8"/>
  <c r="R39" i="18" s="1"/>
  <c r="F20" i="21"/>
  <c r="F19" i="21"/>
  <c r="J29" i="17"/>
  <c r="J47" i="7" s="1"/>
  <c r="J12" i="17"/>
  <c r="J37" i="8"/>
  <c r="J25" i="7" s="1"/>
  <c r="J43" i="8"/>
  <c r="U39" i="18" s="1"/>
  <c r="J42" i="8"/>
  <c r="U38" i="18" s="1"/>
  <c r="J41" i="8"/>
  <c r="U37" i="18" s="1"/>
  <c r="J38" i="8"/>
  <c r="J26" i="7" s="1"/>
  <c r="J35" i="8"/>
  <c r="J23" i="7" s="1"/>
  <c r="J15" i="8"/>
  <c r="R37" i="18" s="1"/>
  <c r="J36" i="8"/>
  <c r="J24" i="7" s="1"/>
  <c r="R68" i="18" l="1"/>
  <c r="S67" i="18"/>
  <c r="S68" i="18"/>
  <c r="T67" i="18"/>
  <c r="T68" i="18"/>
  <c r="B67" i="25"/>
  <c r="U40" i="18"/>
  <c r="U68" i="18" s="1"/>
  <c r="J28" i="7"/>
  <c r="W40" i="18"/>
  <c r="W67" i="18" s="1"/>
  <c r="J44" i="7"/>
  <c r="V40" i="18"/>
  <c r="J36" i="7"/>
  <c r="B62" i="25"/>
  <c r="B66" i="25" s="1"/>
  <c r="J25" i="2"/>
  <c r="Q47" i="2" s="1"/>
  <c r="M23" i="21" s="1"/>
  <c r="V68" i="18" l="1"/>
  <c r="V67" i="18"/>
  <c r="U67" i="18"/>
  <c r="U70" i="18" s="1"/>
  <c r="W70" i="18"/>
  <c r="H90" i="18" s="1"/>
  <c r="M47" i="2"/>
  <c r="I23" i="21" s="1"/>
  <c r="P47" i="2"/>
  <c r="L23" i="21" s="1"/>
  <c r="N47" i="2"/>
  <c r="J23" i="21" s="1"/>
  <c r="L47" i="2"/>
  <c r="O47" i="2"/>
  <c r="K23" i="21" s="1"/>
  <c r="H22" i="2"/>
  <c r="H15" i="28"/>
  <c r="S70" i="18"/>
  <c r="H86" i="18" s="1"/>
  <c r="T70" i="18"/>
  <c r="J47" i="2" l="1"/>
  <c r="F23" i="21" s="1"/>
  <c r="H23" i="21"/>
  <c r="H88" i="18"/>
  <c r="H87" i="18"/>
  <c r="V70" i="18"/>
  <c r="H89" i="18" l="1"/>
  <c r="H92" i="18" s="1"/>
  <c r="F26" i="21" l="1"/>
  <c r="H15" i="7"/>
  <c r="Q73" i="7" l="1"/>
  <c r="M73" i="7"/>
  <c r="O71" i="7"/>
  <c r="Q70" i="7"/>
  <c r="M70" i="7"/>
  <c r="Q68" i="7"/>
  <c r="M68" i="7"/>
  <c r="O65" i="7"/>
  <c r="Q63" i="7"/>
  <c r="M63" i="7"/>
  <c r="O62" i="7"/>
  <c r="O60" i="7"/>
  <c r="Q57" i="7"/>
  <c r="M57" i="7"/>
  <c r="O55" i="7"/>
  <c r="Q54" i="7"/>
  <c r="M54" i="7"/>
  <c r="Q52" i="7"/>
  <c r="M52" i="7"/>
  <c r="P73" i="7"/>
  <c r="L73" i="7"/>
  <c r="N71" i="7"/>
  <c r="P70" i="7"/>
  <c r="L70" i="7"/>
  <c r="P68" i="7"/>
  <c r="L68" i="7"/>
  <c r="N65" i="7"/>
  <c r="P63" i="7"/>
  <c r="L63" i="7"/>
  <c r="N62" i="7"/>
  <c r="N60" i="7"/>
  <c r="P57" i="7"/>
  <c r="L57" i="7"/>
  <c r="N55" i="7"/>
  <c r="P54" i="7"/>
  <c r="L54" i="7"/>
  <c r="P52" i="7"/>
  <c r="L52" i="7"/>
  <c r="O73" i="7"/>
  <c r="Q71" i="7"/>
  <c r="M71" i="7"/>
  <c r="O70" i="7"/>
  <c r="O68" i="7"/>
  <c r="Q65" i="7"/>
  <c r="M65" i="7"/>
  <c r="O63" i="7"/>
  <c r="Q62" i="7"/>
  <c r="M62" i="7"/>
  <c r="Q60" i="7"/>
  <c r="M60" i="7"/>
  <c r="O57" i="7"/>
  <c r="Q55" i="7"/>
  <c r="M55" i="7"/>
  <c r="O54" i="7"/>
  <c r="O52" i="7"/>
  <c r="N73" i="7"/>
  <c r="P71" i="7"/>
  <c r="L71" i="7"/>
  <c r="N70" i="7"/>
  <c r="N68" i="7"/>
  <c r="P65" i="7"/>
  <c r="L65" i="7"/>
  <c r="N63" i="7"/>
  <c r="P62" i="7"/>
  <c r="L62" i="7"/>
  <c r="P60" i="7"/>
  <c r="L60" i="7"/>
  <c r="N57" i="7"/>
  <c r="P55" i="7"/>
  <c r="L55" i="7"/>
  <c r="N54" i="7"/>
  <c r="N52" i="7"/>
  <c r="L79" i="7" l="1"/>
  <c r="L32" i="2" s="1"/>
  <c r="L56" i="2" s="1"/>
  <c r="Q79" i="7"/>
  <c r="Q32" i="2" s="1"/>
  <c r="Q56" i="2" s="1"/>
  <c r="O79" i="7"/>
  <c r="O32" i="2" s="1"/>
  <c r="O56" i="2" s="1"/>
  <c r="N79" i="7"/>
  <c r="N32" i="2" s="1"/>
  <c r="N56" i="2" s="1"/>
  <c r="P79" i="7"/>
  <c r="P32" i="2" s="1"/>
  <c r="P56" i="2" s="1"/>
  <c r="M79" i="7"/>
  <c r="M32" i="2" s="1"/>
  <c r="M56" i="2" s="1"/>
  <c r="J71" i="7"/>
  <c r="J65" i="7"/>
  <c r="J57" i="7"/>
  <c r="J70" i="7"/>
  <c r="J52" i="7"/>
  <c r="J63" i="7"/>
  <c r="J54" i="7"/>
  <c r="J68" i="7"/>
  <c r="J60" i="7"/>
  <c r="J53" i="7"/>
  <c r="J73" i="7"/>
  <c r="J55" i="7"/>
  <c r="J69" i="7"/>
  <c r="J61" i="7"/>
  <c r="J62" i="7"/>
  <c r="H90" i="7" l="1"/>
  <c r="H83" i="7"/>
  <c r="H80" i="7"/>
  <c r="H78" i="7"/>
  <c r="J79" i="7"/>
  <c r="J56" i="2"/>
  <c r="J32" i="2"/>
  <c r="H101" i="2" s="1"/>
  <c r="L103" i="2" s="1"/>
  <c r="L104" i="2" s="1"/>
  <c r="H10" i="21" s="1"/>
  <c r="H84" i="7" l="1"/>
  <c r="H85" i="7" s="1"/>
  <c r="M87" i="7" s="1"/>
  <c r="M35" i="2" s="1"/>
  <c r="H91" i="7"/>
  <c r="H31" i="2" s="1"/>
  <c r="H55" i="2" s="1"/>
  <c r="Q103" i="2"/>
  <c r="Q104" i="2" s="1"/>
  <c r="H58" i="2" l="1"/>
  <c r="H60" i="2" s="1"/>
  <c r="H61" i="2" s="1"/>
  <c r="O87" i="7"/>
  <c r="O35" i="2" s="1"/>
  <c r="Q87" i="7"/>
  <c r="Q35" i="2" s="1"/>
  <c r="N87" i="7"/>
  <c r="N35" i="2" s="1"/>
  <c r="P87" i="7"/>
  <c r="P35" i="2" s="1"/>
  <c r="L87" i="7"/>
  <c r="L35" i="2" s="1"/>
  <c r="Q21" i="28"/>
  <c r="M10" i="21"/>
  <c r="N103" i="2"/>
  <c r="P103" i="2"/>
  <c r="P104" i="2" s="1"/>
  <c r="O103" i="2"/>
  <c r="O104" i="2" s="1"/>
  <c r="M103" i="2"/>
  <c r="M104" i="2" s="1"/>
  <c r="J87" i="7" l="1"/>
  <c r="M21" i="28"/>
  <c r="I10" i="21"/>
  <c r="O21" i="28"/>
  <c r="K10" i="21"/>
  <c r="P21" i="28"/>
  <c r="L10" i="21"/>
  <c r="L21" i="28"/>
  <c r="J103" i="2"/>
  <c r="N104" i="2"/>
  <c r="J10" i="21" s="1"/>
  <c r="J35" i="2" l="1"/>
  <c r="H52" i="2" s="1"/>
  <c r="H64" i="2" s="1"/>
  <c r="F10" i="21"/>
  <c r="J104" i="2"/>
  <c r="N21" i="28"/>
  <c r="H67" i="2" l="1"/>
  <c r="H76" i="2" s="1"/>
  <c r="H68" i="2" l="1"/>
  <c r="H69" i="2" l="1"/>
  <c r="H77" i="2"/>
  <c r="H70" i="2" l="1"/>
  <c r="H78" i="2"/>
  <c r="H71" i="2" l="1"/>
  <c r="H80" i="2" s="1"/>
  <c r="H86" i="2" s="1"/>
  <c r="H79" i="2"/>
  <c r="H82" i="2" l="1"/>
  <c r="H107" i="2"/>
  <c r="H108" i="2" s="1"/>
  <c r="H87" i="2"/>
  <c r="H89" i="2" s="1"/>
  <c r="O110" i="2" l="1"/>
  <c r="O111" i="2" s="1"/>
  <c r="Q110" i="2"/>
  <c r="Q111" i="2" s="1"/>
  <c r="L110" i="2"/>
  <c r="P110" i="2"/>
  <c r="P111" i="2" s="1"/>
  <c r="M110" i="2"/>
  <c r="M111" i="2" s="1"/>
  <c r="N110" i="2"/>
  <c r="N111" i="2" s="1"/>
  <c r="H90" i="2"/>
  <c r="H91" i="2" s="1"/>
  <c r="H92" i="2" s="1"/>
  <c r="H93" i="2" s="1"/>
  <c r="H95" i="2" l="1"/>
  <c r="P114" i="2"/>
  <c r="P115" i="2" s="1"/>
  <c r="L11" i="21"/>
  <c r="L111" i="2"/>
  <c r="J110" i="2"/>
  <c r="N114" i="2"/>
  <c r="N115" i="2" s="1"/>
  <c r="J11" i="21"/>
  <c r="Q114" i="2"/>
  <c r="Q115" i="2" s="1"/>
  <c r="M11" i="21"/>
  <c r="M114" i="2"/>
  <c r="M115" i="2" s="1"/>
  <c r="I11" i="21"/>
  <c r="O114" i="2"/>
  <c r="O115" i="2" s="1"/>
  <c r="K11" i="21"/>
  <c r="N22" i="28" l="1"/>
  <c r="J13" i="21"/>
  <c r="K13" i="21"/>
  <c r="O22" i="28"/>
  <c r="I13" i="21"/>
  <c r="M22" i="28"/>
  <c r="Q22" i="28"/>
  <c r="M13" i="21"/>
  <c r="H11" i="21"/>
  <c r="F11" i="21" s="1"/>
  <c r="L114" i="2"/>
  <c r="L115" i="2" s="1"/>
  <c r="J111" i="2"/>
  <c r="J114" i="2" s="1"/>
  <c r="J115" i="2" s="1"/>
  <c r="J22" i="28" s="1"/>
  <c r="P22" i="28"/>
  <c r="L13" i="21"/>
  <c r="Q36" i="28" l="1"/>
  <c r="Q28" i="28"/>
  <c r="Q27" i="28"/>
  <c r="H13" i="21"/>
  <c r="L22" i="28"/>
  <c r="M36" i="28"/>
  <c r="M28" i="28"/>
  <c r="M27" i="28"/>
  <c r="P28" i="28"/>
  <c r="P27" i="28"/>
  <c r="P36" i="28"/>
  <c r="O28" i="28"/>
  <c r="O27" i="28"/>
  <c r="O36" i="28"/>
  <c r="N36" i="28"/>
  <c r="N27" i="28"/>
  <c r="N28" i="28"/>
  <c r="J31" i="21" l="1"/>
  <c r="N37" i="28"/>
  <c r="P37" i="28"/>
  <c r="L31" i="21"/>
  <c r="O37" i="28"/>
  <c r="K31" i="21"/>
  <c r="M37" i="28"/>
  <c r="I31" i="21"/>
  <c r="L36" i="28"/>
  <c r="L27" i="28"/>
  <c r="J27" i="28" s="1"/>
  <c r="L28" i="28"/>
  <c r="J28" i="28" s="1"/>
  <c r="M31" i="21"/>
  <c r="Q37" i="28"/>
  <c r="N38" i="28" l="1"/>
  <c r="J32" i="21"/>
  <c r="M38" i="28"/>
  <c r="I32" i="21"/>
  <c r="P38" i="28"/>
  <c r="L32" i="21"/>
  <c r="Q38" i="28"/>
  <c r="M32" i="21"/>
  <c r="H31" i="21"/>
  <c r="F31" i="21" s="1"/>
  <c r="L37" i="28"/>
  <c r="J36" i="28"/>
  <c r="O38" i="28"/>
  <c r="K32" i="21"/>
  <c r="O39" i="28" l="1"/>
  <c r="K33" i="21"/>
  <c r="Q39" i="28"/>
  <c r="M33" i="21"/>
  <c r="M39" i="28"/>
  <c r="I33" i="21"/>
  <c r="L38" i="28"/>
  <c r="H32" i="21"/>
  <c r="F32" i="21" s="1"/>
  <c r="J37" i="28"/>
  <c r="P39" i="28"/>
  <c r="L33" i="21"/>
  <c r="N39" i="28"/>
  <c r="J33" i="21"/>
  <c r="M40" i="28" l="1"/>
  <c r="I35" i="21" s="1"/>
  <c r="I34" i="21"/>
  <c r="N40" i="28"/>
  <c r="J35" i="21" s="1"/>
  <c r="J34" i="21"/>
  <c r="L39" i="28"/>
  <c r="H33" i="21"/>
  <c r="F33" i="21" s="1"/>
  <c r="J38" i="28"/>
  <c r="Q40" i="28"/>
  <c r="M35" i="21" s="1"/>
  <c r="M34" i="21"/>
  <c r="P40" i="28"/>
  <c r="L35" i="21" s="1"/>
  <c r="L34" i="21"/>
  <c r="O40" i="28"/>
  <c r="K35" i="21" s="1"/>
  <c r="K34" i="21"/>
  <c r="L40" i="28" l="1"/>
  <c r="H34" i="21"/>
  <c r="F34" i="21" s="1"/>
  <c r="J39" i="28"/>
  <c r="J40" i="28" l="1"/>
  <c r="H35" i="21"/>
  <c r="F3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6"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<sst xmlns="http://schemas.openxmlformats.org/spreadsheetml/2006/main" count="1150" uniqueCount="594">
  <si>
    <t>Ophalen gegevens</t>
  </si>
  <si>
    <t>Eenheid</t>
  </si>
  <si>
    <t>EUR, pp 2016</t>
  </si>
  <si>
    <t>Samengestelde output ten behoeve van de maatstaf</t>
  </si>
  <si>
    <t>Enexis</t>
  </si>
  <si>
    <t>Liander</t>
  </si>
  <si>
    <t>RENDO</t>
  </si>
  <si>
    <t>Stedin</t>
  </si>
  <si>
    <t>Westland</t>
  </si>
  <si>
    <t>Totaal/algemeen</t>
  </si>
  <si>
    <t>#</t>
  </si>
  <si>
    <t>Toelichting</t>
  </si>
  <si>
    <t>Berekende waarde</t>
  </si>
  <si>
    <t>Productiviteitsverandering</t>
  </si>
  <si>
    <t>%</t>
  </si>
  <si>
    <t>WACC</t>
  </si>
  <si>
    <t>EUR, pp 2015</t>
  </si>
  <si>
    <t>Op basis van</t>
  </si>
  <si>
    <t>Gemiddelde reguliere operationele kosten</t>
  </si>
  <si>
    <t>Gemiddelde totale bijdrage uit Eenmalige Aansluitvergoedingen</t>
  </si>
  <si>
    <t>Gemiddelde totale kosten voor maatstafberekening</t>
  </si>
  <si>
    <t>CPI</t>
  </si>
  <si>
    <t>EUR, pp 2017</t>
  </si>
  <si>
    <t>EUR, pp 2018</t>
  </si>
  <si>
    <t>EUR, pp 2019</t>
  </si>
  <si>
    <t>EUR, pp 2020</t>
  </si>
  <si>
    <t>EUR, pp 2021</t>
  </si>
  <si>
    <t>EUR/#, pp 2021</t>
  </si>
  <si>
    <t>Jaarlijkse productiviteitsverandering 2004-2005</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</si>
  <si>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</si>
  <si>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</si>
  <si>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</si>
  <si>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</si>
  <si>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</si>
  <si>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</si>
  <si>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</si>
  <si>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Bijdragen EAV</t>
  </si>
  <si>
    <t>Jaarlijkse productiviteitsverandering 2012-2013</t>
  </si>
  <si>
    <t>Jaarlijkse productiviteitsverandering 2013-2014</t>
  </si>
  <si>
    <t>Jaarlijkse productiviteitsverandering 2014-2015</t>
  </si>
  <si>
    <t>Jaarlijkse PV + 1</t>
  </si>
  <si>
    <t>Totale reguliere kapitaalkosten 2015</t>
  </si>
  <si>
    <t>WACC-percentages voor berekening kapitaalkosten (reëel, voor belasting)</t>
  </si>
  <si>
    <t>Eindinkomstenniveau voor berekening x-factor (excl. Inkoop Transport)</t>
  </si>
  <si>
    <t xml:space="preserve">Productiviteitsverandering </t>
  </si>
  <si>
    <t>Maatstaf</t>
  </si>
  <si>
    <t>Totale kosten 2015</t>
  </si>
  <si>
    <t>Kapitaalkosten voor PV berekening</t>
  </si>
  <si>
    <t>EAV 2015</t>
  </si>
  <si>
    <t>in EUR, pp 2015</t>
  </si>
  <si>
    <t>Samengestelde Output voor Maatstaf</t>
  </si>
  <si>
    <t>Samengestelde Output voor PV</t>
  </si>
  <si>
    <t xml:space="preserve">Bron </t>
  </si>
  <si>
    <t>CBS</t>
  </si>
  <si>
    <t>Bron</t>
  </si>
  <si>
    <t>ná FNOP- en HS-overdracht</t>
  </si>
  <si>
    <t>Bijdragen EAV (sectortotaal) voor PV berekening:</t>
  </si>
  <si>
    <t>Sectortotaal</t>
  </si>
  <si>
    <t>Bijlage 1</t>
  </si>
  <si>
    <t>Deze tabel bevat een overzicht van de gehanteerde gegevens (op hoofdlijnen) om te komen tot vaststelling van de x- en q-factor voor regionale netbeheerders elektriciteit</t>
  </si>
  <si>
    <t>Resultaten x-factor en q-factor elektriciteit</t>
  </si>
  <si>
    <t>Sector</t>
  </si>
  <si>
    <t>Gegevens berekening x-factor</t>
  </si>
  <si>
    <t>X-factor</t>
  </si>
  <si>
    <t>Q-factor</t>
  </si>
  <si>
    <t>Overige parameters</t>
  </si>
  <si>
    <t>Samengestelde Output (SO)</t>
  </si>
  <si>
    <t>Aandeel SO</t>
  </si>
  <si>
    <t>Besluit: x-factorbesluiten RNB elektriciteit; bestand: x-factorberekening RNB E</t>
  </si>
  <si>
    <t>Coteq</t>
  </si>
  <si>
    <t xml:space="preserve"> </t>
  </si>
  <si>
    <t>Beschrijving gegevens</t>
  </si>
  <si>
    <t>Op dit tabblad halen we de historische kosten gegevens op. Voor de berekening van de productiviteitsverandering worden gegevens van 2015 t/m 2020 opgehaald. Voor de berekening van de maatstaf halen we de kosten gegevens van 2018 t/m 2020 op.</t>
  </si>
  <si>
    <t>Toelichting bij bijzonderheden</t>
  </si>
  <si>
    <t>Bij de kosten die we gebruiken voor de berekening van de productiviteitsverandering worden de reguliere kapitaalkosten twee keer opgehaald. De kapitaalkosten worden berekend met de in dat jaar geldende WACC, evenals met de in het volgende jaar geldende WACC. Dit doen we om de gegevens bij de berekening van de productiviteitsverandering vergelijkbaar te maken.</t>
  </si>
  <si>
    <t>Omschrijving</t>
  </si>
  <si>
    <t>Totale kosten 2016</t>
  </si>
  <si>
    <t>Totale kosten 2017</t>
  </si>
  <si>
    <t>Netto; WACC 2016</t>
  </si>
  <si>
    <t>Reguliere operationele kosten 2016</t>
  </si>
  <si>
    <t>Totale reguliere kapitaalkosten 2016</t>
  </si>
  <si>
    <t>Netto; WACC 2017</t>
  </si>
  <si>
    <t>Reguliere operationele kosten 2017</t>
  </si>
  <si>
    <t>Totale reguliere kapitaalkosten 2017</t>
  </si>
  <si>
    <t>Netto; WACC 2018</t>
  </si>
  <si>
    <t>Totale kosten 2018</t>
  </si>
  <si>
    <t>Totale kosten 2020</t>
  </si>
  <si>
    <t>Dit blad bevat de input gegevens voor de WACC en het CPI. Voor de WACC kan worden verwezen naar de WACC bijlage. Het CPI komt van het CBS.</t>
  </si>
  <si>
    <t>Beginkomsten 2021</t>
  </si>
  <si>
    <t>in EUR, pp 2021</t>
  </si>
  <si>
    <t xml:space="preserve">Reguliere operationele kosten 2015 </t>
  </si>
  <si>
    <t>Jaarlijkse productiviteitsverandering 2015-2016</t>
  </si>
  <si>
    <t>Jaarlijkse productiviteitsverandering 2016-2017</t>
  </si>
  <si>
    <t>Jaarlijkse productiviteitsverandering 2017-2018</t>
  </si>
  <si>
    <t>Jaarlijkse productiviteitsverandering 2018-2019</t>
  </si>
  <si>
    <t>Inschatting productiviteitsverandering 2021-2026</t>
  </si>
  <si>
    <t>Reguliere operationele kosten 2018</t>
  </si>
  <si>
    <t>Totale inkoopkosten transport 2018</t>
  </si>
  <si>
    <t>Totale reguliere kapitaalkosten 2018</t>
  </si>
  <si>
    <t>Totaal reguliere kapitaalkosten 2018</t>
  </si>
  <si>
    <t>Netto; WACC EI2026</t>
  </si>
  <si>
    <t>Netto; WACC 2019</t>
  </si>
  <si>
    <t>Netto; WACC BI2021</t>
  </si>
  <si>
    <t>Reguliere operationele kosten 2020</t>
  </si>
  <si>
    <t>Totale inkoopkosten transport 2020</t>
  </si>
  <si>
    <t>Totale reguliere kapitaalkosten 2020</t>
  </si>
  <si>
    <t>Netto; WACC 2020</t>
  </si>
  <si>
    <t>Totale kosten 2019</t>
  </si>
  <si>
    <t>Reguliere operationele kosten 2019</t>
  </si>
  <si>
    <t>Totale inkoopkosten transport 2019</t>
  </si>
  <si>
    <t>Totale reguliere kapitaalkosten 2019</t>
  </si>
  <si>
    <t>Totaal reguliere kapitaalkosten 2019</t>
  </si>
  <si>
    <t>Totale begininkomsten 2021</t>
  </si>
  <si>
    <t>EAV 2018</t>
  </si>
  <si>
    <t>in EUR, pp 2018</t>
  </si>
  <si>
    <t>EAV 2019</t>
  </si>
  <si>
    <t>in EUR, pp 2019</t>
  </si>
  <si>
    <t>EAV 2020</t>
  </si>
  <si>
    <t>in EUR, pp 2020</t>
  </si>
  <si>
    <t>EAV 2016</t>
  </si>
  <si>
    <t>in EUR, pp 2016</t>
  </si>
  <si>
    <t>EAV 2017</t>
  </si>
  <si>
    <t>in EUR, pp 2017</t>
  </si>
  <si>
    <t>SO Totaal voor Maatstaf 2022-2026</t>
  </si>
  <si>
    <t>WACC EI2026</t>
  </si>
  <si>
    <t>Opmerkingen</t>
  </si>
  <si>
    <t>Tabblad 1 - Reguleringsparameters</t>
  </si>
  <si>
    <t>Op dit tabblad schatten we de productiviteitsverandering (PV). Dit doen we op basis van een langjarig gemiddelde. De waardes voor 2004 t/m 2015 worden uit eerdere x-factormodellen opgehaald</t>
  </si>
  <si>
    <t xml:space="preserve">Op dit tabblad halen we de begininkomsten (BI), eenmalig aansluitvergoeding (EAV),  samengestelde output (SO) &amp; historisch PV op. </t>
  </si>
  <si>
    <t>Begininkomsten</t>
  </si>
  <si>
    <t>EAV</t>
  </si>
  <si>
    <t>SO</t>
  </si>
  <si>
    <t>PV</t>
  </si>
  <si>
    <t>RNBs Elektriciteit 2017-2021 gewijzigd X-factormodel</t>
  </si>
  <si>
    <t>Toelichting bijzonderheden</t>
  </si>
  <si>
    <t>Berekening jaarlijkse productiviteitsverandering 2015-2020</t>
  </si>
  <si>
    <t>Opex voor PV berekening</t>
  </si>
  <si>
    <t>Kosten voor PV berekening</t>
  </si>
  <si>
    <t>EUR, pp jaar</t>
  </si>
  <si>
    <t>WACC jaar n</t>
  </si>
  <si>
    <t>WACC jaar n+1</t>
  </si>
  <si>
    <t>EUR, pp 2022</t>
  </si>
  <si>
    <t>Samengestelde output</t>
  </si>
  <si>
    <t>WACC jaar n +1</t>
  </si>
  <si>
    <t>Jaarlijkse productiviteitsverandering jaar n-1 naar jaar n</t>
  </si>
  <si>
    <t xml:space="preserve">Totale kosten voor PV berekening </t>
  </si>
  <si>
    <t>Kosten 2018 voor maatstafberekening</t>
  </si>
  <si>
    <t>Kosten 2019 voor maatstafberekening</t>
  </si>
  <si>
    <t>Kosten 2020 voor maatstafberekening</t>
  </si>
  <si>
    <t>Totale bijdrage uit Eenmalige Aansluitvergoedingen 2018</t>
  </si>
  <si>
    <t>Totale bijdrage uit Eenmalige Aansluitvergoedingen 2019</t>
  </si>
  <si>
    <t>Productiviteitsverandering 2021 - 2026</t>
  </si>
  <si>
    <t>Inflatie</t>
  </si>
  <si>
    <t>CPI van 2018 naar 2021</t>
  </si>
  <si>
    <t>CPI van 2019 naar 2021</t>
  </si>
  <si>
    <t>CPI van 2020 naar 2021</t>
  </si>
  <si>
    <t>Kosten per jaar in efficiëntieniveau 2021 en prijspeil 2021</t>
  </si>
  <si>
    <t>Kosten 2018</t>
  </si>
  <si>
    <t>Kosten 2019</t>
  </si>
  <si>
    <t>Kosten 2020</t>
  </si>
  <si>
    <t>Totale bijdrage uit Eenmalige Aansluitvergoedingen 2020</t>
  </si>
  <si>
    <t>Gemiddelde van kosten over 2018-2020</t>
  </si>
  <si>
    <t xml:space="preserve">Gemiddelde totale inkoopkosten transport </t>
  </si>
  <si>
    <t>SO Totaal voor Maatstaf 2021-2026</t>
  </si>
  <si>
    <t>Q-bedrag te verrekenen</t>
  </si>
  <si>
    <t>Q-bedrag te verrekenen Coteq</t>
  </si>
  <si>
    <t>Q-bedrag te verrekenen Enexis</t>
  </si>
  <si>
    <t>Q-bedrag te verrekenen Liander</t>
  </si>
  <si>
    <t>Q-bedrag te verrekenen RENDO</t>
  </si>
  <si>
    <t>Q-bedrag te verrekenen Westland</t>
  </si>
  <si>
    <t>Beschrijving</t>
  </si>
  <si>
    <t>EUR, pp 2026</t>
  </si>
  <si>
    <t>Gemiddelde totale kosten</t>
  </si>
  <si>
    <t>Efficiënte kosten per eenheid SO</t>
  </si>
  <si>
    <t>EUR/#, pp 2026</t>
  </si>
  <si>
    <t>Gemiddelde totale efficiënte kosten excl. inkoopkosten transport</t>
  </si>
  <si>
    <t>Gemiddelde totale efficiënte inkoopkosten transport</t>
  </si>
  <si>
    <t>Efficiënte eindinkomsten exclusief inkoopkosten transport</t>
  </si>
  <si>
    <t>Begininkomsten exclusief inkoopkosten transport (na toepassing one-off)</t>
  </si>
  <si>
    <t>Efficiënte inkoopkosten transport 2026</t>
  </si>
  <si>
    <t>Efficiënte kosten 2026 per eenheid SO</t>
  </si>
  <si>
    <t>Begininkomsten t.b.v. berekening x-factor</t>
  </si>
  <si>
    <t>Efficiënte eindinkomsten</t>
  </si>
  <si>
    <t>Berekening q-factor</t>
  </si>
  <si>
    <t>Bijdragen EAV voor Maatstaf &amp; PV</t>
  </si>
  <si>
    <t>Jaarlijkse productiviteitsverandering 2019-2020</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</si>
  <si>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</si>
  <si>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</si>
  <si>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</si>
  <si>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</si>
  <si>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</si>
  <si>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</si>
  <si>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</si>
  <si>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</si>
  <si>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</si>
  <si>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</si>
  <si>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</si>
  <si>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Nee</t>
  </si>
  <si>
    <t>Is of wordt gepubliceerd? (j/n)</t>
  </si>
  <si>
    <t>Ja</t>
  </si>
  <si>
    <t>Juridisch integraal onderdeel van bovenstaande besluit(en) (j/n)?</t>
  </si>
  <si>
    <t>Bevat bedrijfsvertrouwelijke gegevens? (j/n)</t>
  </si>
  <si>
    <t>Opmerkingen openbare versiegeschiedenis</t>
  </si>
  <si>
    <t>Disclaimer</t>
  </si>
  <si>
    <t>X-factorberekening RNB-E 2022-2026</t>
  </si>
  <si>
    <t>X-factorbesluit RNB-E 2022-2026</t>
  </si>
  <si>
    <t>Toelichting bij dit bestand</t>
  </si>
  <si>
    <t>Toelichting bij de werking van dit model</t>
  </si>
  <si>
    <t>Samenhang van dit bestand met andere bestanden</t>
  </si>
  <si>
    <t>GAW model</t>
  </si>
  <si>
    <t>Schematische weergave en/of inhoudsopgave van de werking van dit model</t>
  </si>
  <si>
    <t>Toelichting samenhang tabbladen:</t>
  </si>
  <si>
    <t>Inputs</t>
  </si>
  <si>
    <t>Berekeningen</t>
  </si>
  <si>
    <t>Resultaat</t>
  </si>
  <si>
    <t>Legenda voor gebruik van celkleuren en tabkleuren</t>
  </si>
  <si>
    <t>Celkleur getallen</t>
  </si>
  <si>
    <t>Data en input (bron wordt vermeld)</t>
  </si>
  <si>
    <t>Waarde die zonder berekening wordt overgenomen uit een andere cel</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</si>
  <si>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</si>
  <si>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</si>
  <si>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</si>
  <si>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</si>
  <si>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</si>
  <si>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</si>
  <si>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</si>
  <si>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</si>
  <si>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</si>
  <si>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</si>
  <si>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</si>
  <si>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</si>
  <si>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</si>
  <si>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</si>
  <si>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</si>
  <si>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</si>
  <si>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</si>
  <si>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</si>
  <si>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</si>
  <si>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</si>
  <si>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</si>
  <si>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</si>
  <si>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</si>
  <si>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</si>
  <si>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</si>
  <si>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</si>
  <si>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</si>
  <si>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</si>
  <si>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</si>
  <si>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</si>
  <si>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</si>
  <si>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</si>
  <si>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</si>
  <si>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</si>
  <si>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Duiding van specifieke Excel-toepassingen en overige bijzonderheden</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</si>
  <si>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</si>
  <si>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</si>
  <si>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Oplosser</t>
  </si>
  <si>
    <t>Gebruik van oplosser</t>
  </si>
  <si>
    <t xml:space="preserve">Op het tabblad ‘X-factor berekening’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‘X-factorberekening’ worden aangepast, dan veranderen de begininkomsten niet automatisch mee. In dat geval moet de oplosser worden gebruikt om de begininkomsten opnieuw te berekenen.  De begininkomsten met de oplosserworden als volgt berekend:
Op het tabblad 'X-factor berekening' gebruikt de ACM de invoegtoepassing "oplosser". Uitleg over hoe deze invoegtoepassing ingeladen kan worden is te vinden via deze link:
</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</si>
  <si>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</si>
  <si>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</si>
  <si>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Kosten</t>
  </si>
  <si>
    <t>Investeringen</t>
  </si>
  <si>
    <t>2) Kosten 2015-2020</t>
  </si>
  <si>
    <t>3) BI, EAV, SO &amp; PV</t>
  </si>
  <si>
    <t>1) Reguleringsparameters</t>
  </si>
  <si>
    <t>Dit bestand bevat de berekening van de begininkomsten en x-factoren voor regionale netbeheerders elektriciteit  voor de periode 2022-2026. De verhouding tussen de begininkomsten 2021 en de eindinkomsten 2026 bepaalt de x-factor.</t>
  </si>
  <si>
    <t>Formule</t>
  </si>
  <si>
    <t>n.v.t.</t>
  </si>
  <si>
    <t>Berekening inkomsten exclusief correctie afschrijvingsklif</t>
  </si>
  <si>
    <t>Correctie afschrijvingsklif</t>
  </si>
  <si>
    <t>Berekening X-factor excl. correctie klif</t>
  </si>
  <si>
    <t>Inschatting kosten excl. correctie klif 2022</t>
  </si>
  <si>
    <t>Inschatting kosten excl. correctie klif 2023</t>
  </si>
  <si>
    <t>Inschatting kosten excl. correctie klif 2024</t>
  </si>
  <si>
    <t>Inschatting kosten excl. correctie klif 2025</t>
  </si>
  <si>
    <t>Inschatting kosten excl. correctie klif 2026</t>
  </si>
  <si>
    <t>X-factor inclusief correctie</t>
  </si>
  <si>
    <t>Afgeronde x-factor</t>
  </si>
  <si>
    <t>Inschatting kosten incl. correctie klif 2022</t>
  </si>
  <si>
    <t>Inschatting kosten incl. correctie klif 2023</t>
  </si>
  <si>
    <t>Inschatting kosten incl. correctie klif 2024</t>
  </si>
  <si>
    <t>Inschatting kosten incl. correctie klif 2025</t>
  </si>
  <si>
    <t>Inschatting kosten incl. correctie klif 2026</t>
  </si>
  <si>
    <t>Inschatting kosten incl. correctie klif totaal</t>
  </si>
  <si>
    <t>Berekening q-factor (met behulp van oplosser)</t>
  </si>
  <si>
    <t>Inkomsten &amp; x-factor</t>
  </si>
  <si>
    <t>Afgeronde q-factor</t>
  </si>
  <si>
    <t xml:space="preserve">Bij de berekening van de q-factor gebruiken we (net als in tabblad 7) de "oplosser" invoegtoepassing. We schatten de totale kosten over de gehele periode, en corrigeren dit voor het te verrekenen q-bedrag. We gebruiken dan de oplosser om de q-factor zo vast te stellen dat de totale geschatte kosten inclusief correctie van de afschrijvingsklif en de q-factor klopt. </t>
  </si>
  <si>
    <t>Totale correctie afschrijvingsklif Coteq</t>
  </si>
  <si>
    <t>Totale correctie afschrijvingsklif RENDO</t>
  </si>
  <si>
    <t>Totale correctie afschrijvingsklif Westland</t>
  </si>
  <si>
    <t>Op dit tabblad berekenen we de q-factor en de indicatieve tariefruimte</t>
  </si>
  <si>
    <t>Indicatieve tariefruimte 2022</t>
  </si>
  <si>
    <t>Indicatieve tariefruimte 2023</t>
  </si>
  <si>
    <t>Indicatieve tariefruimte 2024</t>
  </si>
  <si>
    <t>Indicatieve tariefruimte 2025</t>
  </si>
  <si>
    <t>Indicatieve tariefruimte 2026</t>
  </si>
  <si>
    <t>EUR, pp 2023</t>
  </si>
  <si>
    <t>EUR, pp 2024</t>
  </si>
  <si>
    <t>EUR, pp 2025</t>
  </si>
  <si>
    <t>Kosten 2021 per netbeheerder</t>
  </si>
  <si>
    <t>WACC BI 2021</t>
  </si>
  <si>
    <t>Begininkomsten voor berekening x-factor exclusief inkoopkosten transport</t>
  </si>
  <si>
    <t>Eindinkomsten</t>
  </si>
  <si>
    <t>Berekening begin- en eindinkomsten na correctie afschrijvingsklif</t>
  </si>
  <si>
    <t>Efficiënte kosten 2026 per netbeheerder</t>
  </si>
  <si>
    <t>Eindinkomsten voor berekening x-factor exclusief inkoopkosten transport</t>
  </si>
  <si>
    <t>X-factor berekening</t>
  </si>
  <si>
    <t>X-factor voor de periode 2022-2026 (onafgerond)</t>
  </si>
  <si>
    <t>X-factor voor de periode 2022-2026 (afgerond)</t>
  </si>
  <si>
    <t>Begininkomsten exclusief inkoopkosten transport</t>
  </si>
  <si>
    <t>BI - x + totale bedrag dat verrekend moet worden in q-factor</t>
  </si>
  <si>
    <t>Begininkomsten transport incl. correctie klif</t>
  </si>
  <si>
    <t>Eindinkomsten transport incl. correctie klif</t>
  </si>
  <si>
    <t>Kosten per eenheid SO inclusief inkoopkosten transport</t>
  </si>
  <si>
    <t>Efficiënte kosten per eenheid SO inclusief inkoopkosten transport</t>
  </si>
  <si>
    <t>Berekening indicatieve tariefruimte exclusief inkoopkosten transport</t>
  </si>
  <si>
    <t>De waardes in de roze cel wordt door de oplosser ingevuld</t>
  </si>
  <si>
    <t>Totale correctie afschrijvingsklif Stedin + Enduris</t>
  </si>
  <si>
    <t>Q-bedrag te verrekenen Stedin + Enduris</t>
  </si>
  <si>
    <t>SO 2015 voor PV</t>
  </si>
  <si>
    <t xml:space="preserve">SO 2016 voor PV </t>
  </si>
  <si>
    <t xml:space="preserve">SO 2017 voor PV </t>
  </si>
  <si>
    <t xml:space="preserve">SO 2018 voor PV </t>
  </si>
  <si>
    <t xml:space="preserve">SO 2019 voor PV </t>
  </si>
  <si>
    <t xml:space="preserve">SO 2020 voor PV </t>
  </si>
  <si>
    <t>Correctie ziet op afschrijvingsklif Endinet</t>
  </si>
  <si>
    <t>Correctie ziet op afschrijvingsklif Enduris</t>
  </si>
  <si>
    <t>Constante</t>
  </si>
  <si>
    <t>Rijtotaal</t>
  </si>
  <si>
    <t>X-factor voor de periode 2022-2026 excl correctie</t>
  </si>
  <si>
    <t>Begininkomstenniveau 2021 (excl. Inkoop Transport)</t>
  </si>
  <si>
    <t>Netto; Excl. IT</t>
  </si>
  <si>
    <t>Totale correctie afschrijvingsklif Liander</t>
  </si>
  <si>
    <t>Totale correctie afschrijvingsklif Enexis + Endinet</t>
  </si>
  <si>
    <t>Enexis incl. BV</t>
  </si>
  <si>
    <t>Kapitaalkosten voor PV berekening inclusief personeel BV</t>
  </si>
  <si>
    <t>Kapitaalkosten voor PV berekening exclusief personeel BV</t>
  </si>
  <si>
    <t>Kosten Enexis personeel BV</t>
  </si>
  <si>
    <t>Reële WACC begininkomstenjaar 2021</t>
  </si>
  <si>
    <t>Reële WACC eindinkomstenjaar 2026</t>
  </si>
  <si>
    <t>Jaarlijkse CPI</t>
  </si>
  <si>
    <t>CPI september jaar t-2 t/m augustus jaar t-1</t>
  </si>
  <si>
    <t>Berekening CPI-mutatie</t>
  </si>
  <si>
    <t xml:space="preserve">1+ CPI van … naar … </t>
  </si>
  <si>
    <t>RNBs Elektriciteit 2017-2021 gewijzigd X-factormodel, tabblad Productiviteitsverandering, cel J45</t>
  </si>
  <si>
    <t>RNBs Elektriciteit 2017-2021 gewijzigd X-factormodel, tabblad Productiviteitsverandering, cel J46</t>
  </si>
  <si>
    <t>RNBs Elektriciteit 2017-2021 gewijzigd X-factormodel, tabblad Productiviteitsverandering, cel J47</t>
  </si>
  <si>
    <t>RNBs Elektriciteit 2017-2021 gewijzigd X-factormodel, tabblad Productiviteitsverandering, cel J48</t>
  </si>
  <si>
    <t>RNBs Elektriciteit 2017-2021 gewijzigd X-factormodel, tabblad Productiviteitsverandering, cel J49</t>
  </si>
  <si>
    <t>RNBs Elektriciteit 2017-2021 gewijzigd X-factormodel, tabblad Productiviteitsverandering, cel J50</t>
  </si>
  <si>
    <t>RNBs Elektriciteit 2017-2021 gewijzigd X-factormodel, tabblad Productiviteitsverandering, cel J51</t>
  </si>
  <si>
    <t>RNBs Elektriciteit 2017-2021 gewijzigd X-factormodel, tabblad Productiviteitsverandering, cel J52</t>
  </si>
  <si>
    <t>RNBs Elektriciteit 2017-2021 gewijzigd X-factormodel, tabblad Productiviteitsverandering, cel J53</t>
  </si>
  <si>
    <t>RNBs Elektriciteit 2017-2021 gewijzigd X-factormodel, tabblad Productiviteitsverandering, cel J54</t>
  </si>
  <si>
    <t>RNBs Elektriciteit 2017-2021 gewijzigd X-factormodel, tabblad Productiviteitsverandering, cel J55</t>
  </si>
  <si>
    <t>RNB Elektriciteit 2022-2026 SO bestand, tabblad Output BI, EAV en SO, regel 24</t>
  </si>
  <si>
    <t>RNB Elektriciteit 2022-2026 SO bestand, tabblad Output BI, EAV en SO, regel 25</t>
  </si>
  <si>
    <t>RNB Elektriciteit 2022-2026 SO bestand, tabblad Output BI, EAV en SO, regel 36</t>
  </si>
  <si>
    <t>RNB Elektriciteit 2022-2026 SO bestand, tabblad Output BI, EAV en SO, regel 39</t>
  </si>
  <si>
    <t>RNB Elektriciteit 2022-2026 SO bestand, tabblad Output BI, EAV en SO, regel 40</t>
  </si>
  <si>
    <t>RNB Elektriciteit 2022-2026 Kostenbestand, tabblad '1) Totale kosten', rij 12</t>
  </si>
  <si>
    <t>RNB Elektriciteit 2022-2026 Kostenbestand, tabblad '1) Totale kosten', rij 13</t>
  </si>
  <si>
    <t>RNB Elektriciteit 2022-2026 Kostenbestand, tabblad '1) Totale kosten', rij 18</t>
  </si>
  <si>
    <t>RNB Elektriciteit 2022-2026 Kostenbestand, tabblad '1) Totale kosten', rij 19</t>
  </si>
  <si>
    <t>RNB Elektriciteit 2022-2026 Kostenbestand, tabblad '1) Totale kosten', rij 20</t>
  </si>
  <si>
    <t>RNB Elektriciteit 2022-2026 Kostenbestand, tabblad '1) Totale kosten', rij 25</t>
  </si>
  <si>
    <t>RNB Elektriciteit 2022-2026 Kostenbestand, tabblad '1) Totale kosten', rij 26</t>
  </si>
  <si>
    <t>RNB Elektriciteit 2022-2026 Kostenbestand, tabblad '1) Totale kosten', rij 27</t>
  </si>
  <si>
    <t>RNB Elektriciteit 2022-2026 Kostenbestand, tabblad '1) Totale kosten', rij 32</t>
  </si>
  <si>
    <t>RNB Elektriciteit 2022-2026 Kostenbestand, tabblad '1) Totale kosten', rij 33</t>
  </si>
  <si>
    <t>RNB Elektriciteit 2022-2026 Kostenbestand, tabblad '1) Totale kosten', rij 34</t>
  </si>
  <si>
    <t>RNB Elektriciteit 2022-2026 Kostenbestand, tabblad '1) Totale kosten', rij 35</t>
  </si>
  <si>
    <t>RNB Elektriciteit 2022-2026 Kostenbestand, tabblad '1) Totale kosten', rij 38</t>
  </si>
  <si>
    <t>RNB Elektriciteit 2022-2026 Kostenbestand, tabblad '1) Totale kosten', rij 39</t>
  </si>
  <si>
    <t>RNB Elektriciteit 2022-2026 Kostenbestand, tabblad '1) Totale kosten', rij 40</t>
  </si>
  <si>
    <t>RNB Elektriciteit 2022-2026 Kostenbestand, tabblad '1) Totale kosten', rij 45</t>
  </si>
  <si>
    <t>RNB Elektriciteit 2022-2026 Kostenbestand, tabblad '1) Totale kosten', rij 46</t>
  </si>
  <si>
    <t>RNB Elektriciteit 2022-2026 Kostenbestand, tabblad '1) Totale kosten', rij 47</t>
  </si>
  <si>
    <t>RNB Elektriciteit 2022-2026 Kostenbestand, tabblad '1) Totale kosten', rij 48</t>
  </si>
  <si>
    <t>RNB Elektriciteit 2022-2026 Kostenbestand, tabblad '1) Totale kosten', rij 51</t>
  </si>
  <si>
    <t>RNB Elektriciteit 2022-2026 Kostenbestand, tabblad '1) Totale kosten', rij 52</t>
  </si>
  <si>
    <t>RNB Elektriciteit 2022-2026 Kostenbestand, tabblad '1) Totale kosten', rij 53</t>
  </si>
  <si>
    <t>RNB Elektriciteit 2022-2026 Kostenbestand, tabblad '1) Totale kosten', rij 58</t>
  </si>
  <si>
    <t>RNB Elektriciteit 2022-2026 Kostenbestand, tabblad '1) Totale kosten', rij 59</t>
  </si>
  <si>
    <t>RNB Elektriciteit 2022-2026 Kostenbestand, tabblad '1) Totale kosten', rij 60</t>
  </si>
  <si>
    <t>RNB Elektriciteit 2022-2026 Kostenbestand, tabblad '1) Totale kosten', rij 61</t>
  </si>
  <si>
    <t>RNB Elektriciteit 2022-2026 Kostenbestand, tabblad '1) Totale kosten', rij 64</t>
  </si>
  <si>
    <t>RNB Elektriciteit 2022-2026 Kostenbestand, tabblad '1) Totale kosten', rij 65</t>
  </si>
  <si>
    <t>Samengestelde output voor PV berekening</t>
  </si>
  <si>
    <t>Efficiënte kosten 2021 per netbeheerder</t>
  </si>
  <si>
    <t>Gemiddelde totale reguliere kapitaalkosten voor one-off</t>
  </si>
  <si>
    <t>Gemiddelde totale reguliere kapitaalkosten voor maatstaf</t>
  </si>
  <si>
    <t>CPI van 2015 naar 2021</t>
  </si>
  <si>
    <t>CPI van 2016 naar 2021</t>
  </si>
  <si>
    <t>CPI van 2017 naar 2021</t>
  </si>
  <si>
    <t>Op dit blad berekenen we de efficiënte kosten 2021 zoals we die hanteren voor de vergelijking met de begininkomsten en de gemiddelde totale kosten voor de maatstafberekening.</t>
  </si>
  <si>
    <t xml:space="preserve">Op dit tabblad berekenen we de x-factor. Hiervoor berekenen we de begininkomsten exclusief inkoopkosten transport, en de efficiënte eindinkomsten exclusief inkoopkosten transport. De begininkomsten worden gebaseerd op de efficiënte kosten inclusief een redelijk rendement, de eindinkomsten op de toepassing van de maatstaf. Ook corrigeren we op dit tabblad voor de afschrijvingsklif. </t>
  </si>
  <si>
    <t>Inschatting jaarlijkse CPI voor de periode 2021-2026 (afgerond)</t>
  </si>
  <si>
    <t>Gemiddelde kosten 2018-2020</t>
  </si>
  <si>
    <t>Eindinkomsten 2026 sector</t>
  </si>
  <si>
    <t>Inschatting kosten excl. Inkoopkosten transport en correctie klif</t>
  </si>
  <si>
    <t xml:space="preserve">Berekening totale kosten inclusief correctie &amp; q-bedrag </t>
  </si>
  <si>
    <t>BI - x + q-factor</t>
  </si>
  <si>
    <t>Berekening aandeel maatstaf</t>
  </si>
  <si>
    <t>Berekeningsbestand correctie afschrijvingsklif</t>
  </si>
  <si>
    <t>RNB Elektriciteit 2022-2026 Q-bedragberekening</t>
  </si>
  <si>
    <t>RNB Elektriciteit 2022-2026 Kostenbestand</t>
  </si>
  <si>
    <t>De ACM gebruikt de oplosser om de begininkomsten te berekenen. De aanleiding daarvoor is de afschrijvingsklif als gevolg van de uniforme afschrijvingstermijn van de start-GAW.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x-factor. Daardoor ontstaat – zeker bij een ongelijkmatige ontwikkeling van de verwachte efficiënte kosten – het risico dat de RNB's gesommeerd over de reguleringsperiode aanzienlijk meer of minder dan haar verwachte efficiënte kosten kunnenn terugverdienen via de tarieven. Dat zou leiden tot over- of onderdekking van de verwachte efficiënte kosten over de reguleringsperiode.
Het doel van de methode is dat de RNB's in beginsel haar verwachte efficiënte kosten inclusief een redelijk rendement dat in het economisch verkeer gebruikelijk is terug kunnen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de RNB's  hun verwachte efficiënte kosten terug kunnen verdienen.
Een expliciete berekening voor de begininkomsten 2021 inbouwen in het x-factormodel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</si>
  <si>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 xml:space="preserve">https://www.acm.nl/nl/publicaties/berekening-x-factor-bij-gewijzigde-x-factorbesluiten-elektriciteit-2017-2021 </t>
  </si>
  <si>
    <t>WACC onderzoek Brattle</t>
  </si>
  <si>
    <t>The Brattle Group - The WACC for the Dutch Electricity TSO and Electricity and Gas DSOs (draft of 20 january 2021)</t>
  </si>
  <si>
    <t>Methodebesluit 2022-2026</t>
  </si>
  <si>
    <t>Methodebesluit regionale netbeheerders elektriciteit 2022-2026</t>
  </si>
  <si>
    <t>RNB Elektriciteit 2022-2026 SO-bestand</t>
  </si>
  <si>
    <t>9) Q-factor &amp; tariefruimte</t>
  </si>
  <si>
    <t>8) X-factor + begininkomsten</t>
  </si>
  <si>
    <t>7) Toetsen toepassing one-off</t>
  </si>
  <si>
    <t>6) Totale kosten maatstaf</t>
  </si>
  <si>
    <t>5) Productiviteitsverandering</t>
  </si>
  <si>
    <t>4) Berekeningen op parameters</t>
  </si>
  <si>
    <t>ACM/19/035362</t>
  </si>
  <si>
    <t>GAW-model, kostenbestand, SO-bestand, Q-bedragberekening, berekeningsbestand afschrijvingsklif</t>
  </si>
  <si>
    <t>Op dit blad voert de ACM berekeningen op de CPI zodat deze toegepast kan worden in de berekening van de verwachte efficiënte kosten.</t>
  </si>
  <si>
    <t>Opmerking</t>
  </si>
  <si>
    <t>Gemiddelde totale kosten voor aanpassing begininkomsten</t>
  </si>
  <si>
    <t>Begininkomsten na aanpassing naar efficiënte kostenniveau</t>
  </si>
  <si>
    <t>Tabblad 3 - BI, EAV, SO &amp; PV</t>
  </si>
  <si>
    <t>Tabblad 2 -  Import kosten 2015-2020</t>
  </si>
  <si>
    <t>Tabblad 5 -  Berekening productiviteitsverandering</t>
  </si>
  <si>
    <t>Tabblad 6 -  Totale kosten maatstaf</t>
  </si>
  <si>
    <t>Formule (1)</t>
  </si>
  <si>
    <t>Formule (2)</t>
  </si>
  <si>
    <t>Formule (3)</t>
  </si>
  <si>
    <t>Formule (4)</t>
  </si>
  <si>
    <t>Samengestelde output op basis van rekenvolumes 2018-2020</t>
  </si>
  <si>
    <t>Formule (5)</t>
  </si>
  <si>
    <t>Formule (6)</t>
  </si>
  <si>
    <t>Formule (7)</t>
  </si>
  <si>
    <t>Formule (8)</t>
  </si>
  <si>
    <t>Formule (13)</t>
  </si>
  <si>
    <t>Formule (15)</t>
  </si>
  <si>
    <t>Formule (16)</t>
  </si>
  <si>
    <t>Formule (22)</t>
  </si>
  <si>
    <t>Formule (36)</t>
  </si>
  <si>
    <t>Formule (35)</t>
  </si>
  <si>
    <t>Formule (37)</t>
  </si>
  <si>
    <t>Formule (38)</t>
  </si>
  <si>
    <t>Formule (39)</t>
  </si>
  <si>
    <t>Formule (40)</t>
  </si>
  <si>
    <t>Formule (34)</t>
  </si>
  <si>
    <t>Formule (41)</t>
  </si>
  <si>
    <t>Formule (55)</t>
  </si>
  <si>
    <t>Formule (11)</t>
  </si>
  <si>
    <t>Inschatting jaarlijkse CPI voor de periode 2022-2026 (afgerond)</t>
  </si>
  <si>
    <t>Inschatting CPI 2022-2026</t>
  </si>
  <si>
    <t>Methodebesluit 2022-2026, paragraaf 7.4.2</t>
  </si>
  <si>
    <t>Methodebesluit 2022-2026, paragraaf 7.4.1</t>
  </si>
  <si>
    <t>Correctie afschrijvingsklif 2022</t>
  </si>
  <si>
    <t>Correctie afschrijvingsklif 2023</t>
  </si>
  <si>
    <t>Correctie afschrijvingsklif 2024</t>
  </si>
  <si>
    <t>Correctie afschrijvingsklif 2025</t>
  </si>
  <si>
    <t>Correctie afschrijvingsklif 2026</t>
  </si>
  <si>
    <t>Berekening kosten totaal inclusief correctie kapitaalkosten</t>
  </si>
  <si>
    <t>Totale kosten inclusief correctie kapitaalkosten 2022</t>
  </si>
  <si>
    <t>Totale kosten inclusief correctie kapitaalkosten 2023</t>
  </si>
  <si>
    <t>Totale kosten inclusief correctie kapitaalkosten 2024</t>
  </si>
  <si>
    <t>Totale kosten inclusief correctie kapitaalkosten 2025</t>
  </si>
  <si>
    <t>Totale kosten inclusief correctie kapitaalkosten 2026</t>
  </si>
  <si>
    <t>Berekening gecorrigeerde inkomsten (met behulp van oplosser)</t>
  </si>
  <si>
    <t xml:space="preserve">Nominale WACC </t>
  </si>
  <si>
    <t>WACC-percentages (nominaal, voor belasting)</t>
  </si>
  <si>
    <t>Nominale WACC begininkomstenjaar 2021</t>
  </si>
  <si>
    <t>Ontwerp methodebesluit 2022-2026, paragraaf 7.4.1</t>
  </si>
  <si>
    <t>Nominale WACC eindinkomstenjaar 2026</t>
  </si>
  <si>
    <t>Berekening discontovoet</t>
  </si>
  <si>
    <t>Discontovoet</t>
  </si>
  <si>
    <t>1+ discontovoet van 2022 naar jaar</t>
  </si>
  <si>
    <t>1+%</t>
  </si>
  <si>
    <t>1+ discontovoet van 2022 naar 2022</t>
  </si>
  <si>
    <t>1+ discontovoet van 2022 naar 2023</t>
  </si>
  <si>
    <t>1+ discontovoet van 2022 naar 2024</t>
  </si>
  <si>
    <t>1+ discontovoet van 2022 naar 2025</t>
  </si>
  <si>
    <t>1+ discontovoet van 2022 naar 2026</t>
  </si>
  <si>
    <t>Totale kosten inclusief correctie kapitaalkosten</t>
  </si>
  <si>
    <t>Op dit tabblad berekenen we niet alleen de x-factor, maar corrigeren we ook voor de afschrijvingsklif. Dit doen we door eerst de totale inkomsten over de gehele periode te schatten. Dit doen we op basis van de begininkomsten na aanpassing naar efficiënte kostenniveau en de efficiënte eindinkomsten. Met deze twee waardes berekenen we een x-factor, en hiermee berekenen we de geschatte inkomsten voor elk jaar van de reguleringsperiode. De correctie van de afschrijvingsklif halen we op vanuit een ander bestand. Dan berekenen we de totale kosten inclusief correctie voor elk jaar. Tot slot gebruiken we de "oplosser invoegtoepassing om de begininkomsten zo vast te stellen dat de totale geschatte inkomsten over de gehele periode kloppen. Meer uitleg over deze invoegtoepassing is te vinden op het tabblad "Bronnen en toepassingen"</t>
  </si>
  <si>
    <t>Tabblad 4 -  Berekeningen op parameters</t>
  </si>
  <si>
    <t>Totale kosten 2009 voor PV berekening 2009-2010</t>
  </si>
  <si>
    <t>Totale kosten 2010 voor PV berekening 2009-2010</t>
  </si>
  <si>
    <t>Totale kosten 2010 voor PV berekening 2010-2011</t>
  </si>
  <si>
    <t>Totale kosten 2011 voor PV berekening 2010-2011</t>
  </si>
  <si>
    <t>Totale kosten 2011 voor PV berekening 2011-2012</t>
  </si>
  <si>
    <t>Totale kosten 2012 voor PV berekening 2011-2012</t>
  </si>
  <si>
    <t>Totale kosten 2012 voor PV berekening 2012-2013</t>
  </si>
  <si>
    <t>Totale kosten 2013 voor PV berekening 2012-2013</t>
  </si>
  <si>
    <t>Totale kosten 2013 voor PV berekening 2013-2014</t>
  </si>
  <si>
    <t>Totale kosten 2014 voor PV berekening 2013-2014</t>
  </si>
  <si>
    <t>Totale kosten 2014 voor PV berekening 2014-2015</t>
  </si>
  <si>
    <t>Totale kosten 2015 voor PV berekening 2014-2015</t>
  </si>
  <si>
    <t>Samengestelde output 2012 voor PV berekening 2012-2013 (excl. Invoeding, incl HS-netten Stedin)</t>
  </si>
  <si>
    <t>Samengestelde output 2013 voor PV berekening 2013-2014 (excl. Invoeding, incl HS-netten Stedin)</t>
  </si>
  <si>
    <t>Samengestelde output 2014 voor PV berekening 2013-2014 (excl. Invoeding, incl HS-netten Stedin)</t>
  </si>
  <si>
    <t>Samengestelde output 2014 voor PV berekening 2014-2015 (excl. Invoeding, excl. HS-netten Stedin)</t>
  </si>
  <si>
    <t>Samengestelde output 2015 voor PV berekening 2014-2015 (excl. Invoeding, excl. HS-netten Stedin)</t>
  </si>
  <si>
    <t>RNBs Elektriciteit 2017-2021 gewijzigd X-factormodel, tabblad Productiviteitsverandering, cel L29</t>
  </si>
  <si>
    <t>RNBs Elektriciteit 2017-2021 gewijzigd X-factormodel, tabblad Productiviteitsverandering, cel M29</t>
  </si>
  <si>
    <t>RNBs Elektriciteit 2017-2021 gewijzigd X-factormodel, tabblad Productiviteitsverandering, cel M30</t>
  </si>
  <si>
    <t>RNBs Elektriciteit 2017-2021 gewijzigd X-factormodel, tabblad Productiviteitsverandering, cel N30</t>
  </si>
  <si>
    <t>RNBs Elektriciteit 2017-2021 gewijzigd X-factormodel, tabblad Productiviteitsverandering, cel N31</t>
  </si>
  <si>
    <t>RNBs Elektriciteit 2017-2021 gewijzigd X-factormodel, tabblad Productiviteitsverandering, cel O31</t>
  </si>
  <si>
    <t>Samengestelde output invoeding 2009 voor PV berekening 2009-2010</t>
  </si>
  <si>
    <t>Samengestelde output invoeding 2010 voor PV berekening 2009-2010</t>
  </si>
  <si>
    <t>Samengestelde output invoeding 2011 voor PV berekening 2010-2011</t>
  </si>
  <si>
    <t>Samengestelde output invoeding 2012 voor PV berekening 2011-2012</t>
  </si>
  <si>
    <t>Samengestelde output invoeding 2012 voor PV berekening 2012-2013</t>
  </si>
  <si>
    <t>Samengestelde output invoeding 2013 voor PV berekening 2013-2014</t>
  </si>
  <si>
    <t>Samengestelde output invoeding 2014 voor PV berekening 2014-2015</t>
  </si>
  <si>
    <t>Samengestelde output invoeding 2015 voor PV berekening 2014-2015</t>
  </si>
  <si>
    <t>EUR, pp 2013</t>
  </si>
  <si>
    <t>RNBs Elektriciteit 2014-2016 gewijzigd X-factormodel, tabblad Productiviteitsverandering, cel K39</t>
  </si>
  <si>
    <t>RNBs Elektriciteit 2014-2016 gewijzigd X-factormodel, tabblad Productiviteitsverandering, cel L39</t>
  </si>
  <si>
    <t>RNBs Elektriciteit 2014-2016 gewijzigd X-factormodel, tabblad Productiviteitsverandering, cel L40</t>
  </si>
  <si>
    <t>RNBs Elektriciteit 2014-2016 gewijzigd X-factormodel, tabblad Productiviteitsverandering, cel M40</t>
  </si>
  <si>
    <t>RNBs Elektriciteit 2014-2016 gewijzigd X-factormodel, tabblad Productiviteitsverandering, cel M41</t>
  </si>
  <si>
    <t>RNBs Elektriciteit 2014-2016 gewijzigd X-factormodel, tabblad Productiviteitsverandering, cel N41</t>
  </si>
  <si>
    <t>Samengestelde output voor PV berekening tot 2014-2015</t>
  </si>
  <si>
    <t>Samengestelde output voor PV berekening 2014-2015</t>
  </si>
  <si>
    <t>Samengestelde output voor PV berekening 2012-2014</t>
  </si>
  <si>
    <t>Samengestelde output voor PV berekening 2009-2012</t>
  </si>
  <si>
    <t>Samengestelde output invoeding voor PV berekening 2009-2012</t>
  </si>
  <si>
    <t>Samengestelde output voor PV berekening tot 2009-2012</t>
  </si>
  <si>
    <t>Samengestelde output voor PV berekening tot 2012-2014</t>
  </si>
  <si>
    <t>Samengestelde output 2012 voor PV berekening 2011-2012 (excl. Invoeding)</t>
  </si>
  <si>
    <t>Samengestelde output 2009 voor PV berekening 2009-2010 (excl. Invoeding)</t>
  </si>
  <si>
    <t>Samengestelde output 2010 voor PV berekening 2010-2011 (excl. Invoeding)</t>
  </si>
  <si>
    <t>Samengestelde output 2011 voor PV berekening 2011-2012 (excl. Invoeding)</t>
  </si>
  <si>
    <t>RENDO incl. BV</t>
  </si>
  <si>
    <t>Kosten RENDO personeel BV</t>
  </si>
  <si>
    <t>Voor de productiviteitsberekening over 2015-2020 wordt gebruik gemaakt van de kostenniveaus voor de jaren 2015-2020 die op sommige punten zijn aangepast voor de PV-meting (ten behoeve van de methode in de periode 2022-2026). Een beschrijving van deze aanpassingen is opgenomen in het methodebesluit.</t>
  </si>
  <si>
    <t xml:space="preserve">Enexis en RENDO hebben per 2017 respectievelijk 2020 een deel van hun activa overgedragen naar een aparte personeel BV. Om hier rekening mee te kunnen houden in de productiviteitsverandering wordt tot en met 2016 respectievelijk 2019 gerekend met de kapitaalkosten inclusief de activa die is overgeheveld naar het personeel BV, en vanaf 2017 respectievelijk 2020 exclusief deze kapitaalkosten omdat deze vanaf dit jaar in de operationele kosten verwerkt zijn. </t>
  </si>
  <si>
    <t xml:space="preserve">Tabblad 7 -  Berekening x-factor &amp; begininkomsten </t>
  </si>
  <si>
    <t>Tabblad 8 -  Berekening q-factor &amp; indicatieve tariefruimte</t>
  </si>
  <si>
    <t>PV tot 2021</t>
  </si>
  <si>
    <t>PV 2021-2026</t>
  </si>
  <si>
    <t>Berekeningsbestand PV elektriciteit voor kostenontwikkeling 2021-2026, tabblad 1) berekening PV, cel H124</t>
  </si>
  <si>
    <t>Berekening PV 2021-2026</t>
  </si>
  <si>
    <t xml:space="preserve">Voor het berekenen van de PV voor 2021-2026 berekent de ACM een gewogen gemiddelde PV van de erfenis en de overige kosten. Hiervoor verwijst de ACM vooruit naar tabblad 7. </t>
  </si>
  <si>
    <t>Vooruitverwijzing naar tabblad 7</t>
  </si>
  <si>
    <t>Inschatting productiviteitsverandering tot 2021</t>
  </si>
  <si>
    <t>Correctie op de PV voor 50% van de inflatievergoeding t/m 2021</t>
  </si>
  <si>
    <t>Kapitaalkosten 50% inflatievergoeding t/m 2021</t>
  </si>
  <si>
    <t>Berekeningsbestand correctie PV 50% geactiveerde inflatievergoeding t/m 2021 RNB-E, tabblad 1) Berekening correctie, cel F29</t>
  </si>
  <si>
    <t>Berekeningsbestand correctie PV 50% geactiveerde inflatievergoeding t/m 2021 RNB-E, tabblad 1) Berekening correctie, cel H27</t>
  </si>
  <si>
    <t>Berekeningsbestand correctie PV 50% geactiveerde inflatievergoeding t/m 2021 RNB-E</t>
  </si>
  <si>
    <t>Eindinkomsten 2026 voor berekening x-factor (excl. Inkoop Transport)</t>
  </si>
  <si>
    <t>RNBs Elektriciteit 2014-2016 gewijzigd X-factormodel, tabblad Standaardisatie Output, cel F28</t>
  </si>
  <si>
    <t>RNBs Elektriciteit 2014-2016 gewijzigd X-factormodel, tabblad Standaardisatie Output, cel F57</t>
  </si>
  <si>
    <t>RNBs Elektriciteit 2014-2016 gewijzigd X-factormodel, tabblad Standaardisatie Output, cel F86</t>
  </si>
  <si>
    <t>RNBs Elektriciteit 2014-2016 gewijzigd X-factormodel, tabblad Standaardisatie Output, cel F115</t>
  </si>
  <si>
    <t>De ACM gebruikt hier de waardes inclusief BV voor Rendo, omdat deze pas in 2020 zijn overgedragen</t>
  </si>
  <si>
    <t>Begininkomsten  o.b.v. WACC BI2021</t>
  </si>
  <si>
    <t xml:space="preserve">Samengestelde output invoeding voor PV berekening 2012-2015 </t>
  </si>
  <si>
    <t>RNBs Elektriciteit 2014-2016 gewijzigd X-factormodel, berekening o.b.v. tabblad Standaardisatie Output, cel F34 - cel F28</t>
  </si>
  <si>
    <t>RNBs Elektriciteit 2014-2016 gewijzigd X-factormodel, berekening o.b.v. tabblad Standaardisatie Output, cel F121 - cel F115</t>
  </si>
  <si>
    <t>RNBs Elektriciteit 2014-2016 gewijzigd X-factormodel, berekening o.b.v. tabblad Standaardisatie Output, cel F92 - cel F86</t>
  </si>
  <si>
    <t>RNBs Elektriciteit 2014-2016 gewijzigd X-factormodel, berekening o.b.v. tabblad Standaardisatie Output, cel F63 - cel F57</t>
  </si>
  <si>
    <t>Aangepast RNBs Elektriciteit 2017-2021 SO-bestand, tabblad SO voor PV over 2012 - 2015, cel L163</t>
  </si>
  <si>
    <t>Aangepast RNBs Elektriciteit 2017-2021 SO-bestand, tabblad SO voor PV over 2012 - 2015, cel R163</t>
  </si>
  <si>
    <t>Aangepast RNBs Elektriciteit 2017-2021 SO-bestand, tabblad SO voor PV over 2012 - 2015, cel T163</t>
  </si>
  <si>
    <t>Aangepast RNBs Elektriciteit 2017-2021 SO-bestand, tabblad SO voor PV over 2012 - 2015, cel V163</t>
  </si>
  <si>
    <t>Aangepast RNBs Elektriciteit 2017-2021 SO-bestand, tabblad SO voor PV over 2012 - 2015, cel L161</t>
  </si>
  <si>
    <t>Aangepast RNBs Elektriciteit 2017-2021 SO-bestand, tabblad SO voor PV over 2012 - 2015, cel N161</t>
  </si>
  <si>
    <t>Aangepast RNBs Elektriciteit 2017-2021 SO-bestand, tabblad SO voor PV over 2012 - 2015, cel R161</t>
  </si>
  <si>
    <t>Aangepast RNBs Elektriciteit 2017-2021 SO-bestand, tabblad SO voor PV over 2012 - 2015, cel V161</t>
  </si>
  <si>
    <t>Berekeningsbestand correctie afschrijvingsklif, tabblad 1) Resultaat, cel J35 t/m J38</t>
  </si>
  <si>
    <t>Berekeningsbestand correctie afschrijvingsklif, tabblad 1) Resultaat, cel K35 t/m K38</t>
  </si>
  <si>
    <t>Berekeningsbestand correctie afschrijvingsklif, tabblad 1) Resultaat, cel N35 t/m N38</t>
  </si>
  <si>
    <t>RNB Elektriciteit 2022-2026 Q-bedragberekening, tabblad resultaat, cel L14</t>
  </si>
  <si>
    <t>RNB Elektriciteit 2022-2026 Q-bedragberekening, tabblad resultaat, cel M14</t>
  </si>
  <si>
    <t>RNB Elektriciteit 2022-2026 Q-bedragberekening, tabblad resultaat, cel N14</t>
  </si>
  <si>
    <t>RNB Elektriciteit 2022-2026 Q-bedragberekening, tabblad resultaat, rcel O14</t>
  </si>
  <si>
    <t>RNB Elektriciteit 2022-2026 Q-bedragberekening, tabblad resultaat, cel P14</t>
  </si>
  <si>
    <t>RNB Elektriciteit 2022-2026 Q-bedragberekening, tabblad resultaat, cel Q14</t>
  </si>
  <si>
    <t>RNB Elektriciteit 2022-2026 SO bestand, tabblad Output BI, EAV en SO, regel 13</t>
  </si>
  <si>
    <t>RNB Elektriciteit 2022-2026 SO bestand, tabblad Output BI, EAV en SO, regel 26</t>
  </si>
  <si>
    <t>RNB Elektriciteit 2022-2026 SO bestand, tabblad Output BI, EAV en SO, regel 19</t>
  </si>
  <si>
    <t>RNB Elektriciteit 2022-2026 SO bestand, tabblad Output BI, EAV en SO, regel 20</t>
  </si>
  <si>
    <t>RNB Elektriciteit 2022-2026 SO bestand, tabblad Output BI, EAV en SO, regel 21</t>
  </si>
  <si>
    <t>RNB Elektriciteit 2022-2026 SO bestand, tabblad Output BI, EAV en SO, regel 32</t>
  </si>
  <si>
    <t>RNB Elektriciteit 2022-2026 SO bestand, tabblad Output BI, EAV en SO, regel 35</t>
  </si>
  <si>
    <t>RNB Elektriciteit 2022-2026 SO bestand, tabblad Output BI, EAV en SO, regel 37</t>
  </si>
  <si>
    <t>RNB Elektriciteit 2022-2026 SO bestand, tabblad Output BI, EAV en SO, regel 38</t>
  </si>
  <si>
    <t>Aangepast RNBs Elektriciteit 2017-2021 SO-bestand, tabblad SO voor PV over 2012 - 2015, cel P163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</si>
</sst>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 #,##0_ ;_ &quot;€&quot;\ * \-#,##0_ ;_ &quot;€&quot;\ * &quot;-&quot;_ ;_ @_ "/>
    <numFmt numFmtId="41" formatCode="_ * #,##0_ ;_ * \-#,##0_ ;_ * &quot;-&quot;_ ;_ @_ "/>
    <numFmt numFmtId="43" formatCode="_ * #,##0.00_ ;_ * \-#,##0.00_ ;_ * &quot;-&quot;??_ ;_ @_ "/>
    <numFmt numFmtId="164" formatCode="_(* #,##0.00_);_(* \(#,##0.00\);_(* &quot;-&quot;??_);_(@_)"/>
    <numFmt numFmtId="165" formatCode="_ * #,##0_ ;_ * \-#,##0_ ;_ * &quot;-&quot;??_ ;_ @_ "/>
    <numFmt numFmtId="166" formatCode="_-* #,##0_-;_-* #,##0\-;_-* &quot;-&quot;??_-;_-@_-"/>
    <numFmt numFmtId="167" formatCode="0.0000"/>
    <numFmt numFmtId="168" formatCode="0.0%"/>
    <numFmt numFmtId="169" formatCode="_ * #,##0.000_ ;_ * \-#,##0.000_ ;_ * &quot;-&quot;??_ ;_ @_ "/>
    <numFmt numFmtId="170" formatCode="_(* #,##0_);_(* \(#,##0\);_(* &quot;-&quot;_);_(@_)"/>
    <numFmt numFmtId="171" formatCode="_ * #,##0.000_ ;_ * \-#,##0.000_ ;_ * &quot;-&quot;_ ;_ @_ "/>
    <numFmt numFmtId="172" formatCode="_(* #,##0.00_);_(* \(#,##0.00\);_(* &quot;-&quot;_);_(@_)"/>
    <numFmt numFmtId="173" formatCode="_ * #,##0.00_ ;_ * \-#,##0.00_ ;_ * &quot;-&quot;_ ;_ @_ "/>
  </numFmts>
  <fonts count="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sz val="10"/>
      <color theme="1"/>
      <name val="Arial"/>
      <family val="2"/>
    </font>
    <font>
      <sz val="10"/>
      <name val="Arial"/>
      <family val="2"/>
    </font>
    <font>
      <sz val="10"/>
      <color rgb="FFFF0000"/>
      <name val="Arial"/>
      <family val="2"/>
    </font>
    <font>
      <b/>
      <sz val="10"/>
      <name val="Arial"/>
      <family val="2"/>
    </font>
    <font>
      <i/>
      <sz val="10"/>
      <name val="Arial"/>
      <family val="2"/>
    </font>
    <font>
      <sz val="8"/>
      <color indexed="81"/>
      <name val="Tahoma"/>
      <family val="2"/>
    </font>
    <font>
      <sz val="10"/>
      <color rgb="FF000000"/>
      <name val="Arial"/>
      <family val="2"/>
    </font>
    <font>
      <b/>
      <sz val="10"/>
      <color rgb="FFFF0000"/>
      <name val="Arial"/>
      <family val="2"/>
    </font>
    <font>
      <sz val="10"/>
      <color indexed="8"/>
      <name val="MS Sans Serif"/>
      <family val="2"/>
    </font>
    <font>
      <b/>
      <sz val="14"/>
      <color theme="0"/>
      <name val="Arial"/>
      <family val="2"/>
    </font>
    <font>
      <b/>
      <sz val="10"/>
      <color indexed="8"/>
      <name val="Arial"/>
      <family val="2"/>
    </font>
    <font>
      <sz val="10"/>
      <color indexed="55"/>
      <name val="Arial"/>
      <family val="2"/>
    </font>
    <font>
      <b/>
      <sz val="10"/>
      <color theme="0"/>
      <name val="Arial"/>
      <family val="2"/>
    </font>
    <font>
      <u/>
      <sz val="10"/>
      <color theme="10"/>
      <name val="Arial"/>
      <family val="2"/>
    </font>
    <font>
      <i/>
      <sz val="10"/>
      <color theme="1"/>
      <name val="Arial"/>
      <family val="2"/>
    </font>
    <font>
      <sz val="8"/>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rgb="FF5F1F7A"/>
        <bgColor indexed="64"/>
      </patternFill>
    </fill>
    <fill>
      <patternFill patternType="solid">
        <fgColor rgb="FFCCC8D9"/>
        <bgColor indexed="64"/>
      </patternFill>
    </fill>
    <fill>
      <patternFill patternType="solid">
        <fgColor theme="0"/>
        <bgColor indexed="64"/>
      </patternFill>
    </fill>
    <fill>
      <patternFill patternType="solid">
        <fgColor rgb="FF99FF99"/>
        <bgColor indexed="64"/>
      </patternFill>
    </fill>
    <fill>
      <patternFill patternType="solid">
        <fgColor rgb="FFE1FFE1"/>
        <bgColor indexed="64"/>
      </patternFill>
    </fill>
    <fill>
      <patternFill patternType="solid">
        <fgColor indexed="41"/>
        <bgColor indexed="64"/>
      </patternFill>
    </fill>
    <fill>
      <patternFill patternType="solid">
        <fgColor indexed="14"/>
        <bgColor indexed="64"/>
      </patternFill>
    </fill>
    <fill>
      <patternFill patternType="solid">
        <fgColor theme="0" tint="-4.9989318521683403E-2"/>
        <bgColor indexed="64"/>
      </patternFill>
    </fill>
    <fill>
      <gradientFill>
        <stop position="0">
          <color rgb="FFFFFFCC"/>
        </stop>
        <stop position="1">
          <color rgb="FFCCFFCC"/>
        </stop>
      </gradientFill>
    </fill>
    <fill>
      <patternFill patternType="solid">
        <fgColor theme="0" tint="-0.14996795556505021"/>
        <bgColor indexed="64"/>
      </patternFill>
    </fill>
  </fills>
  <borders count="1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thin">
        <color indexed="64"/>
      </top>
      <bottom style="thin">
        <color indexed="64"/>
      </bottom>
      <diagonal/>
    </border>
    <border>
      <left/>
      <right/>
      <top/>
      <bottom style="thin">
        <color auto="1"/>
      </bottom>
      <diagonal/>
    </border>
  </borders>
  <cellStyleXfs count="31">
    <xf numFmtId="0" fontId="0" fillId="0" borderId="0"/>
    <xf numFmtId="43" fontId="13"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0" fontId="16" fillId="0" borderId="0"/>
    <xf numFmtId="0" fontId="16" fillId="0" borderId="0">
      <alignment vertical="top"/>
    </xf>
    <xf numFmtId="49" fontId="24" fillId="10" borderId="1">
      <alignment vertical="top"/>
    </xf>
    <xf numFmtId="49" fontId="18" fillId="0" borderId="0">
      <alignment vertical="top"/>
    </xf>
    <xf numFmtId="49" fontId="19" fillId="0" borderId="0">
      <alignment vertical="top"/>
    </xf>
    <xf numFmtId="49" fontId="18" fillId="11" borderId="1">
      <alignment vertical="top"/>
    </xf>
    <xf numFmtId="0" fontId="16" fillId="0" borderId="0" applyNumberFormat="0" applyFill="0" applyBorder="0" applyAlignment="0" applyProtection="0"/>
    <xf numFmtId="49" fontId="24" fillId="10" borderId="1">
      <alignment vertical="top"/>
    </xf>
    <xf numFmtId="49" fontId="18" fillId="11" borderId="1">
      <alignment vertical="top"/>
    </xf>
    <xf numFmtId="170" fontId="16" fillId="4" borderId="0">
      <alignment vertical="top"/>
    </xf>
    <xf numFmtId="170" fontId="16" fillId="2" borderId="0">
      <alignment vertical="top"/>
    </xf>
    <xf numFmtId="170" fontId="16" fillId="5" borderId="0">
      <alignment vertical="top"/>
    </xf>
    <xf numFmtId="170" fontId="16" fillId="13" borderId="0">
      <alignment vertical="top"/>
    </xf>
    <xf numFmtId="170" fontId="16" fillId="14" borderId="0">
      <alignment vertical="top"/>
    </xf>
    <xf numFmtId="170" fontId="16" fillId="6" borderId="0">
      <alignment vertical="top"/>
    </xf>
    <xf numFmtId="170" fontId="16" fillId="3" borderId="0">
      <alignment vertical="top"/>
    </xf>
    <xf numFmtId="164" fontId="16" fillId="2" borderId="0" applyFont="0" applyFill="0" applyBorder="0" applyAlignment="0" applyProtection="0">
      <alignment vertical="top"/>
    </xf>
    <xf numFmtId="49" fontId="22" fillId="0" borderId="0">
      <alignment vertical="top"/>
    </xf>
    <xf numFmtId="0" fontId="15" fillId="0" borderId="0">
      <alignment vertical="top"/>
    </xf>
    <xf numFmtId="49" fontId="28" fillId="0" borderId="0" applyFill="0" applyBorder="0" applyAlignment="0" applyProtection="0"/>
    <xf numFmtId="0" fontId="23" fillId="0" borderId="0"/>
    <xf numFmtId="41" fontId="16" fillId="4" borderId="0">
      <alignment vertical="top"/>
    </xf>
    <xf numFmtId="41" fontId="16" fillId="2" borderId="0">
      <alignment vertical="top"/>
    </xf>
    <xf numFmtId="43" fontId="16" fillId="19" borderId="0" applyNumberFormat="0">
      <alignment vertical="top"/>
    </xf>
    <xf numFmtId="0" fontId="16" fillId="0" borderId="0"/>
    <xf numFmtId="49" fontId="18" fillId="11" borderId="1">
      <alignment vertical="top"/>
    </xf>
    <xf numFmtId="0" fontId="16" fillId="0" borderId="0"/>
  </cellStyleXfs>
  <cellXfs count="216">
    <xf numFmtId="0" fontId="0" fillId="0" borderId="0" xfId="0"/>
    <xf numFmtId="10" fontId="16" fillId="0" borderId="0" xfId="1" applyNumberFormat="1" applyFont="1" applyFill="1"/>
    <xf numFmtId="0" fontId="15" fillId="0" borderId="0" xfId="0" applyFont="1"/>
    <xf numFmtId="0" fontId="14" fillId="0" borderId="0" xfId="0" applyFont="1"/>
    <xf numFmtId="165" fontId="15" fillId="3" borderId="0" xfId="1" applyNumberFormat="1" applyFont="1" applyFill="1"/>
    <xf numFmtId="165" fontId="15" fillId="0" borderId="0" xfId="0" applyNumberFormat="1" applyFont="1"/>
    <xf numFmtId="0" fontId="0" fillId="7" borderId="0" xfId="0" applyFill="1"/>
    <xf numFmtId="0" fontId="15" fillId="0" borderId="0" xfId="0" applyFont="1" applyFill="1"/>
    <xf numFmtId="165" fontId="15" fillId="0" borderId="0" xfId="1" applyNumberFormat="1" applyFont="1"/>
    <xf numFmtId="165" fontId="15" fillId="0" borderId="0" xfId="0" applyNumberFormat="1" applyFont="1" applyFill="1"/>
    <xf numFmtId="10" fontId="15" fillId="0" borderId="0" xfId="0" applyNumberFormat="1" applyFont="1" applyFill="1"/>
    <xf numFmtId="0" fontId="16" fillId="0" borderId="0" xfId="0" applyFont="1"/>
    <xf numFmtId="165" fontId="15" fillId="4" borderId="0" xfId="0" applyNumberFormat="1" applyFont="1" applyFill="1"/>
    <xf numFmtId="0" fontId="16" fillId="0" borderId="0" xfId="0" applyFont="1" applyFill="1"/>
    <xf numFmtId="42" fontId="15" fillId="0" borderId="0" xfId="0" applyNumberFormat="1" applyFont="1"/>
    <xf numFmtId="0" fontId="18" fillId="7" borderId="0" xfId="0" applyFont="1" applyFill="1"/>
    <xf numFmtId="10" fontId="16" fillId="3" borderId="0" xfId="0" applyNumberFormat="1" applyFont="1" applyFill="1"/>
    <xf numFmtId="165" fontId="16" fillId="3" borderId="0" xfId="0" applyNumberFormat="1" applyFont="1" applyFill="1"/>
    <xf numFmtId="0" fontId="0" fillId="0" borderId="0" xfId="0"/>
    <xf numFmtId="10" fontId="0" fillId="9" borderId="0" xfId="0" applyNumberFormat="1" applyFill="1"/>
    <xf numFmtId="166" fontId="16" fillId="3" borderId="0" xfId="1" applyNumberFormat="1" applyFont="1" applyFill="1"/>
    <xf numFmtId="165" fontId="16" fillId="3" borderId="0" xfId="1" applyNumberFormat="1" applyFont="1" applyFill="1"/>
    <xf numFmtId="168" fontId="16" fillId="3" borderId="0" xfId="0" applyNumberFormat="1" applyFont="1" applyFill="1"/>
    <xf numFmtId="0" fontId="21" fillId="0" borderId="0" xfId="0" applyFont="1" applyAlignment="1">
      <alignment vertical="center"/>
    </xf>
    <xf numFmtId="41" fontId="15" fillId="2" borderId="0" xfId="0" applyNumberFormat="1" applyFont="1" applyFill="1"/>
    <xf numFmtId="0" fontId="15" fillId="0" borderId="0" xfId="0" applyFont="1" applyAlignment="1">
      <alignment vertical="center"/>
    </xf>
    <xf numFmtId="0" fontId="16" fillId="0" borderId="0" xfId="4" applyFont="1"/>
    <xf numFmtId="0" fontId="16" fillId="0" borderId="0" xfId="0" applyFont="1"/>
    <xf numFmtId="0" fontId="18" fillId="0" borderId="0" xfId="0" applyFont="1"/>
    <xf numFmtId="0" fontId="17" fillId="0" borderId="0" xfId="0" applyFont="1"/>
    <xf numFmtId="0" fontId="22" fillId="0" borderId="0" xfId="0" applyFont="1"/>
    <xf numFmtId="10" fontId="15" fillId="2" borderId="0" xfId="2" applyNumberFormat="1" applyFont="1" applyFill="1"/>
    <xf numFmtId="0" fontId="15" fillId="0" borderId="0" xfId="0" applyFont="1"/>
    <xf numFmtId="165" fontId="15" fillId="2" borderId="0" xfId="1" applyNumberFormat="1" applyFont="1" applyFill="1"/>
    <xf numFmtId="165" fontId="15" fillId="2" borderId="0" xfId="0" applyNumberFormat="1" applyFont="1" applyFill="1"/>
    <xf numFmtId="0" fontId="16" fillId="0" borderId="0" xfId="0" applyFont="1"/>
    <xf numFmtId="0" fontId="17" fillId="0" borderId="0" xfId="0" applyFont="1"/>
    <xf numFmtId="0" fontId="15" fillId="0" borderId="0" xfId="0" applyFont="1" applyFill="1" applyBorder="1"/>
    <xf numFmtId="42" fontId="15" fillId="0" borderId="0" xfId="0" applyNumberFormat="1" applyFont="1" applyAlignment="1">
      <alignment horizontal="left"/>
    </xf>
    <xf numFmtId="167" fontId="15" fillId="2" borderId="0" xfId="2" applyNumberFormat="1" applyFont="1" applyFill="1"/>
    <xf numFmtId="10" fontId="15" fillId="4" borderId="0" xfId="2" applyNumberFormat="1" applyFont="1" applyFill="1"/>
    <xf numFmtId="41" fontId="15" fillId="0" borderId="0" xfId="0" applyNumberFormat="1" applyFont="1"/>
    <xf numFmtId="41" fontId="15" fillId="0" borderId="0" xfId="0" applyNumberFormat="1" applyFont="1" applyFill="1"/>
    <xf numFmtId="41" fontId="15" fillId="4" borderId="0" xfId="0" applyNumberFormat="1" applyFont="1" applyFill="1"/>
    <xf numFmtId="0" fontId="15" fillId="0" borderId="0" xfId="0" applyFont="1" applyBorder="1"/>
    <xf numFmtId="0" fontId="14" fillId="0" borderId="0" xfId="0" applyFont="1" applyBorder="1"/>
    <xf numFmtId="10" fontId="15" fillId="0" borderId="0" xfId="0" applyNumberFormat="1" applyFont="1" applyFill="1" applyBorder="1"/>
    <xf numFmtId="10" fontId="15" fillId="3" borderId="0" xfId="2" applyNumberFormat="1" applyFont="1" applyFill="1"/>
    <xf numFmtId="0" fontId="16" fillId="0" borderId="0" xfId="5">
      <alignment vertical="top"/>
    </xf>
    <xf numFmtId="0" fontId="24" fillId="10" borderId="1" xfId="6" applyNumberFormat="1">
      <alignment vertical="top"/>
    </xf>
    <xf numFmtId="49" fontId="18" fillId="0" borderId="0" xfId="7">
      <alignment vertical="top"/>
    </xf>
    <xf numFmtId="0" fontId="0" fillId="0" borderId="0" xfId="0" applyAlignment="1">
      <alignment vertical="top"/>
    </xf>
    <xf numFmtId="0" fontId="17" fillId="0" borderId="0" xfId="5" applyFont="1">
      <alignment vertical="top"/>
    </xf>
    <xf numFmtId="0" fontId="16" fillId="0" borderId="0" xfId="5" applyFont="1">
      <alignment vertical="top"/>
    </xf>
    <xf numFmtId="49" fontId="19" fillId="0" borderId="0" xfId="8">
      <alignment vertical="top"/>
    </xf>
    <xf numFmtId="0" fontId="16" fillId="0" borderId="0" xfId="5" applyFont="1" applyAlignment="1">
      <alignment horizontal="left" vertical="top" wrapText="1"/>
    </xf>
    <xf numFmtId="49" fontId="18" fillId="11" borderId="1" xfId="9">
      <alignment vertical="top"/>
    </xf>
    <xf numFmtId="0" fontId="18" fillId="11" borderId="1" xfId="9" applyNumberFormat="1">
      <alignment vertical="top"/>
    </xf>
    <xf numFmtId="0" fontId="15" fillId="12" borderId="0" xfId="0" applyFont="1" applyFill="1"/>
    <xf numFmtId="0" fontId="19" fillId="0" borderId="0" xfId="0" applyFont="1" applyFill="1"/>
    <xf numFmtId="166" fontId="16" fillId="2" borderId="0" xfId="1" applyNumberFormat="1" applyFont="1" applyFill="1"/>
    <xf numFmtId="42" fontId="15" fillId="12" borderId="0" xfId="0" applyNumberFormat="1" applyFont="1" applyFill="1"/>
    <xf numFmtId="166" fontId="16" fillId="12" borderId="0" xfId="1" applyNumberFormat="1" applyFont="1" applyFill="1"/>
    <xf numFmtId="0" fontId="18" fillId="12" borderId="0" xfId="0" applyFont="1" applyFill="1"/>
    <xf numFmtId="10" fontId="16" fillId="2" borderId="0" xfId="2" applyNumberFormat="1" applyFont="1" applyFill="1"/>
    <xf numFmtId="10" fontId="15" fillId="3" borderId="0" xfId="0" applyNumberFormat="1" applyFont="1" applyFill="1"/>
    <xf numFmtId="169" fontId="15" fillId="2" borderId="0" xfId="0" applyNumberFormat="1" applyFont="1" applyFill="1"/>
    <xf numFmtId="0" fontId="16" fillId="12" borderId="0" xfId="0" applyFont="1" applyFill="1"/>
    <xf numFmtId="165" fontId="15" fillId="12" borderId="0" xfId="0" applyNumberFormat="1" applyFont="1" applyFill="1"/>
    <xf numFmtId="0" fontId="15" fillId="0" borderId="0" xfId="0" applyFont="1" applyBorder="1" applyAlignment="1">
      <alignment horizontal="left" vertical="top" wrapText="1"/>
    </xf>
    <xf numFmtId="0" fontId="16" fillId="12" borderId="0" xfId="5" applyFill="1">
      <alignment vertical="top"/>
    </xf>
    <xf numFmtId="0" fontId="14" fillId="12" borderId="0" xfId="0" applyFont="1" applyFill="1" applyBorder="1"/>
    <xf numFmtId="49" fontId="24" fillId="10" borderId="1" xfId="6">
      <alignment vertical="top"/>
    </xf>
    <xf numFmtId="0" fontId="16" fillId="0" borderId="0" xfId="5" applyFill="1">
      <alignment vertical="top"/>
    </xf>
    <xf numFmtId="0" fontId="16" fillId="0" borderId="2" xfId="5" applyFont="1" applyBorder="1" applyAlignment="1">
      <alignment horizontal="left" vertical="top" wrapText="1"/>
    </xf>
    <xf numFmtId="0" fontId="16" fillId="0" borderId="2" xfId="5" applyBorder="1" applyAlignment="1">
      <alignment horizontal="left" vertical="top" wrapText="1"/>
    </xf>
    <xf numFmtId="0" fontId="16" fillId="0" borderId="0" xfId="5" applyFont="1" applyFill="1" applyBorder="1" applyAlignment="1">
      <alignment horizontal="left" vertical="top" wrapText="1"/>
    </xf>
    <xf numFmtId="0" fontId="22" fillId="0" borderId="0" xfId="5" applyFont="1">
      <alignment vertical="top"/>
    </xf>
    <xf numFmtId="49" fontId="24" fillId="10" borderId="1" xfId="11">
      <alignment vertical="top"/>
    </xf>
    <xf numFmtId="49" fontId="18" fillId="11" borderId="1" xfId="12">
      <alignment vertical="top"/>
    </xf>
    <xf numFmtId="9" fontId="16" fillId="0" borderId="0" xfId="5" applyNumberFormat="1">
      <alignment vertical="top"/>
    </xf>
    <xf numFmtId="0" fontId="25" fillId="0" borderId="0" xfId="22" applyFont="1" applyFill="1" applyBorder="1" applyAlignment="1"/>
    <xf numFmtId="0" fontId="16" fillId="0" borderId="3" xfId="5" applyBorder="1">
      <alignment vertical="top"/>
    </xf>
    <xf numFmtId="0" fontId="16" fillId="0" borderId="4" xfId="5" applyBorder="1">
      <alignment vertical="top"/>
    </xf>
    <xf numFmtId="0" fontId="16" fillId="0" borderId="5" xfId="5" applyBorder="1">
      <alignment vertical="top"/>
    </xf>
    <xf numFmtId="0" fontId="16" fillId="0" borderId="6" xfId="5" applyBorder="1">
      <alignment vertical="top"/>
    </xf>
    <xf numFmtId="0" fontId="16" fillId="14" borderId="0" xfId="5" applyFill="1" applyBorder="1" applyAlignment="1">
      <alignment horizontal="center" vertical="top"/>
    </xf>
    <xf numFmtId="0" fontId="16" fillId="0" borderId="7" xfId="5" applyBorder="1">
      <alignment vertical="top"/>
    </xf>
    <xf numFmtId="0" fontId="16" fillId="2" borderId="0" xfId="5" applyFill="1" applyBorder="1" applyAlignment="1">
      <alignment horizontal="center" vertical="top"/>
    </xf>
    <xf numFmtId="0" fontId="16" fillId="0" borderId="8" xfId="5" applyBorder="1">
      <alignment vertical="top"/>
    </xf>
    <xf numFmtId="0" fontId="16" fillId="0" borderId="9" xfId="5" applyBorder="1">
      <alignment vertical="top"/>
    </xf>
    <xf numFmtId="0" fontId="16" fillId="0" borderId="10" xfId="5" applyBorder="1">
      <alignment vertical="top"/>
    </xf>
    <xf numFmtId="0" fontId="16" fillId="0" borderId="0" xfId="5" applyBorder="1">
      <alignment vertical="top"/>
    </xf>
    <xf numFmtId="0" fontId="25" fillId="0" borderId="0" xfId="22" applyFont="1" applyFill="1" applyBorder="1" applyAlignment="1">
      <alignment horizontal="center" vertical="top"/>
    </xf>
    <xf numFmtId="0" fontId="22" fillId="0" borderId="0" xfId="5" applyFont="1" applyFill="1">
      <alignment vertical="top"/>
    </xf>
    <xf numFmtId="170" fontId="16" fillId="14" borderId="0" xfId="17">
      <alignment vertical="top"/>
    </xf>
    <xf numFmtId="170" fontId="16" fillId="3" borderId="0" xfId="19">
      <alignment vertical="top"/>
    </xf>
    <xf numFmtId="170" fontId="16" fillId="2" borderId="0" xfId="14">
      <alignment vertical="top"/>
    </xf>
    <xf numFmtId="170" fontId="16" fillId="4" borderId="0" xfId="13">
      <alignment vertical="top"/>
    </xf>
    <xf numFmtId="0" fontId="16" fillId="7" borderId="0" xfId="5" applyFill="1">
      <alignment vertical="top"/>
    </xf>
    <xf numFmtId="170" fontId="16" fillId="5" borderId="0" xfId="15">
      <alignment vertical="top"/>
    </xf>
    <xf numFmtId="170" fontId="16" fillId="6" borderId="0" xfId="18">
      <alignment vertical="top"/>
    </xf>
    <xf numFmtId="1" fontId="16" fillId="0" borderId="0" xfId="5" applyNumberFormat="1" applyFill="1">
      <alignment vertical="top"/>
    </xf>
    <xf numFmtId="1" fontId="19" fillId="0" borderId="0" xfId="5" applyNumberFormat="1" applyFont="1" applyFill="1">
      <alignment vertical="top"/>
    </xf>
    <xf numFmtId="170" fontId="16" fillId="13" borderId="0" xfId="16">
      <alignment vertical="top"/>
    </xf>
    <xf numFmtId="170" fontId="16" fillId="14" borderId="2" xfId="17" applyBorder="1">
      <alignment vertical="top"/>
    </xf>
    <xf numFmtId="164" fontId="26" fillId="0" borderId="0" xfId="20" applyFont="1" applyFill="1">
      <alignment vertical="top"/>
    </xf>
    <xf numFmtId="0" fontId="26" fillId="0" borderId="0" xfId="5" applyFont="1" applyFill="1">
      <alignment vertical="top"/>
    </xf>
    <xf numFmtId="0" fontId="18" fillId="0" borderId="0" xfId="5" applyFont="1">
      <alignment vertical="top"/>
    </xf>
    <xf numFmtId="0" fontId="16" fillId="15" borderId="0" xfId="5" applyFont="1" applyFill="1">
      <alignment vertical="top"/>
    </xf>
    <xf numFmtId="0" fontId="16" fillId="2" borderId="0" xfId="5" applyFont="1" applyFill="1">
      <alignment vertical="top"/>
    </xf>
    <xf numFmtId="2" fontId="16" fillId="16" borderId="0" xfId="5" applyNumberFormat="1" applyFill="1">
      <alignment vertical="top"/>
    </xf>
    <xf numFmtId="0" fontId="16" fillId="17" borderId="0" xfId="5" applyFill="1">
      <alignment vertical="top"/>
    </xf>
    <xf numFmtId="49" fontId="16" fillId="11" borderId="0" xfId="12" applyFont="1" applyBorder="1">
      <alignment vertical="top"/>
    </xf>
    <xf numFmtId="0" fontId="27" fillId="8" borderId="1" xfId="5" applyFont="1" applyFill="1" applyBorder="1">
      <alignment vertical="top"/>
    </xf>
    <xf numFmtId="49" fontId="16" fillId="11" borderId="2" xfId="9" applyFont="1" applyBorder="1">
      <alignment vertical="top"/>
    </xf>
    <xf numFmtId="0" fontId="16" fillId="0" borderId="2" xfId="5" applyFont="1" applyBorder="1">
      <alignment vertical="top"/>
    </xf>
    <xf numFmtId="0" fontId="16" fillId="0" borderId="2" xfId="5" applyBorder="1">
      <alignment vertical="top"/>
    </xf>
    <xf numFmtId="0" fontId="16" fillId="0" borderId="11" xfId="5" applyBorder="1">
      <alignment vertical="top"/>
    </xf>
    <xf numFmtId="49" fontId="28" fillId="0" borderId="2" xfId="23" applyBorder="1" applyAlignment="1">
      <alignment vertical="top"/>
    </xf>
    <xf numFmtId="0" fontId="16" fillId="0" borderId="0" xfId="5" applyAlignment="1">
      <alignment horizontal="left" vertical="top"/>
    </xf>
    <xf numFmtId="0" fontId="16" fillId="18" borderId="0" xfId="5" applyFill="1" applyBorder="1" applyAlignment="1">
      <alignment horizontal="center" vertical="top"/>
    </xf>
    <xf numFmtId="0" fontId="16" fillId="2" borderId="0" xfId="5" applyFont="1" applyFill="1" applyBorder="1" applyAlignment="1">
      <alignment horizontal="center" vertical="top"/>
    </xf>
    <xf numFmtId="43" fontId="15" fillId="2" borderId="0" xfId="0" applyNumberFormat="1" applyFont="1" applyFill="1"/>
    <xf numFmtId="165" fontId="15" fillId="5" borderId="0" xfId="0" applyNumberFormat="1" applyFont="1" applyFill="1"/>
    <xf numFmtId="0" fontId="16" fillId="0" borderId="0" xfId="5" applyFont="1" applyAlignment="1">
      <alignment horizontal="left" vertical="top" wrapText="1"/>
    </xf>
    <xf numFmtId="43" fontId="15" fillId="4" borderId="0" xfId="0" applyNumberFormat="1" applyFont="1" applyFill="1"/>
    <xf numFmtId="43" fontId="16" fillId="3" borderId="0" xfId="1" applyFont="1" applyFill="1"/>
    <xf numFmtId="0" fontId="16" fillId="0" borderId="0" xfId="24" applyFont="1" applyFill="1"/>
    <xf numFmtId="10" fontId="15" fillId="0" borderId="0" xfId="2" applyNumberFormat="1" applyFont="1" applyFill="1" applyAlignment="1">
      <alignment horizontal="center"/>
    </xf>
    <xf numFmtId="10" fontId="15" fillId="0" borderId="0" xfId="2" applyNumberFormat="1" applyFont="1" applyFill="1"/>
    <xf numFmtId="168" fontId="15" fillId="0" borderId="0" xfId="2" applyNumberFormat="1" applyFont="1" applyFill="1"/>
    <xf numFmtId="10" fontId="16" fillId="0" borderId="0" xfId="0" applyNumberFormat="1" applyFont="1" applyFill="1"/>
    <xf numFmtId="165" fontId="16" fillId="0" borderId="0" xfId="1" applyNumberFormat="1" applyFont="1" applyFill="1"/>
    <xf numFmtId="0" fontId="16" fillId="0" borderId="0" xfId="0" applyFont="1" applyFill="1"/>
    <xf numFmtId="0" fontId="16" fillId="0" borderId="0" xfId="4" applyFont="1" applyFill="1"/>
    <xf numFmtId="0" fontId="0" fillId="0" borderId="0" xfId="0" applyFill="1"/>
    <xf numFmtId="165" fontId="15" fillId="0" borderId="0" xfId="1" applyNumberFormat="1" applyFont="1" applyFill="1"/>
    <xf numFmtId="42" fontId="15" fillId="0" borderId="0" xfId="0" applyNumberFormat="1" applyFont="1" applyFill="1"/>
    <xf numFmtId="42" fontId="15" fillId="0" borderId="0" xfId="0" applyNumberFormat="1" applyFont="1" applyFill="1" applyAlignment="1">
      <alignment horizontal="left"/>
    </xf>
    <xf numFmtId="165" fontId="16" fillId="0" borderId="0" xfId="0" applyNumberFormat="1" applyFont="1" applyFill="1"/>
    <xf numFmtId="168" fontId="16" fillId="0" borderId="0" xfId="0" applyNumberFormat="1" applyFont="1" applyFill="1"/>
    <xf numFmtId="43" fontId="15" fillId="0" borderId="0" xfId="0" applyNumberFormat="1" applyFont="1" applyFill="1"/>
    <xf numFmtId="43" fontId="15" fillId="0" borderId="0" xfId="1" applyFont="1" applyFill="1"/>
    <xf numFmtId="43" fontId="16" fillId="0" borderId="0" xfId="0" applyNumberFormat="1" applyFont="1" applyFill="1"/>
    <xf numFmtId="171" fontId="17" fillId="0" borderId="0" xfId="0" applyNumberFormat="1" applyFont="1"/>
    <xf numFmtId="43" fontId="15" fillId="5" borderId="0" xfId="1" applyFont="1" applyFill="1"/>
    <xf numFmtId="43" fontId="15" fillId="4" borderId="0" xfId="1" applyFont="1" applyFill="1" applyAlignment="1">
      <alignment horizontal="right" vertical="top"/>
    </xf>
    <xf numFmtId="172" fontId="16" fillId="4" borderId="0" xfId="13" applyNumberFormat="1">
      <alignment vertical="top"/>
    </xf>
    <xf numFmtId="10" fontId="15" fillId="14" borderId="0" xfId="2" applyNumberFormat="1" applyFont="1" applyFill="1"/>
    <xf numFmtId="165" fontId="16" fillId="14" borderId="0" xfId="1" applyNumberFormat="1" applyFont="1" applyFill="1"/>
    <xf numFmtId="10" fontId="16" fillId="14" borderId="0" xfId="0" applyNumberFormat="1" applyFont="1" applyFill="1"/>
    <xf numFmtId="165" fontId="15" fillId="14" borderId="0" xfId="0" applyNumberFormat="1" applyFont="1" applyFill="1"/>
    <xf numFmtId="41" fontId="15" fillId="14" borderId="0" xfId="0" applyNumberFormat="1" applyFont="1" applyFill="1"/>
    <xf numFmtId="10" fontId="16" fillId="3" borderId="0" xfId="2" applyNumberFormat="1" applyFont="1" applyFill="1" applyAlignment="1">
      <alignment vertical="top"/>
    </xf>
    <xf numFmtId="0" fontId="18" fillId="0" borderId="0" xfId="5" applyFont="1" applyAlignment="1">
      <alignment horizontal="right" vertical="top"/>
    </xf>
    <xf numFmtId="0" fontId="16" fillId="11" borderId="0" xfId="5" applyFill="1">
      <alignment vertical="top"/>
    </xf>
    <xf numFmtId="0" fontId="18" fillId="11" borderId="1" xfId="9" applyNumberFormat="1" applyAlignment="1">
      <alignment horizontal="right" vertical="top"/>
    </xf>
    <xf numFmtId="49" fontId="16" fillId="0" borderId="12" xfId="10" applyNumberFormat="1" applyFill="1" applyBorder="1" applyAlignment="1">
      <alignment vertical="top"/>
    </xf>
    <xf numFmtId="41" fontId="16" fillId="4" borderId="0" xfId="25">
      <alignment vertical="top"/>
    </xf>
    <xf numFmtId="0" fontId="15" fillId="0" borderId="0" xfId="0" applyFont="1" applyFill="1" applyAlignment="1">
      <alignment vertical="center"/>
    </xf>
    <xf numFmtId="173" fontId="16" fillId="0" borderId="0" xfId="26" applyNumberFormat="1" applyFill="1">
      <alignment vertical="top"/>
    </xf>
    <xf numFmtId="9" fontId="16" fillId="2" borderId="0" xfId="2" applyFont="1" applyFill="1" applyAlignment="1">
      <alignment vertical="top"/>
    </xf>
    <xf numFmtId="168" fontId="16" fillId="2" borderId="0" xfId="2" applyNumberFormat="1" applyFont="1" applyFill="1" applyAlignment="1">
      <alignment vertical="top"/>
    </xf>
    <xf numFmtId="10" fontId="16" fillId="2" borderId="0" xfId="2" applyNumberFormat="1" applyFont="1" applyFill="1" applyAlignment="1">
      <alignment vertical="top"/>
    </xf>
    <xf numFmtId="43" fontId="16" fillId="0" borderId="0" xfId="1" applyFont="1" applyFill="1"/>
    <xf numFmtId="10" fontId="16" fillId="0" borderId="0" xfId="2" applyNumberFormat="1" applyFont="1" applyFill="1" applyAlignment="1">
      <alignment vertical="top"/>
    </xf>
    <xf numFmtId="170" fontId="16" fillId="0" borderId="0" xfId="14" applyFill="1">
      <alignment vertical="top"/>
    </xf>
    <xf numFmtId="168" fontId="16" fillId="4" borderId="0" xfId="2" applyNumberFormat="1" applyFont="1" applyFill="1" applyAlignment="1">
      <alignment vertical="top"/>
    </xf>
    <xf numFmtId="10" fontId="16" fillId="4" borderId="0" xfId="2" applyNumberFormat="1" applyFont="1" applyFill="1" applyAlignment="1">
      <alignment vertical="top"/>
    </xf>
    <xf numFmtId="9" fontId="16" fillId="4" borderId="0" xfId="2" applyNumberFormat="1" applyFont="1" applyFill="1" applyAlignment="1">
      <alignment vertical="top"/>
    </xf>
    <xf numFmtId="0" fontId="16" fillId="0" borderId="0" xfId="5" applyFill="1" applyBorder="1">
      <alignment vertical="top"/>
    </xf>
    <xf numFmtId="0" fontId="16" fillId="0" borderId="0" xfId="5" applyFill="1" applyBorder="1" applyAlignment="1">
      <alignment horizontal="center" vertical="top"/>
    </xf>
    <xf numFmtId="0" fontId="16" fillId="0" borderId="0" xfId="5" applyFont="1" applyAlignment="1">
      <alignment vertical="top" wrapText="1"/>
    </xf>
    <xf numFmtId="41" fontId="16" fillId="19" borderId="0" xfId="27" applyNumberFormat="1">
      <alignment vertical="top"/>
    </xf>
    <xf numFmtId="0" fontId="29" fillId="0" borderId="0" xfId="0" applyFont="1"/>
    <xf numFmtId="0" fontId="29" fillId="12" borderId="0" xfId="0" applyFont="1" applyFill="1"/>
    <xf numFmtId="165" fontId="29" fillId="0" borderId="0" xfId="0" applyNumberFormat="1" applyFont="1"/>
    <xf numFmtId="0" fontId="19" fillId="0" borderId="0" xfId="5" applyFont="1">
      <alignment vertical="top"/>
    </xf>
    <xf numFmtId="173" fontId="19" fillId="0" borderId="0" xfId="26" applyNumberFormat="1" applyFont="1" applyFill="1">
      <alignment vertical="top"/>
    </xf>
    <xf numFmtId="0" fontId="12" fillId="0" borderId="0" xfId="0" applyFont="1"/>
    <xf numFmtId="165" fontId="15" fillId="0" borderId="0" xfId="0" quotePrefix="1" applyNumberFormat="1" applyFont="1"/>
    <xf numFmtId="0" fontId="12" fillId="0" borderId="0" xfId="0" applyFont="1" applyAlignment="1">
      <alignment vertical="top"/>
    </xf>
    <xf numFmtId="0" fontId="14" fillId="0" borderId="0" xfId="0" applyFont="1" applyAlignment="1">
      <alignment vertical="top"/>
    </xf>
    <xf numFmtId="10" fontId="16" fillId="3" borderId="0" xfId="0" applyNumberFormat="1" applyFont="1" applyFill="1" applyAlignment="1">
      <alignment vertical="top"/>
    </xf>
    <xf numFmtId="10" fontId="0" fillId="9" borderId="0" xfId="0" applyNumberFormat="1" applyFill="1" applyAlignment="1">
      <alignment vertical="top"/>
    </xf>
    <xf numFmtId="10" fontId="16" fillId="0" borderId="0" xfId="0" applyNumberFormat="1" applyFont="1" applyAlignment="1">
      <alignment vertical="top"/>
    </xf>
    <xf numFmtId="10" fontId="16" fillId="2" borderId="0" xfId="0" applyNumberFormat="1" applyFont="1" applyFill="1" applyAlignment="1">
      <alignment vertical="top"/>
    </xf>
    <xf numFmtId="43" fontId="12" fillId="0" borderId="0" xfId="1" applyFont="1" applyFill="1" applyAlignment="1">
      <alignment vertical="top"/>
    </xf>
    <xf numFmtId="43" fontId="16" fillId="2" borderId="0" xfId="1" applyFont="1" applyFill="1" applyAlignment="1">
      <alignment vertical="top"/>
    </xf>
    <xf numFmtId="43" fontId="16" fillId="3" borderId="0" xfId="5" applyNumberFormat="1" applyFill="1">
      <alignment vertical="top"/>
    </xf>
    <xf numFmtId="165" fontId="12" fillId="2" borderId="0" xfId="0" applyNumberFormat="1" applyFont="1" applyFill="1"/>
    <xf numFmtId="0" fontId="11" fillId="0" borderId="0" xfId="0" applyFont="1"/>
    <xf numFmtId="0" fontId="10" fillId="0" borderId="0" xfId="0" applyFont="1"/>
    <xf numFmtId="42" fontId="10" fillId="0" borderId="0" xfId="0" applyNumberFormat="1" applyFont="1"/>
    <xf numFmtId="0" fontId="9" fillId="0" borderId="0" xfId="0" applyFont="1"/>
    <xf numFmtId="0" fontId="8" fillId="0" borderId="0" xfId="0" applyFont="1"/>
    <xf numFmtId="170" fontId="16" fillId="3" borderId="0" xfId="17" applyFill="1">
      <alignment vertical="top"/>
    </xf>
    <xf numFmtId="170" fontId="16" fillId="5" borderId="0" xfId="17" applyFill="1">
      <alignment vertical="top"/>
    </xf>
    <xf numFmtId="0" fontId="7" fillId="0" borderId="0" xfId="0" applyFont="1"/>
    <xf numFmtId="0" fontId="6" fillId="0" borderId="0" xfId="0" applyFont="1" applyBorder="1"/>
    <xf numFmtId="0" fontId="5" fillId="0" borderId="0" xfId="0" applyFont="1" applyBorder="1"/>
    <xf numFmtId="42" fontId="5" fillId="0" borderId="0" xfId="0" applyNumberFormat="1" applyFont="1"/>
    <xf numFmtId="0" fontId="5" fillId="0" borderId="0" xfId="0" applyFont="1"/>
    <xf numFmtId="165" fontId="16" fillId="5" borderId="0" xfId="1" applyNumberFormat="1" applyFont="1" applyFill="1"/>
    <xf numFmtId="170" fontId="15" fillId="0" borderId="0" xfId="0" applyNumberFormat="1" applyFont="1"/>
    <xf numFmtId="170" fontId="16" fillId="14" borderId="0" xfId="15" applyFill="1">
      <alignment vertical="top"/>
    </xf>
    <xf numFmtId="0" fontId="4" fillId="0" borderId="0" xfId="0" applyFont="1"/>
    <xf numFmtId="42" fontId="3" fillId="0" borderId="0" xfId="0" applyNumberFormat="1" applyFont="1"/>
    <xf numFmtId="0" fontId="2" fillId="0" borderId="0" xfId="0" applyFont="1"/>
    <xf numFmtId="42" fontId="2" fillId="0" borderId="0" xfId="0" applyNumberFormat="1" applyFont="1"/>
    <xf numFmtId="0" fontId="1" fillId="0" borderId="0" xfId="0" applyFont="1"/>
    <xf numFmtId="0" fontId="16" fillId="0" borderId="0" xfId="5" applyFont="1" applyAlignment="1">
      <alignment horizontal="left" vertical="top" wrapText="1"/>
    </xf>
    <xf numFmtId="0" fontId="16" fillId="0" borderId="0" xfId="5" applyAlignment="1">
      <alignment horizontal="left" vertical="top" wrapText="1"/>
    </xf>
    <xf numFmtId="49" fontId="28" fillId="0" borderId="0" xfId="23" applyAlignment="1">
      <alignment horizontal="left" vertical="top" wrapText="1"/>
    </xf>
    <xf numFmtId="0" fontId="15" fillId="0" borderId="0" xfId="0" applyFont="1" applyAlignment="1">
      <alignment horizontal="left" vertical="top" wrapText="1"/>
    </xf>
  </cellXfs>
  <cellStyles count="31">
    <cellStyle name="_x000d__x000a_JournalTemplate=C:\COMFO\CTALK\JOURSTD.TPL_x000d__x000a_LbStateAddress=3 3 0 251 1 89 2 311_x000d__x000a_LbStateJou 3 5" xfId="10" xr:uid="{00000000-0005-0000-0000-000000000000}"/>
    <cellStyle name="_kop1 Bladtitel" xfId="6" xr:uid="{00000000-0005-0000-0000-000001000000}"/>
    <cellStyle name="_kop1 Bladtitel 2" xfId="11" xr:uid="{00000000-0005-0000-0000-000002000000}"/>
    <cellStyle name="_kop2 Bloktitel" xfId="9" xr:uid="{00000000-0005-0000-0000-000003000000}"/>
    <cellStyle name="_kop2 Bloktitel 2" xfId="12" xr:uid="{00000000-0005-0000-0000-000004000000}"/>
    <cellStyle name="_kop2 Bloktitel 3" xfId="29" xr:uid="{C57DBD74-4832-4AF6-9010-D1DC4C9EE13F}"/>
    <cellStyle name="_kop3 Subkop" xfId="7" xr:uid="{00000000-0005-0000-0000-000005000000}"/>
    <cellStyle name="Cel (tussen)resultaat" xfId="25" xr:uid="{00000000-0005-0000-0000-000006000000}"/>
    <cellStyle name="Cel (tussen)resultaat 2" xfId="13" xr:uid="{00000000-0005-0000-0000-000007000000}"/>
    <cellStyle name="Cel Berekening" xfId="26" xr:uid="{00000000-0005-0000-0000-000008000000}"/>
    <cellStyle name="Cel Berekening 3" xfId="14" xr:uid="{00000000-0005-0000-0000-000009000000}"/>
    <cellStyle name="Cel Bijzonderheid 2" xfId="15" xr:uid="{00000000-0005-0000-0000-00000A000000}"/>
    <cellStyle name="Cel Dataverzoek 2" xfId="16" xr:uid="{00000000-0005-0000-0000-00000B000000}"/>
    <cellStyle name="Cel Input 2" xfId="17" xr:uid="{00000000-0005-0000-0000-00000C000000}"/>
    <cellStyle name="Cel n.v.t. (leeg)" xfId="27" xr:uid="{00000000-0005-0000-0000-00000D000000}"/>
    <cellStyle name="Cel PM extern 2" xfId="18" xr:uid="{00000000-0005-0000-0000-00000E000000}"/>
    <cellStyle name="Cel Verwijzing 2" xfId="19" xr:uid="{00000000-0005-0000-0000-00000F000000}"/>
    <cellStyle name="Hyperlink" xfId="23" builtinId="8"/>
    <cellStyle name="Komma" xfId="1" builtinId="3"/>
    <cellStyle name="Komma 14" xfId="20" xr:uid="{00000000-0005-0000-0000-000012000000}"/>
    <cellStyle name="Opm. INTERN" xfId="21" xr:uid="{00000000-0005-0000-0000-000014000000}"/>
    <cellStyle name="Procent" xfId="2" builtinId="5"/>
    <cellStyle name="Procent 2" xfId="3" xr:uid="{00000000-0005-0000-0000-000016000000}"/>
    <cellStyle name="Standaard" xfId="0" builtinId="0"/>
    <cellStyle name="Standaard 2 2 2" xfId="30" xr:uid="{6E5E1E11-DC24-48E9-8E33-C76C0A81217C}"/>
    <cellStyle name="Standaard 3" xfId="4" xr:uid="{00000000-0005-0000-0000-000017000000}"/>
    <cellStyle name="Standaard 3 12" xfId="28" xr:uid="{EF288323-3D23-43A4-B59B-AFF910DA5B8C}"/>
    <cellStyle name="Standaard 33" xfId="22" xr:uid="{00000000-0005-0000-0000-000018000000}"/>
    <cellStyle name="Standaard ACM-DE" xfId="5" xr:uid="{00000000-0005-0000-0000-000019000000}"/>
    <cellStyle name="Standaard_20100206 MB Hulpmiddel data q-factor" xfId="24" xr:uid="{00000000-0005-0000-0000-00001A000000}"/>
    <cellStyle name="Toelichting" xfId="8" xr:uid="{00000000-0005-0000-0000-00001B000000}"/>
  </cellStyles>
  <dxfs count="0"/>
  <tableStyles count="0" defaultTableStyle="TableStyleMedium2" defaultPivotStyle="PivotStyleLight16"/>
  <colors>
    <mruColors>
      <color rgb="FFE1FFE1"/>
      <color rgb="FFFFCCFF"/>
      <color rgb="FFFFFFCC"/>
      <color rgb="FFFFCC99"/>
      <color rgb="FFCCFFCC"/>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1000"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1341437</xdr:colOff>
      <xdr:row>42</xdr:row>
      <xdr:rowOff>7938</xdr:rowOff>
    </xdr:from>
    <xdr:to>
      <xdr:col>7</xdr:col>
      <xdr:colOff>1341437</xdr:colOff>
      <xdr:row>43</xdr:row>
      <xdr:rowOff>142875</xdr:rowOff>
    </xdr:to>
    <xdr:cxnSp macro="">
      <xdr:nvCxnSpPr>
        <xdr:cNvPr id="5" name="Straight Arrow Connector 12">
          <a:extLst>
            <a:ext uri="{FF2B5EF4-FFF2-40B4-BE49-F238E27FC236}">
              <a16:creationId xmlns:a16="http://schemas.microsoft.com/office/drawing/2014/main" id="{00000000-0008-0000-0100-000005000000}"/>
            </a:ext>
          </a:extLst>
        </xdr:cNvPr>
        <xdr:cNvCxnSpPr/>
      </xdr:nvCxnSpPr>
      <xdr:spPr>
        <a:xfrm>
          <a:off x="7570787" y="5094288"/>
          <a:ext cx="0" cy="2968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12</xdr:row>
      <xdr:rowOff>63500</xdr:rowOff>
    </xdr:from>
    <xdr:to>
      <xdr:col>9</xdr:col>
      <xdr:colOff>1341438</xdr:colOff>
      <xdr:row>12</xdr:row>
      <xdr:rowOff>63501</xdr:rowOff>
    </xdr:to>
    <xdr:cxnSp macro="">
      <xdr:nvCxnSpPr>
        <xdr:cNvPr id="13" name="Straight Arrow Connector 17">
          <a:extLst>
            <a:ext uri="{FF2B5EF4-FFF2-40B4-BE49-F238E27FC236}">
              <a16:creationId xmlns:a16="http://schemas.microsoft.com/office/drawing/2014/main" id="{00000000-0008-0000-0100-00000D000000}"/>
            </a:ext>
          </a:extLst>
        </xdr:cNvPr>
        <xdr:cNvCxnSpPr/>
      </xdr:nvCxnSpPr>
      <xdr:spPr>
        <a:xfrm>
          <a:off x="9164638" y="320675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12</xdr:row>
      <xdr:rowOff>54428</xdr:rowOff>
    </xdr:from>
    <xdr:to>
      <xdr:col>5</xdr:col>
      <xdr:colOff>1328964</xdr:colOff>
      <xdr:row>12</xdr:row>
      <xdr:rowOff>54429</xdr:rowOff>
    </xdr:to>
    <xdr:cxnSp macro="">
      <xdr:nvCxnSpPr>
        <xdr:cNvPr id="14" name="Straight Arrow Connector 20">
          <a:extLst>
            <a:ext uri="{FF2B5EF4-FFF2-40B4-BE49-F238E27FC236}">
              <a16:creationId xmlns:a16="http://schemas.microsoft.com/office/drawing/2014/main" id="{00000000-0008-0000-0100-00000E000000}"/>
            </a:ext>
          </a:extLst>
        </xdr:cNvPr>
        <xdr:cNvCxnSpPr/>
      </xdr:nvCxnSpPr>
      <xdr:spPr>
        <a:xfrm>
          <a:off x="4694464" y="3197678"/>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302907</xdr:colOff>
      <xdr:row>13</xdr:row>
      <xdr:rowOff>81643</xdr:rowOff>
    </xdr:from>
    <xdr:to>
      <xdr:col>13</xdr:col>
      <xdr:colOff>1360714</xdr:colOff>
      <xdr:row>15</xdr:row>
      <xdr:rowOff>157370</xdr:rowOff>
    </xdr:to>
    <xdr:cxnSp macro="">
      <xdr:nvCxnSpPr>
        <xdr:cNvPr id="19" name="Rechte verbindingslijn met pijl 18">
          <a:extLst>
            <a:ext uri="{FF2B5EF4-FFF2-40B4-BE49-F238E27FC236}">
              <a16:creationId xmlns:a16="http://schemas.microsoft.com/office/drawing/2014/main" id="{00000000-0008-0000-0100-000013000000}"/>
            </a:ext>
          </a:extLst>
        </xdr:cNvPr>
        <xdr:cNvCxnSpPr/>
      </xdr:nvCxnSpPr>
      <xdr:spPr>
        <a:xfrm flipV="1">
          <a:off x="13855621" y="2762250"/>
          <a:ext cx="1370772" cy="4022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1474305</xdr:colOff>
      <xdr:row>13</xdr:row>
      <xdr:rowOff>157369</xdr:rowOff>
    </xdr:from>
    <xdr:to>
      <xdr:col>15</xdr:col>
      <xdr:colOff>1474305</xdr:colOff>
      <xdr:row>15</xdr:row>
      <xdr:rowOff>140804</xdr:rowOff>
    </xdr:to>
    <xdr:cxnSp macro="">
      <xdr:nvCxnSpPr>
        <xdr:cNvPr id="20" name="Rechte verbindingslijn met pijl 19">
          <a:extLst>
            <a:ext uri="{FF2B5EF4-FFF2-40B4-BE49-F238E27FC236}">
              <a16:creationId xmlns:a16="http://schemas.microsoft.com/office/drawing/2014/main" id="{00000000-0008-0000-0100-000014000000}"/>
            </a:ext>
          </a:extLst>
        </xdr:cNvPr>
        <xdr:cNvCxnSpPr/>
      </xdr:nvCxnSpPr>
      <xdr:spPr>
        <a:xfrm flipV="1">
          <a:off x="17037327" y="3511826"/>
          <a:ext cx="0" cy="3147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49697</xdr:colOff>
      <xdr:row>12</xdr:row>
      <xdr:rowOff>57978</xdr:rowOff>
    </xdr:from>
    <xdr:to>
      <xdr:col>13</xdr:col>
      <xdr:colOff>1351447</xdr:colOff>
      <xdr:row>12</xdr:row>
      <xdr:rowOff>57979</xdr:rowOff>
    </xdr:to>
    <xdr:cxnSp macro="">
      <xdr:nvCxnSpPr>
        <xdr:cNvPr id="21" name="Straight Arrow Connector 17">
          <a:extLst>
            <a:ext uri="{FF2B5EF4-FFF2-40B4-BE49-F238E27FC236}">
              <a16:creationId xmlns:a16="http://schemas.microsoft.com/office/drawing/2014/main" id="{00000000-0008-0000-0100-000015000000}"/>
            </a:ext>
          </a:extLst>
        </xdr:cNvPr>
        <xdr:cNvCxnSpPr/>
      </xdr:nvCxnSpPr>
      <xdr:spPr>
        <a:xfrm>
          <a:off x="13914784" y="3246782"/>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178593</xdr:colOff>
      <xdr:row>40</xdr:row>
      <xdr:rowOff>77391</xdr:rowOff>
    </xdr:from>
    <xdr:to>
      <xdr:col>9</xdr:col>
      <xdr:colOff>1363266</xdr:colOff>
      <xdr:row>40</xdr:row>
      <xdr:rowOff>77391</xdr:rowOff>
    </xdr:to>
    <xdr:cxnSp macro="">
      <xdr:nvCxnSpPr>
        <xdr:cNvPr id="81" name="Rechte verbindingslijn met pijl 80">
          <a:extLst>
            <a:ext uri="{FF2B5EF4-FFF2-40B4-BE49-F238E27FC236}">
              <a16:creationId xmlns:a16="http://schemas.microsoft.com/office/drawing/2014/main" id="{00000000-0008-0000-0100-000051000000}"/>
            </a:ext>
          </a:extLst>
        </xdr:cNvPr>
        <xdr:cNvCxnSpPr/>
      </xdr:nvCxnSpPr>
      <xdr:spPr>
        <a:xfrm>
          <a:off x="9114234" y="5613797"/>
          <a:ext cx="136326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160734</xdr:colOff>
      <xdr:row>45</xdr:row>
      <xdr:rowOff>89297</xdr:rowOff>
    </xdr:from>
    <xdr:to>
      <xdr:col>9</xdr:col>
      <xdr:colOff>1369219</xdr:colOff>
      <xdr:row>45</xdr:row>
      <xdr:rowOff>89297</xdr:rowOff>
    </xdr:to>
    <xdr:cxnSp macro="">
      <xdr:nvCxnSpPr>
        <xdr:cNvPr id="83" name="Rechte verbindingslijn met pijl 82">
          <a:extLst>
            <a:ext uri="{FF2B5EF4-FFF2-40B4-BE49-F238E27FC236}">
              <a16:creationId xmlns:a16="http://schemas.microsoft.com/office/drawing/2014/main" id="{00000000-0008-0000-0100-000053000000}"/>
            </a:ext>
          </a:extLst>
        </xdr:cNvPr>
        <xdr:cNvCxnSpPr/>
      </xdr:nvCxnSpPr>
      <xdr:spPr>
        <a:xfrm>
          <a:off x="9096375" y="6429375"/>
          <a:ext cx="13870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39</xdr:row>
      <xdr:rowOff>87086</xdr:rowOff>
    </xdr:from>
    <xdr:to>
      <xdr:col>6</xdr:col>
      <xdr:colOff>0</xdr:colOff>
      <xdr:row>39</xdr:row>
      <xdr:rowOff>87086</xdr:rowOff>
    </xdr:to>
    <xdr:cxnSp macro="">
      <xdr:nvCxnSpPr>
        <xdr:cNvPr id="86" name="Rechte verbindingslijn met pijl 85">
          <a:extLst>
            <a:ext uri="{FF2B5EF4-FFF2-40B4-BE49-F238E27FC236}">
              <a16:creationId xmlns:a16="http://schemas.microsoft.com/office/drawing/2014/main" id="{00000000-0008-0000-0100-000056000000}"/>
            </a:ext>
          </a:extLst>
        </xdr:cNvPr>
        <xdr:cNvCxnSpPr/>
      </xdr:nvCxnSpPr>
      <xdr:spPr>
        <a:xfrm>
          <a:off x="4669971" y="5529943"/>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40</xdr:row>
      <xdr:rowOff>0</xdr:rowOff>
    </xdr:from>
    <xdr:to>
      <xdr:col>5</xdr:col>
      <xdr:colOff>1366158</xdr:colOff>
      <xdr:row>44</xdr:row>
      <xdr:rowOff>125185</xdr:rowOff>
    </xdr:to>
    <xdr:cxnSp macro="">
      <xdr:nvCxnSpPr>
        <xdr:cNvPr id="88" name="Rechte verbindingslijn met pijl 87">
          <a:extLst>
            <a:ext uri="{FF2B5EF4-FFF2-40B4-BE49-F238E27FC236}">
              <a16:creationId xmlns:a16="http://schemas.microsoft.com/office/drawing/2014/main" id="{00000000-0008-0000-0100-000058000000}"/>
            </a:ext>
          </a:extLst>
        </xdr:cNvPr>
        <xdr:cNvCxnSpPr/>
      </xdr:nvCxnSpPr>
      <xdr:spPr>
        <a:xfrm flipV="1">
          <a:off x="4664529" y="5606143"/>
          <a:ext cx="1371600" cy="7783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163286</xdr:colOff>
      <xdr:row>40</xdr:row>
      <xdr:rowOff>97971</xdr:rowOff>
    </xdr:from>
    <xdr:to>
      <xdr:col>5</xdr:col>
      <xdr:colOff>1377043</xdr:colOff>
      <xdr:row>49</xdr:row>
      <xdr:rowOff>157843</xdr:rowOff>
    </xdr:to>
    <xdr:cxnSp macro="">
      <xdr:nvCxnSpPr>
        <xdr:cNvPr id="90" name="Rechte verbindingslijn met pijl 89">
          <a:extLst>
            <a:ext uri="{FF2B5EF4-FFF2-40B4-BE49-F238E27FC236}">
              <a16:creationId xmlns:a16="http://schemas.microsoft.com/office/drawing/2014/main" id="{00000000-0008-0000-0100-00005A000000}"/>
            </a:ext>
          </a:extLst>
        </xdr:cNvPr>
        <xdr:cNvCxnSpPr/>
      </xdr:nvCxnSpPr>
      <xdr:spPr>
        <a:xfrm flipV="1">
          <a:off x="4653643" y="5704114"/>
          <a:ext cx="1393371" cy="15294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40</xdr:row>
      <xdr:rowOff>70757</xdr:rowOff>
    </xdr:from>
    <xdr:to>
      <xdr:col>6</xdr:col>
      <xdr:colOff>10886</xdr:colOff>
      <xdr:row>44</xdr:row>
      <xdr:rowOff>163285</xdr:rowOff>
    </xdr:to>
    <xdr:cxnSp macro="">
      <xdr:nvCxnSpPr>
        <xdr:cNvPr id="96" name="Rechte verbindingslijn met pijl 95">
          <a:extLst>
            <a:ext uri="{FF2B5EF4-FFF2-40B4-BE49-F238E27FC236}">
              <a16:creationId xmlns:a16="http://schemas.microsoft.com/office/drawing/2014/main" id="{00000000-0008-0000-0100-000060000000}"/>
            </a:ext>
          </a:extLst>
        </xdr:cNvPr>
        <xdr:cNvCxnSpPr/>
      </xdr:nvCxnSpPr>
      <xdr:spPr>
        <a:xfrm>
          <a:off x="4669971" y="5676900"/>
          <a:ext cx="1393372" cy="7456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168729</xdr:colOff>
      <xdr:row>45</xdr:row>
      <xdr:rowOff>108858</xdr:rowOff>
    </xdr:from>
    <xdr:to>
      <xdr:col>6</xdr:col>
      <xdr:colOff>10886</xdr:colOff>
      <xdr:row>45</xdr:row>
      <xdr:rowOff>108858</xdr:rowOff>
    </xdr:to>
    <xdr:cxnSp macro="">
      <xdr:nvCxnSpPr>
        <xdr:cNvPr id="98" name="Rechte verbindingslijn met pijl 97">
          <a:extLst>
            <a:ext uri="{FF2B5EF4-FFF2-40B4-BE49-F238E27FC236}">
              <a16:creationId xmlns:a16="http://schemas.microsoft.com/office/drawing/2014/main" id="{00000000-0008-0000-0100-000062000000}"/>
            </a:ext>
          </a:extLst>
        </xdr:cNvPr>
        <xdr:cNvCxnSpPr/>
      </xdr:nvCxnSpPr>
      <xdr:spPr>
        <a:xfrm>
          <a:off x="4659086" y="6531429"/>
          <a:ext cx="14042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8283</xdr:colOff>
      <xdr:row>46</xdr:row>
      <xdr:rowOff>76201</xdr:rowOff>
    </xdr:from>
    <xdr:to>
      <xdr:col>6</xdr:col>
      <xdr:colOff>5443</xdr:colOff>
      <xdr:row>50</xdr:row>
      <xdr:rowOff>57978</xdr:rowOff>
    </xdr:to>
    <xdr:cxnSp macro="">
      <xdr:nvCxnSpPr>
        <xdr:cNvPr id="100" name="Rechte verbindingslijn met pijl 99">
          <a:extLst>
            <a:ext uri="{FF2B5EF4-FFF2-40B4-BE49-F238E27FC236}">
              <a16:creationId xmlns:a16="http://schemas.microsoft.com/office/drawing/2014/main" id="{00000000-0008-0000-0100-000064000000}"/>
            </a:ext>
          </a:extLst>
        </xdr:cNvPr>
        <xdr:cNvCxnSpPr/>
      </xdr:nvCxnSpPr>
      <xdr:spPr>
        <a:xfrm flipV="1">
          <a:off x="4679674" y="7240658"/>
          <a:ext cx="1380356" cy="6443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1556657</xdr:colOff>
      <xdr:row>42</xdr:row>
      <xdr:rowOff>16329</xdr:rowOff>
    </xdr:from>
    <xdr:to>
      <xdr:col>11</xdr:col>
      <xdr:colOff>1556657</xdr:colOff>
      <xdr:row>44</xdr:row>
      <xdr:rowOff>0</xdr:rowOff>
    </xdr:to>
    <xdr:cxnSp macro="">
      <xdr:nvCxnSpPr>
        <xdr:cNvPr id="102" name="Rechte verbindingslijn met pijl 101">
          <a:extLst>
            <a:ext uri="{FF2B5EF4-FFF2-40B4-BE49-F238E27FC236}">
              <a16:creationId xmlns:a16="http://schemas.microsoft.com/office/drawing/2014/main" id="{00000000-0008-0000-0100-000066000000}"/>
            </a:ext>
          </a:extLst>
        </xdr:cNvPr>
        <xdr:cNvCxnSpPr/>
      </xdr:nvCxnSpPr>
      <xdr:spPr>
        <a:xfrm flipV="1">
          <a:off x="12382500" y="5949043"/>
          <a:ext cx="0" cy="3102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87086</xdr:colOff>
      <xdr:row>37</xdr:row>
      <xdr:rowOff>152400</xdr:rowOff>
    </xdr:from>
    <xdr:to>
      <xdr:col>4</xdr:col>
      <xdr:colOff>87086</xdr:colOff>
      <xdr:row>39</xdr:row>
      <xdr:rowOff>5443</xdr:rowOff>
    </xdr:to>
    <xdr:cxnSp macro="">
      <xdr:nvCxnSpPr>
        <xdr:cNvPr id="104" name="Rechte verbindingslijn 103">
          <a:extLst>
            <a:ext uri="{FF2B5EF4-FFF2-40B4-BE49-F238E27FC236}">
              <a16:creationId xmlns:a16="http://schemas.microsoft.com/office/drawing/2014/main" id="{00000000-0008-0000-0100-000068000000}"/>
            </a:ext>
          </a:extLst>
        </xdr:cNvPr>
        <xdr:cNvCxnSpPr/>
      </xdr:nvCxnSpPr>
      <xdr:spPr>
        <a:xfrm flipV="1">
          <a:off x="4577443" y="5758543"/>
          <a:ext cx="0" cy="1796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1469571</xdr:colOff>
      <xdr:row>35</xdr:row>
      <xdr:rowOff>122464</xdr:rowOff>
    </xdr:from>
    <xdr:to>
      <xdr:col>11</xdr:col>
      <xdr:colOff>1475015</xdr:colOff>
      <xdr:row>38</xdr:row>
      <xdr:rowOff>157842</xdr:rowOff>
    </xdr:to>
    <xdr:cxnSp macro="">
      <xdr:nvCxnSpPr>
        <xdr:cNvPr id="108" name="Rechte verbindingslijn met pijl 107">
          <a:extLst>
            <a:ext uri="{FF2B5EF4-FFF2-40B4-BE49-F238E27FC236}">
              <a16:creationId xmlns:a16="http://schemas.microsoft.com/office/drawing/2014/main" id="{00000000-0008-0000-0100-00006C000000}"/>
            </a:ext>
          </a:extLst>
        </xdr:cNvPr>
        <xdr:cNvCxnSpPr/>
      </xdr:nvCxnSpPr>
      <xdr:spPr>
        <a:xfrm>
          <a:off x="12300857" y="6395357"/>
          <a:ext cx="5444" cy="68852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165652</xdr:colOff>
      <xdr:row>41</xdr:row>
      <xdr:rowOff>57978</xdr:rowOff>
    </xdr:from>
    <xdr:to>
      <xdr:col>9</xdr:col>
      <xdr:colOff>1358348</xdr:colOff>
      <xdr:row>44</xdr:row>
      <xdr:rowOff>132522</xdr:rowOff>
    </xdr:to>
    <xdr:cxnSp macro="">
      <xdr:nvCxnSpPr>
        <xdr:cNvPr id="120" name="Rechte verbindingslijn met pijl 119">
          <a:extLst>
            <a:ext uri="{FF2B5EF4-FFF2-40B4-BE49-F238E27FC236}">
              <a16:creationId xmlns:a16="http://schemas.microsoft.com/office/drawing/2014/main" id="{00000000-0008-0000-0100-000078000000}"/>
            </a:ext>
          </a:extLst>
        </xdr:cNvPr>
        <xdr:cNvCxnSpPr/>
      </xdr:nvCxnSpPr>
      <xdr:spPr>
        <a:xfrm flipV="1">
          <a:off x="9119152" y="6394174"/>
          <a:ext cx="1374913" cy="5715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50</xdr:row>
      <xdr:rowOff>149087</xdr:rowOff>
    </xdr:from>
    <xdr:to>
      <xdr:col>11</xdr:col>
      <xdr:colOff>646044</xdr:colOff>
      <xdr:row>50</xdr:row>
      <xdr:rowOff>149087</xdr:rowOff>
    </xdr:to>
    <xdr:cxnSp macro="">
      <xdr:nvCxnSpPr>
        <xdr:cNvPr id="123" name="Rechte verbindingslijn 122">
          <a:extLst>
            <a:ext uri="{FF2B5EF4-FFF2-40B4-BE49-F238E27FC236}">
              <a16:creationId xmlns:a16="http://schemas.microsoft.com/office/drawing/2014/main" id="{00000000-0008-0000-0100-00007B000000}"/>
            </a:ext>
          </a:extLst>
        </xdr:cNvPr>
        <xdr:cNvCxnSpPr/>
      </xdr:nvCxnSpPr>
      <xdr:spPr>
        <a:xfrm>
          <a:off x="4671391" y="7976152"/>
          <a:ext cx="68083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654326</xdr:colOff>
      <xdr:row>47</xdr:row>
      <xdr:rowOff>0</xdr:rowOff>
    </xdr:from>
    <xdr:to>
      <xdr:col>11</xdr:col>
      <xdr:colOff>654326</xdr:colOff>
      <xdr:row>50</xdr:row>
      <xdr:rowOff>149087</xdr:rowOff>
    </xdr:to>
    <xdr:cxnSp macro="">
      <xdr:nvCxnSpPr>
        <xdr:cNvPr id="125" name="Rechte verbindingslijn met pijl 124">
          <a:extLst>
            <a:ext uri="{FF2B5EF4-FFF2-40B4-BE49-F238E27FC236}">
              <a16:creationId xmlns:a16="http://schemas.microsoft.com/office/drawing/2014/main" id="{00000000-0008-0000-0100-00007D000000}"/>
            </a:ext>
          </a:extLst>
        </xdr:cNvPr>
        <xdr:cNvCxnSpPr/>
      </xdr:nvCxnSpPr>
      <xdr:spPr>
        <a:xfrm flipV="1">
          <a:off x="11487978" y="7330109"/>
          <a:ext cx="0" cy="6460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51</xdr:row>
      <xdr:rowOff>140805</xdr:rowOff>
    </xdr:from>
    <xdr:to>
      <xdr:col>13</xdr:col>
      <xdr:colOff>463826</xdr:colOff>
      <xdr:row>51</xdr:row>
      <xdr:rowOff>140805</xdr:rowOff>
    </xdr:to>
    <xdr:cxnSp macro="">
      <xdr:nvCxnSpPr>
        <xdr:cNvPr id="127" name="Rechte verbindingslijn 126">
          <a:extLst>
            <a:ext uri="{FF2B5EF4-FFF2-40B4-BE49-F238E27FC236}">
              <a16:creationId xmlns:a16="http://schemas.microsoft.com/office/drawing/2014/main" id="{00000000-0008-0000-0100-00007F000000}"/>
            </a:ext>
          </a:extLst>
        </xdr:cNvPr>
        <xdr:cNvCxnSpPr/>
      </xdr:nvCxnSpPr>
      <xdr:spPr>
        <a:xfrm>
          <a:off x="4671391" y="8133522"/>
          <a:ext cx="96575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455544</xdr:colOff>
      <xdr:row>41</xdr:row>
      <xdr:rowOff>99392</xdr:rowOff>
    </xdr:from>
    <xdr:to>
      <xdr:col>13</xdr:col>
      <xdr:colOff>455544</xdr:colOff>
      <xdr:row>51</xdr:row>
      <xdr:rowOff>140805</xdr:rowOff>
    </xdr:to>
    <xdr:cxnSp macro="">
      <xdr:nvCxnSpPr>
        <xdr:cNvPr id="129" name="Rechte verbindingslijn 128">
          <a:extLst>
            <a:ext uri="{FF2B5EF4-FFF2-40B4-BE49-F238E27FC236}">
              <a16:creationId xmlns:a16="http://schemas.microsoft.com/office/drawing/2014/main" id="{00000000-0008-0000-0100-000081000000}"/>
            </a:ext>
          </a:extLst>
        </xdr:cNvPr>
        <xdr:cNvCxnSpPr/>
      </xdr:nvCxnSpPr>
      <xdr:spPr>
        <a:xfrm flipV="1">
          <a:off x="14320631" y="6435588"/>
          <a:ext cx="0" cy="16979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3313</xdr:colOff>
      <xdr:row>41</xdr:row>
      <xdr:rowOff>99865</xdr:rowOff>
    </xdr:from>
    <xdr:to>
      <xdr:col>13</xdr:col>
      <xdr:colOff>465956</xdr:colOff>
      <xdr:row>41</xdr:row>
      <xdr:rowOff>99865</xdr:rowOff>
    </xdr:to>
    <xdr:cxnSp macro="">
      <xdr:nvCxnSpPr>
        <xdr:cNvPr id="131" name="Rechte verbindingslijn met pijl 130">
          <a:extLst>
            <a:ext uri="{FF2B5EF4-FFF2-40B4-BE49-F238E27FC236}">
              <a16:creationId xmlns:a16="http://schemas.microsoft.com/office/drawing/2014/main" id="{00000000-0008-0000-0100-000083000000}"/>
            </a:ext>
          </a:extLst>
        </xdr:cNvPr>
        <xdr:cNvCxnSpPr/>
      </xdr:nvCxnSpPr>
      <xdr:spPr>
        <a:xfrm flipH="1">
          <a:off x="13868400" y="6436061"/>
          <a:ext cx="4626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1660072</xdr:colOff>
      <xdr:row>34</xdr:row>
      <xdr:rowOff>95250</xdr:rowOff>
    </xdr:from>
    <xdr:to>
      <xdr:col>3</xdr:col>
      <xdr:colOff>1673678</xdr:colOff>
      <xdr:row>39</xdr:row>
      <xdr:rowOff>0</xdr:rowOff>
    </xdr:to>
    <xdr:cxnSp macro="">
      <xdr:nvCxnSpPr>
        <xdr:cNvPr id="3" name="Rechte verbindingslijn 2">
          <a:extLst>
            <a:ext uri="{FF2B5EF4-FFF2-40B4-BE49-F238E27FC236}">
              <a16:creationId xmlns:a16="http://schemas.microsoft.com/office/drawing/2014/main" id="{00000000-0008-0000-0100-000003000000}"/>
            </a:ext>
          </a:extLst>
        </xdr:cNvPr>
        <xdr:cNvCxnSpPr/>
      </xdr:nvCxnSpPr>
      <xdr:spPr>
        <a:xfrm flipH="1" flipV="1">
          <a:off x="3429001" y="6204857"/>
          <a:ext cx="13606" cy="8844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1355481</xdr:colOff>
      <xdr:row>34</xdr:row>
      <xdr:rowOff>81643</xdr:rowOff>
    </xdr:from>
    <xdr:to>
      <xdr:col>15</xdr:col>
      <xdr:colOff>1360715</xdr:colOff>
      <xdr:row>38</xdr:row>
      <xdr:rowOff>153865</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H="1">
          <a:off x="16922052" y="6191250"/>
          <a:ext cx="5234" cy="8886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40</xdr:row>
      <xdr:rowOff>117230</xdr:rowOff>
    </xdr:from>
    <xdr:to>
      <xdr:col>14</xdr:col>
      <xdr:colOff>0</xdr:colOff>
      <xdr:row>40</xdr:row>
      <xdr:rowOff>117230</xdr:rowOff>
    </xdr:to>
    <xdr:cxnSp macro="">
      <xdr:nvCxnSpPr>
        <xdr:cNvPr id="10" name="Rechte verbindingslijn met pijl 9">
          <a:extLst>
            <a:ext uri="{FF2B5EF4-FFF2-40B4-BE49-F238E27FC236}">
              <a16:creationId xmlns:a16="http://schemas.microsoft.com/office/drawing/2014/main" id="{00000000-0008-0000-0100-00000A000000}"/>
            </a:ext>
          </a:extLst>
        </xdr:cNvPr>
        <xdr:cNvCxnSpPr/>
      </xdr:nvCxnSpPr>
      <xdr:spPr>
        <a:xfrm>
          <a:off x="13884519" y="6154615"/>
          <a:ext cx="137746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14</xdr:row>
      <xdr:rowOff>40821</xdr:rowOff>
    </xdr:from>
    <xdr:to>
      <xdr:col>14</xdr:col>
      <xdr:colOff>0</xdr:colOff>
      <xdr:row>22</xdr:row>
      <xdr:rowOff>13608</xdr:rowOff>
    </xdr:to>
    <xdr:cxnSp macro="">
      <xdr:nvCxnSpPr>
        <xdr:cNvPr id="35" name="Rechte verbindingslijn met pijl 18">
          <a:extLst>
            <a:ext uri="{FF2B5EF4-FFF2-40B4-BE49-F238E27FC236}">
              <a16:creationId xmlns:a16="http://schemas.microsoft.com/office/drawing/2014/main" id="{00000000-0008-0000-0100-000023000000}"/>
            </a:ext>
          </a:extLst>
        </xdr:cNvPr>
        <xdr:cNvCxnSpPr/>
      </xdr:nvCxnSpPr>
      <xdr:spPr>
        <a:xfrm flipV="1">
          <a:off x="13865679" y="2884714"/>
          <a:ext cx="1387928" cy="127907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16329</xdr:colOff>
      <xdr:row>34</xdr:row>
      <xdr:rowOff>70757</xdr:rowOff>
    </xdr:from>
    <xdr:to>
      <xdr:col>15</xdr:col>
      <xdr:colOff>1374322</xdr:colOff>
      <xdr:row>34</xdr:row>
      <xdr:rowOff>81643</xdr:rowOff>
    </xdr:to>
    <xdr:cxnSp macro="">
      <xdr:nvCxnSpPr>
        <xdr:cNvPr id="50" name="Rechte verbindingslijn 5">
          <a:extLst>
            <a:ext uri="{FF2B5EF4-FFF2-40B4-BE49-F238E27FC236}">
              <a16:creationId xmlns:a16="http://schemas.microsoft.com/office/drawing/2014/main" id="{00000000-0008-0000-0100-000032000000}"/>
            </a:ext>
          </a:extLst>
        </xdr:cNvPr>
        <xdr:cNvCxnSpPr/>
      </xdr:nvCxnSpPr>
      <xdr:spPr>
        <a:xfrm>
          <a:off x="9146722" y="6180364"/>
          <a:ext cx="7794171"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1646465</xdr:colOff>
      <xdr:row>34</xdr:row>
      <xdr:rowOff>68036</xdr:rowOff>
    </xdr:from>
    <xdr:to>
      <xdr:col>6</xdr:col>
      <xdr:colOff>13608</xdr:colOff>
      <xdr:row>34</xdr:row>
      <xdr:rowOff>81643</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a:off x="3415394" y="6177643"/>
          <a:ext cx="2653393" cy="1360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35</xdr:row>
      <xdr:rowOff>122464</xdr:rowOff>
    </xdr:from>
    <xdr:to>
      <xdr:col>11</xdr:col>
      <xdr:colOff>1469571</xdr:colOff>
      <xdr:row>35</xdr:row>
      <xdr:rowOff>122464</xdr:rowOff>
    </xdr:to>
    <xdr:cxnSp macro="">
      <xdr:nvCxnSpPr>
        <xdr:cNvPr id="59" name="Rechte verbindingslijn 105">
          <a:extLst>
            <a:ext uri="{FF2B5EF4-FFF2-40B4-BE49-F238E27FC236}">
              <a16:creationId xmlns:a16="http://schemas.microsoft.com/office/drawing/2014/main" id="{00000000-0008-0000-0100-00003B000000}"/>
            </a:ext>
          </a:extLst>
        </xdr:cNvPr>
        <xdr:cNvCxnSpPr/>
      </xdr:nvCxnSpPr>
      <xdr:spPr>
        <a:xfrm>
          <a:off x="9130393" y="6395357"/>
          <a:ext cx="31704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1360715</xdr:colOff>
      <xdr:row>36</xdr:row>
      <xdr:rowOff>27214</xdr:rowOff>
    </xdr:from>
    <xdr:to>
      <xdr:col>7</xdr:col>
      <xdr:colOff>1360715</xdr:colOff>
      <xdr:row>39</xdr:row>
      <xdr:rowOff>0</xdr:rowOff>
    </xdr:to>
    <xdr:cxnSp macro="">
      <xdr:nvCxnSpPr>
        <xdr:cNvPr id="62" name="Straight Arrow Connector 12">
          <a:extLst>
            <a:ext uri="{FF2B5EF4-FFF2-40B4-BE49-F238E27FC236}">
              <a16:creationId xmlns:a16="http://schemas.microsoft.com/office/drawing/2014/main" id="{00000000-0008-0000-0100-00003E000000}"/>
            </a:ext>
          </a:extLst>
        </xdr:cNvPr>
        <xdr:cNvCxnSpPr/>
      </xdr:nvCxnSpPr>
      <xdr:spPr>
        <a:xfrm>
          <a:off x="7592786" y="6463393"/>
          <a:ext cx="0" cy="6259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cm.nl/nl/publicaties/berekening-x-factor-bij-gewijzigde-x-factorbesluiten-elektriciteit-2017-2021" TargetMode="External"/><Relationship Id="rId1" Type="http://schemas.openxmlformats.org/officeDocument/2006/relationships/hyperlink" Target="https://support.office.com/nl-nl/article/de-invoegtoepassing-oplosser-laden-in-excel-612926fc-d53b-46b4-872c-e24772f078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CCC8D9"/>
  </sheetPr>
  <dimension ref="B2:D37"/>
  <sheetViews>
    <sheetView showGridLines="0" tabSelected="1" zoomScale="85" zoomScaleNormal="85" workbookViewId="0">
      <pane ySplit="3" topLeftCell="A4" activePane="bottomLeft" state="frozen"/>
      <selection pane="bottomLeft" activeCell="A4" sqref="A4"/>
    </sheetView>
  </sheetViews>
  <sheetFormatPr defaultRowHeight="12.75" x14ac:dyDescent="0.25"/>
  <cols>
    <col min="1" max="1" width="4.7109375" style="48" customWidth="1"/>
    <col min="2" max="2" width="39.85546875" style="48" customWidth="1"/>
    <col min="3" max="3" width="91.85546875" style="48" customWidth="1"/>
    <col min="4" max="16384" width="9.140625" style="48"/>
  </cols>
  <sheetData>
    <row r="2" spans="2:3" s="72" customFormat="1" ht="18" x14ac:dyDescent="0.25">
      <c r="B2" s="72" t="s">
        <v>204</v>
      </c>
    </row>
    <row r="6" spans="2:3" x14ac:dyDescent="0.25">
      <c r="B6" s="53"/>
    </row>
    <row r="13" spans="2:3" s="56" customFormat="1" x14ac:dyDescent="0.25">
      <c r="B13" s="56" t="s">
        <v>186</v>
      </c>
    </row>
    <row r="14" spans="2:3" s="73" customFormat="1" x14ac:dyDescent="0.25"/>
    <row r="15" spans="2:3" x14ac:dyDescent="0.25">
      <c r="B15" s="74" t="s">
        <v>187</v>
      </c>
      <c r="C15" s="75" t="s">
        <v>422</v>
      </c>
    </row>
    <row r="16" spans="2:3" x14ac:dyDescent="0.25">
      <c r="B16" s="74" t="s">
        <v>188</v>
      </c>
      <c r="C16" s="75" t="s">
        <v>204</v>
      </c>
    </row>
    <row r="17" spans="2:3" x14ac:dyDescent="0.25">
      <c r="B17" s="74" t="s">
        <v>189</v>
      </c>
      <c r="C17" s="75" t="s">
        <v>268</v>
      </c>
    </row>
    <row r="18" spans="2:3" x14ac:dyDescent="0.25">
      <c r="B18" s="74" t="s">
        <v>190</v>
      </c>
      <c r="C18" s="75" t="s">
        <v>205</v>
      </c>
    </row>
    <row r="19" spans="2:3" x14ac:dyDescent="0.25">
      <c r="B19" s="74" t="s">
        <v>191</v>
      </c>
      <c r="C19" s="75" t="s">
        <v>268</v>
      </c>
    </row>
    <row r="20" spans="2:3" x14ac:dyDescent="0.25">
      <c r="B20" s="74" t="s">
        <v>192</v>
      </c>
      <c r="C20" s="75"/>
    </row>
    <row r="21" spans="2:3" x14ac:dyDescent="0.25">
      <c r="B21" s="74" t="s">
        <v>193</v>
      </c>
      <c r="C21" s="75" t="s">
        <v>423</v>
      </c>
    </row>
    <row r="22" spans="2:3" x14ac:dyDescent="0.25">
      <c r="B22" s="74" t="s">
        <v>194</v>
      </c>
      <c r="C22" s="75" t="s">
        <v>268</v>
      </c>
    </row>
    <row r="25" spans="2:3" s="56" customFormat="1" x14ac:dyDescent="0.25">
      <c r="B25" s="56" t="s">
        <v>195</v>
      </c>
    </row>
    <row r="27" spans="2:3" x14ac:dyDescent="0.25">
      <c r="B27" s="74" t="s">
        <v>196</v>
      </c>
      <c r="C27" s="75" t="s">
        <v>199</v>
      </c>
    </row>
    <row r="28" spans="2:3" x14ac:dyDescent="0.25">
      <c r="B28" s="74" t="s">
        <v>198</v>
      </c>
      <c r="C28" s="75" t="s">
        <v>199</v>
      </c>
    </row>
    <row r="29" spans="2:3" ht="25.5" x14ac:dyDescent="0.25">
      <c r="B29" s="74" t="s">
        <v>200</v>
      </c>
      <c r="C29" s="75" t="s">
        <v>199</v>
      </c>
    </row>
    <row r="30" spans="2:3" x14ac:dyDescent="0.25">
      <c r="B30" s="74" t="s">
        <v>201</v>
      </c>
      <c r="C30" s="75" t="s">
        <v>197</v>
      </c>
    </row>
    <row r="31" spans="2:3" x14ac:dyDescent="0.25">
      <c r="B31" s="74" t="s">
        <v>202</v>
      </c>
      <c r="C31" s="75"/>
    </row>
    <row r="32" spans="2:3" x14ac:dyDescent="0.25">
      <c r="B32" s="74" t="s">
        <v>194</v>
      </c>
      <c r="C32" s="75"/>
    </row>
    <row r="34" spans="2:4" x14ac:dyDescent="0.25">
      <c r="B34" s="76"/>
      <c r="C34" s="76"/>
      <c r="D34" s="77"/>
    </row>
    <row r="35" spans="2:4" s="56" customFormat="1" x14ac:dyDescent="0.25">
      <c r="B35" s="56" t="s">
        <v>203</v>
      </c>
    </row>
    <row r="37" spans="2:4" x14ac:dyDescent="0.25">
      <c r="B37" s="52"/>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1:Z44"/>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customHeight="1" x14ac:dyDescent="0.2"/>
  <cols>
    <col min="1" max="1" width="2.7109375" style="32" customWidth="1"/>
    <col min="2" max="2" width="26.5703125" style="32" customWidth="1"/>
    <col min="3" max="3" width="2.7109375" style="32" customWidth="1"/>
    <col min="4" max="4" width="17" style="32" customWidth="1"/>
    <col min="5" max="5" width="2.7109375" style="32" customWidth="1"/>
    <col min="6" max="6" width="14" style="32" customWidth="1"/>
    <col min="7" max="7" width="2.7109375" style="32" customWidth="1"/>
    <col min="8" max="8" width="15.7109375" style="14" customWidth="1"/>
    <col min="9" max="9" width="2.7109375" style="32" customWidth="1"/>
    <col min="10" max="10" width="15.7109375" style="14" customWidth="1"/>
    <col min="11" max="11" width="2.42578125" style="14" customWidth="1"/>
    <col min="12" max="23" width="14.7109375" style="14" customWidth="1"/>
    <col min="24" max="24" width="2.42578125" style="14" customWidth="1"/>
    <col min="25" max="16384" width="9.140625" style="32"/>
  </cols>
  <sheetData>
    <row r="1" spans="2:25" s="48" customFormat="1" x14ac:dyDescent="0.25"/>
    <row r="2" spans="2:25" s="49" customFormat="1" ht="18" x14ac:dyDescent="0.25">
      <c r="B2" s="49" t="s">
        <v>487</v>
      </c>
    </row>
    <row r="3" spans="2:25" s="48" customFormat="1" x14ac:dyDescent="0.25"/>
    <row r="4" spans="2:25" s="48" customFormat="1" ht="15" x14ac:dyDescent="0.25">
      <c r="B4" s="50" t="s">
        <v>71</v>
      </c>
      <c r="K4" s="51"/>
      <c r="L4" s="51"/>
      <c r="M4" s="51"/>
      <c r="X4" s="51"/>
    </row>
    <row r="5" spans="2:25" s="48" customFormat="1" ht="42.75" customHeight="1" x14ac:dyDescent="0.25">
      <c r="B5" s="212" t="s">
        <v>424</v>
      </c>
      <c r="C5" s="212"/>
      <c r="D5" s="212"/>
      <c r="E5" s="173"/>
      <c r="F5" s="173"/>
    </row>
    <row r="6" spans="2:25" ht="12.75" customHeight="1" x14ac:dyDescent="0.2">
      <c r="B6" s="13"/>
    </row>
    <row r="7" spans="2:25" ht="12.75" customHeight="1" x14ac:dyDescent="0.2">
      <c r="B7" s="59" t="s">
        <v>134</v>
      </c>
    </row>
    <row r="8" spans="2:25" ht="54" customHeight="1" x14ac:dyDescent="0.2">
      <c r="B8" s="212" t="s">
        <v>547</v>
      </c>
      <c r="C8" s="212"/>
      <c r="D8" s="212"/>
    </row>
    <row r="9" spans="2:25" ht="12.75" customHeight="1" x14ac:dyDescent="0.2">
      <c r="B9" s="134"/>
    </row>
    <row r="10" spans="2:25" s="56" customFormat="1" x14ac:dyDescent="0.25">
      <c r="B10" s="56" t="s">
        <v>75</v>
      </c>
      <c r="D10" s="56" t="s">
        <v>17</v>
      </c>
      <c r="F10" s="56" t="s">
        <v>1</v>
      </c>
      <c r="H10" s="56" t="s">
        <v>329</v>
      </c>
      <c r="J10" s="56" t="s">
        <v>330</v>
      </c>
      <c r="L10" s="157">
        <v>2015</v>
      </c>
      <c r="M10" s="57">
        <v>2016</v>
      </c>
      <c r="N10" s="157">
        <v>2017</v>
      </c>
      <c r="O10" s="57">
        <v>2018</v>
      </c>
      <c r="P10" s="157">
        <v>2019</v>
      </c>
      <c r="Q10" s="57">
        <v>2020</v>
      </c>
      <c r="R10" s="57">
        <v>2021</v>
      </c>
      <c r="S10" s="57">
        <v>2022</v>
      </c>
      <c r="T10" s="57">
        <v>2023</v>
      </c>
      <c r="U10" s="57">
        <v>2024</v>
      </c>
      <c r="V10" s="57">
        <v>2025</v>
      </c>
      <c r="W10" s="57">
        <v>2026</v>
      </c>
      <c r="Y10" s="56" t="s">
        <v>425</v>
      </c>
    </row>
    <row r="12" spans="2:25" s="56" customFormat="1" x14ac:dyDescent="0.25">
      <c r="B12" s="56" t="s">
        <v>0</v>
      </c>
    </row>
    <row r="13" spans="2:25" ht="12" customHeight="1" x14ac:dyDescent="0.2">
      <c r="H13" s="32"/>
      <c r="J13" s="32"/>
      <c r="K13" s="32"/>
      <c r="L13" s="32"/>
      <c r="M13" s="32"/>
      <c r="N13" s="32"/>
      <c r="O13" s="32"/>
      <c r="P13" s="32"/>
      <c r="Q13" s="32"/>
      <c r="R13" s="32"/>
      <c r="S13" s="32"/>
      <c r="T13" s="32"/>
      <c r="U13" s="32"/>
      <c r="V13" s="32"/>
      <c r="W13" s="32"/>
      <c r="X13" s="32"/>
    </row>
    <row r="14" spans="2:25" s="182" customFormat="1" x14ac:dyDescent="0.25">
      <c r="B14" s="183" t="s">
        <v>471</v>
      </c>
    </row>
    <row r="15" spans="2:25" s="182" customFormat="1" ht="15" x14ac:dyDescent="0.25">
      <c r="B15" s="182" t="s">
        <v>471</v>
      </c>
      <c r="F15" s="182" t="s">
        <v>14</v>
      </c>
      <c r="R15" s="184">
        <f>'1) Reguleringsparameters'!H12</f>
        <v>0.03</v>
      </c>
      <c r="S15" s="185"/>
      <c r="T15" s="185"/>
      <c r="U15" s="185"/>
      <c r="V15" s="185"/>
      <c r="W15" s="184">
        <f>'1) Reguleringsparameters'!H13</f>
        <v>2.8000000000000001E-2</v>
      </c>
    </row>
    <row r="16" spans="2:25" ht="12" customHeight="1" x14ac:dyDescent="0.2">
      <c r="H16" s="32"/>
      <c r="J16" s="32"/>
      <c r="K16" s="32"/>
      <c r="L16" s="32"/>
      <c r="M16" s="32"/>
      <c r="N16" s="32"/>
      <c r="O16" s="32"/>
      <c r="P16" s="32"/>
      <c r="Q16" s="32"/>
      <c r="R16" s="32"/>
      <c r="S16" s="32"/>
      <c r="T16" s="32"/>
      <c r="U16" s="32"/>
      <c r="V16" s="32"/>
      <c r="W16" s="32"/>
      <c r="X16" s="32"/>
    </row>
    <row r="17" spans="2:26" x14ac:dyDescent="0.2">
      <c r="B17" s="3" t="s">
        <v>342</v>
      </c>
      <c r="H17" s="32"/>
      <c r="J17" s="32"/>
      <c r="K17" s="32"/>
      <c r="L17" s="32"/>
      <c r="M17" s="32"/>
      <c r="N17" s="32"/>
      <c r="O17" s="32"/>
      <c r="P17" s="32"/>
      <c r="Q17" s="32"/>
      <c r="R17" s="32"/>
      <c r="S17" s="32"/>
      <c r="T17" s="32"/>
      <c r="U17" s="32"/>
      <c r="V17" s="32"/>
      <c r="W17" s="32"/>
      <c r="X17" s="32"/>
    </row>
    <row r="18" spans="2:26" ht="15" x14ac:dyDescent="0.25">
      <c r="B18" s="32" t="s">
        <v>343</v>
      </c>
      <c r="F18" s="32" t="s">
        <v>14</v>
      </c>
      <c r="H18" s="32"/>
      <c r="J18" s="32"/>
      <c r="K18" s="32"/>
      <c r="L18" s="19"/>
      <c r="M18" s="154">
        <f>'1) Reguleringsparameters'!M21</f>
        <v>8.0000000000000002E-3</v>
      </c>
      <c r="N18" s="154">
        <f>'1) Reguleringsparameters'!N21</f>
        <v>2E-3</v>
      </c>
      <c r="O18" s="154">
        <f>'1) Reguleringsparameters'!O21</f>
        <v>1.4E-2</v>
      </c>
      <c r="P18" s="154">
        <f>'1) Reguleringsparameters'!P21</f>
        <v>2.1000000000000001E-2</v>
      </c>
      <c r="Q18" s="154">
        <f>'1) Reguleringsparameters'!Q21</f>
        <v>2.8000000000000001E-2</v>
      </c>
      <c r="R18" s="154">
        <f>'1) Reguleringsparameters'!R21</f>
        <v>7.0000000000000001E-3</v>
      </c>
      <c r="S18" s="132"/>
      <c r="T18" s="132"/>
      <c r="U18" s="132"/>
      <c r="V18" s="132"/>
      <c r="W18" s="132"/>
      <c r="X18" s="132"/>
    </row>
    <row r="19" spans="2:26" x14ac:dyDescent="0.2">
      <c r="H19" s="32"/>
      <c r="J19" s="32"/>
      <c r="K19" s="32"/>
      <c r="L19" s="32"/>
      <c r="M19" s="132"/>
      <c r="N19" s="132"/>
      <c r="O19" s="132"/>
      <c r="P19" s="132"/>
      <c r="Q19" s="132"/>
      <c r="R19" s="132"/>
      <c r="S19" s="132"/>
      <c r="T19" s="132"/>
      <c r="U19" s="132"/>
      <c r="V19" s="132"/>
      <c r="W19" s="132"/>
      <c r="X19" s="132"/>
      <c r="Y19" s="7"/>
      <c r="Z19" s="7"/>
    </row>
    <row r="20" spans="2:26" s="56" customFormat="1" x14ac:dyDescent="0.25">
      <c r="B20" s="56" t="s">
        <v>476</v>
      </c>
    </row>
    <row r="21" spans="2:26" s="182" customFormat="1" x14ac:dyDescent="0.25">
      <c r="M21" s="186"/>
      <c r="N21" s="186"/>
      <c r="O21" s="186"/>
      <c r="P21" s="186"/>
      <c r="Q21" s="186"/>
      <c r="R21" s="186"/>
      <c r="X21" s="186"/>
    </row>
    <row r="22" spans="2:26" s="182" customFormat="1" ht="15" x14ac:dyDescent="0.25">
      <c r="B22" s="51" t="s">
        <v>477</v>
      </c>
      <c r="F22" s="182" t="s">
        <v>14</v>
      </c>
      <c r="M22" s="186"/>
      <c r="N22" s="186"/>
      <c r="O22" s="186"/>
      <c r="P22" s="186"/>
      <c r="Q22" s="186"/>
      <c r="R22" s="184">
        <f>R15</f>
        <v>0.03</v>
      </c>
      <c r="S22" s="187">
        <f>R22*($W$15/$R$15)^(1/5)</f>
        <v>2.9588885689770882E-2</v>
      </c>
      <c r="T22" s="187">
        <f t="shared" ref="T22:W22" si="0">S22*($W$15/$R$15)^(1/5)</f>
        <v>2.9183405212077605E-2</v>
      </c>
      <c r="U22" s="187">
        <f t="shared" si="0"/>
        <v>2.87834813619476E-2</v>
      </c>
      <c r="V22" s="187">
        <f t="shared" si="0"/>
        <v>2.8389037992410607E-2</v>
      </c>
      <c r="W22" s="187">
        <f t="shared" si="0"/>
        <v>2.8000000000000004E-2</v>
      </c>
      <c r="X22" s="186"/>
    </row>
    <row r="23" spans="2:26" s="182" customFormat="1" x14ac:dyDescent="0.25">
      <c r="M23" s="186"/>
      <c r="N23" s="186"/>
      <c r="O23" s="186"/>
      <c r="P23" s="186"/>
      <c r="Q23" s="186"/>
      <c r="R23" s="186"/>
      <c r="X23" s="186"/>
    </row>
    <row r="24" spans="2:26" s="182" customFormat="1" x14ac:dyDescent="0.25">
      <c r="B24" s="182" t="s">
        <v>478</v>
      </c>
      <c r="F24" s="182" t="s">
        <v>479</v>
      </c>
      <c r="M24" s="186"/>
      <c r="N24" s="186"/>
      <c r="O24" s="186"/>
      <c r="P24" s="186"/>
      <c r="Q24" s="186"/>
      <c r="R24" s="186"/>
      <c r="S24" s="188">
        <v>1</v>
      </c>
      <c r="T24" s="189">
        <f>S24*(1+R22)</f>
        <v>1.03</v>
      </c>
      <c r="U24" s="189">
        <f t="shared" ref="U24:W24" si="1">T24*(1+T22)</f>
        <v>1.0600589073684399</v>
      </c>
      <c r="V24" s="189">
        <f t="shared" si="1"/>
        <v>1.090571093171246</v>
      </c>
      <c r="W24" s="189">
        <f t="shared" si="1"/>
        <v>1.1215313573687091</v>
      </c>
      <c r="X24" s="186"/>
    </row>
    <row r="25" spans="2:26" s="182" customFormat="1" x14ac:dyDescent="0.25">
      <c r="M25" s="186"/>
      <c r="N25" s="186"/>
      <c r="O25" s="186"/>
      <c r="P25" s="186"/>
      <c r="Q25" s="186"/>
      <c r="R25" s="186"/>
      <c r="X25" s="186"/>
    </row>
    <row r="26" spans="2:26" s="56" customFormat="1" x14ac:dyDescent="0.25">
      <c r="B26" s="56" t="s">
        <v>344</v>
      </c>
    </row>
    <row r="27" spans="2:26" s="48" customFormat="1" x14ac:dyDescent="0.25"/>
    <row r="28" spans="2:26" s="48" customFormat="1" x14ac:dyDescent="0.25">
      <c r="B28" s="108" t="s">
        <v>345</v>
      </c>
    </row>
    <row r="29" spans="2:26" s="48" customFormat="1" x14ac:dyDescent="0.25">
      <c r="B29" s="155"/>
      <c r="J29" s="73"/>
      <c r="L29" s="48">
        <v>2015</v>
      </c>
      <c r="M29" s="48">
        <v>2016</v>
      </c>
      <c r="N29" s="48">
        <v>2017</v>
      </c>
      <c r="O29" s="48">
        <v>2018</v>
      </c>
      <c r="P29" s="48">
        <v>2019</v>
      </c>
      <c r="Q29" s="48">
        <v>2020</v>
      </c>
      <c r="R29" s="48">
        <v>2021</v>
      </c>
      <c r="S29" s="73"/>
      <c r="T29" s="73"/>
      <c r="U29" s="73"/>
      <c r="V29" s="73"/>
      <c r="W29" s="73"/>
      <c r="X29" s="73"/>
      <c r="Y29" s="73"/>
    </row>
    <row r="30" spans="2:26" s="48" customFormat="1" x14ac:dyDescent="0.25">
      <c r="B30" s="48">
        <v>2015</v>
      </c>
      <c r="J30" s="73"/>
      <c r="L30" s="156"/>
      <c r="M30" s="154">
        <f>M18</f>
        <v>8.0000000000000002E-3</v>
      </c>
      <c r="N30" s="164">
        <f>(1+N$18)*(1+M30)-1</f>
        <v>1.0016000000000025E-2</v>
      </c>
      <c r="O30" s="164">
        <f t="shared" ref="O30:R34" si="2">(1+O$18)*(1+N30)-1</f>
        <v>2.4156223999999948E-2</v>
      </c>
      <c r="P30" s="164">
        <f t="shared" si="2"/>
        <v>4.5663504703999935E-2</v>
      </c>
      <c r="Q30" s="164">
        <f t="shared" si="2"/>
        <v>7.494208283571191E-2</v>
      </c>
      <c r="R30" s="164">
        <f t="shared" si="2"/>
        <v>8.2466677415561795E-2</v>
      </c>
      <c r="S30" s="161"/>
      <c r="T30" s="161"/>
      <c r="U30" s="161"/>
      <c r="V30" s="161"/>
      <c r="W30" s="161"/>
      <c r="X30" s="161"/>
      <c r="Y30" s="179" t="s">
        <v>444</v>
      </c>
    </row>
    <row r="31" spans="2:26" s="48" customFormat="1" x14ac:dyDescent="0.25">
      <c r="B31" s="48">
        <v>2016</v>
      </c>
      <c r="J31" s="166"/>
      <c r="L31" s="156"/>
      <c r="M31" s="156"/>
      <c r="N31" s="154">
        <f>N18</f>
        <v>2E-3</v>
      </c>
      <c r="O31" s="164">
        <f t="shared" si="2"/>
        <v>1.6027999999999931E-2</v>
      </c>
      <c r="P31" s="164">
        <f t="shared" si="2"/>
        <v>3.7364587999999754E-2</v>
      </c>
      <c r="Q31" s="164">
        <f t="shared" si="2"/>
        <v>6.6410796463999722E-2</v>
      </c>
      <c r="R31" s="164">
        <f t="shared" si="2"/>
        <v>7.3875672039247497E-2</v>
      </c>
      <c r="S31" s="161"/>
      <c r="T31" s="161"/>
      <c r="U31" s="161"/>
      <c r="V31" s="161"/>
      <c r="W31" s="161"/>
      <c r="X31" s="161"/>
      <c r="Y31" s="161"/>
    </row>
    <row r="32" spans="2:26" s="48" customFormat="1" x14ac:dyDescent="0.25">
      <c r="B32" s="48">
        <v>2017</v>
      </c>
      <c r="J32" s="166"/>
      <c r="L32" s="156"/>
      <c r="M32" s="156"/>
      <c r="N32" s="156"/>
      <c r="O32" s="154">
        <f>O18</f>
        <v>1.4E-2</v>
      </c>
      <c r="P32" s="164">
        <f t="shared" si="2"/>
        <v>3.5293999999999937E-2</v>
      </c>
      <c r="Q32" s="164">
        <f t="shared" si="2"/>
        <v>6.428223200000005E-2</v>
      </c>
      <c r="R32" s="164">
        <f t="shared" si="2"/>
        <v>7.17322076239999E-2</v>
      </c>
      <c r="S32" s="166"/>
      <c r="T32" s="166"/>
      <c r="U32" s="166"/>
      <c r="V32" s="166"/>
      <c r="W32" s="166"/>
      <c r="X32" s="166"/>
      <c r="Y32" s="161"/>
    </row>
    <row r="33" spans="2:25" s="48" customFormat="1" x14ac:dyDescent="0.25">
      <c r="B33" s="48">
        <v>2018</v>
      </c>
      <c r="J33" s="166"/>
      <c r="L33" s="156"/>
      <c r="M33" s="156"/>
      <c r="N33" s="156"/>
      <c r="O33" s="156"/>
      <c r="P33" s="154">
        <f>P18</f>
        <v>2.1000000000000001E-2</v>
      </c>
      <c r="Q33" s="164">
        <f t="shared" si="2"/>
        <v>4.9587999999999965E-2</v>
      </c>
      <c r="R33" s="164">
        <f t="shared" si="2"/>
        <v>5.6935115999999786E-2</v>
      </c>
      <c r="S33" s="161"/>
      <c r="T33" s="161"/>
      <c r="U33" s="161"/>
      <c r="V33" s="161"/>
      <c r="W33" s="161"/>
      <c r="X33" s="161"/>
      <c r="Y33" s="161"/>
    </row>
    <row r="34" spans="2:25" s="48" customFormat="1" x14ac:dyDescent="0.25">
      <c r="B34" s="48">
        <v>2019</v>
      </c>
      <c r="J34" s="166"/>
      <c r="L34" s="156"/>
      <c r="M34" s="156"/>
      <c r="N34" s="156"/>
      <c r="O34" s="156"/>
      <c r="P34" s="156"/>
      <c r="Q34" s="154">
        <f>Q18</f>
        <v>2.8000000000000001E-2</v>
      </c>
      <c r="R34" s="164">
        <f t="shared" si="2"/>
        <v>3.5196000000000005E-2</v>
      </c>
      <c r="S34" s="161"/>
      <c r="T34" s="161"/>
      <c r="U34" s="161"/>
      <c r="V34" s="161"/>
      <c r="W34" s="161"/>
      <c r="X34" s="161"/>
      <c r="Y34" s="161"/>
    </row>
    <row r="35" spans="2:25" s="48" customFormat="1" x14ac:dyDescent="0.25">
      <c r="B35" s="48">
        <v>2020</v>
      </c>
      <c r="J35" s="166"/>
      <c r="L35" s="156"/>
      <c r="M35" s="156"/>
      <c r="N35" s="156"/>
      <c r="O35" s="156"/>
      <c r="P35" s="156"/>
      <c r="Q35" s="156"/>
      <c r="R35" s="154">
        <f>R18</f>
        <v>7.0000000000000001E-3</v>
      </c>
      <c r="S35" s="161"/>
      <c r="T35" s="161"/>
      <c r="U35" s="161"/>
      <c r="V35" s="161"/>
      <c r="W35" s="161"/>
      <c r="X35" s="161"/>
      <c r="Y35" s="161"/>
    </row>
    <row r="36" spans="2:25" s="48" customFormat="1" x14ac:dyDescent="0.25">
      <c r="S36" s="73"/>
      <c r="T36" s="73"/>
      <c r="U36" s="73"/>
      <c r="V36" s="73"/>
      <c r="W36" s="73"/>
      <c r="X36" s="73"/>
      <c r="Y36" s="73"/>
    </row>
    <row r="37" spans="2:25" s="56" customFormat="1" x14ac:dyDescent="0.25">
      <c r="B37" s="56" t="s">
        <v>546</v>
      </c>
    </row>
    <row r="39" spans="2:25" ht="12.75" customHeight="1" x14ac:dyDescent="0.2">
      <c r="B39" s="196" t="s">
        <v>95</v>
      </c>
      <c r="F39" s="32" t="s">
        <v>14</v>
      </c>
      <c r="H39" s="47">
        <f>'1) Reguleringsparameters'!H46</f>
        <v>8.8756134879797166E-4</v>
      </c>
    </row>
    <row r="40" spans="2:25" ht="12.75" customHeight="1" x14ac:dyDescent="0.2">
      <c r="B40" s="196" t="s">
        <v>550</v>
      </c>
      <c r="F40" s="196" t="s">
        <v>14</v>
      </c>
      <c r="H40" s="47">
        <f>'1) Reguleringsparameters'!H47</f>
        <v>3.44E-2</v>
      </c>
    </row>
    <row r="41" spans="2:25" ht="12.75" customHeight="1" x14ac:dyDescent="0.2">
      <c r="B41" s="196" t="s">
        <v>551</v>
      </c>
      <c r="F41" s="196" t="s">
        <v>138</v>
      </c>
      <c r="R41" s="197">
        <f>'1) Reguleringsparameters'!R48</f>
        <v>110041303.37721671</v>
      </c>
    </row>
    <row r="42" spans="2:25" ht="12.75" customHeight="1" x14ac:dyDescent="0.2">
      <c r="B42" s="196" t="s">
        <v>129</v>
      </c>
      <c r="F42" s="196" t="s">
        <v>138</v>
      </c>
      <c r="R42" s="198">
        <f>'7) X-factor + begininkomsten'!H100</f>
        <v>2189909806.9717116</v>
      </c>
      <c r="Y42" s="196" t="s">
        <v>548</v>
      </c>
    </row>
    <row r="44" spans="2:25" ht="12.75" customHeight="1" x14ac:dyDescent="0.2">
      <c r="B44" s="196" t="s">
        <v>544</v>
      </c>
      <c r="F44" s="196" t="s">
        <v>14</v>
      </c>
      <c r="H44" s="31">
        <f>(H39*(R42-R41)+H40*R41)/R42</f>
        <v>2.5715359201648382E-3</v>
      </c>
    </row>
  </sheetData>
  <mergeCells count="2">
    <mergeCell ref="B5:D5"/>
    <mergeCell ref="B8:D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rgb="FFFFFFCC"/>
  </sheetPr>
  <dimension ref="A1:Y111"/>
  <sheetViews>
    <sheetView showGridLines="0" zoomScale="85" zoomScaleNormal="85" workbookViewId="0"/>
  </sheetViews>
  <sheetFormatPr defaultRowHeight="12.75" customHeight="1" x14ac:dyDescent="0.2"/>
  <cols>
    <col min="1" max="1" width="2.7109375" style="32" customWidth="1"/>
    <col min="2" max="2" width="86" style="32" customWidth="1"/>
    <col min="3" max="3" width="2.7109375" style="32" customWidth="1"/>
    <col min="4" max="4" width="17" style="32" customWidth="1"/>
    <col min="5" max="5" width="2.7109375" style="32" customWidth="1"/>
    <col min="6" max="6" width="14" style="32" customWidth="1"/>
    <col min="7" max="7" width="2.7109375" style="32" customWidth="1"/>
    <col min="8" max="8" width="15.7109375" style="14" customWidth="1"/>
    <col min="9" max="9" width="2.7109375" style="32" customWidth="1"/>
    <col min="10" max="10" width="15.7109375" style="14" customWidth="1"/>
    <col min="11" max="11" width="2.42578125" style="14" customWidth="1"/>
    <col min="12" max="12" width="17.140625" style="14" customWidth="1"/>
    <col min="13" max="23" width="14.7109375" style="14" customWidth="1"/>
    <col min="24" max="24" width="2.42578125" style="14" customWidth="1"/>
    <col min="25" max="16384" width="9.140625" style="32"/>
  </cols>
  <sheetData>
    <row r="1" spans="2:25" s="48" customFormat="1" x14ac:dyDescent="0.25"/>
    <row r="2" spans="2:25" s="49" customFormat="1" ht="18" x14ac:dyDescent="0.25">
      <c r="B2" s="49" t="s">
        <v>430</v>
      </c>
    </row>
    <row r="3" spans="2:25" s="48" customFormat="1" x14ac:dyDescent="0.25"/>
    <row r="4" spans="2:25" s="48" customFormat="1" ht="15" x14ac:dyDescent="0.25">
      <c r="B4" s="50" t="s">
        <v>71</v>
      </c>
      <c r="K4" s="51"/>
      <c r="L4" s="51"/>
      <c r="R4" s="51"/>
      <c r="X4" s="51"/>
    </row>
    <row r="5" spans="2:25" s="48" customFormat="1" ht="35.25" customHeight="1" x14ac:dyDescent="0.25">
      <c r="B5" s="212" t="s">
        <v>127</v>
      </c>
      <c r="C5" s="212"/>
    </row>
    <row r="6" spans="2:25" ht="12.75" customHeight="1" x14ac:dyDescent="0.2">
      <c r="B6" s="13"/>
    </row>
    <row r="7" spans="2:25" ht="12.75" customHeight="1" x14ac:dyDescent="0.2">
      <c r="B7" s="59" t="s">
        <v>134</v>
      </c>
    </row>
    <row r="8" spans="2:25" s="48" customFormat="1" ht="51" x14ac:dyDescent="0.25">
      <c r="B8" s="55" t="s">
        <v>539</v>
      </c>
      <c r="C8" s="55"/>
    </row>
    <row r="9" spans="2:25" s="48" customFormat="1" ht="52.5" customHeight="1" x14ac:dyDescent="0.25">
      <c r="B9" s="213" t="s">
        <v>540</v>
      </c>
      <c r="C9" s="213"/>
      <c r="D9" s="213"/>
      <c r="E9" s="213"/>
    </row>
    <row r="10" spans="2:25" ht="12.75" customHeight="1" x14ac:dyDescent="0.2">
      <c r="B10" s="13"/>
    </row>
    <row r="11" spans="2:25" s="56" customFormat="1" x14ac:dyDescent="0.25">
      <c r="B11" s="56" t="s">
        <v>75</v>
      </c>
      <c r="D11" s="56" t="s">
        <v>17</v>
      </c>
      <c r="F11" s="56" t="s">
        <v>1</v>
      </c>
      <c r="H11" s="56" t="s">
        <v>329</v>
      </c>
      <c r="J11" s="56" t="s">
        <v>330</v>
      </c>
      <c r="L11" s="57">
        <v>2009</v>
      </c>
      <c r="M11" s="57">
        <v>2010</v>
      </c>
      <c r="N11" s="57">
        <v>2011</v>
      </c>
      <c r="O11" s="57">
        <v>2012</v>
      </c>
      <c r="P11" s="57">
        <v>2013</v>
      </c>
      <c r="Q11" s="57">
        <v>2014</v>
      </c>
      <c r="R11" s="57">
        <v>2015</v>
      </c>
      <c r="S11" s="57">
        <v>2016</v>
      </c>
      <c r="T11" s="57">
        <v>2017</v>
      </c>
      <c r="U11" s="57">
        <v>2018</v>
      </c>
      <c r="V11" s="57">
        <v>2019</v>
      </c>
      <c r="W11" s="57">
        <v>2020</v>
      </c>
      <c r="Y11" s="56" t="s">
        <v>267</v>
      </c>
    </row>
    <row r="13" spans="2:25" s="56" customFormat="1" x14ac:dyDescent="0.25">
      <c r="B13" s="56" t="s">
        <v>0</v>
      </c>
    </row>
    <row r="15" spans="2:25" ht="12.75" customHeight="1" x14ac:dyDescent="0.2">
      <c r="B15" s="3" t="s">
        <v>21</v>
      </c>
    </row>
    <row r="16" spans="2:25" ht="12.75" customHeight="1" x14ac:dyDescent="0.2">
      <c r="B16" s="32" t="s">
        <v>394</v>
      </c>
      <c r="F16" s="32" t="s">
        <v>14</v>
      </c>
      <c r="H16" s="154">
        <f>'4) Berekeningen op parameters'!R30</f>
        <v>8.2466677415561795E-2</v>
      </c>
      <c r="L16" s="1"/>
      <c r="M16" s="1"/>
      <c r="N16" s="1"/>
      <c r="O16" s="1"/>
      <c r="P16" s="138"/>
      <c r="Q16" s="138"/>
      <c r="R16" s="1"/>
      <c r="S16" s="1"/>
      <c r="T16" s="1"/>
      <c r="U16" s="1"/>
      <c r="V16" s="138"/>
      <c r="W16" s="138"/>
    </row>
    <row r="17" spans="2:24" ht="12.75" customHeight="1" x14ac:dyDescent="0.2">
      <c r="B17" s="32" t="s">
        <v>395</v>
      </c>
      <c r="F17" s="32" t="s">
        <v>14</v>
      </c>
      <c r="H17" s="154">
        <f>'4) Berekeningen op parameters'!R31</f>
        <v>7.3875672039247497E-2</v>
      </c>
      <c r="L17" s="1"/>
      <c r="M17" s="1"/>
      <c r="N17" s="1"/>
      <c r="O17" s="1"/>
      <c r="P17" s="1"/>
      <c r="Q17" s="1"/>
      <c r="R17" s="1"/>
      <c r="S17" s="1"/>
      <c r="T17" s="1"/>
      <c r="U17" s="1"/>
      <c r="V17" s="1"/>
      <c r="W17" s="1"/>
    </row>
    <row r="18" spans="2:24" ht="12.75" customHeight="1" x14ac:dyDescent="0.2">
      <c r="B18" s="32" t="s">
        <v>396</v>
      </c>
      <c r="F18" s="32" t="s">
        <v>14</v>
      </c>
      <c r="H18" s="154">
        <f>'4) Berekeningen op parameters'!R32</f>
        <v>7.17322076239999E-2</v>
      </c>
      <c r="L18" s="1"/>
      <c r="M18" s="1"/>
      <c r="N18" s="1"/>
      <c r="O18" s="1"/>
      <c r="P18" s="1"/>
      <c r="Q18" s="1"/>
      <c r="R18" s="1"/>
      <c r="S18" s="1"/>
      <c r="T18" s="1"/>
      <c r="U18" s="1"/>
      <c r="V18" s="1"/>
      <c r="W18" s="1"/>
    </row>
    <row r="19" spans="2:24" ht="12.75" customHeight="1" x14ac:dyDescent="0.2">
      <c r="B19" s="32" t="s">
        <v>153</v>
      </c>
      <c r="F19" s="32" t="s">
        <v>14</v>
      </c>
      <c r="H19" s="154">
        <f>'4) Berekeningen op parameters'!R33</f>
        <v>5.6935115999999786E-2</v>
      </c>
      <c r="L19" s="165"/>
      <c r="M19" s="165"/>
      <c r="N19" s="165"/>
      <c r="O19" s="165"/>
      <c r="P19" s="165"/>
      <c r="Q19" s="165"/>
      <c r="R19" s="165"/>
      <c r="S19" s="165"/>
      <c r="T19" s="165"/>
      <c r="U19" s="165"/>
      <c r="V19" s="165"/>
      <c r="W19" s="165"/>
      <c r="X19" s="165"/>
    </row>
    <row r="20" spans="2:24" ht="12.75" customHeight="1" x14ac:dyDescent="0.2">
      <c r="B20" s="32" t="s">
        <v>154</v>
      </c>
      <c r="F20" s="32" t="s">
        <v>14</v>
      </c>
      <c r="H20" s="154">
        <f>'4) Berekeningen op parameters'!R34</f>
        <v>3.5196000000000005E-2</v>
      </c>
      <c r="L20" s="1"/>
      <c r="M20" s="1"/>
      <c r="N20" s="1"/>
      <c r="O20" s="1"/>
      <c r="P20" s="1"/>
      <c r="Q20" s="1"/>
      <c r="R20" s="1"/>
      <c r="S20" s="1"/>
      <c r="T20" s="1"/>
      <c r="U20" s="1"/>
      <c r="V20" s="1"/>
      <c r="W20" s="1"/>
    </row>
    <row r="21" spans="2:24" ht="12.75" customHeight="1" x14ac:dyDescent="0.2">
      <c r="B21" s="32" t="s">
        <v>155</v>
      </c>
      <c r="F21" s="32" t="s">
        <v>14</v>
      </c>
      <c r="H21" s="154">
        <f>'4) Berekeningen op parameters'!R35</f>
        <v>7.0000000000000001E-3</v>
      </c>
      <c r="L21" s="138"/>
      <c r="M21" s="138"/>
      <c r="N21" s="138"/>
      <c r="O21" s="138"/>
      <c r="P21" s="138"/>
      <c r="Q21" s="138"/>
      <c r="R21" s="138"/>
      <c r="S21" s="138"/>
      <c r="T21" s="138"/>
      <c r="U21" s="138"/>
      <c r="V21" s="138"/>
      <c r="W21" s="138"/>
    </row>
    <row r="22" spans="2:24" ht="12.75" customHeight="1" x14ac:dyDescent="0.2">
      <c r="L22" s="138"/>
      <c r="M22" s="138"/>
      <c r="N22" s="138"/>
      <c r="O22" s="138"/>
      <c r="P22" s="138"/>
      <c r="Q22" s="138"/>
      <c r="R22" s="138"/>
      <c r="S22" s="138"/>
      <c r="T22" s="138"/>
      <c r="U22" s="138"/>
      <c r="V22" s="138"/>
      <c r="W22" s="138"/>
    </row>
    <row r="23" spans="2:24" ht="12.75" customHeight="1" x14ac:dyDescent="0.2">
      <c r="B23" s="3" t="s">
        <v>132</v>
      </c>
      <c r="J23" s="138"/>
    </row>
    <row r="24" spans="2:24" ht="12.75" customHeight="1" x14ac:dyDescent="0.2">
      <c r="B24" s="32" t="s">
        <v>28</v>
      </c>
      <c r="F24" s="32" t="s">
        <v>14</v>
      </c>
      <c r="H24" s="47">
        <f>'3) BI, EAV, SO &amp; PV'!H41</f>
        <v>3.425995973882974E-2</v>
      </c>
      <c r="J24" s="130"/>
    </row>
    <row r="25" spans="2:24" ht="12.75" customHeight="1" x14ac:dyDescent="0.2">
      <c r="B25" s="32" t="s">
        <v>29</v>
      </c>
      <c r="F25" s="32" t="s">
        <v>14</v>
      </c>
      <c r="H25" s="47">
        <f>'3) BI, EAV, SO &amp; PV'!H42</f>
        <v>1.7300488701200271E-2</v>
      </c>
      <c r="J25" s="130"/>
    </row>
    <row r="26" spans="2:24" ht="12.75" customHeight="1" x14ac:dyDescent="0.2">
      <c r="B26" s="32" t="s">
        <v>30</v>
      </c>
      <c r="F26" s="32" t="s">
        <v>14</v>
      </c>
      <c r="H26" s="47">
        <f>'3) BI, EAV, SO &amp; PV'!H43</f>
        <v>-5.3188850905792244E-3</v>
      </c>
      <c r="J26" s="130"/>
    </row>
    <row r="27" spans="2:24" ht="12.75" customHeight="1" x14ac:dyDescent="0.2">
      <c r="B27" s="32" t="s">
        <v>31</v>
      </c>
      <c r="F27" s="32" t="s">
        <v>14</v>
      </c>
      <c r="H27" s="47">
        <f>'3) BI, EAV, SO &amp; PV'!H44</f>
        <v>-2.0735154963991833E-2</v>
      </c>
      <c r="J27" s="130"/>
    </row>
    <row r="28" spans="2:24" ht="12.75" customHeight="1" x14ac:dyDescent="0.2">
      <c r="B28" s="32" t="s">
        <v>32</v>
      </c>
      <c r="F28" s="32" t="s">
        <v>14</v>
      </c>
      <c r="H28" s="47">
        <f>'3) BI, EAV, SO &amp; PV'!H45</f>
        <v>-3.5343875767043995E-2</v>
      </c>
      <c r="J28" s="130"/>
    </row>
    <row r="29" spans="2:24" ht="12.75" customHeight="1" x14ac:dyDescent="0.2">
      <c r="B29" s="32" t="s">
        <v>33</v>
      </c>
      <c r="F29" s="32" t="s">
        <v>14</v>
      </c>
      <c r="H29" s="47">
        <f>'3) BI, EAV, SO &amp; PV'!H46</f>
        <v>6.7434039535301471E-2</v>
      </c>
      <c r="J29" s="130"/>
    </row>
    <row r="30" spans="2:24" ht="12.75" customHeight="1" x14ac:dyDescent="0.2">
      <c r="B30" s="32" t="s">
        <v>34</v>
      </c>
      <c r="F30" s="32" t="s">
        <v>14</v>
      </c>
      <c r="H30" s="47">
        <f>'3) BI, EAV, SO &amp; PV'!H47</f>
        <v>-2.4818831350901238E-3</v>
      </c>
      <c r="J30" s="130"/>
    </row>
    <row r="31" spans="2:24" ht="12.75" customHeight="1" x14ac:dyDescent="0.2">
      <c r="B31" s="32" t="s">
        <v>35</v>
      </c>
      <c r="F31" s="32" t="s">
        <v>14</v>
      </c>
      <c r="H31" s="47">
        <f>'3) BI, EAV, SO &amp; PV'!H48</f>
        <v>-2.4930310753759732E-2</v>
      </c>
      <c r="J31" s="130"/>
    </row>
    <row r="32" spans="2:24" ht="12.75" customHeight="1" x14ac:dyDescent="0.2">
      <c r="B32" s="32" t="s">
        <v>37</v>
      </c>
      <c r="F32" s="32" t="s">
        <v>14</v>
      </c>
      <c r="H32" s="47">
        <f>'3) BI, EAV, SO &amp; PV'!H49</f>
        <v>9.2233301152407909E-3</v>
      </c>
      <c r="J32" s="130"/>
    </row>
    <row r="33" spans="2:23" ht="12.75" customHeight="1" x14ac:dyDescent="0.2">
      <c r="B33" s="32" t="s">
        <v>38</v>
      </c>
      <c r="F33" s="32" t="s">
        <v>14</v>
      </c>
      <c r="H33" s="47">
        <f>'3) BI, EAV, SO &amp; PV'!H50</f>
        <v>2.7022878029008823E-2</v>
      </c>
      <c r="J33" s="130"/>
    </row>
    <row r="34" spans="2:23" ht="12.75" customHeight="1" x14ac:dyDescent="0.2">
      <c r="B34" s="32" t="s">
        <v>39</v>
      </c>
      <c r="F34" s="32" t="s">
        <v>14</v>
      </c>
      <c r="H34" s="47">
        <f>'3) BI, EAV, SO &amp; PV'!H51</f>
        <v>1.1703916858672003E-2</v>
      </c>
      <c r="J34" s="130"/>
    </row>
    <row r="35" spans="2:23" ht="12.75" customHeight="1" x14ac:dyDescent="0.2">
      <c r="J35" s="138"/>
    </row>
    <row r="36" spans="2:23" ht="12.75" customHeight="1" x14ac:dyDescent="0.2">
      <c r="B36" s="3" t="s">
        <v>137</v>
      </c>
    </row>
    <row r="37" spans="2:23" ht="12.75" customHeight="1" x14ac:dyDescent="0.2">
      <c r="B37" s="32" t="s">
        <v>136</v>
      </c>
      <c r="F37" s="32" t="s">
        <v>138</v>
      </c>
      <c r="L37" s="15"/>
      <c r="M37" s="15"/>
      <c r="N37" s="15"/>
      <c r="O37" s="15"/>
      <c r="P37" s="15"/>
      <c r="Q37" s="15"/>
      <c r="R37" s="20">
        <f>'2) Kosten 2015-2020'!J15</f>
        <v>973124864.26440775</v>
      </c>
      <c r="S37" s="20">
        <f>'2) Kosten 2015-2020'!J21</f>
        <v>911305549.99349415</v>
      </c>
      <c r="T37" s="20">
        <f>'2) Kosten 2015-2020'!J28</f>
        <v>963234682.88586998</v>
      </c>
      <c r="U37" s="20">
        <f>'2) Kosten 2015-2020'!J41</f>
        <v>1009971433.9997885</v>
      </c>
      <c r="V37" s="20">
        <f>'2) Kosten 2015-2020'!J54</f>
        <v>1087441866.6401911</v>
      </c>
      <c r="W37" s="20">
        <f>'2) Kosten 2015-2020'!J67</f>
        <v>1162233747.3752635</v>
      </c>
    </row>
    <row r="38" spans="2:23" ht="12.75" customHeight="1" x14ac:dyDescent="0.2">
      <c r="B38" s="32" t="s">
        <v>47</v>
      </c>
      <c r="D38" s="32" t="s">
        <v>139</v>
      </c>
      <c r="F38" s="32" t="s">
        <v>138</v>
      </c>
      <c r="L38" s="15"/>
      <c r="M38" s="15"/>
      <c r="N38" s="15"/>
      <c r="O38" s="15"/>
      <c r="P38" s="15"/>
      <c r="Q38" s="15"/>
      <c r="R38" s="15"/>
      <c r="S38" s="20">
        <f>'2) Kosten 2015-2020'!J22</f>
        <v>1019702886.2676834</v>
      </c>
      <c r="T38" s="20">
        <f>'2) Kosten 2015-2020'!J29</f>
        <v>1070215273.0720309</v>
      </c>
      <c r="U38" s="20">
        <f>'2) Kosten 2015-2020'!J42</f>
        <v>1067240443.2141671</v>
      </c>
      <c r="V38" s="20">
        <f>'2) Kosten 2015-2020'!J55</f>
        <v>1076408198.7319214</v>
      </c>
      <c r="W38" s="20">
        <f>'2) Kosten 2015-2020'!J68</f>
        <v>1104631490.6019297</v>
      </c>
    </row>
    <row r="39" spans="2:23" ht="12.75" customHeight="1" x14ac:dyDescent="0.2">
      <c r="B39" s="32" t="s">
        <v>47</v>
      </c>
      <c r="D39" s="32" t="s">
        <v>140</v>
      </c>
      <c r="F39" s="32" t="s">
        <v>138</v>
      </c>
      <c r="L39" s="15"/>
      <c r="M39" s="15"/>
      <c r="N39" s="15"/>
      <c r="O39" s="15"/>
      <c r="P39" s="15"/>
      <c r="Q39" s="15"/>
      <c r="R39" s="20">
        <f>'2) Kosten 2015-2020'!J16</f>
        <v>999666215.95852435</v>
      </c>
      <c r="S39" s="20">
        <f>'2) Kosten 2015-2020'!J23</f>
        <v>1053188924.8229412</v>
      </c>
      <c r="T39" s="20">
        <f>'2) Kosten 2015-2020'!J30</f>
        <v>1036544702.4708407</v>
      </c>
      <c r="U39" s="20">
        <f>'2) Kosten 2015-2020'!J43</f>
        <v>1030807432.8877338</v>
      </c>
      <c r="V39" s="20">
        <f>'2) Kosten 2015-2020'!J56</f>
        <v>1040693783.7621169</v>
      </c>
      <c r="W39" s="15"/>
    </row>
    <row r="40" spans="2:23" ht="12.75" customHeight="1" x14ac:dyDescent="0.2">
      <c r="B40" s="32" t="s">
        <v>36</v>
      </c>
      <c r="F40" s="32" t="s">
        <v>138</v>
      </c>
      <c r="L40" s="15"/>
      <c r="M40" s="15"/>
      <c r="N40" s="15"/>
      <c r="O40" s="15"/>
      <c r="P40" s="15"/>
      <c r="Q40" s="15"/>
      <c r="R40" s="20">
        <f>'3) BI, EAV, SO &amp; PV'!H17</f>
        <v>93340746.863857359</v>
      </c>
      <c r="S40" s="20">
        <f>'3) BI, EAV, SO &amp; PV'!H18</f>
        <v>119461042.48441979</v>
      </c>
      <c r="T40" s="20">
        <f>'3) BI, EAV, SO &amp; PV'!H19</f>
        <v>105989089.58187632</v>
      </c>
      <c r="U40" s="20">
        <f>'3) BI, EAV, SO &amp; PV'!J22</f>
        <v>120974767.46933956</v>
      </c>
      <c r="V40" s="20">
        <f>'3) BI, EAV, SO &amp; PV'!J23</f>
        <v>143202878.16999993</v>
      </c>
      <c r="W40" s="20">
        <f>'3) BI, EAV, SO &amp; PV'!J24</f>
        <v>162549288.46165749</v>
      </c>
    </row>
    <row r="42" spans="2:23" ht="12.75" customHeight="1" x14ac:dyDescent="0.2">
      <c r="B42" s="3" t="s">
        <v>339</v>
      </c>
    </row>
    <row r="43" spans="2:23" ht="12.75" customHeight="1" x14ac:dyDescent="0.2">
      <c r="B43" s="195" t="s">
        <v>337</v>
      </c>
      <c r="D43" s="32" t="s">
        <v>139</v>
      </c>
      <c r="F43" s="32" t="s">
        <v>138</v>
      </c>
      <c r="L43" s="15"/>
      <c r="M43" s="15"/>
      <c r="N43" s="15"/>
      <c r="O43" s="15"/>
      <c r="P43" s="15"/>
      <c r="Q43" s="15"/>
      <c r="R43" s="15"/>
      <c r="S43" s="20">
        <f>'2) Kosten 2015-2020'!S22</f>
        <v>367490433.43847513</v>
      </c>
      <c r="T43" s="15"/>
      <c r="U43" s="15"/>
      <c r="V43" s="15"/>
      <c r="W43" s="15"/>
    </row>
    <row r="44" spans="2:23" ht="12.75" customHeight="1" x14ac:dyDescent="0.2">
      <c r="B44" s="32" t="s">
        <v>338</v>
      </c>
      <c r="D44" s="32" t="s">
        <v>139</v>
      </c>
      <c r="F44" s="32" t="s">
        <v>138</v>
      </c>
      <c r="L44" s="15"/>
      <c r="M44" s="15"/>
      <c r="N44" s="15"/>
      <c r="O44" s="15"/>
      <c r="P44" s="15"/>
      <c r="Q44" s="15"/>
      <c r="R44" s="15"/>
      <c r="S44" s="20">
        <f>'2) Kosten 2015-2020'!M22</f>
        <v>344391454.57128751</v>
      </c>
      <c r="T44" s="15"/>
      <c r="U44" s="15"/>
      <c r="V44" s="15"/>
      <c r="W44" s="15"/>
    </row>
    <row r="45" spans="2:23" ht="12.75" customHeight="1" x14ac:dyDescent="0.2">
      <c r="B45" s="32" t="s">
        <v>337</v>
      </c>
      <c r="D45" s="32" t="s">
        <v>140</v>
      </c>
      <c r="F45" s="32" t="s">
        <v>138</v>
      </c>
      <c r="L45" s="15"/>
      <c r="M45" s="15"/>
      <c r="N45" s="15"/>
      <c r="O45" s="15"/>
      <c r="P45" s="15"/>
      <c r="Q45" s="15"/>
      <c r="R45" s="20">
        <f>'2) Kosten 2015-2020'!S16</f>
        <v>364505976.78865701</v>
      </c>
      <c r="S45" s="20">
        <f>'2) Kosten 2015-2020'!S23</f>
        <v>378475689.92569864</v>
      </c>
      <c r="T45" s="15"/>
      <c r="U45" s="15"/>
      <c r="V45" s="15"/>
      <c r="W45" s="15"/>
    </row>
    <row r="46" spans="2:23" ht="12.75" customHeight="1" x14ac:dyDescent="0.2">
      <c r="B46" s="32" t="s">
        <v>338</v>
      </c>
      <c r="D46" s="32" t="s">
        <v>140</v>
      </c>
      <c r="F46" s="32" t="s">
        <v>138</v>
      </c>
      <c r="L46" s="15"/>
      <c r="M46" s="15"/>
      <c r="N46" s="15"/>
      <c r="O46" s="15"/>
      <c r="P46" s="15"/>
      <c r="Q46" s="15"/>
      <c r="R46" s="20">
        <f>'2) Kosten 2015-2020'!M16</f>
        <v>344504866.42293304</v>
      </c>
      <c r="S46" s="20">
        <f>'2) Kosten 2015-2020'!M23</f>
        <v>355191956.47265458</v>
      </c>
      <c r="T46" s="15"/>
      <c r="U46" s="15"/>
      <c r="V46" s="15"/>
      <c r="W46" s="15"/>
    </row>
    <row r="48" spans="2:23" ht="12.75" customHeight="1" x14ac:dyDescent="0.2">
      <c r="B48" s="3" t="s">
        <v>538</v>
      </c>
    </row>
    <row r="49" spans="2:23" ht="12.75" customHeight="1" x14ac:dyDescent="0.2">
      <c r="B49" s="195" t="s">
        <v>337</v>
      </c>
      <c r="D49" s="32" t="s">
        <v>139</v>
      </c>
      <c r="F49" s="32" t="s">
        <v>138</v>
      </c>
      <c r="L49" s="15"/>
      <c r="M49" s="15"/>
      <c r="N49" s="15"/>
      <c r="O49" s="15"/>
      <c r="P49" s="15"/>
      <c r="Q49" s="15"/>
      <c r="R49" s="15"/>
      <c r="S49" s="20">
        <f>'2) Kosten 2015-2020'!T22</f>
        <v>4073310.4539763173</v>
      </c>
      <c r="T49" s="20">
        <f>'2) Kosten 2015-2020'!T29</f>
        <v>4190201.8337720828</v>
      </c>
      <c r="U49" s="20">
        <f>'2) Kosten 2015-2020'!T42</f>
        <v>3941282.666775425</v>
      </c>
      <c r="V49" s="20">
        <f>'2) Kosten 2015-2020'!T55</f>
        <v>2109324.7558166394</v>
      </c>
      <c r="W49" s="15"/>
    </row>
    <row r="50" spans="2:23" ht="12.75" customHeight="1" x14ac:dyDescent="0.2">
      <c r="B50" s="32" t="s">
        <v>338</v>
      </c>
      <c r="D50" s="32" t="s">
        <v>139</v>
      </c>
      <c r="F50" s="32" t="s">
        <v>138</v>
      </c>
      <c r="L50" s="15"/>
      <c r="M50" s="15"/>
      <c r="N50" s="15"/>
      <c r="O50" s="15"/>
      <c r="P50" s="15"/>
      <c r="Q50" s="15"/>
      <c r="R50" s="15"/>
      <c r="S50" s="20">
        <f>'2) Kosten 2015-2020'!O22</f>
        <v>3966724.7886264441</v>
      </c>
      <c r="T50" s="20">
        <f>'2) Kosten 2015-2020'!O29</f>
        <v>4027068.2069468126</v>
      </c>
      <c r="U50" s="20">
        <f>'2) Kosten 2015-2020'!O42</f>
        <v>3728286.3236063747</v>
      </c>
      <c r="V50" s="20">
        <f>'2) Kosten 2015-2020'!O55</f>
        <v>1878453.7157667312</v>
      </c>
      <c r="W50" s="15"/>
    </row>
    <row r="51" spans="2:23" ht="12.75" customHeight="1" x14ac:dyDescent="0.2">
      <c r="B51" s="32" t="s">
        <v>337</v>
      </c>
      <c r="D51" s="32" t="s">
        <v>140</v>
      </c>
      <c r="F51" s="32" t="s">
        <v>138</v>
      </c>
      <c r="L51" s="15"/>
      <c r="M51" s="15"/>
      <c r="N51" s="15"/>
      <c r="O51" s="15"/>
      <c r="P51" s="15"/>
      <c r="Q51" s="15"/>
      <c r="R51" s="20">
        <f>'2) Kosten 2015-2020'!T16</f>
        <v>4036438.7423505681</v>
      </c>
      <c r="S51" s="20">
        <f>'2) Kosten 2015-2020'!T23</f>
        <v>4164745.3140745419</v>
      </c>
      <c r="T51" s="20">
        <f>'2) Kosten 2015-2020'!T30</f>
        <v>4100915.3244180786</v>
      </c>
      <c r="U51" s="20">
        <f>'2) Kosten 2015-2020'!T43</f>
        <v>1785137.5005685247</v>
      </c>
      <c r="V51" s="20">
        <f>'2) Kosten 2015-2020'!T56</f>
        <v>2023488.6134480783</v>
      </c>
      <c r="W51" s="15"/>
    </row>
    <row r="52" spans="2:23" ht="12.75" customHeight="1" x14ac:dyDescent="0.2">
      <c r="B52" s="32" t="s">
        <v>338</v>
      </c>
      <c r="D52" s="32" t="s">
        <v>140</v>
      </c>
      <c r="F52" s="32" t="s">
        <v>138</v>
      </c>
      <c r="L52" s="15"/>
      <c r="M52" s="15"/>
      <c r="N52" s="15"/>
      <c r="O52" s="15"/>
      <c r="P52" s="15"/>
      <c r="Q52" s="15"/>
      <c r="R52" s="20">
        <f>'2) Kosten 2015-2020'!O16</f>
        <v>3948668.1273172079</v>
      </c>
      <c r="S52" s="20">
        <f>'2) Kosten 2015-2020'!O23</f>
        <v>4056792.3825080884</v>
      </c>
      <c r="T52" s="20">
        <f>'2) Kosten 2015-2020'!O30</f>
        <v>3940130.1713915933</v>
      </c>
      <c r="U52" s="20">
        <f>'2) Kosten 2015-2020'!O43</f>
        <v>1574651.4001951611</v>
      </c>
      <c r="V52" s="20">
        <f>'2) Kosten 2015-2020'!O56</f>
        <v>1795235.1991584254</v>
      </c>
      <c r="W52" s="15"/>
    </row>
    <row r="54" spans="2:23" ht="12" customHeight="1" x14ac:dyDescent="0.2">
      <c r="B54" s="3" t="s">
        <v>142</v>
      </c>
    </row>
    <row r="55" spans="2:23" ht="12" customHeight="1" x14ac:dyDescent="0.2">
      <c r="B55" s="193" t="s">
        <v>529</v>
      </c>
      <c r="F55" s="32" t="s">
        <v>10</v>
      </c>
      <c r="L55" s="20">
        <f>'3) BI, EAV, SO &amp; PV'!H66</f>
        <v>2859361038.0062499</v>
      </c>
      <c r="M55" s="20">
        <f>'3) BI, EAV, SO &amp; PV'!H67</f>
        <v>2848815089.0869627</v>
      </c>
      <c r="N55" s="20">
        <f>'3) BI, EAV, SO &amp; PV'!H68</f>
        <v>2876985762.9977312</v>
      </c>
      <c r="O55" s="20">
        <f>'3) BI, EAV, SO &amp; PV'!H69</f>
        <v>2888257866.1869693</v>
      </c>
      <c r="P55" s="15"/>
      <c r="Q55" s="15"/>
      <c r="R55" s="15"/>
      <c r="S55" s="15"/>
      <c r="T55" s="15"/>
      <c r="U55" s="15"/>
      <c r="V55" s="15"/>
      <c r="W55" s="15"/>
    </row>
    <row r="56" spans="2:23" ht="12" customHeight="1" x14ac:dyDescent="0.2">
      <c r="B56" s="193" t="s">
        <v>528</v>
      </c>
      <c r="F56" s="32" t="s">
        <v>10</v>
      </c>
      <c r="L56" s="15"/>
      <c r="M56" s="15"/>
      <c r="N56" s="15"/>
      <c r="O56" s="20">
        <f>'3) BI, EAV, SO &amp; PV'!H70</f>
        <v>2590091362.4394689</v>
      </c>
      <c r="P56" s="20">
        <f>'3) BI, EAV, SO &amp; PV'!H71</f>
        <v>2584386547.3921552</v>
      </c>
      <c r="Q56" s="20">
        <f>'3) BI, EAV, SO &amp; PV'!H72</f>
        <v>2581741901.2808876</v>
      </c>
      <c r="R56" s="15"/>
      <c r="S56" s="15"/>
      <c r="T56" s="15"/>
      <c r="U56" s="15"/>
      <c r="V56" s="15"/>
      <c r="W56" s="15"/>
    </row>
    <row r="57" spans="2:23" ht="12" customHeight="1" x14ac:dyDescent="0.2">
      <c r="B57" s="193" t="s">
        <v>527</v>
      </c>
      <c r="F57" s="32" t="s">
        <v>10</v>
      </c>
      <c r="L57" s="15"/>
      <c r="M57" s="15"/>
      <c r="N57" s="15"/>
      <c r="O57" s="15"/>
      <c r="P57" s="15"/>
      <c r="Q57" s="20">
        <f>'3) BI, EAV, SO &amp; PV'!H73</f>
        <v>2577942556.1795478</v>
      </c>
      <c r="R57" s="20">
        <f>'3) BI, EAV, SO &amp; PV'!H74</f>
        <v>2593640598.1224194</v>
      </c>
      <c r="S57" s="15"/>
      <c r="T57" s="15"/>
      <c r="U57" s="15"/>
      <c r="V57" s="15"/>
      <c r="W57" s="15"/>
    </row>
    <row r="58" spans="2:23" ht="12" customHeight="1" x14ac:dyDescent="0.2">
      <c r="B58" s="193" t="s">
        <v>530</v>
      </c>
      <c r="F58" s="32" t="s">
        <v>10</v>
      </c>
      <c r="L58" s="20">
        <f>'3) BI, EAV, SO &amp; PV'!H76</f>
        <v>104464167.95156704</v>
      </c>
      <c r="M58" s="20">
        <f>'3) BI, EAV, SO &amp; PV'!H77</f>
        <v>102255955.14008641</v>
      </c>
      <c r="N58" s="20">
        <f>'3) BI, EAV, SO &amp; PV'!H78</f>
        <v>107374574.66751736</v>
      </c>
      <c r="O58" s="20">
        <f>'3) BI, EAV, SO &amp; PV'!H79</f>
        <v>99962166.333404377</v>
      </c>
      <c r="P58" s="15"/>
      <c r="Q58" s="15"/>
      <c r="R58" s="15"/>
      <c r="S58" s="15"/>
      <c r="T58" s="15"/>
      <c r="U58" s="15"/>
      <c r="V58" s="15"/>
      <c r="W58" s="15"/>
    </row>
    <row r="59" spans="2:23" ht="12" customHeight="1" x14ac:dyDescent="0.2">
      <c r="B59" s="207" t="s">
        <v>562</v>
      </c>
      <c r="F59" s="32" t="s">
        <v>10</v>
      </c>
      <c r="L59" s="15"/>
      <c r="M59" s="15"/>
      <c r="N59" s="15"/>
      <c r="O59" s="20">
        <f>'3) BI, EAV, SO &amp; PV'!H80</f>
        <v>74441038.428955644</v>
      </c>
      <c r="P59" s="20">
        <f>'3) BI, EAV, SO &amp; PV'!H81</f>
        <v>74494352.329943836</v>
      </c>
      <c r="Q59" s="20">
        <f>'3) BI, EAV, SO &amp; PV'!H82</f>
        <v>74204302.087746158</v>
      </c>
      <c r="R59" s="20">
        <f>'3) BI, EAV, SO &amp; PV'!H83</f>
        <v>80232883.139501438</v>
      </c>
      <c r="S59" s="15"/>
      <c r="T59" s="15"/>
      <c r="U59" s="15"/>
      <c r="V59" s="15"/>
      <c r="W59" s="15"/>
    </row>
    <row r="60" spans="2:23" ht="12.75" customHeight="1" x14ac:dyDescent="0.2">
      <c r="B60" s="193" t="s">
        <v>531</v>
      </c>
      <c r="F60" s="32" t="s">
        <v>10</v>
      </c>
      <c r="L60" s="60">
        <f>L55+L58</f>
        <v>2963825205.9578171</v>
      </c>
      <c r="M60" s="60">
        <f>M55+M58</f>
        <v>2951071044.2270489</v>
      </c>
      <c r="N60" s="60">
        <f>N55+N58</f>
        <v>2984360337.6652484</v>
      </c>
      <c r="O60" s="60">
        <f>O55+O58</f>
        <v>2988220032.5203738</v>
      </c>
      <c r="P60" s="15"/>
      <c r="Q60" s="15"/>
      <c r="R60" s="15"/>
      <c r="S60" s="15"/>
      <c r="T60" s="15"/>
      <c r="U60" s="15"/>
      <c r="V60" s="15"/>
      <c r="W60" s="15"/>
    </row>
    <row r="61" spans="2:23" ht="12.75" customHeight="1" x14ac:dyDescent="0.2">
      <c r="B61" s="193" t="s">
        <v>532</v>
      </c>
      <c r="F61" s="32" t="s">
        <v>10</v>
      </c>
      <c r="L61" s="15"/>
      <c r="M61" s="15"/>
      <c r="N61" s="15"/>
      <c r="O61" s="60">
        <f>O56+O59</f>
        <v>2664532400.8684244</v>
      </c>
      <c r="P61" s="60">
        <f>P56+P59</f>
        <v>2658880899.7220988</v>
      </c>
      <c r="Q61" s="60">
        <f>Q56+Q59</f>
        <v>2655946203.3686337</v>
      </c>
      <c r="R61" s="15"/>
      <c r="S61" s="15"/>
      <c r="T61" s="15"/>
      <c r="U61" s="15"/>
      <c r="V61" s="15"/>
      <c r="W61" s="15"/>
    </row>
    <row r="62" spans="2:23" ht="12.75" customHeight="1" x14ac:dyDescent="0.2">
      <c r="B62" s="193" t="s">
        <v>526</v>
      </c>
      <c r="F62" s="32" t="s">
        <v>10</v>
      </c>
      <c r="L62" s="15"/>
      <c r="M62" s="15"/>
      <c r="N62" s="15"/>
      <c r="O62" s="15"/>
      <c r="P62" s="15"/>
      <c r="Q62" s="60">
        <f>Q57+Q59</f>
        <v>2652146858.2672939</v>
      </c>
      <c r="R62" s="60">
        <f>R57+R59</f>
        <v>2673873481.2619209</v>
      </c>
      <c r="S62" s="15"/>
      <c r="T62" s="15"/>
      <c r="U62" s="15"/>
      <c r="V62" s="15"/>
      <c r="W62" s="15"/>
    </row>
    <row r="63" spans="2:23" ht="12.75" customHeight="1" x14ac:dyDescent="0.2">
      <c r="B63" s="32" t="s">
        <v>390</v>
      </c>
      <c r="F63" s="32" t="s">
        <v>10</v>
      </c>
      <c r="L63" s="15"/>
      <c r="M63" s="15"/>
      <c r="N63" s="15"/>
      <c r="O63" s="15"/>
      <c r="P63" s="15"/>
      <c r="Q63" s="15"/>
      <c r="R63" s="20">
        <f>'3) BI, EAV, SO &amp; PV'!H32</f>
        <v>2898248194.9692092</v>
      </c>
      <c r="S63" s="20">
        <f>'3) BI, EAV, SO &amp; PV'!H33</f>
        <v>2952430710.9893508</v>
      </c>
      <c r="T63" s="20">
        <f>'3) BI, EAV, SO &amp; PV'!H34</f>
        <v>2960837094.8159423</v>
      </c>
      <c r="U63" s="20">
        <f>'3) BI, EAV, SO &amp; PV'!H35</f>
        <v>3005145275.901782</v>
      </c>
      <c r="V63" s="20">
        <f>'3) BI, EAV, SO &amp; PV'!H36</f>
        <v>3049695601.1448069</v>
      </c>
      <c r="W63" s="20">
        <f>'3) BI, EAV, SO &amp; PV'!H37</f>
        <v>3067750977.8854051</v>
      </c>
    </row>
    <row r="65" spans="1:25" s="56" customFormat="1" x14ac:dyDescent="0.25">
      <c r="B65" s="56" t="s">
        <v>135</v>
      </c>
    </row>
    <row r="67" spans="1:25" ht="12.75" customHeight="1" x14ac:dyDescent="0.2">
      <c r="A67" s="7"/>
      <c r="B67" s="32" t="s">
        <v>145</v>
      </c>
      <c r="D67" s="32" t="s">
        <v>139</v>
      </c>
      <c r="F67" s="203" t="s">
        <v>138</v>
      </c>
      <c r="L67" s="15"/>
      <c r="M67" s="96">
        <f>'3) BI, EAV, SO &amp; PV'!H54</f>
        <v>2213634121.8651342</v>
      </c>
      <c r="N67" s="96">
        <f>'3) BI, EAV, SO &amp; PV'!H56</f>
        <v>2280878306.689877</v>
      </c>
      <c r="O67" s="96">
        <f>'3) BI, EAV, SO &amp; PV'!H58</f>
        <v>2378651513.5483675</v>
      </c>
      <c r="P67" s="96">
        <f>'3) BI, EAV, SO &amp; PV'!H60</f>
        <v>2437575880.8384333</v>
      </c>
      <c r="Q67" s="96">
        <f>'3) BI, EAV, SO &amp; PV'!H62</f>
        <v>2226902806.2910309</v>
      </c>
      <c r="R67" s="96">
        <f>'3) BI, EAV, SO &amp; PV'!H64</f>
        <v>2053032106.2747271</v>
      </c>
      <c r="S67" s="60">
        <f>(S$37+S38+S$40+(S43-S44)+(S49-S50))*(1+H$17)</f>
        <v>2226869180.6913228</v>
      </c>
      <c r="T67" s="60">
        <f>(T$37+T38+T$40+(T43-T44)+(T49-T50))*(1+H$18)</f>
        <v>2293080566.9153438</v>
      </c>
      <c r="U67" s="60">
        <f>(U$37+U38+U$40+(U43-U44)+(U49-U50))*(1+H$19)</f>
        <v>2323565779.602664</v>
      </c>
      <c r="V67" s="60">
        <f>(V$37+V38+V$40+(V43-V44)+(V49-V50))*(1+H$20)</f>
        <v>2388490975.7201962</v>
      </c>
      <c r="W67" s="60">
        <f>(W$37+W38+W$40+(W43-W44)+(W49-W50))*(1+H$21)</f>
        <v>2446420428.1239219</v>
      </c>
      <c r="Y67" s="175" t="s">
        <v>452</v>
      </c>
    </row>
    <row r="68" spans="1:25" ht="12.75" customHeight="1" x14ac:dyDescent="0.2">
      <c r="A68" s="7"/>
      <c r="B68" s="32" t="s">
        <v>145</v>
      </c>
      <c r="D68" s="32" t="s">
        <v>143</v>
      </c>
      <c r="F68" s="203" t="s">
        <v>138</v>
      </c>
      <c r="L68" s="96">
        <f>'3) BI, EAV, SO &amp; PV'!H53</f>
        <v>2383961314.5423479</v>
      </c>
      <c r="M68" s="96">
        <f>'3) BI, EAV, SO &amp; PV'!H55</f>
        <v>2249852191.356039</v>
      </c>
      <c r="N68" s="96">
        <f>'3) BI, EAV, SO &amp; PV'!H57</f>
        <v>2317795790.4824877</v>
      </c>
      <c r="O68" s="96">
        <f>'3) BI, EAV, SO &amp; PV'!H59</f>
        <v>2465347060.1123848</v>
      </c>
      <c r="P68" s="96">
        <f>'3) BI, EAV, SO &amp; PV'!H61</f>
        <v>2290938578.2612882</v>
      </c>
      <c r="Q68" s="96">
        <f>'3) BI, EAV, SO &amp; PV'!H63</f>
        <v>2064813498.1101253</v>
      </c>
      <c r="R68" s="60">
        <f>(R$37+R39+R$40+(R45-R46)+(R51-R52))*(1+H$16)</f>
        <v>2258264398.2174177</v>
      </c>
      <c r="S68" s="60">
        <f>(S$37+S39+S$40+(S45-S46)+(S51-S52))*(1+H$17)</f>
        <v>2263028894.5777583</v>
      </c>
      <c r="T68" s="60">
        <f>(T$37+T39+T$40+(T45-T46)+(T51-T52))*(1+H$18)</f>
        <v>2256992215.0179615</v>
      </c>
      <c r="U68" s="60">
        <f>(U$37+U39+U$40+(U45-U46)+(U51-U52))*(1+H$19)</f>
        <v>2285055798.443305</v>
      </c>
      <c r="V68" s="60">
        <f>(V$37+V39+V$40+(V45-V46)+(V51-V52))*(1+H$20)</f>
        <v>2351516846.4453979</v>
      </c>
      <c r="W68" s="15"/>
    </row>
    <row r="69" spans="1:25" s="58" customFormat="1" ht="12.75" customHeight="1" x14ac:dyDescent="0.2">
      <c r="H69" s="61"/>
      <c r="J69" s="61"/>
      <c r="K69" s="61"/>
      <c r="L69" s="62"/>
      <c r="M69" s="62"/>
      <c r="N69" s="62"/>
      <c r="O69" s="62"/>
      <c r="P69" s="62"/>
      <c r="Q69" s="63"/>
      <c r="R69" s="62"/>
      <c r="S69" s="62"/>
      <c r="T69" s="62"/>
      <c r="U69" s="62"/>
      <c r="V69" s="62"/>
      <c r="W69" s="63"/>
      <c r="X69" s="61"/>
    </row>
    <row r="70" spans="1:25" ht="12.75" customHeight="1" x14ac:dyDescent="0.2">
      <c r="A70" s="7"/>
      <c r="B70" s="32" t="s">
        <v>144</v>
      </c>
      <c r="F70" s="32" t="s">
        <v>14</v>
      </c>
      <c r="L70" s="15"/>
      <c r="M70" s="64">
        <f>1-(M67/M60)/(L68/L60)</f>
        <v>6.7434039535301582E-2</v>
      </c>
      <c r="N70" s="64">
        <f>1-(N67/N60)/(M68/M60)</f>
        <v>-2.4818831350903459E-3</v>
      </c>
      <c r="O70" s="64">
        <f>1-(O67/O60)/(N68/N60)</f>
        <v>-2.4930310753759732E-2</v>
      </c>
      <c r="P70" s="64">
        <f>1-(P67/P61)/(O68/O61)</f>
        <v>9.163036902684385E-3</v>
      </c>
      <c r="Q70" s="64">
        <f>1-(Q67/Q61)/(P68/P61)</f>
        <v>2.6877695059698281E-2</v>
      </c>
      <c r="R70" s="64">
        <f>1-(R67/R62)/(Q68/Q62)</f>
        <v>1.3784951230864428E-2</v>
      </c>
      <c r="S70" s="64">
        <f>1-(S67/S63)/(R68/R63)</f>
        <v>3.1999065035902663E-2</v>
      </c>
      <c r="T70" s="64">
        <f t="shared" ref="T70:W70" si="0">1-(T67/T63)/(S68/S63)</f>
        <v>-1.0402508468329241E-2</v>
      </c>
      <c r="U70" s="64">
        <f t="shared" si="0"/>
        <v>-1.4317578837487632E-2</v>
      </c>
      <c r="V70" s="64">
        <f>1-(V67/V63)/(U68/U63)</f>
        <v>-2.9996558456359734E-2</v>
      </c>
      <c r="W70" s="64">
        <f t="shared" si="0"/>
        <v>-3.4235379605225935E-2</v>
      </c>
      <c r="Y70" s="175" t="s">
        <v>450</v>
      </c>
    </row>
    <row r="72" spans="1:25" s="56" customFormat="1" x14ac:dyDescent="0.25">
      <c r="B72" s="56" t="s">
        <v>135</v>
      </c>
    </row>
    <row r="74" spans="1:25" ht="12.75" customHeight="1" x14ac:dyDescent="0.2">
      <c r="A74" s="7"/>
      <c r="H74" s="38" t="s">
        <v>40</v>
      </c>
      <c r="I74" s="7"/>
      <c r="J74" s="138"/>
      <c r="K74" s="138"/>
      <c r="L74" s="139"/>
      <c r="R74" s="139"/>
    </row>
    <row r="75" spans="1:25" x14ac:dyDescent="0.2">
      <c r="A75" s="7"/>
      <c r="B75" s="32" t="s">
        <v>28</v>
      </c>
      <c r="F75" s="32" t="s">
        <v>14</v>
      </c>
      <c r="H75" s="39">
        <f t="shared" ref="H75:H79" si="1">1+H24</f>
        <v>1.0342599597388298</v>
      </c>
      <c r="I75" s="7"/>
      <c r="J75" s="131"/>
      <c r="K75" s="138"/>
      <c r="L75" s="138"/>
      <c r="R75" s="138"/>
      <c r="Y75" s="175" t="s">
        <v>450</v>
      </c>
    </row>
    <row r="76" spans="1:25" ht="12.75" customHeight="1" x14ac:dyDescent="0.2">
      <c r="A76" s="7"/>
      <c r="B76" s="32" t="s">
        <v>29</v>
      </c>
      <c r="F76" s="32" t="s">
        <v>14</v>
      </c>
      <c r="H76" s="39">
        <f t="shared" si="1"/>
        <v>1.0173004887012003</v>
      </c>
      <c r="I76" s="7"/>
      <c r="J76" s="131"/>
      <c r="K76" s="138"/>
      <c r="L76" s="138"/>
      <c r="R76" s="138"/>
    </row>
    <row r="77" spans="1:25" ht="12.75" customHeight="1" x14ac:dyDescent="0.2">
      <c r="A77" s="7"/>
      <c r="B77" s="32" t="s">
        <v>30</v>
      </c>
      <c r="F77" s="32" t="s">
        <v>14</v>
      </c>
      <c r="H77" s="39">
        <f t="shared" si="1"/>
        <v>0.99468111490942079</v>
      </c>
      <c r="I77" s="7"/>
      <c r="J77" s="131"/>
      <c r="K77" s="138"/>
      <c r="L77" s="138"/>
      <c r="R77" s="138"/>
    </row>
    <row r="78" spans="1:25" ht="12.75" customHeight="1" x14ac:dyDescent="0.2">
      <c r="A78" s="7"/>
      <c r="B78" s="32" t="s">
        <v>31</v>
      </c>
      <c r="F78" s="32" t="s">
        <v>14</v>
      </c>
      <c r="H78" s="39">
        <f t="shared" si="1"/>
        <v>0.97926484503600819</v>
      </c>
      <c r="I78" s="7"/>
      <c r="J78" s="131"/>
      <c r="K78" s="138"/>
      <c r="L78" s="138"/>
      <c r="R78" s="138"/>
    </row>
    <row r="79" spans="1:25" ht="12.75" customHeight="1" x14ac:dyDescent="0.2">
      <c r="A79" s="7"/>
      <c r="B79" s="32" t="s">
        <v>32</v>
      </c>
      <c r="F79" s="32" t="s">
        <v>14</v>
      </c>
      <c r="H79" s="39">
        <f t="shared" si="1"/>
        <v>0.96465612423295599</v>
      </c>
      <c r="I79" s="7"/>
      <c r="J79" s="131"/>
      <c r="K79" s="138"/>
      <c r="L79" s="138"/>
      <c r="R79" s="138"/>
    </row>
    <row r="80" spans="1:25" ht="12.75" customHeight="1" x14ac:dyDescent="0.2">
      <c r="A80" s="7"/>
      <c r="B80" s="32" t="s">
        <v>33</v>
      </c>
      <c r="F80" s="32" t="s">
        <v>14</v>
      </c>
      <c r="H80" s="39">
        <f>1+M70</f>
        <v>1.0674340395353017</v>
      </c>
      <c r="I80" s="7"/>
      <c r="J80" s="131"/>
      <c r="K80" s="138"/>
      <c r="L80" s="138"/>
      <c r="R80" s="138"/>
    </row>
    <row r="81" spans="1:25" ht="12.75" customHeight="1" x14ac:dyDescent="0.2">
      <c r="A81" s="7"/>
      <c r="B81" s="32" t="s">
        <v>34</v>
      </c>
      <c r="F81" s="32" t="s">
        <v>14</v>
      </c>
      <c r="H81" s="39">
        <f>1+N70</f>
        <v>0.99751811686490965</v>
      </c>
      <c r="I81" s="7"/>
      <c r="J81" s="131"/>
      <c r="K81" s="138"/>
      <c r="L81" s="138"/>
      <c r="R81" s="138"/>
    </row>
    <row r="82" spans="1:25" ht="12.75" customHeight="1" x14ac:dyDescent="0.2">
      <c r="A82" s="7"/>
      <c r="B82" s="32" t="s">
        <v>35</v>
      </c>
      <c r="F82" s="32" t="s">
        <v>14</v>
      </c>
      <c r="H82" s="39">
        <f>1+O70</f>
        <v>0.97506968924624027</v>
      </c>
      <c r="I82" s="7"/>
      <c r="J82" s="131"/>
      <c r="K82" s="138"/>
      <c r="L82" s="138"/>
      <c r="R82" s="138"/>
    </row>
    <row r="83" spans="1:25" ht="12.75" customHeight="1" x14ac:dyDescent="0.2">
      <c r="A83" s="7"/>
      <c r="B83" s="32" t="s">
        <v>37</v>
      </c>
      <c r="F83" s="32" t="s">
        <v>14</v>
      </c>
      <c r="H83" s="39">
        <f>1+P70</f>
        <v>1.0091630369026845</v>
      </c>
      <c r="I83" s="7"/>
      <c r="J83" s="131"/>
      <c r="K83" s="138"/>
      <c r="L83" s="138"/>
      <c r="R83" s="138"/>
    </row>
    <row r="84" spans="1:25" ht="12.75" customHeight="1" x14ac:dyDescent="0.2">
      <c r="A84" s="7"/>
      <c r="B84" s="32" t="s">
        <v>38</v>
      </c>
      <c r="F84" s="32" t="s">
        <v>14</v>
      </c>
      <c r="H84" s="39">
        <f>1+Q70</f>
        <v>1.0268776950596983</v>
      </c>
      <c r="I84" s="7"/>
      <c r="J84" s="131"/>
      <c r="K84" s="138"/>
      <c r="L84" s="138"/>
      <c r="R84" s="138"/>
    </row>
    <row r="85" spans="1:25" ht="12.75" customHeight="1" x14ac:dyDescent="0.2">
      <c r="A85" s="7"/>
      <c r="B85" s="32" t="s">
        <v>39</v>
      </c>
      <c r="F85" s="32" t="s">
        <v>14</v>
      </c>
      <c r="H85" s="39">
        <f>1+R70</f>
        <v>1.0137849512308645</v>
      </c>
      <c r="I85" s="7"/>
      <c r="J85" s="131"/>
      <c r="K85" s="138"/>
      <c r="L85" s="138"/>
      <c r="R85" s="138"/>
    </row>
    <row r="86" spans="1:25" ht="12.75" customHeight="1" x14ac:dyDescent="0.2">
      <c r="A86" s="7"/>
      <c r="B86" s="32" t="s">
        <v>91</v>
      </c>
      <c r="F86" s="32" t="s">
        <v>14</v>
      </c>
      <c r="H86" s="39">
        <f>1+S70</f>
        <v>1.0319990650359028</v>
      </c>
      <c r="I86" s="7"/>
      <c r="J86" s="131"/>
      <c r="K86" s="138"/>
      <c r="L86" s="138"/>
      <c r="R86" s="138"/>
    </row>
    <row r="87" spans="1:25" ht="12.75" customHeight="1" x14ac:dyDescent="0.2">
      <c r="A87" s="7"/>
      <c r="B87" s="32" t="s">
        <v>92</v>
      </c>
      <c r="F87" s="32" t="s">
        <v>14</v>
      </c>
      <c r="H87" s="39">
        <f>1+T70</f>
        <v>0.98959749153167076</v>
      </c>
      <c r="I87" s="7"/>
      <c r="J87" s="131"/>
      <c r="K87" s="138"/>
      <c r="L87" s="138"/>
      <c r="R87" s="138"/>
    </row>
    <row r="88" spans="1:25" ht="12.75" customHeight="1" x14ac:dyDescent="0.2">
      <c r="A88" s="7"/>
      <c r="B88" s="32" t="s">
        <v>93</v>
      </c>
      <c r="F88" s="32" t="s">
        <v>14</v>
      </c>
      <c r="H88" s="39">
        <f>1+U70</f>
        <v>0.98568242116251237</v>
      </c>
      <c r="I88" s="7"/>
      <c r="J88" s="131"/>
      <c r="K88" s="138"/>
      <c r="L88" s="138"/>
      <c r="R88" s="138"/>
    </row>
    <row r="89" spans="1:25" ht="12.75" customHeight="1" x14ac:dyDescent="0.2">
      <c r="A89" s="7"/>
      <c r="B89" s="32" t="s">
        <v>94</v>
      </c>
      <c r="F89" s="32" t="s">
        <v>14</v>
      </c>
      <c r="H89" s="39">
        <f>1+V70</f>
        <v>0.97000344154364027</v>
      </c>
      <c r="I89" s="7"/>
      <c r="J89" s="131"/>
      <c r="K89" s="138"/>
      <c r="L89" s="138"/>
      <c r="R89" s="138"/>
    </row>
    <row r="90" spans="1:25" ht="12.75" customHeight="1" x14ac:dyDescent="0.2">
      <c r="A90" s="7"/>
      <c r="B90" s="32" t="s">
        <v>185</v>
      </c>
      <c r="F90" s="32" t="s">
        <v>14</v>
      </c>
      <c r="H90" s="39">
        <f>1+W70</f>
        <v>0.96576462039477406</v>
      </c>
      <c r="I90" s="7"/>
      <c r="J90" s="131"/>
      <c r="K90" s="138"/>
      <c r="L90" s="138"/>
      <c r="R90" s="138"/>
    </row>
    <row r="91" spans="1:25" ht="12.75" customHeight="1" x14ac:dyDescent="0.2">
      <c r="A91" s="7"/>
      <c r="K91" s="138"/>
      <c r="L91" s="138"/>
      <c r="R91" s="138"/>
    </row>
    <row r="92" spans="1:25" ht="12.75" customHeight="1" x14ac:dyDescent="0.2">
      <c r="A92" s="7"/>
      <c r="B92" s="196" t="s">
        <v>549</v>
      </c>
      <c r="F92" s="32" t="s">
        <v>14</v>
      </c>
      <c r="H92" s="40">
        <f>GEOMEAN(H75:H90)-1</f>
        <v>1.0479928178634967E-3</v>
      </c>
      <c r="K92" s="138"/>
      <c r="L92" s="138"/>
      <c r="M92" s="32"/>
      <c r="N92" s="32"/>
      <c r="O92" s="32"/>
      <c r="P92" s="32"/>
      <c r="Q92" s="32"/>
      <c r="R92" s="130"/>
      <c r="S92" s="32"/>
      <c r="T92" s="32"/>
      <c r="U92" s="32"/>
      <c r="V92" s="32"/>
      <c r="W92" s="32"/>
      <c r="Y92" s="175" t="s">
        <v>449</v>
      </c>
    </row>
    <row r="93" spans="1:25" ht="12.75" customHeight="1" x14ac:dyDescent="0.2">
      <c r="A93" s="7"/>
      <c r="K93" s="138"/>
      <c r="L93" s="138"/>
      <c r="R93" s="138"/>
    </row>
    <row r="94" spans="1:25" ht="12.75" customHeight="1" x14ac:dyDescent="0.2">
      <c r="K94" s="138"/>
      <c r="L94" s="138"/>
      <c r="R94" s="138"/>
    </row>
    <row r="95" spans="1:25" ht="12.75" customHeight="1" x14ac:dyDescent="0.2">
      <c r="K95" s="138"/>
      <c r="L95" s="138"/>
      <c r="R95" s="138"/>
    </row>
    <row r="96" spans="1:25" ht="12.75" customHeight="1" x14ac:dyDescent="0.2">
      <c r="L96" s="138"/>
    </row>
    <row r="97" spans="12:12" ht="12.75" customHeight="1" x14ac:dyDescent="0.2">
      <c r="L97" s="138"/>
    </row>
    <row r="98" spans="12:12" ht="12.75" customHeight="1" x14ac:dyDescent="0.2">
      <c r="L98" s="138"/>
    </row>
    <row r="99" spans="12:12" ht="12.75" customHeight="1" x14ac:dyDescent="0.2">
      <c r="L99" s="138"/>
    </row>
    <row r="100" spans="12:12" ht="12.75" customHeight="1" x14ac:dyDescent="0.2">
      <c r="L100" s="138"/>
    </row>
    <row r="101" spans="12:12" ht="12.75" customHeight="1" x14ac:dyDescent="0.2">
      <c r="L101" s="138"/>
    </row>
    <row r="102" spans="12:12" ht="12.75" customHeight="1" x14ac:dyDescent="0.2">
      <c r="L102" s="138"/>
    </row>
    <row r="103" spans="12:12" ht="12.75" customHeight="1" x14ac:dyDescent="0.2">
      <c r="L103" s="138"/>
    </row>
    <row r="104" spans="12:12" ht="12.75" customHeight="1" x14ac:dyDescent="0.2">
      <c r="L104" s="138"/>
    </row>
    <row r="105" spans="12:12" ht="12.75" customHeight="1" x14ac:dyDescent="0.2">
      <c r="L105" s="138"/>
    </row>
    <row r="106" spans="12:12" ht="12.75" customHeight="1" x14ac:dyDescent="0.2">
      <c r="L106" s="138"/>
    </row>
    <row r="107" spans="12:12" ht="12.75" customHeight="1" x14ac:dyDescent="0.2">
      <c r="L107" s="138"/>
    </row>
    <row r="108" spans="12:12" ht="12.75" customHeight="1" x14ac:dyDescent="0.2">
      <c r="L108" s="138"/>
    </row>
    <row r="109" spans="12:12" ht="12.75" customHeight="1" x14ac:dyDescent="0.2">
      <c r="L109" s="138"/>
    </row>
    <row r="110" spans="12:12" ht="12.75" customHeight="1" x14ac:dyDescent="0.2">
      <c r="L110" s="138"/>
    </row>
    <row r="111" spans="12:12" ht="12.75" customHeight="1" x14ac:dyDescent="0.2">
      <c r="L111" s="138"/>
    </row>
  </sheetData>
  <mergeCells count="2">
    <mergeCell ref="B5:C5"/>
    <mergeCell ref="B9:E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FFFFCC"/>
  </sheetPr>
  <dimension ref="A1:S92"/>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7109375" style="2" customWidth="1"/>
    <col min="6" max="6" width="15.7109375" style="2" customWidth="1"/>
    <col min="7" max="7" width="2.7109375" style="32" customWidth="1"/>
    <col min="8" max="8" width="15.7109375" style="32" customWidth="1"/>
    <col min="9" max="9" width="2.7109375" style="2" customWidth="1"/>
    <col min="10" max="10" width="15.7109375" style="2" customWidth="1"/>
    <col min="11" max="11" width="3.28515625" style="2" customWidth="1"/>
    <col min="12" max="17" width="14.7109375" style="2" customWidth="1"/>
    <col min="18" max="18" width="3.28515625" style="32" customWidth="1"/>
    <col min="19" max="16384" width="9.140625" style="2"/>
  </cols>
  <sheetData>
    <row r="1" spans="2:19" s="48" customFormat="1" x14ac:dyDescent="0.25"/>
    <row r="2" spans="2:19" s="49" customFormat="1" ht="18" x14ac:dyDescent="0.25">
      <c r="B2" s="49" t="s">
        <v>431</v>
      </c>
    </row>
    <row r="3" spans="2:19" s="48" customFormat="1" x14ac:dyDescent="0.25"/>
    <row r="4" spans="2:19" s="48" customFormat="1" ht="15" x14ac:dyDescent="0.25">
      <c r="B4" s="50" t="s">
        <v>71</v>
      </c>
      <c r="G4" s="51"/>
      <c r="H4" s="51"/>
      <c r="I4" s="51"/>
      <c r="J4" s="51"/>
      <c r="O4" s="51"/>
    </row>
    <row r="5" spans="2:19" s="48" customFormat="1" ht="35.25" customHeight="1" x14ac:dyDescent="0.25">
      <c r="B5" s="212" t="s">
        <v>397</v>
      </c>
      <c r="C5" s="212"/>
    </row>
    <row r="6" spans="2:19" s="32" customFormat="1" ht="12.75" customHeight="1" x14ac:dyDescent="0.2">
      <c r="B6" s="13"/>
      <c r="F6" s="14"/>
      <c r="G6" s="14"/>
      <c r="H6" s="14"/>
      <c r="I6" s="14"/>
      <c r="J6" s="14"/>
      <c r="K6" s="14"/>
      <c r="L6" s="14"/>
      <c r="M6" s="14"/>
      <c r="N6" s="14"/>
      <c r="O6" s="14"/>
      <c r="R6" s="14"/>
    </row>
    <row r="7" spans="2:19" s="32" customFormat="1" ht="12.75" customHeight="1" x14ac:dyDescent="0.2">
      <c r="B7" s="59" t="s">
        <v>134</v>
      </c>
      <c r="F7" s="14"/>
      <c r="G7" s="14"/>
      <c r="H7" s="14"/>
      <c r="I7" s="14"/>
      <c r="J7" s="14"/>
      <c r="K7" s="14"/>
      <c r="L7" s="14"/>
      <c r="M7" s="14"/>
      <c r="N7" s="14"/>
      <c r="O7" s="14"/>
      <c r="R7" s="14"/>
    </row>
    <row r="8" spans="2:19" s="48" customFormat="1" x14ac:dyDescent="0.25">
      <c r="B8" s="55" t="s">
        <v>268</v>
      </c>
      <c r="C8" s="55"/>
    </row>
    <row r="9" spans="2:19" s="32" customFormat="1" ht="12.75" customHeight="1" x14ac:dyDescent="0.2">
      <c r="B9" s="13"/>
      <c r="F9" s="14"/>
      <c r="G9" s="14"/>
      <c r="H9" s="14"/>
      <c r="I9" s="14"/>
      <c r="J9" s="14"/>
      <c r="K9" s="14"/>
      <c r="L9" s="14"/>
      <c r="M9" s="14"/>
      <c r="N9" s="14"/>
      <c r="O9" s="14"/>
      <c r="R9" s="14"/>
    </row>
    <row r="10" spans="2:19" s="56" customFormat="1" x14ac:dyDescent="0.25">
      <c r="B10" s="56" t="s">
        <v>75</v>
      </c>
      <c r="D10" s="56" t="s">
        <v>17</v>
      </c>
      <c r="F10" s="56" t="s">
        <v>1</v>
      </c>
      <c r="H10" s="57" t="s">
        <v>329</v>
      </c>
      <c r="J10" s="57" t="s">
        <v>330</v>
      </c>
      <c r="K10" s="57"/>
      <c r="L10" s="57" t="s">
        <v>69</v>
      </c>
      <c r="M10" s="57" t="s">
        <v>4</v>
      </c>
      <c r="N10" s="57" t="s">
        <v>5</v>
      </c>
      <c r="O10" s="56" t="s">
        <v>6</v>
      </c>
      <c r="P10" s="56" t="s">
        <v>7</v>
      </c>
      <c r="Q10" s="56" t="s">
        <v>8</v>
      </c>
      <c r="R10" s="57"/>
      <c r="S10" s="56" t="s">
        <v>425</v>
      </c>
    </row>
    <row r="12" spans="2:19" s="56" customFormat="1" x14ac:dyDescent="0.25">
      <c r="B12" s="56" t="s">
        <v>0</v>
      </c>
      <c r="H12" s="57"/>
      <c r="J12" s="57"/>
      <c r="K12" s="57"/>
      <c r="L12" s="57"/>
      <c r="M12" s="57"/>
      <c r="N12" s="57"/>
      <c r="R12" s="57"/>
    </row>
    <row r="13" spans="2:19" s="32" customFormat="1" x14ac:dyDescent="0.2"/>
    <row r="14" spans="2:19" s="32" customFormat="1" x14ac:dyDescent="0.2">
      <c r="B14" s="3" t="s">
        <v>13</v>
      </c>
    </row>
    <row r="15" spans="2:19" s="32" customFormat="1" x14ac:dyDescent="0.2">
      <c r="B15" s="196" t="s">
        <v>549</v>
      </c>
      <c r="D15" s="36"/>
      <c r="F15" s="32" t="s">
        <v>14</v>
      </c>
      <c r="H15" s="16">
        <f>'5) Productiviteitsverandering'!H92</f>
        <v>1.0479928178634967E-3</v>
      </c>
      <c r="J15" s="132"/>
    </row>
    <row r="16" spans="2:19" s="32" customFormat="1" x14ac:dyDescent="0.2"/>
    <row r="17" spans="1:19" s="32" customFormat="1" x14ac:dyDescent="0.2">
      <c r="B17" s="3" t="s">
        <v>152</v>
      </c>
    </row>
    <row r="18" spans="1:19" s="32" customFormat="1" x14ac:dyDescent="0.2">
      <c r="B18" s="32" t="s">
        <v>153</v>
      </c>
      <c r="F18" s="32" t="s">
        <v>14</v>
      </c>
      <c r="H18" s="65">
        <f>'4) Berekeningen op parameters'!R33</f>
        <v>5.6935115999999786E-2</v>
      </c>
    </row>
    <row r="19" spans="1:19" s="32" customFormat="1" x14ac:dyDescent="0.2">
      <c r="B19" s="32" t="s">
        <v>154</v>
      </c>
      <c r="F19" s="32" t="s">
        <v>14</v>
      </c>
      <c r="H19" s="65">
        <f>'4) Berekeningen op parameters'!R34</f>
        <v>3.5196000000000005E-2</v>
      </c>
    </row>
    <row r="20" spans="1:19" s="32" customFormat="1" x14ac:dyDescent="0.2">
      <c r="B20" s="32" t="s">
        <v>155</v>
      </c>
      <c r="F20" s="32" t="s">
        <v>14</v>
      </c>
      <c r="H20" s="65">
        <f>'4) Berekeningen op parameters'!R35</f>
        <v>7.0000000000000001E-3</v>
      </c>
    </row>
    <row r="21" spans="1:19" s="32" customFormat="1" x14ac:dyDescent="0.2"/>
    <row r="22" spans="1:19" x14ac:dyDescent="0.2">
      <c r="A22" s="7"/>
      <c r="B22" s="3" t="s">
        <v>146</v>
      </c>
    </row>
    <row r="23" spans="1:19" x14ac:dyDescent="0.2">
      <c r="A23" s="7"/>
      <c r="B23" s="23" t="s">
        <v>96</v>
      </c>
      <c r="C23" s="32"/>
      <c r="D23" s="32" t="s">
        <v>333</v>
      </c>
      <c r="E23" s="32"/>
      <c r="F23" s="32" t="s">
        <v>23</v>
      </c>
      <c r="H23" s="137"/>
      <c r="J23" s="21">
        <f>'2) Kosten 2015-2020'!J35</f>
        <v>1009971433.9997885</v>
      </c>
      <c r="L23" s="21">
        <f>'2) Kosten 2015-2020'!L35</f>
        <v>4439847</v>
      </c>
      <c r="M23" s="21">
        <f>'2) Kosten 2015-2020'!M35</f>
        <v>299802677.21869445</v>
      </c>
      <c r="N23" s="21">
        <f>'2) Kosten 2015-2020'!N35</f>
        <v>426475939.31395882</v>
      </c>
      <c r="O23" s="21">
        <f>'2) Kosten 2015-2020'!O35</f>
        <v>2997263.19</v>
      </c>
      <c r="P23" s="21">
        <f>'2) Kosten 2015-2020'!P35</f>
        <v>261834860.35601774</v>
      </c>
      <c r="Q23" s="21">
        <f>'2) Kosten 2015-2020'!Q35</f>
        <v>14420846.921117436</v>
      </c>
    </row>
    <row r="24" spans="1:19" x14ac:dyDescent="0.2">
      <c r="A24" s="7"/>
      <c r="B24" s="23" t="s">
        <v>97</v>
      </c>
      <c r="C24" s="32"/>
      <c r="D24" s="32"/>
      <c r="E24" s="32"/>
      <c r="F24" s="32" t="s">
        <v>23</v>
      </c>
      <c r="H24" s="137"/>
      <c r="J24" s="21">
        <f>'2) Kosten 2015-2020'!J36</f>
        <v>425553739.03948039</v>
      </c>
      <c r="K24" s="32"/>
      <c r="L24" s="21">
        <f>'2) Kosten 2015-2020'!L36</f>
        <v>3085313.7827404072</v>
      </c>
      <c r="M24" s="21">
        <f>'2) Kosten 2015-2020'!M36</f>
        <v>157241166.7658073</v>
      </c>
      <c r="N24" s="21">
        <f>'2) Kosten 2015-2020'!N36</f>
        <v>146855574.71489841</v>
      </c>
      <c r="O24" s="21">
        <f>'2) Kosten 2015-2020'!O36</f>
        <v>1939371.6598624184</v>
      </c>
      <c r="P24" s="21">
        <f>'2) Kosten 2015-2020'!P36</f>
        <v>106839771.21628962</v>
      </c>
      <c r="Q24" s="21">
        <f>'2) Kosten 2015-2020'!Q36</f>
        <v>9592540.899882257</v>
      </c>
    </row>
    <row r="25" spans="1:19" x14ac:dyDescent="0.2">
      <c r="A25" s="7"/>
      <c r="B25" s="23" t="s">
        <v>98</v>
      </c>
      <c r="C25" s="32"/>
      <c r="D25" s="25" t="s">
        <v>102</v>
      </c>
      <c r="E25" s="32"/>
      <c r="F25" s="32" t="s">
        <v>23</v>
      </c>
      <c r="H25" s="137"/>
      <c r="J25" s="21">
        <f>'2) Kosten 2015-2020'!J37</f>
        <v>853291785.39368308</v>
      </c>
      <c r="L25" s="21">
        <f>'2) Kosten 2015-2020'!L37</f>
        <v>4910785.9890219187</v>
      </c>
      <c r="M25" s="21">
        <f>'2) Kosten 2015-2020'!M37</f>
        <v>284330739.13245308</v>
      </c>
      <c r="N25" s="21">
        <f>'2) Kosten 2015-2020'!N37</f>
        <v>282186710.50188702</v>
      </c>
      <c r="O25" s="204">
        <f>'2) Kosten 2015-2020'!T37</f>
        <v>1366626.667686891</v>
      </c>
      <c r="P25" s="21">
        <f>'2) Kosten 2015-2020'!P37</f>
        <v>265373151.92599452</v>
      </c>
      <c r="Q25" s="21">
        <f>'2) Kosten 2015-2020'!Q37</f>
        <v>15321287.689235255</v>
      </c>
      <c r="S25" s="203" t="s">
        <v>560</v>
      </c>
    </row>
    <row r="26" spans="1:19" x14ac:dyDescent="0.2">
      <c r="A26" s="7"/>
      <c r="B26" s="23" t="s">
        <v>98</v>
      </c>
      <c r="C26" s="32"/>
      <c r="D26" s="25" t="s">
        <v>100</v>
      </c>
      <c r="E26" s="32"/>
      <c r="F26" s="32" t="s">
        <v>23</v>
      </c>
      <c r="H26" s="137"/>
      <c r="J26" s="21">
        <f>'2) Kosten 2015-2020'!J38</f>
        <v>818933918.13676989</v>
      </c>
      <c r="L26" s="21">
        <f>'2) Kosten 2015-2020'!L38</f>
        <v>4747594.7316497788</v>
      </c>
      <c r="M26" s="21">
        <f>'2) Kosten 2015-2020'!M38</f>
        <v>273487081.21241379</v>
      </c>
      <c r="N26" s="21">
        <f>'2) Kosten 2015-2020'!N38</f>
        <v>269757416.23549306</v>
      </c>
      <c r="O26" s="204">
        <f>'2) Kosten 2015-2020'!T38</f>
        <v>1285624.5710001232</v>
      </c>
      <c r="P26" s="21">
        <f>'2) Kosten 2015-2020'!P38</f>
        <v>255256798.05417097</v>
      </c>
      <c r="Q26" s="21">
        <f>'2) Kosten 2015-2020'!Q38</f>
        <v>14594409.601842174</v>
      </c>
    </row>
    <row r="27" spans="1:19" x14ac:dyDescent="0.2">
      <c r="A27" s="7"/>
      <c r="H27" s="7"/>
      <c r="J27" s="32"/>
      <c r="S27" s="32"/>
    </row>
    <row r="28" spans="1:19" x14ac:dyDescent="0.2">
      <c r="A28" s="7"/>
      <c r="B28" s="2" t="s">
        <v>149</v>
      </c>
      <c r="F28" s="2" t="s">
        <v>23</v>
      </c>
      <c r="H28" s="137"/>
      <c r="J28" s="4">
        <f>'3) BI, EAV, SO &amp; PV'!J22</f>
        <v>120974767.46933956</v>
      </c>
      <c r="L28" s="4">
        <f>'3) BI, EAV, SO &amp; PV'!L22</f>
        <v>531196.49000000011</v>
      </c>
      <c r="M28" s="4">
        <f>'3) BI, EAV, SO &amp; PV'!M22</f>
        <v>36591739.009999998</v>
      </c>
      <c r="N28" s="4">
        <f>'3) BI, EAV, SO &amp; PV'!N22</f>
        <v>48337177.439340211</v>
      </c>
      <c r="O28" s="4">
        <f>'3) BI, EAV, SO &amp; PV'!O22</f>
        <v>268643.15000000002</v>
      </c>
      <c r="P28" s="4">
        <f>'3) BI, EAV, SO &amp; PV'!P22</f>
        <v>33967915.519999355</v>
      </c>
      <c r="Q28" s="4">
        <f>'3) BI, EAV, SO &amp; PV'!Q22</f>
        <v>1278095.8600000003</v>
      </c>
      <c r="S28" s="32"/>
    </row>
    <row r="29" spans="1:19" x14ac:dyDescent="0.2">
      <c r="A29" s="7"/>
      <c r="H29" s="7"/>
      <c r="J29" s="32"/>
      <c r="S29" s="32"/>
    </row>
    <row r="30" spans="1:19" x14ac:dyDescent="0.2">
      <c r="A30" s="7"/>
      <c r="B30" s="3" t="s">
        <v>147</v>
      </c>
      <c r="H30" s="7"/>
      <c r="J30" s="32"/>
      <c r="S30" s="32"/>
    </row>
    <row r="31" spans="1:19" x14ac:dyDescent="0.2">
      <c r="A31" s="7"/>
      <c r="B31" s="23" t="s">
        <v>108</v>
      </c>
      <c r="C31" s="32"/>
      <c r="D31" s="32" t="s">
        <v>333</v>
      </c>
      <c r="E31" s="32"/>
      <c r="F31" s="32" t="s">
        <v>24</v>
      </c>
      <c r="H31" s="137"/>
      <c r="I31" s="32"/>
      <c r="J31" s="21">
        <f>'2) Kosten 2015-2020'!J48</f>
        <v>1087441866.6401911</v>
      </c>
      <c r="K31" s="32"/>
      <c r="L31" s="21">
        <f>'2) Kosten 2015-2020'!L48</f>
        <v>5071352</v>
      </c>
      <c r="M31" s="21">
        <f>'2) Kosten 2015-2020'!M48</f>
        <v>332067371.70822752</v>
      </c>
      <c r="N31" s="21">
        <f>'2) Kosten 2015-2020'!N48</f>
        <v>456762141.08280051</v>
      </c>
      <c r="O31" s="21">
        <f>'2) Kosten 2015-2020'!O48</f>
        <v>3379986.4499999997</v>
      </c>
      <c r="P31" s="21">
        <f>'2) Kosten 2015-2020'!P48</f>
        <v>274769924.33086795</v>
      </c>
      <c r="Q31" s="21">
        <f>'2) Kosten 2015-2020'!Q48</f>
        <v>15391091.068295019</v>
      </c>
      <c r="S31" s="32"/>
    </row>
    <row r="32" spans="1:19" x14ac:dyDescent="0.2">
      <c r="A32" s="7"/>
      <c r="B32" s="23" t="s">
        <v>109</v>
      </c>
      <c r="C32" s="32"/>
      <c r="D32" s="32"/>
      <c r="E32" s="32"/>
      <c r="F32" s="32" t="s">
        <v>24</v>
      </c>
      <c r="H32" s="137"/>
      <c r="I32" s="32"/>
      <c r="J32" s="21">
        <f>'2) Kosten 2015-2020'!J49</f>
        <v>436833674.88939983</v>
      </c>
      <c r="K32" s="32"/>
      <c r="L32" s="21">
        <f>'2) Kosten 2015-2020'!L49</f>
        <v>3177900.5445365515</v>
      </c>
      <c r="M32" s="21">
        <f>'2) Kosten 2015-2020'!M49</f>
        <v>159454455.57186881</v>
      </c>
      <c r="N32" s="21">
        <f>'2) Kosten 2015-2020'!N49</f>
        <v>152735467.35903996</v>
      </c>
      <c r="O32" s="21">
        <f>'2) Kosten 2015-2020'!O49</f>
        <v>2039105.0750962067</v>
      </c>
      <c r="P32" s="21">
        <f>'2) Kosten 2015-2020'!P49</f>
        <v>109850147.18643378</v>
      </c>
      <c r="Q32" s="21">
        <f>'2) Kosten 2015-2020'!Q49</f>
        <v>9576599.1524245199</v>
      </c>
      <c r="S32" s="32"/>
    </row>
    <row r="33" spans="1:19" x14ac:dyDescent="0.2">
      <c r="A33" s="7"/>
      <c r="B33" s="23" t="s">
        <v>110</v>
      </c>
      <c r="C33" s="32"/>
      <c r="D33" s="25" t="s">
        <v>102</v>
      </c>
      <c r="E33" s="32"/>
      <c r="F33" s="32" t="s">
        <v>24</v>
      </c>
      <c r="H33" s="137"/>
      <c r="I33" s="32"/>
      <c r="J33" s="21">
        <f>'2) Kosten 2015-2020'!J50</f>
        <v>891883721.3879323</v>
      </c>
      <c r="K33" s="32"/>
      <c r="L33" s="21">
        <f>'2) Kosten 2015-2020'!L50</f>
        <v>4997077.6863944717</v>
      </c>
      <c r="M33" s="21">
        <f>'2) Kosten 2015-2020'!M50</f>
        <v>294941824.95532763</v>
      </c>
      <c r="N33" s="21">
        <f>'2) Kosten 2015-2020'!N50</f>
        <v>297708099.06611753</v>
      </c>
      <c r="O33" s="204">
        <f>'2) Kosten 2015-2020'!T50</f>
        <v>1665838.0202457407</v>
      </c>
      <c r="P33" s="21">
        <f>'2) Kosten 2015-2020'!P50</f>
        <v>277165486.27007872</v>
      </c>
      <c r="Q33" s="21">
        <f>'2) Kosten 2015-2020'!Q50</f>
        <v>15622742.030056711</v>
      </c>
      <c r="S33" s="203" t="s">
        <v>560</v>
      </c>
    </row>
    <row r="34" spans="1:19" x14ac:dyDescent="0.2">
      <c r="A34" s="7"/>
      <c r="B34" s="23" t="s">
        <v>110</v>
      </c>
      <c r="C34" s="32"/>
      <c r="D34" s="25" t="s">
        <v>100</v>
      </c>
      <c r="E34" s="32"/>
      <c r="F34" s="32" t="s">
        <v>24</v>
      </c>
      <c r="H34" s="137"/>
      <c r="I34" s="32"/>
      <c r="J34" s="21">
        <f>'2) Kosten 2015-2020'!J51</f>
        <v>856169306.41812789</v>
      </c>
      <c r="K34" s="32"/>
      <c r="L34" s="21">
        <f>'2) Kosten 2015-2020'!L51</f>
        <v>4836921.4382167906</v>
      </c>
      <c r="M34" s="21">
        <f>'2) Kosten 2015-2020'!M51</f>
        <v>283770438.7546705</v>
      </c>
      <c r="N34" s="21">
        <f>'2) Kosten 2015-2020'!N51</f>
        <v>284656228.29625756</v>
      </c>
      <c r="O34" s="204">
        <f>'2) Kosten 2015-2020'!T51</f>
        <v>1580001.8778771795</v>
      </c>
      <c r="P34" s="21">
        <f>'2) Kosten 2015-2020'!P51</f>
        <v>266651490.94331941</v>
      </c>
      <c r="Q34" s="21">
        <f>'2) Kosten 2015-2020'!Q51</f>
        <v>14888954.122314753</v>
      </c>
      <c r="S34" s="32"/>
    </row>
    <row r="35" spans="1:19" x14ac:dyDescent="0.2">
      <c r="A35" s="7"/>
      <c r="B35" s="32"/>
      <c r="C35" s="32"/>
      <c r="D35" s="32"/>
      <c r="E35" s="32"/>
      <c r="F35" s="32"/>
      <c r="H35" s="7"/>
      <c r="I35" s="32"/>
      <c r="J35" s="32"/>
      <c r="K35" s="32"/>
      <c r="L35" s="32"/>
      <c r="M35" s="32"/>
      <c r="N35" s="32"/>
      <c r="O35" s="32"/>
      <c r="P35" s="32"/>
      <c r="Q35" s="32"/>
      <c r="S35" s="32"/>
    </row>
    <row r="36" spans="1:19" x14ac:dyDescent="0.2">
      <c r="A36" s="7"/>
      <c r="B36" s="32" t="s">
        <v>150</v>
      </c>
      <c r="C36" s="32"/>
      <c r="D36" s="32"/>
      <c r="E36" s="32"/>
      <c r="F36" s="32" t="s">
        <v>24</v>
      </c>
      <c r="H36" s="137"/>
      <c r="I36" s="32"/>
      <c r="J36" s="4">
        <f>'3) BI, EAV, SO &amp; PV'!J23</f>
        <v>143202878.16999993</v>
      </c>
      <c r="K36" s="32"/>
      <c r="L36" s="4">
        <f>'3) BI, EAV, SO &amp; PV'!L23</f>
        <v>704942.04</v>
      </c>
      <c r="M36" s="4">
        <f>'3) BI, EAV, SO &amp; PV'!M23</f>
        <v>40919901.289999999</v>
      </c>
      <c r="N36" s="4">
        <f>'3) BI, EAV, SO &amp; PV'!N23</f>
        <v>63720578.629999995</v>
      </c>
      <c r="O36" s="4">
        <f>'3) BI, EAV, SO &amp; PV'!O23</f>
        <v>445140.15</v>
      </c>
      <c r="P36" s="4">
        <f>'3) BI, EAV, SO &amp; PV'!P23</f>
        <v>35637987.209999941</v>
      </c>
      <c r="Q36" s="4">
        <f>'3) BI, EAV, SO &amp; PV'!Q23</f>
        <v>1774328.8499999999</v>
      </c>
      <c r="S36" s="32"/>
    </row>
    <row r="37" spans="1:19" x14ac:dyDescent="0.2">
      <c r="A37" s="7"/>
      <c r="H37" s="7"/>
      <c r="J37" s="32"/>
      <c r="S37" s="32"/>
    </row>
    <row r="38" spans="1:19" x14ac:dyDescent="0.2">
      <c r="A38" s="7"/>
      <c r="B38" s="3" t="s">
        <v>148</v>
      </c>
      <c r="H38" s="7"/>
      <c r="J38" s="32"/>
      <c r="S38" s="32"/>
    </row>
    <row r="39" spans="1:19" x14ac:dyDescent="0.2">
      <c r="A39" s="7"/>
      <c r="B39" s="23" t="s">
        <v>103</v>
      </c>
      <c r="C39" s="32"/>
      <c r="D39" s="32" t="s">
        <v>333</v>
      </c>
      <c r="E39" s="32"/>
      <c r="F39" s="32" t="s">
        <v>25</v>
      </c>
      <c r="H39" s="137"/>
      <c r="I39" s="32"/>
      <c r="J39" s="21">
        <f>'2) Kosten 2015-2020'!J61</f>
        <v>1162233747.3752635</v>
      </c>
      <c r="K39" s="32"/>
      <c r="L39" s="21">
        <f>'2) Kosten 2015-2020'!L61</f>
        <v>6204111.3105000006</v>
      </c>
      <c r="M39" s="21">
        <f>'2) Kosten 2015-2020'!M61</f>
        <v>381252352.82367951</v>
      </c>
      <c r="N39" s="21">
        <f>'2) Kosten 2015-2020'!N61</f>
        <v>477952056.88271475</v>
      </c>
      <c r="O39" s="21">
        <f>'2) Kosten 2015-2020'!O61</f>
        <v>3647978.0700000003</v>
      </c>
      <c r="P39" s="21">
        <f>'2) Kosten 2015-2020'!P61</f>
        <v>277635862.00361073</v>
      </c>
      <c r="Q39" s="21">
        <f>'2) Kosten 2015-2020'!Q61</f>
        <v>15541386.284758322</v>
      </c>
      <c r="S39" s="32"/>
    </row>
    <row r="40" spans="1:19" x14ac:dyDescent="0.2">
      <c r="A40" s="7"/>
      <c r="B40" s="23" t="s">
        <v>104</v>
      </c>
      <c r="C40" s="32"/>
      <c r="D40" s="32"/>
      <c r="E40" s="32"/>
      <c r="F40" s="32" t="s">
        <v>25</v>
      </c>
      <c r="H40" s="137"/>
      <c r="I40" s="32"/>
      <c r="J40" s="21">
        <f>'2) Kosten 2015-2020'!J62</f>
        <v>473284866.03944355</v>
      </c>
      <c r="K40" s="32"/>
      <c r="L40" s="21">
        <f>'2) Kosten 2015-2020'!L62</f>
        <v>2758814.2709009191</v>
      </c>
      <c r="M40" s="21">
        <f>'2) Kosten 2015-2020'!M62</f>
        <v>175153010.53270462</v>
      </c>
      <c r="N40" s="21">
        <f>'2) Kosten 2015-2020'!N62</f>
        <v>165464747.56449082</v>
      </c>
      <c r="O40" s="21">
        <f>'2) Kosten 2015-2020'!O62</f>
        <v>1876196.0459502104</v>
      </c>
      <c r="P40" s="21">
        <f>'2) Kosten 2015-2020'!P62</f>
        <v>117982115.76653253</v>
      </c>
      <c r="Q40" s="21">
        <f>'2) Kosten 2015-2020'!Q62</f>
        <v>10049981.858864449</v>
      </c>
      <c r="S40" s="32"/>
    </row>
    <row r="41" spans="1:19" x14ac:dyDescent="0.2">
      <c r="A41" s="7"/>
      <c r="B41" s="23" t="s">
        <v>105</v>
      </c>
      <c r="C41" s="32"/>
      <c r="D41" s="25" t="s">
        <v>102</v>
      </c>
      <c r="E41" s="32"/>
      <c r="F41" s="32" t="s">
        <v>25</v>
      </c>
      <c r="H41" s="137"/>
      <c r="I41" s="32"/>
      <c r="J41" s="21">
        <f>'2) Kosten 2015-2020'!J63</f>
        <v>946799379.07719398</v>
      </c>
      <c r="K41" s="32"/>
      <c r="L41" s="21">
        <f>'2) Kosten 2015-2020'!L63</f>
        <v>5153137.3511205893</v>
      </c>
      <c r="M41" s="21">
        <f>'2) Kosten 2015-2020'!M63</f>
        <v>311180398.61272132</v>
      </c>
      <c r="N41" s="21">
        <f>'2) Kosten 2015-2020'!N63</f>
        <v>319947128.48960185</v>
      </c>
      <c r="O41" s="21">
        <f>'2) Kosten 2015-2020'!O63</f>
        <v>1607965.580862992</v>
      </c>
      <c r="P41" s="21">
        <f>'2) Kosten 2015-2020'!P63</f>
        <v>292938861.10141462</v>
      </c>
      <c r="Q41" s="21">
        <f>'2) Kosten 2015-2020'!Q63</f>
        <v>15971887.941472523</v>
      </c>
      <c r="S41" s="32"/>
    </row>
    <row r="42" spans="1:19" x14ac:dyDescent="0.2">
      <c r="A42" s="7"/>
      <c r="B42" s="23" t="s">
        <v>105</v>
      </c>
      <c r="C42" s="32"/>
      <c r="D42" s="25" t="s">
        <v>100</v>
      </c>
      <c r="E42" s="32"/>
      <c r="F42" s="32" t="s">
        <v>25</v>
      </c>
      <c r="H42" s="137"/>
      <c r="I42" s="32"/>
      <c r="J42" s="21">
        <f>'2) Kosten 2015-2020'!J64</f>
        <v>908919672.31125724</v>
      </c>
      <c r="K42" s="32"/>
      <c r="L42" s="21">
        <f>'2) Kosten 2015-2020'!L64</f>
        <v>4994602.963354012</v>
      </c>
      <c r="M42" s="21">
        <f>'2) Kosten 2015-2020'!M64</f>
        <v>299410889.75227469</v>
      </c>
      <c r="N42" s="21">
        <f>'2) Kosten 2015-2020'!N64</f>
        <v>305867150.02143884</v>
      </c>
      <c r="O42" s="21">
        <f>'2) Kosten 2015-2020'!O64</f>
        <v>1513756.1622119192</v>
      </c>
      <c r="P42" s="21">
        <f>'2) Kosten 2015-2020'!P64</f>
        <v>281897320.73483652</v>
      </c>
      <c r="Q42" s="21">
        <f>'2) Kosten 2015-2020'!Q64</f>
        <v>15235952.677141333</v>
      </c>
      <c r="S42" s="32"/>
    </row>
    <row r="43" spans="1:19" x14ac:dyDescent="0.2">
      <c r="A43" s="7"/>
      <c r="B43" s="32"/>
      <c r="C43" s="32"/>
      <c r="D43" s="32"/>
      <c r="E43" s="32"/>
      <c r="F43" s="32"/>
      <c r="H43" s="7"/>
      <c r="I43" s="32"/>
      <c r="J43" s="32"/>
      <c r="K43" s="32"/>
      <c r="L43" s="32"/>
      <c r="M43" s="32"/>
      <c r="N43" s="32"/>
      <c r="O43" s="32"/>
      <c r="P43" s="32"/>
      <c r="Q43" s="32"/>
      <c r="S43" s="32"/>
    </row>
    <row r="44" spans="1:19" x14ac:dyDescent="0.2">
      <c r="A44" s="7"/>
      <c r="B44" s="32" t="s">
        <v>160</v>
      </c>
      <c r="C44" s="32"/>
      <c r="D44" s="32"/>
      <c r="E44" s="32"/>
      <c r="F44" s="32" t="s">
        <v>25</v>
      </c>
      <c r="H44" s="137"/>
      <c r="I44" s="32"/>
      <c r="J44" s="4">
        <f>'3) BI, EAV, SO &amp; PV'!J24</f>
        <v>162549288.46165749</v>
      </c>
      <c r="K44" s="32"/>
      <c r="L44" s="4">
        <f>'3) BI, EAV, SO &amp; PV'!L24</f>
        <v>775862.47</v>
      </c>
      <c r="M44" s="4">
        <f>'3) BI, EAV, SO &amp; PV'!M24</f>
        <v>49430964.869999997</v>
      </c>
      <c r="N44" s="4">
        <f>'3) BI, EAV, SO &amp; PV'!N24</f>
        <v>69760420.34165749</v>
      </c>
      <c r="O44" s="4">
        <f>'3) BI, EAV, SO &amp; PV'!O24</f>
        <v>298987</v>
      </c>
      <c r="P44" s="4">
        <f>'3) BI, EAV, SO &amp; PV'!P24</f>
        <v>40703431.510000005</v>
      </c>
      <c r="Q44" s="4">
        <f>'3) BI, EAV, SO &amp; PV'!Q24</f>
        <v>1579622.27</v>
      </c>
      <c r="S44" s="32"/>
    </row>
    <row r="45" spans="1:19" x14ac:dyDescent="0.2">
      <c r="H45" s="7"/>
      <c r="J45" s="32"/>
    </row>
    <row r="46" spans="1:19" s="32" customFormat="1" x14ac:dyDescent="0.2">
      <c r="B46" s="3" t="s">
        <v>142</v>
      </c>
      <c r="H46" s="7"/>
    </row>
    <row r="47" spans="1:19" s="32" customFormat="1" x14ac:dyDescent="0.2">
      <c r="B47" s="32" t="s">
        <v>163</v>
      </c>
      <c r="F47" s="32" t="s">
        <v>10</v>
      </c>
      <c r="H47" s="137"/>
      <c r="J47" s="4">
        <f>'3) BI, EAV, SO &amp; PV'!J29</f>
        <v>3040863951.6439981</v>
      </c>
      <c r="L47" s="4">
        <f>'3) BI, EAV, SO &amp; PV'!L29</f>
        <v>18621762.863198478</v>
      </c>
      <c r="M47" s="4">
        <f>'3) BI, EAV, SO &amp; PV'!M29</f>
        <v>1029423263.631641</v>
      </c>
      <c r="N47" s="4">
        <f>'3) BI, EAV, SO &amp; PV'!N29</f>
        <v>1141094919.9206319</v>
      </c>
      <c r="O47" s="4">
        <f>'3) BI, EAV, SO &amp; PV'!O29</f>
        <v>11321382.741717268</v>
      </c>
      <c r="P47" s="4">
        <f>'3) BI, EAV, SO &amp; PV'!P29</f>
        <v>786321149.89716566</v>
      </c>
      <c r="Q47" s="4">
        <f>'3) BI, EAV, SO &amp; PV'!Q29</f>
        <v>54081472.589643478</v>
      </c>
    </row>
    <row r="48" spans="1:19" s="32" customFormat="1" x14ac:dyDescent="0.2"/>
    <row r="49" spans="2:19" s="56" customFormat="1" x14ac:dyDescent="0.25">
      <c r="B49" s="56" t="s">
        <v>156</v>
      </c>
      <c r="H49" s="57"/>
      <c r="J49" s="57"/>
      <c r="K49" s="57"/>
      <c r="L49" s="57"/>
      <c r="M49" s="57"/>
      <c r="N49" s="57"/>
      <c r="R49" s="57"/>
    </row>
    <row r="50" spans="2:19" s="32" customFormat="1" x14ac:dyDescent="0.2"/>
    <row r="51" spans="2:19" s="32" customFormat="1" x14ac:dyDescent="0.2">
      <c r="B51" s="3" t="s">
        <v>157</v>
      </c>
      <c r="S51" s="175" t="s">
        <v>451</v>
      </c>
    </row>
    <row r="52" spans="2:19" s="32" customFormat="1" x14ac:dyDescent="0.2">
      <c r="B52" s="23" t="s">
        <v>96</v>
      </c>
      <c r="D52" s="32" t="s">
        <v>333</v>
      </c>
      <c r="F52" s="32" t="s">
        <v>26</v>
      </c>
      <c r="H52" s="137"/>
      <c r="J52" s="33">
        <f>SUM(L52:Q52)</f>
        <v>1064121674.5885999</v>
      </c>
      <c r="L52" s="33">
        <f t="shared" ref="L52:Q55" si="0">(1-$H$15)^3*(1+$H$18)*L23</f>
        <v>4677892.1319057439</v>
      </c>
      <c r="M52" s="33">
        <f t="shared" si="0"/>
        <v>315876782.43993723</v>
      </c>
      <c r="N52" s="33">
        <f t="shared" si="0"/>
        <v>449341709.51473767</v>
      </c>
      <c r="O52" s="33">
        <f t="shared" si="0"/>
        <v>3157963.3022830989</v>
      </c>
      <c r="P52" s="33">
        <f t="shared" si="0"/>
        <v>275873297.68752271</v>
      </c>
      <c r="Q52" s="33">
        <f t="shared" si="0"/>
        <v>15194029.512213467</v>
      </c>
    </row>
    <row r="53" spans="2:19" s="32" customFormat="1" x14ac:dyDescent="0.2">
      <c r="B53" s="23" t="s">
        <v>97</v>
      </c>
      <c r="F53" s="32" t="s">
        <v>26</v>
      </c>
      <c r="H53" s="137"/>
      <c r="J53" s="33">
        <f>SUM(L53:Q53)</f>
        <v>449782690.53592682</v>
      </c>
      <c r="L53" s="33">
        <f>(1+$H$18)*L24</f>
        <v>3260976.4808571306</v>
      </c>
      <c r="M53" s="33">
        <f t="shared" ref="M53:Q53" si="1">(1+$H$18)*M24</f>
        <v>166193710.83559385</v>
      </c>
      <c r="N53" s="33">
        <f t="shared" si="1"/>
        <v>155216813.89653778</v>
      </c>
      <c r="O53" s="33">
        <f t="shared" si="1"/>
        <v>2049790.0102837973</v>
      </c>
      <c r="P53" s="33">
        <f t="shared" si="1"/>
        <v>112922705.98390251</v>
      </c>
      <c r="Q53" s="33">
        <f t="shared" si="1"/>
        <v>10138693.328751795</v>
      </c>
    </row>
    <row r="54" spans="2:19" s="32" customFormat="1" x14ac:dyDescent="0.2">
      <c r="B54" s="23" t="s">
        <v>98</v>
      </c>
      <c r="D54" s="25" t="s">
        <v>102</v>
      </c>
      <c r="F54" s="32" t="s">
        <v>26</v>
      </c>
      <c r="H54" s="137"/>
      <c r="J54" s="33">
        <f>SUM(L54:Q54)</f>
        <v>899249656.58796501</v>
      </c>
      <c r="L54" s="33">
        <f t="shared" si="0"/>
        <v>5174080.8049283233</v>
      </c>
      <c r="M54" s="33">
        <f t="shared" si="0"/>
        <v>299575306.86229658</v>
      </c>
      <c r="N54" s="33">
        <f t="shared" si="0"/>
        <v>297316324.81595451</v>
      </c>
      <c r="O54" s="33">
        <f t="shared" si="0"/>
        <v>1439899.1983338781</v>
      </c>
      <c r="P54" s="33">
        <f t="shared" si="0"/>
        <v>279601296.93965518</v>
      </c>
      <c r="Q54" s="33">
        <f t="shared" si="0"/>
        <v>16142747.966796588</v>
      </c>
    </row>
    <row r="55" spans="2:19" s="32" customFormat="1" x14ac:dyDescent="0.2">
      <c r="B55" s="23" t="s">
        <v>98</v>
      </c>
      <c r="D55" s="25" t="s">
        <v>100</v>
      </c>
      <c r="F55" s="32" t="s">
        <v>26</v>
      </c>
      <c r="H55" s="137"/>
      <c r="J55" s="33">
        <f>SUM(L55:Q55)</f>
        <v>863047026.28219128</v>
      </c>
      <c r="L55" s="33">
        <f t="shared" si="0"/>
        <v>5002139.9477643399</v>
      </c>
      <c r="M55" s="33">
        <f t="shared" si="0"/>
        <v>288150259.54304677</v>
      </c>
      <c r="N55" s="33">
        <f t="shared" si="0"/>
        <v>284220626.28086865</v>
      </c>
      <c r="O55" s="33">
        <f t="shared" si="0"/>
        <v>1354554.1243349542</v>
      </c>
      <c r="P55" s="33">
        <f t="shared" si="0"/>
        <v>268942548.52319455</v>
      </c>
      <c r="Q55" s="33">
        <f t="shared" si="0"/>
        <v>15376897.862982024</v>
      </c>
    </row>
    <row r="56" spans="2:19" s="32" customFormat="1" x14ac:dyDescent="0.2">
      <c r="H56" s="7"/>
    </row>
    <row r="57" spans="2:19" s="32" customFormat="1" x14ac:dyDescent="0.2">
      <c r="B57" s="32" t="s">
        <v>149</v>
      </c>
      <c r="F57" s="32" t="s">
        <v>26</v>
      </c>
      <c r="H57" s="137"/>
      <c r="J57" s="33">
        <f>SUM(L57:Q57)</f>
        <v>127460904.14916338</v>
      </c>
      <c r="L57" s="33">
        <f t="shared" ref="L57:Q57" si="2">(1-$H$15)^3*(1+$H$18)*L28</f>
        <v>559676.91703496734</v>
      </c>
      <c r="M57" s="33">
        <f t="shared" si="2"/>
        <v>38553627.637985602</v>
      </c>
      <c r="N57" s="33">
        <f t="shared" si="2"/>
        <v>50928804.984050445</v>
      </c>
      <c r="O57" s="33">
        <f t="shared" si="2"/>
        <v>283046.6179747578</v>
      </c>
      <c r="P57" s="33">
        <f t="shared" si="2"/>
        <v>35789126.235260807</v>
      </c>
      <c r="Q57" s="33">
        <f t="shared" si="2"/>
        <v>1346621.7568567805</v>
      </c>
    </row>
    <row r="58" spans="2:19" s="32" customFormat="1" x14ac:dyDescent="0.2">
      <c r="H58" s="7"/>
    </row>
    <row r="59" spans="2:19" s="32" customFormat="1" x14ac:dyDescent="0.2">
      <c r="B59" s="3" t="s">
        <v>158</v>
      </c>
      <c r="H59" s="7"/>
      <c r="S59" s="175" t="s">
        <v>451</v>
      </c>
    </row>
    <row r="60" spans="2:19" s="32" customFormat="1" x14ac:dyDescent="0.2">
      <c r="B60" s="23" t="s">
        <v>108</v>
      </c>
      <c r="D60" s="32" t="s">
        <v>333</v>
      </c>
      <c r="F60" s="32" t="s">
        <v>26</v>
      </c>
      <c r="H60" s="137"/>
      <c r="J60" s="33">
        <f>SUM(L60:Q60)</f>
        <v>1123357223.4830689</v>
      </c>
      <c r="L60" s="33">
        <f t="shared" ref="L60:Q63" si="3">(1-$H$15)^2*(1+$H$19)*L31</f>
        <v>5238845.4746797914</v>
      </c>
      <c r="M60" s="33">
        <f t="shared" si="3"/>
        <v>343034687.31069344</v>
      </c>
      <c r="N60" s="33">
        <f t="shared" si="3"/>
        <v>471847798.34187841</v>
      </c>
      <c r="O60" s="33">
        <f t="shared" si="3"/>
        <v>3491618.5502527747</v>
      </c>
      <c r="P60" s="33">
        <f t="shared" si="3"/>
        <v>283844855.30857968</v>
      </c>
      <c r="Q60" s="33">
        <f t="shared" si="3"/>
        <v>15899418.496985007</v>
      </c>
    </row>
    <row r="61" spans="2:19" s="32" customFormat="1" x14ac:dyDescent="0.2">
      <c r="B61" s="23" t="s">
        <v>109</v>
      </c>
      <c r="F61" s="32" t="s">
        <v>26</v>
      </c>
      <c r="H61" s="137"/>
      <c r="J61" s="33">
        <f>SUM(L61:Q61)</f>
        <v>452208472.91080713</v>
      </c>
      <c r="L61" s="33">
        <f>(1+$H$19)*L32</f>
        <v>3289749.9321020599</v>
      </c>
      <c r="M61" s="33">
        <f t="shared" ref="M61:Q61" si="4">(1+$H$19)*M32</f>
        <v>165066614.59017631</v>
      </c>
      <c r="N61" s="33">
        <f t="shared" si="4"/>
        <v>158111144.86820874</v>
      </c>
      <c r="O61" s="33">
        <f t="shared" si="4"/>
        <v>2110873.4173192927</v>
      </c>
      <c r="P61" s="33">
        <f t="shared" si="4"/>
        <v>113716432.9668075</v>
      </c>
      <c r="Q61" s="33">
        <f t="shared" si="4"/>
        <v>9913657.1361932531</v>
      </c>
    </row>
    <row r="62" spans="2:19" s="32" customFormat="1" x14ac:dyDescent="0.2">
      <c r="B62" s="23" t="s">
        <v>110</v>
      </c>
      <c r="D62" s="25" t="s">
        <v>102</v>
      </c>
      <c r="F62" s="32" t="s">
        <v>26</v>
      </c>
      <c r="H62" s="137"/>
      <c r="J62" s="33">
        <f>SUM(L62:Q62)</f>
        <v>921564829.89085615</v>
      </c>
      <c r="L62" s="33">
        <f t="shared" si="3"/>
        <v>5162118.0750204362</v>
      </c>
      <c r="M62" s="33">
        <f t="shared" si="3"/>
        <v>304682980.98042047</v>
      </c>
      <c r="N62" s="33">
        <f t="shared" si="3"/>
        <v>307540617.88021278</v>
      </c>
      <c r="O62" s="33">
        <f t="shared" si="3"/>
        <v>1720856.2872216208</v>
      </c>
      <c r="P62" s="33">
        <f t="shared" si="3"/>
        <v>286319536.38466144</v>
      </c>
      <c r="Q62" s="33">
        <f t="shared" si="3"/>
        <v>16138720.283319393</v>
      </c>
    </row>
    <row r="63" spans="2:19" s="32" customFormat="1" x14ac:dyDescent="0.2">
      <c r="B63" s="23" t="s">
        <v>110</v>
      </c>
      <c r="D63" s="25" t="s">
        <v>100</v>
      </c>
      <c r="F63" s="32" t="s">
        <v>26</v>
      </c>
      <c r="H63" s="137"/>
      <c r="J63" s="33">
        <f>SUM(L63:Q63)</f>
        <v>884668157.25163412</v>
      </c>
      <c r="L63" s="33">
        <f t="shared" si="3"/>
        <v>4996672.2854149546</v>
      </c>
      <c r="M63" s="33">
        <f t="shared" si="3"/>
        <v>293142633.15143663</v>
      </c>
      <c r="N63" s="33">
        <f t="shared" si="3"/>
        <v>294057678.00169784</v>
      </c>
      <c r="O63" s="33">
        <f t="shared" si="3"/>
        <v>1632185.2018756405</v>
      </c>
      <c r="P63" s="33">
        <f t="shared" si="3"/>
        <v>275458291.32843238</v>
      </c>
      <c r="Q63" s="33">
        <f t="shared" si="3"/>
        <v>15380697.282776598</v>
      </c>
    </row>
    <row r="64" spans="2:19" s="32" customFormat="1" x14ac:dyDescent="0.2">
      <c r="H64" s="7"/>
    </row>
    <row r="65" spans="2:19" s="32" customFormat="1" x14ac:dyDescent="0.2">
      <c r="B65" s="32" t="s">
        <v>150</v>
      </c>
      <c r="F65" s="32" t="s">
        <v>26</v>
      </c>
      <c r="H65" s="137"/>
      <c r="J65" s="33">
        <f>SUM(L65:Q65)</f>
        <v>147932494.18735391</v>
      </c>
      <c r="L65" s="33">
        <f t="shared" ref="L65:Q65" si="5">(1-$H$15)^2*(1+$H$19)*L36</f>
        <v>728224.42933670164</v>
      </c>
      <c r="M65" s="33">
        <f t="shared" si="5"/>
        <v>42271378.460312009</v>
      </c>
      <c r="N65" s="33">
        <f t="shared" si="5"/>
        <v>65825102.457836345</v>
      </c>
      <c r="O65" s="33">
        <f t="shared" si="5"/>
        <v>459841.96333162906</v>
      </c>
      <c r="P65" s="33">
        <f t="shared" si="5"/>
        <v>36815016.591592237</v>
      </c>
      <c r="Q65" s="33">
        <f t="shared" si="5"/>
        <v>1832930.2849449806</v>
      </c>
    </row>
    <row r="66" spans="2:19" s="32" customFormat="1" x14ac:dyDescent="0.2">
      <c r="H66" s="7"/>
    </row>
    <row r="67" spans="2:19" s="32" customFormat="1" x14ac:dyDescent="0.2">
      <c r="B67" s="3" t="s">
        <v>159</v>
      </c>
      <c r="H67" s="7"/>
      <c r="S67" s="175" t="s">
        <v>451</v>
      </c>
    </row>
    <row r="68" spans="2:19" s="32" customFormat="1" x14ac:dyDescent="0.2">
      <c r="B68" s="23" t="s">
        <v>103</v>
      </c>
      <c r="D68" s="32" t="s">
        <v>333</v>
      </c>
      <c r="F68" s="32" t="s">
        <v>26</v>
      </c>
      <c r="H68" s="137"/>
      <c r="J68" s="33">
        <f>SUM(L68:Q68)</f>
        <v>1169142844.8986228</v>
      </c>
      <c r="L68" s="33">
        <f t="shared" ref="L68:Q71" si="6">(1-$H$15)*(1+$H$20)*L39</f>
        <v>6240992.7125302078</v>
      </c>
      <c r="M68" s="33">
        <f t="shared" si="6"/>
        <v>383518772.7177996</v>
      </c>
      <c r="N68" s="33">
        <f t="shared" si="6"/>
        <v>480793324.72573727</v>
      </c>
      <c r="O68" s="33">
        <f t="shared" si="6"/>
        <v>3669664.1002891967</v>
      </c>
      <c r="P68" s="33">
        <f t="shared" si="6"/>
        <v>279286315.92554933</v>
      </c>
      <c r="Q68" s="33">
        <f t="shared" si="6"/>
        <v>15633774.716717118</v>
      </c>
    </row>
    <row r="69" spans="2:19" s="32" customFormat="1" x14ac:dyDescent="0.2">
      <c r="B69" s="23" t="s">
        <v>104</v>
      </c>
      <c r="F69" s="32" t="s">
        <v>26</v>
      </c>
      <c r="H69" s="137"/>
      <c r="J69" s="33">
        <f>SUM(L69:Q69)</f>
        <v>476597860.10171962</v>
      </c>
      <c r="L69" s="33">
        <f>(1+$H$20)*L40</f>
        <v>2778125.9707972254</v>
      </c>
      <c r="M69" s="33">
        <f t="shared" ref="M69:Q69" si="7">(1+$H$20)*M40</f>
        <v>176379081.60643354</v>
      </c>
      <c r="N69" s="33">
        <f t="shared" si="7"/>
        <v>166623000.79744226</v>
      </c>
      <c r="O69" s="33">
        <f t="shared" si="7"/>
        <v>1889329.4182718617</v>
      </c>
      <c r="P69" s="33">
        <f t="shared" si="7"/>
        <v>118807990.57689825</v>
      </c>
      <c r="Q69" s="33">
        <f t="shared" si="7"/>
        <v>10120331.7318765</v>
      </c>
    </row>
    <row r="70" spans="2:19" s="32" customFormat="1" x14ac:dyDescent="0.2">
      <c r="B70" s="23" t="s">
        <v>105</v>
      </c>
      <c r="D70" s="25" t="s">
        <v>102</v>
      </c>
      <c r="F70" s="32" t="s">
        <v>26</v>
      </c>
      <c r="H70" s="137"/>
      <c r="J70" s="33">
        <f>SUM(L70:Q70)</f>
        <v>952427790.10885906</v>
      </c>
      <c r="L70" s="33">
        <f t="shared" si="6"/>
        <v>5183771.0584884603</v>
      </c>
      <c r="M70" s="33">
        <f t="shared" si="6"/>
        <v>313030263.77644467</v>
      </c>
      <c r="N70" s="33">
        <f t="shared" si="6"/>
        <v>321849108.98022664</v>
      </c>
      <c r="O70" s="33">
        <f t="shared" si="6"/>
        <v>1617524.4075942559</v>
      </c>
      <c r="P70" s="33">
        <f t="shared" si="6"/>
        <v>294680286.32185954</v>
      </c>
      <c r="Q70" s="33">
        <f t="shared" si="6"/>
        <v>16066835.564245492</v>
      </c>
    </row>
    <row r="71" spans="2:19" s="32" customFormat="1" x14ac:dyDescent="0.2">
      <c r="B71" s="23" t="s">
        <v>105</v>
      </c>
      <c r="D71" s="25" t="s">
        <v>100</v>
      </c>
      <c r="F71" s="32" t="s">
        <v>26</v>
      </c>
      <c r="H71" s="137"/>
      <c r="J71" s="33">
        <f>SUM(L71:Q71)</f>
        <v>914322900.93981886</v>
      </c>
      <c r="L71" s="33">
        <f t="shared" si="6"/>
        <v>5024294.2359075788</v>
      </c>
      <c r="M71" s="33">
        <f t="shared" si="6"/>
        <v>301190789.05525571</v>
      </c>
      <c r="N71" s="33">
        <f t="shared" si="6"/>
        <v>307685429.66911095</v>
      </c>
      <c r="O71" s="33">
        <f t="shared" si="6"/>
        <v>1522754.9449223059</v>
      </c>
      <c r="P71" s="33">
        <f t="shared" si="6"/>
        <v>283573107.62790275</v>
      </c>
      <c r="Q71" s="33">
        <f t="shared" si="6"/>
        <v>15326525.406719517</v>
      </c>
    </row>
    <row r="72" spans="2:19" s="32" customFormat="1" x14ac:dyDescent="0.2">
      <c r="H72" s="7"/>
    </row>
    <row r="73" spans="2:19" s="32" customFormat="1" x14ac:dyDescent="0.2">
      <c r="B73" s="32" t="s">
        <v>160</v>
      </c>
      <c r="F73" s="32" t="s">
        <v>26</v>
      </c>
      <c r="H73" s="137"/>
      <c r="J73" s="33">
        <f>SUM(L73:Q73)</f>
        <v>163515590.54062444</v>
      </c>
      <c r="L73" s="33">
        <f t="shared" ref="L73:Q73" si="8">(1-$H$15)*(1+$H$20)*L44</f>
        <v>780474.71730571659</v>
      </c>
      <c r="M73" s="33">
        <f t="shared" si="8"/>
        <v>49724815.704853021</v>
      </c>
      <c r="N73" s="33">
        <f t="shared" si="8"/>
        <v>70175123.105623469</v>
      </c>
      <c r="O73" s="33">
        <f t="shared" si="8"/>
        <v>300764.37941776495</v>
      </c>
      <c r="P73" s="33">
        <f t="shared" si="8"/>
        <v>40945400.02835793</v>
      </c>
      <c r="Q73" s="33">
        <f t="shared" si="8"/>
        <v>1589012.6050665453</v>
      </c>
    </row>
    <row r="75" spans="2:19" s="56" customFormat="1" x14ac:dyDescent="0.25">
      <c r="B75" s="56" t="s">
        <v>161</v>
      </c>
      <c r="H75" s="57"/>
      <c r="J75" s="57"/>
      <c r="K75" s="57"/>
      <c r="L75" s="57"/>
      <c r="M75" s="57"/>
      <c r="N75" s="57"/>
      <c r="R75" s="57"/>
    </row>
    <row r="76" spans="2:19" s="32" customFormat="1" x14ac:dyDescent="0.2"/>
    <row r="77" spans="2:19" s="32" customFormat="1" x14ac:dyDescent="0.2">
      <c r="B77" s="3" t="s">
        <v>161</v>
      </c>
      <c r="H77" s="7"/>
      <c r="L77" s="7"/>
      <c r="M77" s="7"/>
      <c r="N77" s="7"/>
      <c r="O77" s="7"/>
      <c r="P77" s="7"/>
      <c r="Q77" s="7"/>
      <c r="R77" s="7"/>
    </row>
    <row r="78" spans="2:19" s="32" customFormat="1" x14ac:dyDescent="0.2">
      <c r="B78" s="23" t="s">
        <v>18</v>
      </c>
      <c r="D78" s="32" t="s">
        <v>333</v>
      </c>
      <c r="F78" s="32" t="s">
        <v>26</v>
      </c>
      <c r="H78" s="33">
        <f>AVERAGE(J52,J60,J68)</f>
        <v>1118873914.3234303</v>
      </c>
      <c r="L78" s="137"/>
      <c r="M78" s="137"/>
      <c r="N78" s="137"/>
      <c r="O78" s="137"/>
      <c r="P78" s="137"/>
      <c r="Q78" s="137"/>
      <c r="R78" s="7"/>
      <c r="S78" s="175" t="s">
        <v>446</v>
      </c>
    </row>
    <row r="79" spans="2:19" s="32" customFormat="1" x14ac:dyDescent="0.2">
      <c r="B79" s="23" t="s">
        <v>162</v>
      </c>
      <c r="F79" s="32" t="s">
        <v>26</v>
      </c>
      <c r="H79" s="137"/>
      <c r="J79" s="33">
        <f>SUM(L79:Q79)</f>
        <v>459529674.51615125</v>
      </c>
      <c r="L79" s="159">
        <f>(L53+L61+L69)/3</f>
        <v>3109617.4612521385</v>
      </c>
      <c r="M79" s="159">
        <f t="shared" ref="M79:Q79" si="9">(M53+M61+M69)/3</f>
        <v>169213135.67740121</v>
      </c>
      <c r="N79" s="159">
        <f t="shared" si="9"/>
        <v>159983653.18739626</v>
      </c>
      <c r="O79" s="159">
        <f t="shared" si="9"/>
        <v>2016664.2819583174</v>
      </c>
      <c r="P79" s="159">
        <f t="shared" si="9"/>
        <v>115149043.17586942</v>
      </c>
      <c r="Q79" s="159">
        <f t="shared" si="9"/>
        <v>10057560.732273849</v>
      </c>
      <c r="S79" s="175" t="s">
        <v>445</v>
      </c>
    </row>
    <row r="80" spans="2:19" s="32" customFormat="1" x14ac:dyDescent="0.2">
      <c r="B80" s="32" t="s">
        <v>19</v>
      </c>
      <c r="F80" s="32" t="s">
        <v>26</v>
      </c>
      <c r="H80" s="33">
        <f>AVERAGE(J57,J65,J73)</f>
        <v>146302996.29238057</v>
      </c>
      <c r="L80" s="137"/>
      <c r="M80" s="137"/>
      <c r="N80" s="137"/>
      <c r="O80" s="137"/>
      <c r="P80" s="137"/>
      <c r="Q80" s="137"/>
    </row>
    <row r="81" spans="1:19" x14ac:dyDescent="0.2">
      <c r="L81" s="7"/>
      <c r="M81" s="7"/>
      <c r="N81" s="7"/>
      <c r="O81" s="7"/>
      <c r="P81" s="7"/>
      <c r="Q81" s="7"/>
    </row>
    <row r="82" spans="1:19" s="32" customFormat="1" x14ac:dyDescent="0.2">
      <c r="A82" s="7"/>
      <c r="B82" s="3" t="s">
        <v>426</v>
      </c>
      <c r="H82" s="7"/>
      <c r="L82" s="7"/>
      <c r="M82" s="7"/>
      <c r="N82" s="7"/>
      <c r="O82" s="7"/>
      <c r="P82" s="7"/>
      <c r="Q82" s="7"/>
    </row>
    <row r="83" spans="1:19" s="32" customFormat="1" x14ac:dyDescent="0.2">
      <c r="A83" s="7"/>
      <c r="B83" s="23" t="s">
        <v>392</v>
      </c>
      <c r="D83" s="25" t="s">
        <v>102</v>
      </c>
      <c r="F83" s="32" t="s">
        <v>26</v>
      </c>
      <c r="H83" s="33">
        <f>AVERAGE(J54,J62,J70)</f>
        <v>924414092.19589341</v>
      </c>
      <c r="L83" s="137"/>
      <c r="M83" s="137"/>
      <c r="N83" s="137"/>
      <c r="O83" s="137"/>
      <c r="P83" s="137"/>
      <c r="Q83" s="137"/>
    </row>
    <row r="84" spans="1:19" s="32" customFormat="1" x14ac:dyDescent="0.2">
      <c r="A84" s="7"/>
      <c r="B84" s="32" t="s">
        <v>172</v>
      </c>
      <c r="D84" s="25" t="s">
        <v>102</v>
      </c>
      <c r="F84" s="32" t="s">
        <v>26</v>
      </c>
      <c r="H84" s="34">
        <f>H78+J79+H83+H80</f>
        <v>2649120677.3278551</v>
      </c>
      <c r="L84" s="7"/>
      <c r="M84" s="7"/>
      <c r="N84" s="7"/>
      <c r="O84" s="7"/>
      <c r="P84" s="7"/>
      <c r="Q84" s="7"/>
    </row>
    <row r="85" spans="1:19" s="32" customFormat="1" x14ac:dyDescent="0.2">
      <c r="B85" s="32" t="s">
        <v>173</v>
      </c>
      <c r="F85" s="32" t="s">
        <v>27</v>
      </c>
      <c r="H85" s="66">
        <f>H84/J47</f>
        <v>0.87117369256051302</v>
      </c>
      <c r="S85" s="175" t="s">
        <v>447</v>
      </c>
    </row>
    <row r="86" spans="1:19" s="32" customFormat="1" x14ac:dyDescent="0.2">
      <c r="H86" s="7"/>
    </row>
    <row r="87" spans="1:19" s="32" customFormat="1" x14ac:dyDescent="0.2">
      <c r="A87" s="7"/>
      <c r="B87" s="35" t="s">
        <v>391</v>
      </c>
      <c r="D87" s="25" t="s">
        <v>102</v>
      </c>
      <c r="F87" s="32" t="s">
        <v>26</v>
      </c>
      <c r="H87" s="137"/>
      <c r="J87" s="33">
        <f>SUM(L87:Q87)</f>
        <v>2649120677.3278546</v>
      </c>
      <c r="L87" s="12">
        <f t="shared" ref="L87:Q87" si="10">$H$85*L47</f>
        <v>16222789.91551885</v>
      </c>
      <c r="M87" s="12">
        <f t="shared" si="10"/>
        <v>896806465.78567123</v>
      </c>
      <c r="N87" s="12">
        <f t="shared" si="10"/>
        <v>994091874.94929981</v>
      </c>
      <c r="O87" s="12">
        <f t="shared" si="10"/>
        <v>9862890.8079926968</v>
      </c>
      <c r="P87" s="12">
        <f t="shared" si="10"/>
        <v>685022299.69434249</v>
      </c>
      <c r="Q87" s="12">
        <f t="shared" si="10"/>
        <v>47114356.175029881</v>
      </c>
      <c r="S87" s="175" t="s">
        <v>448</v>
      </c>
    </row>
    <row r="88" spans="1:19" s="7" customFormat="1" x14ac:dyDescent="0.2">
      <c r="B88" s="13"/>
      <c r="D88" s="160"/>
      <c r="H88" s="137"/>
      <c r="J88" s="137"/>
      <c r="L88" s="9"/>
      <c r="M88" s="9"/>
      <c r="N88" s="9"/>
      <c r="O88" s="9"/>
      <c r="P88" s="9"/>
      <c r="Q88" s="9"/>
    </row>
    <row r="89" spans="1:19" x14ac:dyDescent="0.2">
      <c r="A89" s="7"/>
      <c r="B89" s="3" t="s">
        <v>20</v>
      </c>
      <c r="H89" s="7"/>
      <c r="L89" s="5"/>
      <c r="M89" s="5"/>
      <c r="N89" s="5"/>
      <c r="O89" s="5"/>
      <c r="P89" s="5"/>
      <c r="Q89" s="5"/>
    </row>
    <row r="90" spans="1:19" s="32" customFormat="1" x14ac:dyDescent="0.2">
      <c r="A90" s="7"/>
      <c r="B90" s="23" t="s">
        <v>393</v>
      </c>
      <c r="D90" s="25" t="s">
        <v>100</v>
      </c>
      <c r="F90" s="32" t="s">
        <v>26</v>
      </c>
      <c r="H90" s="33">
        <f>AVERAGE(J55,J63,J71)</f>
        <v>887346028.15788138</v>
      </c>
      <c r="L90" s="137"/>
      <c r="M90" s="137"/>
      <c r="N90" s="137"/>
      <c r="O90" s="137"/>
      <c r="P90" s="137"/>
      <c r="Q90" s="137"/>
    </row>
    <row r="91" spans="1:19" x14ac:dyDescent="0.2">
      <c r="A91" s="7"/>
      <c r="B91" s="2" t="s">
        <v>175</v>
      </c>
      <c r="D91" s="11" t="s">
        <v>100</v>
      </c>
      <c r="F91" s="32" t="s">
        <v>26</v>
      </c>
      <c r="H91" s="12">
        <f>H78+H90+H80</f>
        <v>2152522938.7736921</v>
      </c>
    </row>
    <row r="92" spans="1:19" s="32" customFormat="1" x14ac:dyDescent="0.2"/>
  </sheetData>
  <mergeCells count="1">
    <mergeCell ref="B5:C5"/>
  </mergeCells>
  <pageMargins left="0.7" right="0.7" top="0.75" bottom="0.75" header="0.3" footer="0.3"/>
  <pageSetup paperSize="9" orientation="portrait" r:id="rId1"/>
  <ignoredErrors>
    <ignoredError sqref="L53:Q53 L61:Q61 L69:Q6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rgb="FFFFFFCC"/>
  </sheetPr>
  <dimension ref="A1:U117"/>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2" customWidth="1"/>
    <col min="2" max="2" width="82.85546875" style="2" bestFit="1" customWidth="1"/>
    <col min="3" max="3" width="2.7109375" style="2" customWidth="1"/>
    <col min="4" max="4" width="17" style="2" customWidth="1"/>
    <col min="5" max="5" width="2.7109375" style="2" customWidth="1"/>
    <col min="6" max="6" width="14.28515625" style="2" bestFit="1" customWidth="1"/>
    <col min="7" max="7" width="2.7109375" style="2" customWidth="1"/>
    <col min="8" max="8" width="19.28515625" style="2" bestFit="1" customWidth="1"/>
    <col min="9" max="9" width="2.7109375" style="32" customWidth="1"/>
    <col min="10" max="10" width="19.28515625" style="32" bestFit="1" customWidth="1"/>
    <col min="11" max="11" width="2.7109375" style="2" customWidth="1"/>
    <col min="12" max="17" width="14.7109375" style="2" customWidth="1"/>
    <col min="18" max="18" width="2.7109375" style="32" customWidth="1"/>
    <col min="19" max="19" width="14.7109375" style="2" customWidth="1"/>
    <col min="20" max="20" width="2.7109375" style="32" customWidth="1"/>
    <col min="21" max="16384" width="9.140625" style="2"/>
  </cols>
  <sheetData>
    <row r="1" spans="2:21" s="48" customFormat="1" x14ac:dyDescent="0.25"/>
    <row r="2" spans="2:21" s="49" customFormat="1" ht="18" x14ac:dyDescent="0.25">
      <c r="B2" s="49" t="s">
        <v>541</v>
      </c>
    </row>
    <row r="3" spans="2:21" s="48" customFormat="1" x14ac:dyDescent="0.25"/>
    <row r="4" spans="2:21" s="48" customFormat="1" ht="15" x14ac:dyDescent="0.25">
      <c r="B4" s="50" t="s">
        <v>71</v>
      </c>
      <c r="G4" s="51"/>
      <c r="H4" s="51"/>
      <c r="I4" s="51"/>
      <c r="J4" s="51"/>
      <c r="O4" s="51"/>
    </row>
    <row r="5" spans="2:21" s="48" customFormat="1" ht="51" customHeight="1" x14ac:dyDescent="0.25">
      <c r="B5" s="212" t="s">
        <v>398</v>
      </c>
      <c r="C5" s="212"/>
      <c r="D5" s="212"/>
    </row>
    <row r="6" spans="2:21" s="32" customFormat="1" ht="12.75" customHeight="1" x14ac:dyDescent="0.2">
      <c r="B6" s="13"/>
      <c r="F6" s="14"/>
      <c r="G6" s="14"/>
      <c r="H6" s="14"/>
      <c r="I6" s="14"/>
      <c r="J6" s="14"/>
      <c r="K6" s="14"/>
      <c r="L6" s="14"/>
      <c r="M6" s="14"/>
      <c r="N6" s="14"/>
      <c r="O6" s="14"/>
      <c r="R6" s="14"/>
      <c r="T6" s="14"/>
    </row>
    <row r="7" spans="2:21" s="32" customFormat="1" ht="12.75" customHeight="1" x14ac:dyDescent="0.2">
      <c r="B7" s="59" t="s">
        <v>134</v>
      </c>
      <c r="F7" s="14"/>
      <c r="G7" s="14"/>
      <c r="H7" s="14"/>
      <c r="I7" s="14"/>
      <c r="J7" s="14"/>
      <c r="K7" s="14"/>
      <c r="L7" s="14"/>
      <c r="M7" s="14"/>
      <c r="N7" s="14"/>
      <c r="O7" s="14"/>
      <c r="R7" s="14"/>
      <c r="T7" s="14"/>
    </row>
    <row r="8" spans="2:21" s="48" customFormat="1" ht="105" customHeight="1" x14ac:dyDescent="0.25">
      <c r="B8" s="212" t="s">
        <v>486</v>
      </c>
      <c r="C8" s="212"/>
      <c r="D8" s="212"/>
    </row>
    <row r="9" spans="2:21" s="32" customFormat="1" ht="12.75" customHeight="1" x14ac:dyDescent="0.2">
      <c r="B9" s="13"/>
      <c r="F9" s="14"/>
      <c r="G9" s="14"/>
      <c r="H9" s="14"/>
      <c r="I9" s="14"/>
      <c r="J9" s="14"/>
      <c r="K9" s="14"/>
      <c r="L9" s="14"/>
      <c r="M9" s="14"/>
      <c r="N9" s="14"/>
      <c r="O9" s="14"/>
      <c r="R9" s="14"/>
      <c r="T9" s="14"/>
    </row>
    <row r="10" spans="2:21" s="56" customFormat="1" x14ac:dyDescent="0.25">
      <c r="B10" s="56" t="s">
        <v>75</v>
      </c>
      <c r="D10" s="56" t="s">
        <v>17</v>
      </c>
      <c r="F10" s="56" t="s">
        <v>1</v>
      </c>
      <c r="H10" s="57" t="s">
        <v>329</v>
      </c>
      <c r="J10" s="57" t="s">
        <v>330</v>
      </c>
      <c r="K10" s="57"/>
      <c r="L10" s="57" t="s">
        <v>69</v>
      </c>
      <c r="M10" s="57" t="s">
        <v>4</v>
      </c>
      <c r="N10" s="57" t="s">
        <v>5</v>
      </c>
      <c r="O10" s="56" t="s">
        <v>6</v>
      </c>
      <c r="P10" s="56" t="s">
        <v>7</v>
      </c>
      <c r="Q10" s="56" t="s">
        <v>8</v>
      </c>
      <c r="R10" s="57"/>
      <c r="S10" s="56" t="s">
        <v>267</v>
      </c>
      <c r="T10" s="57"/>
      <c r="U10" s="56" t="s">
        <v>125</v>
      </c>
    </row>
    <row r="12" spans="2:21" s="56" customFormat="1" x14ac:dyDescent="0.25">
      <c r="B12" s="56" t="s">
        <v>0</v>
      </c>
      <c r="H12" s="57"/>
      <c r="J12" s="57"/>
      <c r="K12" s="57"/>
      <c r="L12" s="57"/>
      <c r="M12" s="57"/>
      <c r="N12" s="57"/>
      <c r="R12" s="57"/>
      <c r="T12" s="57"/>
    </row>
    <row r="14" spans="2:21" s="48" customFormat="1" x14ac:dyDescent="0.25">
      <c r="B14" s="108" t="s">
        <v>477</v>
      </c>
    </row>
    <row r="15" spans="2:21" s="48" customFormat="1" x14ac:dyDescent="0.25">
      <c r="B15" s="48" t="s">
        <v>480</v>
      </c>
      <c r="F15" s="48" t="s">
        <v>479</v>
      </c>
      <c r="H15" s="190">
        <f>'4) Berekeningen op parameters'!S24</f>
        <v>1</v>
      </c>
    </row>
    <row r="16" spans="2:21" s="48" customFormat="1" x14ac:dyDescent="0.25">
      <c r="B16" s="48" t="s">
        <v>481</v>
      </c>
      <c r="F16" s="48" t="s">
        <v>479</v>
      </c>
      <c r="H16" s="190">
        <f>'4) Berekeningen op parameters'!T24</f>
        <v>1.03</v>
      </c>
    </row>
    <row r="17" spans="1:19" s="48" customFormat="1" x14ac:dyDescent="0.25">
      <c r="B17" s="48" t="s">
        <v>482</v>
      </c>
      <c r="F17" s="48" t="s">
        <v>479</v>
      </c>
      <c r="H17" s="190">
        <f>'4) Berekeningen op parameters'!U24</f>
        <v>1.0600589073684399</v>
      </c>
    </row>
    <row r="18" spans="1:19" s="48" customFormat="1" x14ac:dyDescent="0.25">
      <c r="B18" s="48" t="s">
        <v>483</v>
      </c>
      <c r="F18" s="48" t="s">
        <v>479</v>
      </c>
      <c r="H18" s="190">
        <f>'4) Berekeningen op parameters'!V24</f>
        <v>1.090571093171246</v>
      </c>
    </row>
    <row r="19" spans="1:19" s="48" customFormat="1" x14ac:dyDescent="0.25">
      <c r="B19" s="48" t="s">
        <v>484</v>
      </c>
      <c r="F19" s="48" t="s">
        <v>479</v>
      </c>
      <c r="H19" s="190">
        <f>'4) Berekeningen op parameters'!W24</f>
        <v>1.1215313573687091</v>
      </c>
    </row>
    <row r="20" spans="1:19" s="48" customFormat="1" x14ac:dyDescent="0.25"/>
    <row r="21" spans="1:19" s="32" customFormat="1" x14ac:dyDescent="0.2">
      <c r="B21" s="3" t="s">
        <v>21</v>
      </c>
      <c r="J21" s="7"/>
    </row>
    <row r="22" spans="1:19" x14ac:dyDescent="0.2">
      <c r="A22" s="7"/>
      <c r="B22" s="32" t="s">
        <v>455</v>
      </c>
      <c r="F22" s="2" t="s">
        <v>14</v>
      </c>
      <c r="H22" s="22">
        <f>'1) Reguleringsparameters'!H24</f>
        <v>1.7999999999999999E-2</v>
      </c>
      <c r="J22" s="141"/>
    </row>
    <row r="23" spans="1:19" s="32" customFormat="1" x14ac:dyDescent="0.2"/>
    <row r="24" spans="1:19" x14ac:dyDescent="0.2">
      <c r="A24" s="7"/>
      <c r="B24" s="3" t="s">
        <v>436</v>
      </c>
      <c r="C24" s="3"/>
      <c r="D24" s="3"/>
      <c r="S24" s="48"/>
    </row>
    <row r="25" spans="1:19" x14ac:dyDescent="0.2">
      <c r="A25" s="7"/>
      <c r="B25" s="2" t="s">
        <v>3</v>
      </c>
      <c r="F25" s="2" t="s">
        <v>10</v>
      </c>
      <c r="H25" s="137"/>
      <c r="J25" s="33">
        <f>SUM(L25:Q25)</f>
        <v>3040863951.6439981</v>
      </c>
      <c r="L25" s="21">
        <f>'3) BI, EAV, SO &amp; PV'!L29</f>
        <v>18621762.863198478</v>
      </c>
      <c r="M25" s="21">
        <f>'3) BI, EAV, SO &amp; PV'!M29</f>
        <v>1029423263.631641</v>
      </c>
      <c r="N25" s="21">
        <f>'3) BI, EAV, SO &amp; PV'!N29</f>
        <v>1141094919.9206319</v>
      </c>
      <c r="O25" s="21">
        <f>'3) BI, EAV, SO &amp; PV'!O29</f>
        <v>11321382.741717268</v>
      </c>
      <c r="P25" s="21">
        <f>'3) BI, EAV, SO &amp; PV'!P29</f>
        <v>786321149.89716566</v>
      </c>
      <c r="Q25" s="21">
        <f>'3) BI, EAV, SO &amp; PV'!Q29</f>
        <v>54081472.589643478</v>
      </c>
      <c r="S25" s="178" t="s">
        <v>437</v>
      </c>
    </row>
    <row r="26" spans="1:19" x14ac:dyDescent="0.2">
      <c r="A26" s="7"/>
      <c r="S26" s="48"/>
    </row>
    <row r="27" spans="1:19" x14ac:dyDescent="0.2">
      <c r="A27" s="7"/>
      <c r="B27" s="3" t="s">
        <v>13</v>
      </c>
      <c r="S27" s="48"/>
    </row>
    <row r="28" spans="1:19" x14ac:dyDescent="0.2">
      <c r="A28" s="7"/>
      <c r="B28" s="2" t="s">
        <v>151</v>
      </c>
      <c r="F28" s="2" t="s">
        <v>14</v>
      </c>
      <c r="H28" s="16">
        <f>'4) Berekeningen op parameters'!H44</f>
        <v>2.5715359201648382E-3</v>
      </c>
      <c r="J28" s="132"/>
    </row>
    <row r="29" spans="1:19" x14ac:dyDescent="0.2">
      <c r="A29" s="7"/>
      <c r="H29" s="10"/>
      <c r="J29" s="10"/>
    </row>
    <row r="30" spans="1:19" x14ac:dyDescent="0.2">
      <c r="A30" s="7"/>
      <c r="B30" s="3" t="s">
        <v>400</v>
      </c>
      <c r="H30" s="10"/>
      <c r="J30" s="10"/>
    </row>
    <row r="31" spans="1:19" x14ac:dyDescent="0.2">
      <c r="A31" s="7"/>
      <c r="B31" s="2" t="s">
        <v>175</v>
      </c>
      <c r="D31" s="11" t="s">
        <v>124</v>
      </c>
      <c r="F31" s="2" t="s">
        <v>26</v>
      </c>
      <c r="H31" s="17">
        <f>'6) Totale kosten maatstaf'!H91</f>
        <v>2152522938.7736921</v>
      </c>
      <c r="J31" s="140"/>
      <c r="S31" s="32"/>
    </row>
    <row r="32" spans="1:19" x14ac:dyDescent="0.2">
      <c r="A32" s="7"/>
      <c r="B32" s="2" t="s">
        <v>176</v>
      </c>
      <c r="F32" s="32" t="s">
        <v>26</v>
      </c>
      <c r="H32" s="137"/>
      <c r="J32" s="33">
        <f>SUM(L32:Q32)</f>
        <v>459529674.51615125</v>
      </c>
      <c r="L32" s="17">
        <f>'6) Totale kosten maatstaf'!L79</f>
        <v>3109617.4612521385</v>
      </c>
      <c r="M32" s="17">
        <f>'6) Totale kosten maatstaf'!M79</f>
        <v>169213135.67740121</v>
      </c>
      <c r="N32" s="17">
        <f>'6) Totale kosten maatstaf'!N79</f>
        <v>159983653.18739626</v>
      </c>
      <c r="O32" s="17">
        <f>'6) Totale kosten maatstaf'!O79</f>
        <v>2016664.2819583174</v>
      </c>
      <c r="P32" s="17">
        <f>'6) Totale kosten maatstaf'!P79</f>
        <v>115149043.17586942</v>
      </c>
      <c r="Q32" s="17">
        <f>'6) Totale kosten maatstaf'!Q79</f>
        <v>10057560.732273849</v>
      </c>
      <c r="S32" s="32"/>
    </row>
    <row r="33" spans="1:20" x14ac:dyDescent="0.2">
      <c r="A33" s="7"/>
      <c r="H33" s="10"/>
      <c r="J33" s="10"/>
      <c r="S33" s="32"/>
    </row>
    <row r="34" spans="1:20" s="32" customFormat="1" x14ac:dyDescent="0.2">
      <c r="A34" s="7"/>
      <c r="B34" s="3" t="s">
        <v>427</v>
      </c>
      <c r="H34" s="10"/>
      <c r="J34" s="10"/>
    </row>
    <row r="35" spans="1:20" s="32" customFormat="1" x14ac:dyDescent="0.2">
      <c r="A35" s="7"/>
      <c r="B35" s="35" t="s">
        <v>561</v>
      </c>
      <c r="F35" s="32" t="s">
        <v>26</v>
      </c>
      <c r="H35" s="42"/>
      <c r="J35" s="24">
        <f>SUM(L35:Q35)</f>
        <v>2649120677.3278546</v>
      </c>
      <c r="K35" s="41"/>
      <c r="L35" s="17">
        <f>'6) Totale kosten maatstaf'!L87</f>
        <v>16222789.91551885</v>
      </c>
      <c r="M35" s="17">
        <f>'6) Totale kosten maatstaf'!M87</f>
        <v>896806465.78567123</v>
      </c>
      <c r="N35" s="17">
        <f>'6) Totale kosten maatstaf'!N87</f>
        <v>994091874.94929981</v>
      </c>
      <c r="O35" s="17">
        <f>'6) Totale kosten maatstaf'!O87</f>
        <v>9862890.8079926968</v>
      </c>
      <c r="P35" s="17">
        <f>'6) Totale kosten maatstaf'!P87</f>
        <v>685022299.69434249</v>
      </c>
      <c r="Q35" s="17">
        <f>'6) Totale kosten maatstaf'!Q87</f>
        <v>47114356.175029881</v>
      </c>
      <c r="R35" s="41"/>
      <c r="T35" s="41"/>
    </row>
    <row r="36" spans="1:20" x14ac:dyDescent="0.2">
      <c r="H36" s="10"/>
      <c r="J36" s="10"/>
      <c r="L36" s="32"/>
      <c r="S36" s="32"/>
    </row>
    <row r="37" spans="1:20" s="32" customFormat="1" x14ac:dyDescent="0.2">
      <c r="B37" s="3" t="s">
        <v>270</v>
      </c>
      <c r="H37" s="10"/>
      <c r="J37" s="10"/>
    </row>
    <row r="38" spans="1:20" s="32" customFormat="1" x14ac:dyDescent="0.2">
      <c r="B38" s="180" t="s">
        <v>459</v>
      </c>
      <c r="F38" s="180" t="s">
        <v>141</v>
      </c>
      <c r="H38" s="10"/>
      <c r="J38" s="24">
        <f>SUM(L38:Q38)</f>
        <v>0</v>
      </c>
      <c r="L38" s="21">
        <f>'1) Reguleringsparameters'!S28</f>
        <v>0</v>
      </c>
      <c r="M38" s="21">
        <f>'1) Reguleringsparameters'!S29</f>
        <v>0</v>
      </c>
      <c r="N38" s="21">
        <f>'1) Reguleringsparameters'!S30</f>
        <v>0</v>
      </c>
      <c r="O38" s="21">
        <f>'1) Reguleringsparameters'!S31</f>
        <v>0</v>
      </c>
      <c r="P38" s="21">
        <f>'1) Reguleringsparameters'!S32</f>
        <v>0</v>
      </c>
      <c r="Q38" s="21">
        <f>'1) Reguleringsparameters'!S33</f>
        <v>0</v>
      </c>
    </row>
    <row r="39" spans="1:20" s="32" customFormat="1" x14ac:dyDescent="0.2">
      <c r="B39" s="180" t="s">
        <v>460</v>
      </c>
      <c r="F39" s="180" t="s">
        <v>298</v>
      </c>
      <c r="H39" s="10"/>
      <c r="J39" s="24">
        <f t="shared" ref="J39:J42" si="0">SUM(L39:Q39)</f>
        <v>5582158.0753398938</v>
      </c>
      <c r="L39" s="21">
        <f>'1) Reguleringsparameters'!T28</f>
        <v>633241.16346136387</v>
      </c>
      <c r="M39" s="21">
        <f>'1) Reguleringsparameters'!T29</f>
        <v>4948916.9118785299</v>
      </c>
      <c r="N39" s="21">
        <f>'1) Reguleringsparameters'!T30</f>
        <v>0</v>
      </c>
      <c r="O39" s="21">
        <f>'1) Reguleringsparameters'!T31</f>
        <v>0</v>
      </c>
      <c r="P39" s="21">
        <f>'1) Reguleringsparameters'!T32</f>
        <v>0</v>
      </c>
      <c r="Q39" s="21">
        <f>'1) Reguleringsparameters'!T33</f>
        <v>0</v>
      </c>
    </row>
    <row r="40" spans="1:20" s="32" customFormat="1" x14ac:dyDescent="0.2">
      <c r="B40" s="180" t="s">
        <v>461</v>
      </c>
      <c r="F40" s="180" t="s">
        <v>299</v>
      </c>
      <c r="H40" s="10"/>
      <c r="J40" s="24">
        <f t="shared" si="0"/>
        <v>13850110.747539978</v>
      </c>
      <c r="L40" s="21">
        <f>'1) Reguleringsparameters'!U28</f>
        <v>2571288.7028688826</v>
      </c>
      <c r="M40" s="21">
        <f>'1) Reguleringsparameters'!U29</f>
        <v>6571739.9964271188</v>
      </c>
      <c r="N40" s="21">
        <f>'1) Reguleringsparameters'!U30</f>
        <v>0</v>
      </c>
      <c r="O40" s="21">
        <f>'1) Reguleringsparameters'!U31</f>
        <v>0</v>
      </c>
      <c r="P40" s="21">
        <f>'1) Reguleringsparameters'!U32</f>
        <v>4707082.0482439762</v>
      </c>
      <c r="Q40" s="21">
        <f>'1) Reguleringsparameters'!U33</f>
        <v>0</v>
      </c>
    </row>
    <row r="41" spans="1:20" s="32" customFormat="1" x14ac:dyDescent="0.2">
      <c r="B41" s="180" t="s">
        <v>462</v>
      </c>
      <c r="F41" s="180" t="s">
        <v>300</v>
      </c>
      <c r="H41" s="10"/>
      <c r="J41" s="24">
        <f t="shared" si="0"/>
        <v>19892663.964318492</v>
      </c>
      <c r="L41" s="21">
        <f>'1) Reguleringsparameters'!V28</f>
        <v>2614400.6528726881</v>
      </c>
      <c r="M41" s="21">
        <f>'1) Reguleringsparameters'!V29</f>
        <v>6677681.9815214379</v>
      </c>
      <c r="N41" s="21">
        <f>'1) Reguleringsparameters'!V30</f>
        <v>0</v>
      </c>
      <c r="O41" s="21">
        <f>'1) Reguleringsparameters'!V31</f>
        <v>0</v>
      </c>
      <c r="P41" s="21">
        <f>'1) Reguleringsparameters'!V32</f>
        <v>10600581.329924364</v>
      </c>
      <c r="Q41" s="21">
        <f>'1) Reguleringsparameters'!V33</f>
        <v>0</v>
      </c>
    </row>
    <row r="42" spans="1:20" s="32" customFormat="1" x14ac:dyDescent="0.2">
      <c r="B42" s="180" t="s">
        <v>463</v>
      </c>
      <c r="F42" s="180" t="s">
        <v>171</v>
      </c>
      <c r="H42" s="10"/>
      <c r="J42" s="24">
        <f t="shared" si="0"/>
        <v>20232135.749869544</v>
      </c>
      <c r="L42" s="21">
        <f>'1) Reguleringsparameters'!W28</f>
        <v>2658096.6093278606</v>
      </c>
      <c r="M42" s="21">
        <f>'1) Reguleringsparameters'!W29</f>
        <v>6785052.5655689761</v>
      </c>
      <c r="N42" s="21">
        <f>'1) Reguleringsparameters'!W30</f>
        <v>0</v>
      </c>
      <c r="O42" s="21">
        <f>'1) Reguleringsparameters'!W31</f>
        <v>0</v>
      </c>
      <c r="P42" s="21">
        <f>'1) Reguleringsparameters'!W32</f>
        <v>10788986.574972708</v>
      </c>
      <c r="Q42" s="21">
        <f>'1) Reguleringsparameters'!W33</f>
        <v>0</v>
      </c>
    </row>
    <row r="43" spans="1:20" s="32" customFormat="1" x14ac:dyDescent="0.2">
      <c r="B43" s="3"/>
      <c r="H43" s="10"/>
      <c r="J43" s="10"/>
    </row>
    <row r="44" spans="1:20" s="56" customFormat="1" x14ac:dyDescent="0.25">
      <c r="B44" s="56" t="s">
        <v>405</v>
      </c>
      <c r="H44" s="57"/>
      <c r="J44" s="57"/>
      <c r="K44" s="57"/>
      <c r="L44" s="57"/>
      <c r="M44" s="57"/>
      <c r="N44" s="57"/>
      <c r="R44" s="57"/>
      <c r="T44" s="57"/>
    </row>
    <row r="45" spans="1:20" s="32" customFormat="1" x14ac:dyDescent="0.2">
      <c r="H45" s="10"/>
      <c r="J45" s="10"/>
    </row>
    <row r="46" spans="1:20" s="32" customFormat="1" x14ac:dyDescent="0.2">
      <c r="B46" s="3" t="s">
        <v>66</v>
      </c>
      <c r="H46" s="10"/>
      <c r="J46" s="10"/>
    </row>
    <row r="47" spans="1:20" s="32" customFormat="1" x14ac:dyDescent="0.2">
      <c r="B47" s="32" t="s">
        <v>67</v>
      </c>
      <c r="D47" s="32" t="s">
        <v>14</v>
      </c>
      <c r="H47" s="42"/>
      <c r="J47" s="162">
        <f>SUM(L47:Q47)</f>
        <v>0.99999999999999989</v>
      </c>
      <c r="L47" s="163">
        <f t="shared" ref="L47:Q47" si="1">L25/$J$25</f>
        <v>6.123839526964334E-3</v>
      </c>
      <c r="M47" s="163">
        <f t="shared" si="1"/>
        <v>0.33852986519673089</v>
      </c>
      <c r="N47" s="163">
        <f t="shared" si="1"/>
        <v>0.37525352599339928</v>
      </c>
      <c r="O47" s="163">
        <f t="shared" si="1"/>
        <v>3.7230809801920041E-3</v>
      </c>
      <c r="P47" s="163">
        <f t="shared" si="1"/>
        <v>0.25858478458796313</v>
      </c>
      <c r="Q47" s="163">
        <f t="shared" si="1"/>
        <v>1.7784903714750253E-2</v>
      </c>
    </row>
    <row r="48" spans="1:20" s="32" customFormat="1" x14ac:dyDescent="0.2">
      <c r="J48" s="42"/>
    </row>
    <row r="49" spans="1:20" s="56" customFormat="1" x14ac:dyDescent="0.25">
      <c r="B49" s="56" t="s">
        <v>269</v>
      </c>
      <c r="H49" s="57"/>
      <c r="J49" s="57"/>
      <c r="K49" s="57"/>
      <c r="L49" s="57"/>
      <c r="M49" s="57"/>
      <c r="N49" s="57"/>
      <c r="R49" s="57"/>
      <c r="T49" s="57"/>
    </row>
    <row r="50" spans="1:20" x14ac:dyDescent="0.2">
      <c r="H50" s="10"/>
      <c r="J50" s="10"/>
    </row>
    <row r="51" spans="1:20" s="32" customFormat="1" x14ac:dyDescent="0.2">
      <c r="B51" s="3" t="s">
        <v>181</v>
      </c>
      <c r="H51" s="10"/>
      <c r="J51" s="10"/>
    </row>
    <row r="52" spans="1:20" s="32" customFormat="1" x14ac:dyDescent="0.2">
      <c r="B52" s="32" t="s">
        <v>178</v>
      </c>
      <c r="F52" s="32" t="s">
        <v>26</v>
      </c>
      <c r="H52" s="24">
        <f>J35-J32</f>
        <v>2189591002.8117032</v>
      </c>
      <c r="J52" s="42"/>
      <c r="S52" s="175"/>
    </row>
    <row r="53" spans="1:20" s="32" customFormat="1" x14ac:dyDescent="0.2">
      <c r="H53" s="10"/>
      <c r="J53" s="10"/>
    </row>
    <row r="54" spans="1:20" s="32" customFormat="1" x14ac:dyDescent="0.2">
      <c r="B54" s="3" t="s">
        <v>182</v>
      </c>
      <c r="H54" s="10"/>
      <c r="J54" s="10"/>
    </row>
    <row r="55" spans="1:20" x14ac:dyDescent="0.2">
      <c r="B55" s="2" t="s">
        <v>177</v>
      </c>
      <c r="D55" s="35" t="s">
        <v>124</v>
      </c>
      <c r="E55" s="32"/>
      <c r="F55" s="32" t="s">
        <v>171</v>
      </c>
      <c r="H55" s="33">
        <f>H31*(1+$H$22)^5*(1-H28)^5</f>
        <v>2323247438.0721598</v>
      </c>
      <c r="J55" s="137"/>
      <c r="K55" s="32"/>
    </row>
    <row r="56" spans="1:20" s="58" customFormat="1" x14ac:dyDescent="0.2">
      <c r="B56" s="67" t="s">
        <v>179</v>
      </c>
      <c r="D56" s="32"/>
      <c r="E56" s="32"/>
      <c r="F56" s="32" t="s">
        <v>171</v>
      </c>
      <c r="H56" s="137"/>
      <c r="J56" s="33">
        <f>SUM(L56:Q56)</f>
        <v>502403263.20490307</v>
      </c>
      <c r="K56" s="32"/>
      <c r="L56" s="33">
        <f t="shared" ref="L56:Q56" si="2">L32*(1+$H$22)^5</f>
        <v>3399741.1842814754</v>
      </c>
      <c r="M56" s="33">
        <f t="shared" si="2"/>
        <v>185000526.09436521</v>
      </c>
      <c r="N56" s="33">
        <f t="shared" si="2"/>
        <v>174909943.53176287</v>
      </c>
      <c r="O56" s="33">
        <f t="shared" si="2"/>
        <v>2204816.7337864074</v>
      </c>
      <c r="P56" s="33">
        <f t="shared" si="2"/>
        <v>125892316.11079724</v>
      </c>
      <c r="Q56" s="33">
        <f t="shared" si="2"/>
        <v>10995919.549909892</v>
      </c>
      <c r="R56" s="32"/>
      <c r="S56" s="176" t="s">
        <v>435</v>
      </c>
      <c r="T56" s="32"/>
    </row>
    <row r="57" spans="1:20" s="58" customFormat="1" x14ac:dyDescent="0.2">
      <c r="B57" s="67"/>
      <c r="H57" s="68"/>
      <c r="J57" s="68"/>
      <c r="K57" s="32"/>
      <c r="L57" s="68"/>
      <c r="M57" s="68"/>
      <c r="N57" s="68"/>
      <c r="O57" s="68"/>
      <c r="P57" s="68"/>
      <c r="Q57" s="68"/>
    </row>
    <row r="58" spans="1:20" x14ac:dyDescent="0.2">
      <c r="A58" s="7"/>
      <c r="B58" s="2" t="s">
        <v>180</v>
      </c>
      <c r="D58" s="35" t="s">
        <v>124</v>
      </c>
      <c r="F58" s="2" t="s">
        <v>174</v>
      </c>
      <c r="H58" s="123">
        <f>(H55+J56)/J25</f>
        <v>0.92922628115257067</v>
      </c>
      <c r="J58" s="142"/>
      <c r="K58" s="32"/>
    </row>
    <row r="59" spans="1:20" x14ac:dyDescent="0.2">
      <c r="A59" s="7"/>
      <c r="H59" s="10"/>
      <c r="J59" s="10"/>
      <c r="L59" s="32"/>
      <c r="M59" s="32"/>
      <c r="N59" s="32"/>
      <c r="O59" s="32"/>
      <c r="P59" s="32"/>
      <c r="Q59" s="32"/>
      <c r="S59" s="32"/>
    </row>
    <row r="60" spans="1:20" x14ac:dyDescent="0.2">
      <c r="A60" s="7"/>
      <c r="B60" s="2" t="s">
        <v>401</v>
      </c>
      <c r="D60" s="35" t="s">
        <v>124</v>
      </c>
      <c r="F60" s="2" t="s">
        <v>171</v>
      </c>
      <c r="H60" s="34">
        <f>$H$58*J25</f>
        <v>2825650701.2770629</v>
      </c>
      <c r="J60" s="9"/>
      <c r="K60" s="32"/>
      <c r="L60" s="32"/>
      <c r="M60" s="32"/>
      <c r="N60" s="32"/>
      <c r="O60" s="32"/>
      <c r="P60" s="32"/>
      <c r="Q60" s="32"/>
      <c r="S60" s="175" t="s">
        <v>434</v>
      </c>
    </row>
    <row r="61" spans="1:20" x14ac:dyDescent="0.2">
      <c r="A61" s="7"/>
      <c r="B61" s="2" t="s">
        <v>43</v>
      </c>
      <c r="D61" s="35" t="s">
        <v>124</v>
      </c>
      <c r="F61" s="2" t="s">
        <v>171</v>
      </c>
      <c r="H61" s="34">
        <f>H60-J56</f>
        <v>2323247438.0721598</v>
      </c>
      <c r="J61" s="9"/>
      <c r="K61" s="32"/>
      <c r="L61" s="32"/>
      <c r="M61" s="32"/>
      <c r="N61" s="32"/>
      <c r="O61" s="32"/>
      <c r="P61" s="32"/>
      <c r="Q61" s="32"/>
      <c r="S61" s="175"/>
    </row>
    <row r="62" spans="1:20" x14ac:dyDescent="0.2">
      <c r="A62" s="7"/>
      <c r="H62" s="9"/>
      <c r="J62" s="9"/>
    </row>
    <row r="63" spans="1:20" s="32" customFormat="1" x14ac:dyDescent="0.2">
      <c r="A63" s="7"/>
      <c r="B63" s="3" t="s">
        <v>271</v>
      </c>
      <c r="H63" s="9"/>
      <c r="J63" s="9"/>
    </row>
    <row r="64" spans="1:20" x14ac:dyDescent="0.2">
      <c r="A64" s="7"/>
      <c r="B64" s="11" t="s">
        <v>331</v>
      </c>
      <c r="F64" s="2" t="s">
        <v>14</v>
      </c>
      <c r="H64" s="31">
        <f>(1+$H$22-(H61/H52)^(1/5))</f>
        <v>6.0792687348825147E-3</v>
      </c>
      <c r="J64" s="143"/>
      <c r="K64" s="32"/>
      <c r="L64" s="130"/>
      <c r="M64" s="129"/>
      <c r="N64" s="129"/>
      <c r="O64" s="129"/>
      <c r="P64" s="129"/>
      <c r="Q64" s="129"/>
    </row>
    <row r="65" spans="1:20" x14ac:dyDescent="0.2">
      <c r="A65" s="7"/>
      <c r="H65" s="10"/>
      <c r="J65" s="10"/>
      <c r="L65" s="7"/>
      <c r="M65" s="7"/>
      <c r="N65" s="7"/>
      <c r="O65" s="7"/>
      <c r="P65" s="7"/>
      <c r="Q65" s="7"/>
    </row>
    <row r="66" spans="1:20" s="32" customFormat="1" x14ac:dyDescent="0.2">
      <c r="A66" s="7"/>
      <c r="B66" s="3" t="s">
        <v>402</v>
      </c>
      <c r="H66" s="10"/>
      <c r="J66" s="10"/>
      <c r="L66" s="7"/>
      <c r="M66" s="7"/>
      <c r="N66" s="7"/>
      <c r="O66" s="7"/>
      <c r="P66" s="7"/>
      <c r="Q66" s="7"/>
    </row>
    <row r="67" spans="1:20" s="32" customFormat="1" x14ac:dyDescent="0.2">
      <c r="A67" s="7"/>
      <c r="B67" s="32" t="s">
        <v>272</v>
      </c>
      <c r="F67" s="32" t="s">
        <v>141</v>
      </c>
      <c r="H67" s="24">
        <f>H52*(1+$H$22-H$64)</f>
        <v>2215692528.7367406</v>
      </c>
      <c r="J67" s="42"/>
      <c r="L67" s="42"/>
      <c r="M67" s="42"/>
      <c r="N67" s="42"/>
      <c r="O67" s="42"/>
      <c r="P67" s="42"/>
      <c r="Q67" s="42"/>
    </row>
    <row r="68" spans="1:20" s="32" customFormat="1" x14ac:dyDescent="0.2">
      <c r="A68" s="7"/>
      <c r="B68" s="32" t="s">
        <v>273</v>
      </c>
      <c r="F68" s="32" t="s">
        <v>298</v>
      </c>
      <c r="H68" s="24">
        <f>H67*(1+$H$22-H$64)</f>
        <v>2242105203.9379401</v>
      </c>
      <c r="J68" s="42"/>
      <c r="L68" s="42"/>
      <c r="M68" s="42"/>
      <c r="N68" s="42"/>
      <c r="O68" s="42"/>
      <c r="P68" s="42"/>
      <c r="Q68" s="42"/>
    </row>
    <row r="69" spans="1:20" s="32" customFormat="1" x14ac:dyDescent="0.2">
      <c r="A69" s="7"/>
      <c r="B69" s="32" t="s">
        <v>274</v>
      </c>
      <c r="F69" s="32" t="s">
        <v>299</v>
      </c>
      <c r="H69" s="24">
        <f>H68*(1+$H$22-H$64)</f>
        <v>2268832737.5422058</v>
      </c>
      <c r="J69" s="42"/>
      <c r="L69" s="42"/>
      <c r="M69" s="42"/>
      <c r="N69" s="42"/>
      <c r="O69" s="42"/>
      <c r="P69" s="42"/>
      <c r="Q69" s="42"/>
    </row>
    <row r="70" spans="1:20" s="32" customFormat="1" x14ac:dyDescent="0.2">
      <c r="A70" s="7"/>
      <c r="B70" s="32" t="s">
        <v>275</v>
      </c>
      <c r="F70" s="32" t="s">
        <v>300</v>
      </c>
      <c r="H70" s="24">
        <f>H69*(1+$H$22-H$64)</f>
        <v>2295878882.8919473</v>
      </c>
      <c r="J70" s="42"/>
      <c r="L70" s="42"/>
      <c r="M70" s="42"/>
      <c r="N70" s="42"/>
      <c r="O70" s="42"/>
      <c r="P70" s="42"/>
      <c r="Q70" s="42"/>
    </row>
    <row r="71" spans="1:20" s="32" customFormat="1" x14ac:dyDescent="0.2">
      <c r="A71" s="7"/>
      <c r="B71" s="32" t="s">
        <v>276</v>
      </c>
      <c r="F71" s="32" t="s">
        <v>171</v>
      </c>
      <c r="H71" s="24">
        <f>H70*(1+$H$22-H$64)</f>
        <v>2323247438.0721602</v>
      </c>
      <c r="J71" s="42"/>
      <c r="L71" s="42"/>
      <c r="M71" s="42"/>
      <c r="N71" s="42"/>
      <c r="O71" s="42"/>
      <c r="P71" s="42"/>
      <c r="Q71" s="42"/>
    </row>
    <row r="72" spans="1:20" s="32" customFormat="1" x14ac:dyDescent="0.2">
      <c r="A72" s="7"/>
      <c r="H72" s="10"/>
      <c r="J72" s="10"/>
    </row>
    <row r="73" spans="1:20" s="56" customFormat="1" ht="12" customHeight="1" x14ac:dyDescent="0.25">
      <c r="B73" s="56" t="s">
        <v>270</v>
      </c>
      <c r="H73" s="57"/>
      <c r="J73" s="57"/>
      <c r="K73" s="57"/>
      <c r="L73" s="57"/>
      <c r="M73" s="57"/>
      <c r="N73" s="57"/>
      <c r="R73" s="57"/>
      <c r="T73" s="57"/>
    </row>
    <row r="74" spans="1:20" s="32" customFormat="1" x14ac:dyDescent="0.2">
      <c r="A74" s="7"/>
      <c r="H74" s="10"/>
      <c r="J74" s="10"/>
    </row>
    <row r="75" spans="1:20" s="32" customFormat="1" x14ac:dyDescent="0.2">
      <c r="A75" s="7"/>
      <c r="B75" s="108" t="s">
        <v>464</v>
      </c>
      <c r="H75" s="10"/>
      <c r="J75" s="10"/>
    </row>
    <row r="76" spans="1:20" s="32" customFormat="1" x14ac:dyDescent="0.2">
      <c r="A76" s="7"/>
      <c r="B76" s="180" t="s">
        <v>465</v>
      </c>
      <c r="F76" s="32" t="s">
        <v>141</v>
      </c>
      <c r="H76" s="24">
        <f>H67-J38</f>
        <v>2215692528.7367406</v>
      </c>
      <c r="J76" s="10"/>
    </row>
    <row r="77" spans="1:20" s="32" customFormat="1" x14ac:dyDescent="0.2">
      <c r="A77" s="7"/>
      <c r="B77" s="180" t="s">
        <v>466</v>
      </c>
      <c r="F77" s="32" t="s">
        <v>298</v>
      </c>
      <c r="H77" s="24">
        <f>H68-J39</f>
        <v>2236523045.8626003</v>
      </c>
      <c r="J77" s="10"/>
    </row>
    <row r="78" spans="1:20" s="32" customFormat="1" x14ac:dyDescent="0.2">
      <c r="A78" s="7"/>
      <c r="B78" s="180" t="s">
        <v>467</v>
      </c>
      <c r="F78" s="32" t="s">
        <v>299</v>
      </c>
      <c r="H78" s="24">
        <f>H69-J40</f>
        <v>2254982626.7946658</v>
      </c>
      <c r="J78" s="10"/>
    </row>
    <row r="79" spans="1:20" s="32" customFormat="1" x14ac:dyDescent="0.2">
      <c r="A79" s="7"/>
      <c r="B79" s="180" t="s">
        <v>468</v>
      </c>
      <c r="F79" s="32" t="s">
        <v>300</v>
      </c>
      <c r="H79" s="24">
        <f>H70-J41</f>
        <v>2275986218.927629</v>
      </c>
      <c r="J79" s="10"/>
    </row>
    <row r="80" spans="1:20" s="32" customFormat="1" x14ac:dyDescent="0.2">
      <c r="A80" s="7"/>
      <c r="B80" s="180" t="s">
        <v>469</v>
      </c>
      <c r="F80" s="32" t="s">
        <v>171</v>
      </c>
      <c r="H80" s="24">
        <f>H71-J42</f>
        <v>2303015302.3222909</v>
      </c>
      <c r="J80" s="10"/>
    </row>
    <row r="81" spans="1:21" s="32" customFormat="1" x14ac:dyDescent="0.2">
      <c r="A81" s="7"/>
      <c r="B81" s="180"/>
      <c r="H81" s="10"/>
      <c r="J81" s="10"/>
    </row>
    <row r="82" spans="1:21" s="48" customFormat="1" x14ac:dyDescent="0.2">
      <c r="B82" s="48" t="s">
        <v>485</v>
      </c>
      <c r="F82" s="48" t="s">
        <v>141</v>
      </c>
      <c r="H82" s="191">
        <f>H76/H$15+H77/H$16+H78/H$17+H79/H$18+H80/H$19</f>
        <v>10654721326.164707</v>
      </c>
      <c r="T82" s="178"/>
    </row>
    <row r="83" spans="1:21" s="32" customFormat="1" x14ac:dyDescent="0.2">
      <c r="A83" s="7"/>
      <c r="B83" s="180"/>
      <c r="H83" s="10"/>
      <c r="J83" s="10"/>
    </row>
    <row r="84" spans="1:21" s="32" customFormat="1" x14ac:dyDescent="0.2">
      <c r="A84" s="7"/>
      <c r="B84" s="108" t="s">
        <v>470</v>
      </c>
      <c r="H84" s="10"/>
      <c r="J84" s="10"/>
    </row>
    <row r="85" spans="1:21" s="32" customFormat="1" x14ac:dyDescent="0.2">
      <c r="A85" s="7"/>
      <c r="B85" s="32" t="s">
        <v>313</v>
      </c>
      <c r="F85" s="32" t="s">
        <v>26</v>
      </c>
      <c r="H85" s="124">
        <v>2189909806.9717116</v>
      </c>
      <c r="J85" s="9"/>
      <c r="L85" s="9"/>
      <c r="M85" s="9"/>
      <c r="N85" s="9"/>
      <c r="O85" s="9"/>
      <c r="P85" s="9"/>
      <c r="Q85" s="9"/>
      <c r="U85" s="32" t="s">
        <v>318</v>
      </c>
    </row>
    <row r="86" spans="1:21" s="32" customFormat="1" x14ac:dyDescent="0.2">
      <c r="A86" s="7"/>
      <c r="B86" s="32" t="s">
        <v>314</v>
      </c>
      <c r="F86" s="32" t="s">
        <v>171</v>
      </c>
      <c r="H86" s="34">
        <f>H80</f>
        <v>2303015302.3222909</v>
      </c>
      <c r="J86" s="9"/>
      <c r="L86" s="9"/>
      <c r="M86" s="9"/>
      <c r="N86" s="9"/>
      <c r="O86" s="9"/>
      <c r="P86" s="9"/>
      <c r="Q86" s="9"/>
      <c r="S86" s="175" t="s">
        <v>442</v>
      </c>
    </row>
    <row r="87" spans="1:21" s="32" customFormat="1" x14ac:dyDescent="0.2">
      <c r="A87" s="7"/>
      <c r="B87" s="32" t="s">
        <v>277</v>
      </c>
      <c r="H87" s="31">
        <f>(1+$H$22-(H86/H85)^(1/5))</f>
        <v>7.8773276229411326E-3</v>
      </c>
      <c r="J87" s="130"/>
      <c r="L87" s="130"/>
      <c r="M87" s="130"/>
      <c r="N87" s="130"/>
      <c r="O87" s="130"/>
      <c r="P87" s="130"/>
      <c r="Q87" s="130"/>
      <c r="S87" s="175" t="s">
        <v>443</v>
      </c>
    </row>
    <row r="88" spans="1:21" s="32" customFormat="1" x14ac:dyDescent="0.2">
      <c r="A88" s="7"/>
      <c r="H88" s="10"/>
      <c r="J88" s="10"/>
      <c r="L88" s="10"/>
      <c r="M88" s="10"/>
      <c r="N88" s="10"/>
      <c r="O88" s="10"/>
      <c r="P88" s="10"/>
      <c r="Q88" s="10"/>
    </row>
    <row r="89" spans="1:21" s="32" customFormat="1" x14ac:dyDescent="0.2">
      <c r="A89" s="7"/>
      <c r="B89" s="32" t="s">
        <v>279</v>
      </c>
      <c r="F89" s="32" t="s">
        <v>141</v>
      </c>
      <c r="H89" s="24">
        <f>H85*(1+$H$22-H$87)</f>
        <v>2212077546.4829946</v>
      </c>
      <c r="J89" s="42"/>
      <c r="L89" s="42"/>
      <c r="M89" s="42"/>
      <c r="N89" s="42"/>
      <c r="O89" s="42"/>
      <c r="P89" s="42"/>
      <c r="Q89" s="42"/>
    </row>
    <row r="90" spans="1:21" s="32" customFormat="1" x14ac:dyDescent="0.2">
      <c r="A90" s="7"/>
      <c r="B90" s="32" t="s">
        <v>280</v>
      </c>
      <c r="F90" s="32" t="s">
        <v>298</v>
      </c>
      <c r="H90" s="24">
        <f>H89*(1+$H$22-H$87)</f>
        <v>2234469682.7586904</v>
      </c>
      <c r="J90" s="42"/>
      <c r="L90" s="42"/>
      <c r="M90" s="42"/>
      <c r="N90" s="42"/>
      <c r="O90" s="42"/>
      <c r="P90" s="42"/>
      <c r="Q90" s="42"/>
    </row>
    <row r="91" spans="1:21" s="32" customFormat="1" x14ac:dyDescent="0.2">
      <c r="A91" s="7"/>
      <c r="B91" s="32" t="s">
        <v>281</v>
      </c>
      <c r="F91" s="32" t="s">
        <v>299</v>
      </c>
      <c r="H91" s="24">
        <f>H90*(1+$H$22-H$87)</f>
        <v>2257088487.2937274</v>
      </c>
      <c r="J91" s="42"/>
      <c r="L91" s="42"/>
      <c r="M91" s="42"/>
      <c r="N91" s="42"/>
      <c r="O91" s="42"/>
      <c r="P91" s="42"/>
      <c r="Q91" s="42"/>
    </row>
    <row r="92" spans="1:21" s="32" customFormat="1" x14ac:dyDescent="0.2">
      <c r="A92" s="7"/>
      <c r="B92" s="32" t="s">
        <v>282</v>
      </c>
      <c r="F92" s="32" t="s">
        <v>300</v>
      </c>
      <c r="H92" s="24">
        <f>H91*(1+$H$22-H$87)</f>
        <v>2279936254.5766335</v>
      </c>
      <c r="J92" s="42"/>
      <c r="L92" s="42"/>
      <c r="M92" s="42"/>
      <c r="N92" s="42"/>
      <c r="O92" s="42"/>
      <c r="P92" s="42"/>
      <c r="Q92" s="42"/>
    </row>
    <row r="93" spans="1:21" s="32" customFormat="1" x14ac:dyDescent="0.2">
      <c r="A93" s="7"/>
      <c r="B93" s="32" t="s">
        <v>283</v>
      </c>
      <c r="F93" s="32" t="s">
        <v>171</v>
      </c>
      <c r="H93" s="24">
        <f>H92*(1+$H$22-H$87)</f>
        <v>2303015302.3222914</v>
      </c>
      <c r="J93" s="42"/>
      <c r="L93" s="42"/>
      <c r="M93" s="42"/>
      <c r="N93" s="42"/>
      <c r="O93" s="42"/>
      <c r="P93" s="42"/>
      <c r="Q93" s="42"/>
    </row>
    <row r="94" spans="1:21" s="32" customFormat="1" x14ac:dyDescent="0.2">
      <c r="A94" s="7"/>
      <c r="J94" s="7"/>
      <c r="L94" s="7"/>
      <c r="M94" s="7"/>
      <c r="N94" s="7"/>
      <c r="O94" s="7"/>
      <c r="P94" s="7"/>
      <c r="Q94" s="7"/>
    </row>
    <row r="95" spans="1:21" s="32" customFormat="1" x14ac:dyDescent="0.2">
      <c r="A95" s="7"/>
      <c r="B95" s="32" t="s">
        <v>284</v>
      </c>
      <c r="F95" s="48" t="s">
        <v>141</v>
      </c>
      <c r="H95" s="191">
        <f>H89/H$15+H90/H$16+H91/H$17+H92/H$18+H93/H$19</f>
        <v>10654721326.165783</v>
      </c>
      <c r="J95" s="9"/>
      <c r="L95" s="9"/>
      <c r="M95" s="9"/>
      <c r="N95" s="9"/>
      <c r="O95" s="9"/>
      <c r="P95" s="9"/>
      <c r="Q95" s="9"/>
      <c r="S95" s="175" t="s">
        <v>441</v>
      </c>
    </row>
    <row r="96" spans="1:21" x14ac:dyDescent="0.2">
      <c r="J96" s="7"/>
    </row>
    <row r="97" spans="2:20" s="56" customFormat="1" ht="12" customHeight="1" x14ac:dyDescent="0.25">
      <c r="B97" s="56" t="s">
        <v>305</v>
      </c>
      <c r="H97" s="57"/>
      <c r="J97" s="57"/>
      <c r="K97" s="57"/>
      <c r="L97" s="57"/>
      <c r="M97" s="57"/>
      <c r="N97" s="57"/>
      <c r="R97" s="57"/>
      <c r="T97" s="57"/>
    </row>
    <row r="98" spans="2:20" x14ac:dyDescent="0.2">
      <c r="L98" s="8"/>
    </row>
    <row r="99" spans="2:20" s="32" customFormat="1" x14ac:dyDescent="0.2">
      <c r="B99" s="3" t="s">
        <v>129</v>
      </c>
      <c r="L99" s="8"/>
    </row>
    <row r="100" spans="2:20" x14ac:dyDescent="0.2">
      <c r="B100" s="2" t="s">
        <v>129</v>
      </c>
      <c r="D100" s="2" t="s">
        <v>302</v>
      </c>
      <c r="F100" s="32" t="s">
        <v>26</v>
      </c>
      <c r="H100" s="21">
        <f>H85</f>
        <v>2189909806.9717116</v>
      </c>
      <c r="J100" s="133"/>
      <c r="L100" s="8"/>
      <c r="M100" s="8"/>
      <c r="N100" s="8"/>
      <c r="O100" s="8"/>
      <c r="P100" s="8"/>
      <c r="Q100" s="8"/>
    </row>
    <row r="101" spans="2:20" x14ac:dyDescent="0.2">
      <c r="B101" s="2" t="s">
        <v>315</v>
      </c>
      <c r="F101" s="32" t="s">
        <v>27</v>
      </c>
      <c r="H101" s="123">
        <f>(H100+J32)/J25</f>
        <v>0.87127853255502696</v>
      </c>
      <c r="J101" s="142"/>
      <c r="L101" s="8"/>
    </row>
    <row r="103" spans="2:20" x14ac:dyDescent="0.2">
      <c r="B103" s="2" t="s">
        <v>301</v>
      </c>
      <c r="D103" s="2" t="s">
        <v>302</v>
      </c>
      <c r="F103" s="32" t="s">
        <v>26</v>
      </c>
      <c r="H103" s="9"/>
      <c r="J103" s="12">
        <f>SUM(L103:Q103)</f>
        <v>2649439481.4878631</v>
      </c>
      <c r="L103" s="12">
        <f t="shared" ref="L103:Q103" si="3">L25*$H$101</f>
        <v>16224742.221035266</v>
      </c>
      <c r="M103" s="12">
        <f t="shared" si="3"/>
        <v>896914390.51498282</v>
      </c>
      <c r="N103" s="12">
        <f t="shared" si="3"/>
        <v>994211507.33444417</v>
      </c>
      <c r="O103" s="12">
        <f t="shared" si="3"/>
        <v>9864077.7416972294</v>
      </c>
      <c r="P103" s="12">
        <f t="shared" si="3"/>
        <v>685104737.59938383</v>
      </c>
      <c r="Q103" s="12">
        <f t="shared" si="3"/>
        <v>47120026.076319486</v>
      </c>
    </row>
    <row r="104" spans="2:20" x14ac:dyDescent="0.2">
      <c r="B104" s="2" t="s">
        <v>303</v>
      </c>
      <c r="F104" s="2" t="s">
        <v>26</v>
      </c>
      <c r="H104" s="9"/>
      <c r="J104" s="12">
        <f>SUM(L104:Q104)</f>
        <v>2189909806.9717116</v>
      </c>
      <c r="L104" s="12">
        <f t="shared" ref="L104:Q104" si="4">L103-L32</f>
        <v>13115124.759783128</v>
      </c>
      <c r="M104" s="12">
        <f t="shared" si="4"/>
        <v>727701254.83758163</v>
      </c>
      <c r="N104" s="12">
        <f t="shared" si="4"/>
        <v>834227854.14704788</v>
      </c>
      <c r="O104" s="12">
        <f t="shared" si="4"/>
        <v>7847413.4597389121</v>
      </c>
      <c r="P104" s="12">
        <f t="shared" si="4"/>
        <v>569955694.42351437</v>
      </c>
      <c r="Q104" s="12">
        <f t="shared" si="4"/>
        <v>37062465.344045639</v>
      </c>
      <c r="S104" s="177" t="s">
        <v>454</v>
      </c>
    </row>
    <row r="105" spans="2:20" x14ac:dyDescent="0.2">
      <c r="L105" s="5"/>
      <c r="M105" s="5"/>
      <c r="N105" s="5"/>
      <c r="O105" s="5"/>
      <c r="P105" s="5"/>
      <c r="Q105" s="5"/>
    </row>
    <row r="106" spans="2:20" x14ac:dyDescent="0.2">
      <c r="B106" s="3" t="s">
        <v>304</v>
      </c>
      <c r="M106" s="5"/>
      <c r="N106" s="5"/>
      <c r="O106" s="5"/>
      <c r="P106" s="5"/>
      <c r="Q106" s="5"/>
      <c r="S106" s="5"/>
    </row>
    <row r="107" spans="2:20" x14ac:dyDescent="0.2">
      <c r="B107" s="2" t="s">
        <v>304</v>
      </c>
      <c r="D107" s="2" t="s">
        <v>124</v>
      </c>
      <c r="F107" s="2" t="s">
        <v>171</v>
      </c>
      <c r="H107" s="21">
        <f>H86</f>
        <v>2303015302.3222909</v>
      </c>
      <c r="J107" s="133"/>
      <c r="M107" s="5"/>
      <c r="N107" s="5"/>
      <c r="O107" s="5"/>
      <c r="P107" s="5"/>
      <c r="Q107" s="5"/>
      <c r="S107" s="177" t="s">
        <v>433</v>
      </c>
    </row>
    <row r="108" spans="2:20" x14ac:dyDescent="0.2">
      <c r="B108" s="2" t="s">
        <v>316</v>
      </c>
      <c r="F108" s="2" t="s">
        <v>171</v>
      </c>
      <c r="H108" s="123">
        <f>(H107+J56)/J25</f>
        <v>0.92257286420541307</v>
      </c>
      <c r="J108" s="142"/>
      <c r="M108" s="5"/>
      <c r="N108" s="5"/>
      <c r="O108" s="5"/>
      <c r="P108" s="5"/>
      <c r="Q108" s="5"/>
      <c r="S108" s="177" t="s">
        <v>438</v>
      </c>
    </row>
    <row r="109" spans="2:20" ht="12.75" customHeight="1" x14ac:dyDescent="0.2">
      <c r="J109" s="7"/>
      <c r="M109" s="5"/>
    </row>
    <row r="110" spans="2:20" x14ac:dyDescent="0.2">
      <c r="B110" s="32" t="s">
        <v>306</v>
      </c>
      <c r="D110" s="2" t="s">
        <v>124</v>
      </c>
      <c r="F110" s="2" t="s">
        <v>171</v>
      </c>
      <c r="H110" s="9"/>
      <c r="J110" s="12">
        <f>SUM(L110:Q110)</f>
        <v>2805418565.5271935</v>
      </c>
      <c r="L110" s="12">
        <f t="shared" ref="L110:Q110" si="5">L25*$H$108</f>
        <v>17179933.101255015</v>
      </c>
      <c r="M110" s="12">
        <f t="shared" si="5"/>
        <v>949717968.80832708</v>
      </c>
      <c r="N110" s="12">
        <f t="shared" si="5"/>
        <v>1052743208.6014239</v>
      </c>
      <c r="O110" s="12">
        <f t="shared" si="5"/>
        <v>10444800.502791831</v>
      </c>
      <c r="P110" s="12">
        <f t="shared" si="5"/>
        <v>725438555.44592202</v>
      </c>
      <c r="Q110" s="12">
        <f t="shared" si="5"/>
        <v>49894099.067473918</v>
      </c>
      <c r="R110" s="9"/>
      <c r="S110" s="175" t="s">
        <v>439</v>
      </c>
    </row>
    <row r="111" spans="2:20" x14ac:dyDescent="0.2">
      <c r="B111" s="2" t="s">
        <v>307</v>
      </c>
      <c r="F111" s="2" t="s">
        <v>171</v>
      </c>
      <c r="H111" s="9"/>
      <c r="J111" s="12">
        <f>SUM(L111:Q111)</f>
        <v>2303015302.3222904</v>
      </c>
      <c r="L111" s="12">
        <f t="shared" ref="L111:Q111" si="6">L110-L56</f>
        <v>13780191.916973539</v>
      </c>
      <c r="M111" s="12">
        <f t="shared" si="6"/>
        <v>764717442.71396184</v>
      </c>
      <c r="N111" s="12">
        <f t="shared" si="6"/>
        <v>877833265.06966102</v>
      </c>
      <c r="O111" s="12">
        <f t="shared" si="6"/>
        <v>8239983.7690054234</v>
      </c>
      <c r="P111" s="12">
        <f t="shared" si="6"/>
        <v>599546239.33512473</v>
      </c>
      <c r="Q111" s="12">
        <f t="shared" si="6"/>
        <v>38898179.517564029</v>
      </c>
      <c r="S111" s="175" t="s">
        <v>440</v>
      </c>
    </row>
    <row r="112" spans="2:20" x14ac:dyDescent="0.2">
      <c r="H112" s="7"/>
    </row>
    <row r="113" spans="2:19" x14ac:dyDescent="0.2">
      <c r="B113" s="3" t="s">
        <v>308</v>
      </c>
      <c r="H113" s="7"/>
    </row>
    <row r="114" spans="2:19" x14ac:dyDescent="0.2">
      <c r="B114" s="2" t="s">
        <v>309</v>
      </c>
      <c r="H114" s="142"/>
      <c r="J114" s="126">
        <f>(1+$H$22-(J111/J104)^(1/5))*100</f>
        <v>0.78773276229411326</v>
      </c>
      <c r="L114" s="126">
        <f t="shared" ref="L114:Q114" si="7">(1+$H$22-(L111/L104)^(1/5))*100</f>
        <v>0.80576870466166906</v>
      </c>
      <c r="M114" s="126">
        <f t="shared" si="7"/>
        <v>0.80274401834379283</v>
      </c>
      <c r="N114" s="126">
        <f t="shared" si="7"/>
        <v>0.77578847374599746</v>
      </c>
      <c r="O114" s="126">
        <f t="shared" si="7"/>
        <v>0.81893091905878013</v>
      </c>
      <c r="P114" s="126">
        <f t="shared" si="7"/>
        <v>0.78256956575051273</v>
      </c>
      <c r="Q114" s="126">
        <f t="shared" si="7"/>
        <v>0.82845668872137956</v>
      </c>
      <c r="S114" s="175" t="s">
        <v>432</v>
      </c>
    </row>
    <row r="115" spans="2:19" x14ac:dyDescent="0.2">
      <c r="B115" s="2" t="s">
        <v>310</v>
      </c>
      <c r="H115" s="142"/>
      <c r="J115" s="126">
        <f>IF(J114&gt;0,ROUNDDOWN(J114,2),ROUNDUP(J114,2))</f>
        <v>0.78</v>
      </c>
      <c r="L115" s="126">
        <f>IF(L114&gt;0,ROUNDDOWN(L114,2),ROUNDUP(L114,2))</f>
        <v>0.8</v>
      </c>
      <c r="M115" s="126">
        <f t="shared" ref="M115:Q115" si="8">IF(M114&gt;0,ROUNDDOWN(M114,2),ROUNDUP(M114,2))</f>
        <v>0.8</v>
      </c>
      <c r="N115" s="126">
        <f t="shared" si="8"/>
        <v>0.77</v>
      </c>
      <c r="O115" s="126">
        <f t="shared" si="8"/>
        <v>0.81</v>
      </c>
      <c r="P115" s="126">
        <f t="shared" si="8"/>
        <v>0.78</v>
      </c>
      <c r="Q115" s="126">
        <f t="shared" si="8"/>
        <v>0.82</v>
      </c>
    </row>
    <row r="117" spans="2:19" s="32" customFormat="1" x14ac:dyDescent="0.2"/>
  </sheetData>
  <mergeCells count="2">
    <mergeCell ref="B5:D5"/>
    <mergeCell ref="B8:D8"/>
  </mergeCells>
  <phoneticPr fontId="3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4">
    <tabColor rgb="FFFFFFCC"/>
  </sheetPr>
  <dimension ref="A1:U359"/>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32" customWidth="1"/>
    <col min="2" max="2" width="82.85546875" style="32" bestFit="1" customWidth="1"/>
    <col min="3" max="3" width="2.7109375" style="32" customWidth="1"/>
    <col min="4" max="4" width="17" style="32" customWidth="1"/>
    <col min="5" max="5" width="2.7109375" style="32" customWidth="1"/>
    <col min="6" max="6" width="14.28515625" style="32" bestFit="1" customWidth="1"/>
    <col min="7" max="7" width="2.7109375" style="32" customWidth="1"/>
    <col min="8" max="8" width="19.28515625" style="32" bestFit="1" customWidth="1"/>
    <col min="9" max="9" width="2.7109375" style="32" customWidth="1"/>
    <col min="10" max="10" width="19.28515625" style="32" bestFit="1" customWidth="1"/>
    <col min="11" max="11" width="2.7109375" style="32" customWidth="1"/>
    <col min="12" max="17" width="14.7109375" style="32" customWidth="1"/>
    <col min="18" max="18" width="2.7109375" style="32" customWidth="1"/>
    <col min="19" max="19" width="14.7109375" style="32" customWidth="1"/>
    <col min="20" max="20" width="2.7109375" style="32" customWidth="1"/>
    <col min="21" max="16384" width="9.140625" style="32"/>
  </cols>
  <sheetData>
    <row r="1" spans="1:21" s="48" customFormat="1" x14ac:dyDescent="0.25"/>
    <row r="2" spans="1:21" s="49" customFormat="1" ht="18" x14ac:dyDescent="0.25">
      <c r="B2" s="49" t="s">
        <v>542</v>
      </c>
    </row>
    <row r="3" spans="1:21" s="48" customFormat="1" x14ac:dyDescent="0.25"/>
    <row r="4" spans="1:21" s="48" customFormat="1" ht="15" x14ac:dyDescent="0.25">
      <c r="B4" s="50" t="s">
        <v>71</v>
      </c>
      <c r="G4" s="51"/>
      <c r="H4" s="51"/>
      <c r="J4" s="51"/>
      <c r="O4" s="51"/>
    </row>
    <row r="5" spans="1:21" s="48" customFormat="1" ht="18.75" customHeight="1" x14ac:dyDescent="0.25">
      <c r="B5" s="212" t="s">
        <v>292</v>
      </c>
      <c r="C5" s="212"/>
    </row>
    <row r="6" spans="1:21" ht="12.75" customHeight="1" x14ac:dyDescent="0.2">
      <c r="B6" s="13"/>
      <c r="F6" s="14"/>
      <c r="G6" s="14"/>
      <c r="H6" s="14"/>
      <c r="I6" s="14"/>
      <c r="J6" s="14"/>
      <c r="K6" s="14"/>
      <c r="L6" s="14"/>
      <c r="M6" s="14"/>
      <c r="N6" s="14"/>
      <c r="O6" s="14"/>
      <c r="R6" s="14"/>
      <c r="T6" s="14"/>
    </row>
    <row r="7" spans="1:21" ht="12.75" customHeight="1" x14ac:dyDescent="0.2">
      <c r="B7" s="59" t="s">
        <v>134</v>
      </c>
      <c r="F7" s="14"/>
      <c r="G7" s="14"/>
      <c r="H7" s="14"/>
      <c r="I7" s="14"/>
      <c r="J7" s="14"/>
      <c r="K7" s="14"/>
      <c r="L7" s="14"/>
      <c r="M7" s="14"/>
      <c r="N7" s="14"/>
      <c r="O7" s="14"/>
      <c r="R7" s="14"/>
      <c r="T7" s="14"/>
    </row>
    <row r="8" spans="1:21" s="48" customFormat="1" ht="51" x14ac:dyDescent="0.25">
      <c r="B8" s="125" t="s">
        <v>288</v>
      </c>
      <c r="C8" s="125"/>
    </row>
    <row r="9" spans="1:21" ht="12.75" customHeight="1" x14ac:dyDescent="0.2">
      <c r="B9" s="13"/>
      <c r="F9" s="14"/>
      <c r="G9" s="14"/>
      <c r="H9" s="14"/>
      <c r="I9" s="14"/>
      <c r="J9" s="14"/>
      <c r="K9" s="14"/>
      <c r="L9" s="14"/>
      <c r="M9" s="14"/>
      <c r="N9" s="14"/>
      <c r="O9" s="14"/>
      <c r="R9" s="14"/>
      <c r="T9" s="14"/>
    </row>
    <row r="10" spans="1:21" s="56" customFormat="1" x14ac:dyDescent="0.25">
      <c r="B10" s="56" t="s">
        <v>75</v>
      </c>
      <c r="D10" s="56" t="s">
        <v>17</v>
      </c>
      <c r="F10" s="56" t="s">
        <v>1</v>
      </c>
      <c r="H10" s="57" t="s">
        <v>329</v>
      </c>
      <c r="I10" s="57"/>
      <c r="J10" s="57" t="s">
        <v>330</v>
      </c>
      <c r="K10" s="57"/>
      <c r="L10" s="57" t="s">
        <v>69</v>
      </c>
      <c r="M10" s="57" t="s">
        <v>4</v>
      </c>
      <c r="N10" s="57" t="s">
        <v>5</v>
      </c>
      <c r="O10" s="56" t="s">
        <v>6</v>
      </c>
      <c r="P10" s="56" t="s">
        <v>7</v>
      </c>
      <c r="Q10" s="56" t="s">
        <v>8</v>
      </c>
      <c r="R10" s="57"/>
      <c r="S10" s="56" t="s">
        <v>267</v>
      </c>
      <c r="T10" s="57"/>
      <c r="U10" s="56" t="s">
        <v>125</v>
      </c>
    </row>
    <row r="11" spans="1:21" x14ac:dyDescent="0.2">
      <c r="G11" s="211"/>
    </row>
    <row r="12" spans="1:21" s="56" customFormat="1" x14ac:dyDescent="0.25">
      <c r="B12" s="56" t="s">
        <v>0</v>
      </c>
      <c r="H12" s="57"/>
      <c r="I12" s="57"/>
      <c r="J12" s="57"/>
      <c r="K12" s="57"/>
      <c r="L12" s="57"/>
      <c r="M12" s="57"/>
      <c r="N12" s="57"/>
      <c r="R12" s="57"/>
      <c r="T12" s="57"/>
    </row>
    <row r="14" spans="1:21" x14ac:dyDescent="0.2">
      <c r="B14" s="3" t="s">
        <v>21</v>
      </c>
    </row>
    <row r="15" spans="1:21" x14ac:dyDescent="0.2">
      <c r="A15" s="7"/>
      <c r="B15" s="32" t="s">
        <v>399</v>
      </c>
      <c r="F15" s="32" t="s">
        <v>14</v>
      </c>
      <c r="H15" s="22">
        <f>'1) Reguleringsparameters'!H24</f>
        <v>1.7999999999999999E-2</v>
      </c>
    </row>
    <row r="16" spans="1:21" x14ac:dyDescent="0.2">
      <c r="S16" s="48"/>
    </row>
    <row r="17" spans="2:21" x14ac:dyDescent="0.2">
      <c r="B17" s="3" t="s">
        <v>64</v>
      </c>
      <c r="H17" s="10"/>
      <c r="J17" s="10"/>
    </row>
    <row r="18" spans="2:21" x14ac:dyDescent="0.2">
      <c r="B18" s="32" t="s">
        <v>164</v>
      </c>
      <c r="F18" s="32" t="s">
        <v>26</v>
      </c>
      <c r="H18" s="137"/>
      <c r="J18" s="33">
        <f>SUM(L18:Q18)</f>
        <v>2.1606683731079102E-7</v>
      </c>
      <c r="L18" s="17">
        <f>'1) Reguleringsparameters'!H37</f>
        <v>4822740.8938368913</v>
      </c>
      <c r="M18" s="17">
        <f>'1) Reguleringsparameters'!H38</f>
        <v>25895281.033806879</v>
      </c>
      <c r="N18" s="17">
        <f>'1) Reguleringsparameters'!H39</f>
        <v>-6986651.1138314363</v>
      </c>
      <c r="O18" s="17">
        <f>'1) Reguleringsparameters'!H40</f>
        <v>-63881.848380199328</v>
      </c>
      <c r="P18" s="17">
        <f>'1) Reguleringsparameters'!H41</f>
        <v>-25144803.556875207</v>
      </c>
      <c r="Q18" s="17">
        <f>'1) Reguleringsparameters'!H42</f>
        <v>1477314.5914432928</v>
      </c>
    </row>
    <row r="19" spans="2:21" x14ac:dyDescent="0.2">
      <c r="H19" s="10"/>
      <c r="J19" s="10"/>
    </row>
    <row r="20" spans="2:21" x14ac:dyDescent="0.2">
      <c r="B20" s="3" t="s">
        <v>286</v>
      </c>
      <c r="H20" s="10"/>
      <c r="J20" s="10"/>
    </row>
    <row r="21" spans="2:21" x14ac:dyDescent="0.2">
      <c r="B21" s="32" t="s">
        <v>311</v>
      </c>
      <c r="F21" s="32" t="s">
        <v>26</v>
      </c>
      <c r="H21" s="140"/>
      <c r="J21" s="167"/>
      <c r="L21" s="17">
        <f>'7) X-factor + begininkomsten'!L104</f>
        <v>13115124.759783128</v>
      </c>
      <c r="M21" s="17">
        <f>'7) X-factor + begininkomsten'!M104</f>
        <v>727701254.83758163</v>
      </c>
      <c r="N21" s="17">
        <f>'7) X-factor + begininkomsten'!N104</f>
        <v>834227854.14704788</v>
      </c>
      <c r="O21" s="17">
        <f>'7) X-factor + begininkomsten'!O104</f>
        <v>7847413.4597389121</v>
      </c>
      <c r="P21" s="17">
        <f>'7) X-factor + begininkomsten'!P104</f>
        <v>569955694.42351437</v>
      </c>
      <c r="Q21" s="17">
        <f>'7) X-factor + begininkomsten'!Q104</f>
        <v>37062465.344045639</v>
      </c>
    </row>
    <row r="22" spans="2:21" x14ac:dyDescent="0.2">
      <c r="B22" s="32" t="s">
        <v>278</v>
      </c>
      <c r="H22" s="144"/>
      <c r="J22" s="127">
        <f>'7) X-factor + begininkomsten'!J115</f>
        <v>0.78</v>
      </c>
      <c r="L22" s="127">
        <f>'7) X-factor + begininkomsten'!L115</f>
        <v>0.8</v>
      </c>
      <c r="M22" s="127">
        <f>'7) X-factor + begininkomsten'!M115</f>
        <v>0.8</v>
      </c>
      <c r="N22" s="127">
        <f>'7) X-factor + begininkomsten'!N115</f>
        <v>0.77</v>
      </c>
      <c r="O22" s="127">
        <f>'7) X-factor + begininkomsten'!O115</f>
        <v>0.81</v>
      </c>
      <c r="P22" s="127">
        <f>'7) X-factor + begininkomsten'!P115</f>
        <v>0.78</v>
      </c>
      <c r="Q22" s="127">
        <f>'7) X-factor + begininkomsten'!Q115</f>
        <v>0.82</v>
      </c>
    </row>
    <row r="23" spans="2:21" x14ac:dyDescent="0.2">
      <c r="H23" s="10"/>
      <c r="J23" s="10"/>
    </row>
    <row r="24" spans="2:21" s="56" customFormat="1" ht="12" customHeight="1" x14ac:dyDescent="0.25">
      <c r="B24" s="56" t="s">
        <v>183</v>
      </c>
      <c r="H24" s="57"/>
      <c r="I24" s="57"/>
      <c r="J24" s="57"/>
      <c r="K24" s="57"/>
      <c r="L24" s="57"/>
      <c r="M24" s="57"/>
      <c r="N24" s="57"/>
      <c r="R24" s="57"/>
      <c r="T24" s="57"/>
    </row>
    <row r="25" spans="2:21" x14ac:dyDescent="0.2">
      <c r="H25" s="10"/>
      <c r="J25" s="10"/>
      <c r="L25" s="36"/>
    </row>
    <row r="26" spans="2:21" x14ac:dyDescent="0.2">
      <c r="B26" s="3" t="s">
        <v>403</v>
      </c>
      <c r="H26" s="10"/>
      <c r="J26" s="10"/>
      <c r="L26" s="145"/>
    </row>
    <row r="27" spans="2:21" x14ac:dyDescent="0.2">
      <c r="B27" s="32" t="s">
        <v>312</v>
      </c>
      <c r="F27" s="32" t="s">
        <v>26</v>
      </c>
      <c r="H27" s="42"/>
      <c r="J27" s="24">
        <f>SUM(L27:Q27)</f>
        <v>10694776146.514681</v>
      </c>
      <c r="L27" s="34">
        <f>L21*(1-L22/100)+L21*(1-L22/100)^2+L21*(1-L22/100)^3+L21*(1-L22/100)^4+L21*(1-L22/100)^5+L18</f>
        <v>68841236.679000467</v>
      </c>
      <c r="M27" s="34">
        <f t="shared" ref="M27:Q27" si="0">M21*(1-M22/100)+M21*(1-M22/100)^2+M21*(1-M22/100)^3+M21*(1-M22/100)^4+M21*(1-M22/100)^5+M18</f>
        <v>3578003291.3619003</v>
      </c>
      <c r="N27" s="34">
        <f t="shared" si="0"/>
        <v>4068782834.6415043</v>
      </c>
      <c r="O27" s="34">
        <f t="shared" si="0"/>
        <v>38229959.736748733</v>
      </c>
      <c r="P27" s="34">
        <f t="shared" si="0"/>
        <v>2758638329.9396086</v>
      </c>
      <c r="Q27" s="34">
        <f t="shared" si="0"/>
        <v>182280494.15591842</v>
      </c>
      <c r="R27" s="9"/>
    </row>
    <row r="28" spans="2:21" x14ac:dyDescent="0.2">
      <c r="B28" s="128" t="s">
        <v>404</v>
      </c>
      <c r="F28" s="32" t="s">
        <v>26</v>
      </c>
      <c r="H28" s="42"/>
      <c r="J28" s="24">
        <f>SUM(L28:Q28)</f>
        <v>10694776146.594112</v>
      </c>
      <c r="L28" s="34">
        <f>L21*(1-L22/100+L31/100)+L21*(1-L22/100+L31/100)^2+L21*(1-L22/100+L31/100)^3+L21*(1-L22/100+L31/100)^4+L21*(1-L22/100+L31/100)^5</f>
        <v>68841236.679000482</v>
      </c>
      <c r="M28" s="34">
        <f>M21*(1-M22/100+M31/100)+M21*(1-M22/100+M31/100)^2+M21*(1-M22/100+M31/100)^3+M21*(1-M22/100+M31/100)^4+M21*(1-M22/100+M31/100)^5</f>
        <v>3578003291.3618999</v>
      </c>
      <c r="N28" s="34">
        <f t="shared" ref="N28:Q28" si="1">N21*(1-N22/100+N31/100)+N21*(1-N22/100+N31/100)^2+N21*(1-N22/100+N31/100)^3+N21*(1-N22/100+N31/100)^4+N21*(1-N22/100+N31/100)^5</f>
        <v>4068782834.717289</v>
      </c>
      <c r="O28" s="34">
        <f t="shared" si="1"/>
        <v>38229959.740396932</v>
      </c>
      <c r="P28" s="34">
        <f t="shared" si="1"/>
        <v>2758638329.9396086</v>
      </c>
      <c r="Q28" s="34">
        <f t="shared" si="1"/>
        <v>182280494.15591842</v>
      </c>
      <c r="R28" s="9"/>
    </row>
    <row r="29" spans="2:21" x14ac:dyDescent="0.2">
      <c r="H29" s="10"/>
      <c r="J29" s="10"/>
    </row>
    <row r="30" spans="2:21" x14ac:dyDescent="0.2">
      <c r="B30" s="3" t="s">
        <v>285</v>
      </c>
      <c r="H30" s="10"/>
      <c r="J30" s="10"/>
      <c r="L30" s="36"/>
    </row>
    <row r="31" spans="2:21" x14ac:dyDescent="0.2">
      <c r="B31" s="32" t="s">
        <v>64</v>
      </c>
      <c r="H31" s="10"/>
      <c r="J31" s="10"/>
      <c r="L31" s="146">
        <v>2.4243609313851775</v>
      </c>
      <c r="M31" s="146">
        <v>0.24157545769717617</v>
      </c>
      <c r="N31" s="146">
        <v>-5.7036941410493994E-2</v>
      </c>
      <c r="O31" s="146">
        <v>-5.5498169839379642E-2</v>
      </c>
      <c r="P31" s="146">
        <v>-0.30151926658562517</v>
      </c>
      <c r="Q31" s="146">
        <v>0.27063710886163223</v>
      </c>
      <c r="U31" s="175" t="s">
        <v>453</v>
      </c>
    </row>
    <row r="32" spans="2:21" x14ac:dyDescent="0.2">
      <c r="B32" s="32" t="s">
        <v>287</v>
      </c>
      <c r="L32" s="147">
        <f>IF(L31&gt;0,ROUNDUP(L31,2),ROUNDDOWN(L31,2))</f>
        <v>2.4299999999999997</v>
      </c>
      <c r="M32" s="147">
        <f t="shared" ref="M32:Q32" si="2">IF(M31&gt;0,ROUNDUP(M31,2),ROUNDDOWN(M31,2))</f>
        <v>0.25</v>
      </c>
      <c r="N32" s="147">
        <f t="shared" si="2"/>
        <v>-0.05</v>
      </c>
      <c r="O32" s="147">
        <f t="shared" si="2"/>
        <v>-0.05</v>
      </c>
      <c r="P32" s="147">
        <f t="shared" si="2"/>
        <v>-0.3</v>
      </c>
      <c r="Q32" s="147">
        <f t="shared" si="2"/>
        <v>0.28000000000000003</v>
      </c>
    </row>
    <row r="34" spans="2:21" s="56" customFormat="1" ht="12" customHeight="1" x14ac:dyDescent="0.25">
      <c r="B34" s="56" t="s">
        <v>317</v>
      </c>
      <c r="H34" s="57"/>
      <c r="I34" s="57"/>
      <c r="J34" s="57"/>
      <c r="K34" s="57"/>
      <c r="L34" s="57"/>
      <c r="M34" s="57"/>
      <c r="N34" s="57"/>
      <c r="R34" s="57"/>
      <c r="T34" s="57"/>
    </row>
    <row r="36" spans="2:21" x14ac:dyDescent="0.2">
      <c r="B36" s="32" t="s">
        <v>293</v>
      </c>
      <c r="F36" s="32" t="s">
        <v>141</v>
      </c>
      <c r="H36" s="42"/>
      <c r="J36" s="43">
        <f>SUM(L36:Q36)</f>
        <v>2212275788.1567888</v>
      </c>
      <c r="L36" s="43">
        <f>L21*(1-L$22/100+L$32/100+$H$15)</f>
        <v>13564973.539043689</v>
      </c>
      <c r="M36" s="43">
        <f t="shared" ref="M36:Q36" si="3">M21*(1-M$22/100+M$32/100+$H$15)</f>
        <v>736797520.52305138</v>
      </c>
      <c r="N36" s="43">
        <f t="shared" si="3"/>
        <v>842403287.11768901</v>
      </c>
      <c r="O36" s="43">
        <f t="shared" si="3"/>
        <v>7921179.146260458</v>
      </c>
      <c r="P36" s="43">
        <f t="shared" si="3"/>
        <v>574059375.42336357</v>
      </c>
      <c r="Q36" s="43">
        <f t="shared" si="3"/>
        <v>37529452.407380611</v>
      </c>
      <c r="U36" s="175"/>
    </row>
    <row r="37" spans="2:21" x14ac:dyDescent="0.2">
      <c r="B37" s="32" t="s">
        <v>294</v>
      </c>
      <c r="F37" s="32" t="s">
        <v>298</v>
      </c>
      <c r="H37" s="42"/>
      <c r="J37" s="43">
        <f>SUM(L37:Q37)</f>
        <v>2234887145.6568255</v>
      </c>
      <c r="L37" s="43">
        <f>L36*(1-L$22/100+L$32/100+$H$15)</f>
        <v>14030252.131432887</v>
      </c>
      <c r="M37" s="43">
        <f t="shared" ref="M37:Q37" si="4">M36*(1-M$22/100+M$32/100+$H$15)</f>
        <v>746007489.52958953</v>
      </c>
      <c r="N37" s="43">
        <f t="shared" si="4"/>
        <v>850658839.33144236</v>
      </c>
      <c r="O37" s="43">
        <f t="shared" si="4"/>
        <v>7995638.2302353065</v>
      </c>
      <c r="P37" s="43">
        <f t="shared" si="4"/>
        <v>578192602.92641175</v>
      </c>
      <c r="Q37" s="43">
        <f t="shared" si="4"/>
        <v>38002323.507713601</v>
      </c>
    </row>
    <row r="38" spans="2:21" x14ac:dyDescent="0.2">
      <c r="B38" s="32" t="s">
        <v>295</v>
      </c>
      <c r="F38" s="32" t="s">
        <v>299</v>
      </c>
      <c r="H38" s="42"/>
      <c r="J38" s="43">
        <f>SUM(L38:Q38)</f>
        <v>2257746908.566133</v>
      </c>
      <c r="L38" s="43">
        <f t="shared" ref="L38:L40" si="5">L37*(1-L$22/100+L$32/100+$H$15)</f>
        <v>14511489.779541034</v>
      </c>
      <c r="M38" s="43">
        <f t="shared" ref="M38:M40" si="6">M37*(1-M$22/100+M$32/100+$H$15)</f>
        <v>755332583.14870942</v>
      </c>
      <c r="N38" s="43">
        <f t="shared" ref="N38:N40" si="7">N37*(1-N$22/100+N$32/100+$H$15)</f>
        <v>858995295.95689046</v>
      </c>
      <c r="O38" s="43">
        <f t="shared" ref="O38:O40" si="8">O37*(1-O$22/100+O$32/100+$H$15)</f>
        <v>8070797.2295995187</v>
      </c>
      <c r="P38" s="43">
        <f t="shared" ref="P38:P40" si="9">P37*(1-P$22/100+P$32/100+$H$15)</f>
        <v>582355589.66748178</v>
      </c>
      <c r="Q38" s="43">
        <f t="shared" ref="Q38:Q40" si="10">Q37*(1-Q$22/100+Q$32/100+$H$15)</f>
        <v>38481152.783910789</v>
      </c>
    </row>
    <row r="39" spans="2:21" x14ac:dyDescent="0.2">
      <c r="B39" s="32" t="s">
        <v>296</v>
      </c>
      <c r="F39" s="32" t="s">
        <v>300</v>
      </c>
      <c r="H39" s="42"/>
      <c r="J39" s="43">
        <f>SUM(L39:Q39)</f>
        <v>2280858152.1199489</v>
      </c>
      <c r="L39" s="43">
        <f t="shared" si="5"/>
        <v>15009233.878979292</v>
      </c>
      <c r="M39" s="43">
        <f t="shared" si="6"/>
        <v>764774240.43806827</v>
      </c>
      <c r="N39" s="43">
        <f t="shared" si="7"/>
        <v>867413449.85726798</v>
      </c>
      <c r="O39" s="43">
        <f t="shared" si="8"/>
        <v>8146662.7235577544</v>
      </c>
      <c r="P39" s="43">
        <f t="shared" si="9"/>
        <v>586548549.91308761</v>
      </c>
      <c r="Q39" s="43">
        <f t="shared" si="10"/>
        <v>38966015.308988065</v>
      </c>
    </row>
    <row r="40" spans="2:21" x14ac:dyDescent="0.2">
      <c r="B40" s="32" t="s">
        <v>297</v>
      </c>
      <c r="F40" s="32" t="s">
        <v>171</v>
      </c>
      <c r="H40" s="42"/>
      <c r="J40" s="43">
        <f>SUM(L40:Q40)</f>
        <v>2304223998.6379442</v>
      </c>
      <c r="L40" s="43">
        <f t="shared" si="5"/>
        <v>15524050.601028282</v>
      </c>
      <c r="M40" s="43">
        <f t="shared" si="6"/>
        <v>774333918.44354415</v>
      </c>
      <c r="N40" s="43">
        <f t="shared" si="7"/>
        <v>875914101.66586924</v>
      </c>
      <c r="O40" s="43">
        <f t="shared" si="8"/>
        <v>8223241.3531591976</v>
      </c>
      <c r="P40" s="43">
        <f t="shared" si="9"/>
        <v>590771699.47246182</v>
      </c>
      <c r="Q40" s="43">
        <f t="shared" si="10"/>
        <v>39456987.10188131</v>
      </c>
    </row>
    <row r="359" spans="12:12" x14ac:dyDescent="0.2">
      <c r="L359" s="32">
        <v>0</v>
      </c>
    </row>
  </sheetData>
  <mergeCells count="1">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CCC8D9"/>
  </sheetPr>
  <dimension ref="A2:R85"/>
  <sheetViews>
    <sheetView showGridLines="0" zoomScale="85" zoomScaleNormal="85" workbookViewId="0">
      <pane ySplit="3" topLeftCell="A4" activePane="bottomLeft" state="frozen"/>
      <selection pane="bottomLeft" activeCell="A4" sqref="A4"/>
    </sheetView>
  </sheetViews>
  <sheetFormatPr defaultRowHeight="12.75" x14ac:dyDescent="0.25"/>
  <cols>
    <col min="1" max="1" width="4.7109375" style="48" customWidth="1"/>
    <col min="2" max="2" width="19.140625" style="48" customWidth="1"/>
    <col min="3" max="3" width="2.7109375" style="48" customWidth="1"/>
    <col min="4" max="4" width="40.7109375" style="48" customWidth="1"/>
    <col min="5" max="5" width="2.7109375" style="48" customWidth="1"/>
    <col min="6" max="6" width="20.7109375" style="48" customWidth="1"/>
    <col min="7" max="7" width="2.7109375" style="48" customWidth="1"/>
    <col min="8" max="8" width="40.7109375" style="48" customWidth="1"/>
    <col min="9" max="9" width="2.7109375" style="48" customWidth="1"/>
    <col min="10" max="10" width="20.7109375" style="48" customWidth="1"/>
    <col min="11" max="11" width="4.7109375" style="48" customWidth="1"/>
    <col min="12" max="12" width="40.7109375" style="48" customWidth="1"/>
    <col min="13" max="13" width="4.7109375" style="48" customWidth="1"/>
    <col min="14" max="14" width="20.7109375" style="48" customWidth="1"/>
    <col min="15" max="15" width="4.7109375" style="48" customWidth="1"/>
    <col min="16" max="16" width="40.7109375" style="48" customWidth="1"/>
    <col min="17" max="17" width="4.7109375" style="48" customWidth="1"/>
    <col min="18" max="16384" width="9.140625" style="48"/>
  </cols>
  <sheetData>
    <row r="2" spans="1:17" s="78" customFormat="1" ht="18" x14ac:dyDescent="0.25">
      <c r="B2" s="78" t="s">
        <v>206</v>
      </c>
    </row>
    <row r="4" spans="1:17" s="79" customFormat="1" x14ac:dyDescent="0.25">
      <c r="B4" s="79" t="s">
        <v>207</v>
      </c>
    </row>
    <row r="5" spans="1:17" x14ac:dyDescent="0.25">
      <c r="A5" s="73"/>
    </row>
    <row r="6" spans="1:17" ht="51.75" customHeight="1" x14ac:dyDescent="0.25">
      <c r="B6" s="212" t="s">
        <v>266</v>
      </c>
      <c r="C6" s="212"/>
      <c r="D6" s="212"/>
      <c r="E6" s="212"/>
      <c r="F6" s="212"/>
      <c r="G6" s="212"/>
    </row>
    <row r="7" spans="1:17" x14ac:dyDescent="0.25">
      <c r="H7" s="80"/>
    </row>
    <row r="9" spans="1:17" s="79" customFormat="1" x14ac:dyDescent="0.25">
      <c r="B9" s="79" t="s">
        <v>208</v>
      </c>
    </row>
    <row r="10" spans="1:17" x14ac:dyDescent="0.2">
      <c r="F10" s="81"/>
    </row>
    <row r="11" spans="1:17" x14ac:dyDescent="0.2">
      <c r="F11" s="81"/>
    </row>
    <row r="12" spans="1:17" x14ac:dyDescent="0.25">
      <c r="C12" s="82"/>
      <c r="D12" s="83"/>
      <c r="E12" s="84"/>
      <c r="G12" s="82"/>
      <c r="H12" s="83"/>
      <c r="I12" s="84"/>
      <c r="K12" s="82"/>
      <c r="L12" s="83"/>
      <c r="M12" s="84"/>
      <c r="O12" s="82"/>
      <c r="P12" s="83"/>
      <c r="Q12" s="84"/>
    </row>
    <row r="13" spans="1:17" x14ac:dyDescent="0.25">
      <c r="C13" s="85"/>
      <c r="D13" s="86" t="s">
        <v>262</v>
      </c>
      <c r="E13" s="87"/>
      <c r="G13" s="85"/>
      <c r="H13" s="88" t="s">
        <v>209</v>
      </c>
      <c r="I13" s="87"/>
      <c r="K13" s="85"/>
      <c r="L13" s="121" t="s">
        <v>261</v>
      </c>
      <c r="M13" s="87"/>
      <c r="O13" s="85"/>
      <c r="P13" s="88" t="s">
        <v>63</v>
      </c>
      <c r="Q13" s="87"/>
    </row>
    <row r="14" spans="1:17" x14ac:dyDescent="0.25">
      <c r="C14" s="89"/>
      <c r="D14" s="90"/>
      <c r="E14" s="91"/>
      <c r="G14" s="89"/>
      <c r="H14" s="90"/>
      <c r="I14" s="91"/>
      <c r="K14" s="89"/>
      <c r="L14" s="90"/>
      <c r="M14" s="91"/>
      <c r="O14" s="89"/>
      <c r="P14" s="90"/>
      <c r="Q14" s="91"/>
    </row>
    <row r="15" spans="1:17" x14ac:dyDescent="0.25">
      <c r="C15" s="92"/>
      <c r="D15" s="92"/>
      <c r="E15" s="92"/>
      <c r="G15" s="92"/>
      <c r="H15" s="92"/>
      <c r="I15" s="92"/>
    </row>
    <row r="16" spans="1:17" x14ac:dyDescent="0.25">
      <c r="C16" s="92"/>
      <c r="D16" s="92"/>
      <c r="E16" s="92"/>
      <c r="G16" s="92"/>
      <c r="H16" s="92"/>
      <c r="I16" s="92"/>
    </row>
    <row r="17" spans="1:18" x14ac:dyDescent="0.25">
      <c r="C17" s="92"/>
      <c r="D17" s="92"/>
      <c r="E17" s="92"/>
      <c r="G17" s="92"/>
      <c r="H17" s="92"/>
      <c r="I17" s="92"/>
      <c r="K17" s="82"/>
      <c r="L17" s="83"/>
      <c r="M17" s="84"/>
      <c r="O17" s="82"/>
      <c r="P17" s="83"/>
      <c r="Q17" s="84"/>
    </row>
    <row r="18" spans="1:18" x14ac:dyDescent="0.25">
      <c r="C18" s="92"/>
      <c r="D18" s="92"/>
      <c r="E18" s="92"/>
      <c r="G18" s="92"/>
      <c r="H18" s="92"/>
      <c r="I18" s="92"/>
      <c r="K18" s="85"/>
      <c r="L18" s="86" t="s">
        <v>131</v>
      </c>
      <c r="M18" s="87"/>
      <c r="O18" s="85"/>
      <c r="P18" s="88" t="s">
        <v>64</v>
      </c>
      <c r="Q18" s="87"/>
    </row>
    <row r="19" spans="1:18" x14ac:dyDescent="0.25">
      <c r="C19" s="92"/>
      <c r="D19" s="92"/>
      <c r="E19" s="92"/>
      <c r="G19" s="92"/>
      <c r="H19" s="92"/>
      <c r="I19" s="92"/>
      <c r="K19" s="89"/>
      <c r="L19" s="90"/>
      <c r="M19" s="91"/>
      <c r="O19" s="89"/>
      <c r="P19" s="90"/>
      <c r="Q19" s="91"/>
    </row>
    <row r="20" spans="1:18" x14ac:dyDescent="0.25">
      <c r="C20" s="92"/>
      <c r="D20" s="92"/>
      <c r="E20" s="92"/>
      <c r="G20" s="92"/>
      <c r="H20" s="92"/>
      <c r="I20" s="92"/>
    </row>
    <row r="21" spans="1:18" x14ac:dyDescent="0.25">
      <c r="C21" s="92"/>
      <c r="D21" s="92"/>
      <c r="E21" s="92"/>
      <c r="G21" s="92"/>
      <c r="H21" s="92"/>
      <c r="I21" s="92"/>
      <c r="J21" s="171"/>
      <c r="K21" s="171"/>
      <c r="L21" s="171"/>
      <c r="M21" s="171"/>
    </row>
    <row r="22" spans="1:18" x14ac:dyDescent="0.25">
      <c r="C22" s="92"/>
      <c r="D22" s="92"/>
      <c r="E22" s="92"/>
      <c r="G22" s="92"/>
      <c r="H22" s="92"/>
      <c r="I22" s="92"/>
      <c r="J22" s="171"/>
      <c r="O22" s="171"/>
      <c r="P22" s="171"/>
      <c r="Q22" s="171"/>
      <c r="R22" s="171"/>
    </row>
    <row r="23" spans="1:18" x14ac:dyDescent="0.25">
      <c r="C23" s="92"/>
      <c r="D23" s="92"/>
      <c r="E23" s="92"/>
      <c r="G23" s="92"/>
      <c r="H23" s="92"/>
      <c r="I23" s="92"/>
      <c r="J23" s="171"/>
      <c r="K23" s="82"/>
      <c r="L23" s="83"/>
      <c r="M23" s="84"/>
      <c r="O23" s="171"/>
      <c r="P23" s="172"/>
      <c r="Q23" s="171"/>
      <c r="R23" s="171"/>
    </row>
    <row r="24" spans="1:18" x14ac:dyDescent="0.25">
      <c r="C24" s="92"/>
      <c r="D24" s="92"/>
      <c r="E24" s="92"/>
      <c r="G24" s="92"/>
      <c r="H24" s="92"/>
      <c r="I24" s="92"/>
      <c r="J24" s="171"/>
      <c r="K24" s="85"/>
      <c r="L24" s="88" t="s">
        <v>270</v>
      </c>
      <c r="M24" s="87"/>
      <c r="O24" s="171"/>
      <c r="P24" s="171"/>
      <c r="Q24" s="171"/>
      <c r="R24" s="171"/>
    </row>
    <row r="25" spans="1:18" x14ac:dyDescent="0.25">
      <c r="C25" s="92"/>
      <c r="D25" s="92"/>
      <c r="E25" s="92"/>
      <c r="G25" s="92"/>
      <c r="H25" s="92"/>
      <c r="I25" s="92"/>
      <c r="J25" s="171"/>
      <c r="K25" s="89"/>
      <c r="L25" s="90"/>
      <c r="M25" s="91"/>
    </row>
    <row r="26" spans="1:18" x14ac:dyDescent="0.25">
      <c r="C26" s="92"/>
      <c r="D26" s="92"/>
      <c r="E26" s="92"/>
      <c r="G26" s="92"/>
      <c r="H26" s="92"/>
      <c r="I26" s="92"/>
    </row>
    <row r="27" spans="1:18" s="79" customFormat="1" x14ac:dyDescent="0.25">
      <c r="B27" s="79" t="s">
        <v>210</v>
      </c>
    </row>
    <row r="28" spans="1:18" x14ac:dyDescent="0.25">
      <c r="A28" s="73"/>
    </row>
    <row r="29" spans="1:18" x14ac:dyDescent="0.25">
      <c r="A29" s="73"/>
      <c r="B29" s="48" t="s">
        <v>211</v>
      </c>
    </row>
    <row r="30" spans="1:18" x14ac:dyDescent="0.25">
      <c r="A30" s="73"/>
    </row>
    <row r="31" spans="1:18" x14ac:dyDescent="0.25">
      <c r="A31" s="73"/>
    </row>
    <row r="32" spans="1:18" x14ac:dyDescent="0.25">
      <c r="A32" s="73"/>
      <c r="D32" s="93" t="s">
        <v>212</v>
      </c>
      <c r="H32" s="93" t="s">
        <v>213</v>
      </c>
      <c r="P32" s="93"/>
    </row>
    <row r="33" spans="1:17" x14ac:dyDescent="0.25">
      <c r="A33" s="73"/>
      <c r="D33" s="93"/>
      <c r="H33" s="93"/>
      <c r="P33" s="93"/>
    </row>
    <row r="34" spans="1:17" x14ac:dyDescent="0.25">
      <c r="A34" s="73"/>
      <c r="D34" s="93"/>
      <c r="G34" s="82"/>
      <c r="H34" s="83"/>
      <c r="I34" s="84"/>
      <c r="P34" s="93"/>
    </row>
    <row r="35" spans="1:17" x14ac:dyDescent="0.25">
      <c r="A35" s="73"/>
      <c r="D35" s="93"/>
      <c r="G35" s="85"/>
      <c r="H35" s="88" t="s">
        <v>421</v>
      </c>
      <c r="I35" s="87"/>
      <c r="P35" s="93"/>
    </row>
    <row r="36" spans="1:17" x14ac:dyDescent="0.25">
      <c r="A36" s="73"/>
      <c r="D36" s="93"/>
      <c r="G36" s="89"/>
      <c r="H36" s="90"/>
      <c r="I36" s="91"/>
      <c r="P36" s="93"/>
    </row>
    <row r="37" spans="1:17" x14ac:dyDescent="0.25">
      <c r="A37" s="73"/>
      <c r="D37" s="93"/>
    </row>
    <row r="38" spans="1:17" x14ac:dyDescent="0.25">
      <c r="A38" s="73"/>
      <c r="D38" s="93"/>
    </row>
    <row r="39" spans="1:17" x14ac:dyDescent="0.25">
      <c r="A39" s="73"/>
      <c r="D39" s="93"/>
    </row>
    <row r="40" spans="1:17" x14ac:dyDescent="0.25">
      <c r="A40" s="73"/>
      <c r="C40" s="82"/>
      <c r="D40" s="83"/>
      <c r="E40" s="84"/>
      <c r="G40" s="82"/>
      <c r="H40" s="83"/>
      <c r="I40" s="84"/>
      <c r="K40" s="82"/>
      <c r="L40" s="83"/>
      <c r="M40" s="84"/>
      <c r="O40" s="82"/>
      <c r="P40" s="83"/>
      <c r="Q40" s="84"/>
    </row>
    <row r="41" spans="1:17" x14ac:dyDescent="0.25">
      <c r="A41" s="73"/>
      <c r="C41" s="85"/>
      <c r="D41" s="86" t="s">
        <v>265</v>
      </c>
      <c r="E41" s="87"/>
      <c r="G41" s="85"/>
      <c r="H41" s="88" t="s">
        <v>420</v>
      </c>
      <c r="I41" s="87"/>
      <c r="K41" s="85"/>
      <c r="L41" s="88" t="s">
        <v>417</v>
      </c>
      <c r="M41" s="87"/>
      <c r="O41" s="85"/>
      <c r="P41" s="88" t="s">
        <v>416</v>
      </c>
      <c r="Q41" s="87"/>
    </row>
    <row r="42" spans="1:17" x14ac:dyDescent="0.25">
      <c r="A42" s="73"/>
      <c r="C42" s="89"/>
      <c r="D42" s="90"/>
      <c r="E42" s="91"/>
      <c r="G42" s="89"/>
      <c r="H42" s="90"/>
      <c r="I42" s="91"/>
      <c r="K42" s="89"/>
      <c r="L42" s="90"/>
      <c r="M42" s="91"/>
      <c r="O42" s="89"/>
      <c r="P42" s="90"/>
      <c r="Q42" s="91"/>
    </row>
    <row r="43" spans="1:17" x14ac:dyDescent="0.25">
      <c r="A43" s="73"/>
      <c r="C43" s="92"/>
      <c r="D43" s="92"/>
      <c r="E43" s="92"/>
      <c r="G43" s="92"/>
      <c r="H43" s="92"/>
      <c r="I43" s="92"/>
    </row>
    <row r="44" spans="1:17" x14ac:dyDescent="0.25">
      <c r="A44" s="73"/>
      <c r="C44" s="92"/>
      <c r="D44" s="92"/>
      <c r="E44" s="92"/>
      <c r="G44" s="92"/>
      <c r="H44" s="92"/>
      <c r="I44" s="92"/>
    </row>
    <row r="45" spans="1:17" x14ac:dyDescent="0.25">
      <c r="A45" s="73"/>
      <c r="C45" s="82"/>
      <c r="D45" s="83"/>
      <c r="E45" s="84"/>
      <c r="G45" s="82"/>
      <c r="H45" s="83"/>
      <c r="I45" s="84"/>
      <c r="K45" s="82"/>
      <c r="L45" s="83"/>
      <c r="M45" s="84"/>
    </row>
    <row r="46" spans="1:17" x14ac:dyDescent="0.25">
      <c r="A46" s="73"/>
      <c r="C46" s="85"/>
      <c r="D46" s="86" t="s">
        <v>263</v>
      </c>
      <c r="E46" s="87"/>
      <c r="G46" s="85"/>
      <c r="H46" s="122" t="s">
        <v>419</v>
      </c>
      <c r="I46" s="87"/>
      <c r="K46" s="85"/>
      <c r="L46" s="122" t="s">
        <v>418</v>
      </c>
      <c r="M46" s="87"/>
    </row>
    <row r="47" spans="1:17" x14ac:dyDescent="0.25">
      <c r="A47" s="73"/>
      <c r="C47" s="89"/>
      <c r="D47" s="90"/>
      <c r="E47" s="91"/>
      <c r="G47" s="89"/>
      <c r="H47" s="90"/>
      <c r="I47" s="91"/>
      <c r="K47" s="89"/>
      <c r="L47" s="90"/>
      <c r="M47" s="91"/>
    </row>
    <row r="48" spans="1:17" x14ac:dyDescent="0.25">
      <c r="A48" s="73"/>
      <c r="C48" s="92"/>
      <c r="D48" s="92"/>
      <c r="E48" s="92"/>
      <c r="G48" s="92"/>
      <c r="H48" s="92"/>
      <c r="I48" s="92"/>
    </row>
    <row r="49" spans="1:9" x14ac:dyDescent="0.25">
      <c r="A49" s="73"/>
      <c r="C49" s="92"/>
      <c r="D49" s="92"/>
      <c r="E49" s="92"/>
      <c r="G49" s="92"/>
      <c r="H49" s="92"/>
      <c r="I49" s="92"/>
    </row>
    <row r="50" spans="1:9" x14ac:dyDescent="0.25">
      <c r="A50" s="73"/>
      <c r="C50" s="82"/>
      <c r="D50" s="83"/>
      <c r="E50" s="84"/>
    </row>
    <row r="51" spans="1:9" x14ac:dyDescent="0.25">
      <c r="A51" s="73"/>
      <c r="C51" s="85"/>
      <c r="D51" s="86" t="s">
        <v>264</v>
      </c>
      <c r="E51" s="87"/>
    </row>
    <row r="52" spans="1:9" x14ac:dyDescent="0.25">
      <c r="A52" s="73"/>
      <c r="C52" s="89"/>
      <c r="D52" s="90"/>
      <c r="E52" s="91"/>
    </row>
    <row r="53" spans="1:9" x14ac:dyDescent="0.25">
      <c r="A53" s="73"/>
      <c r="C53" s="92"/>
      <c r="D53" s="92"/>
      <c r="E53" s="92"/>
      <c r="G53" s="92"/>
      <c r="H53" s="92"/>
      <c r="I53" s="92"/>
    </row>
    <row r="54" spans="1:9" x14ac:dyDescent="0.25">
      <c r="A54" s="73"/>
    </row>
    <row r="55" spans="1:9" s="79" customFormat="1" x14ac:dyDescent="0.25">
      <c r="B55" s="79" t="s">
        <v>215</v>
      </c>
    </row>
    <row r="56" spans="1:9" x14ac:dyDescent="0.25">
      <c r="C56" s="73"/>
    </row>
    <row r="57" spans="1:9" x14ac:dyDescent="0.25">
      <c r="B57" s="50" t="s">
        <v>216</v>
      </c>
      <c r="C57" s="73"/>
      <c r="D57" s="50" t="s">
        <v>170</v>
      </c>
      <c r="F57" s="94"/>
    </row>
    <row r="58" spans="1:9" x14ac:dyDescent="0.25">
      <c r="C58" s="73"/>
    </row>
    <row r="59" spans="1:9" x14ac:dyDescent="0.25">
      <c r="B59" s="95">
        <v>123</v>
      </c>
      <c r="C59" s="73"/>
      <c r="D59" s="53" t="s">
        <v>217</v>
      </c>
    </row>
    <row r="60" spans="1:9" x14ac:dyDescent="0.25">
      <c r="B60" s="96">
        <f>B59</f>
        <v>123</v>
      </c>
      <c r="C60" s="73"/>
      <c r="D60" s="48" t="s">
        <v>218</v>
      </c>
    </row>
    <row r="61" spans="1:9" x14ac:dyDescent="0.25">
      <c r="B61" s="97">
        <f>B60+B59</f>
        <v>246</v>
      </c>
      <c r="C61" s="73"/>
      <c r="D61" s="48" t="s">
        <v>12</v>
      </c>
    </row>
    <row r="62" spans="1:9" x14ac:dyDescent="0.25">
      <c r="B62" s="98">
        <f>B60+B61</f>
        <v>369</v>
      </c>
      <c r="C62" s="73"/>
      <c r="D62" s="53" t="s">
        <v>219</v>
      </c>
      <c r="E62" s="94"/>
      <c r="F62" s="77"/>
      <c r="G62" s="94"/>
      <c r="I62" s="94"/>
    </row>
    <row r="63" spans="1:9" x14ac:dyDescent="0.25">
      <c r="B63" s="99"/>
      <c r="C63" s="73"/>
      <c r="D63" s="53" t="s">
        <v>220</v>
      </c>
      <c r="E63" s="94"/>
      <c r="G63" s="94"/>
      <c r="I63" s="94"/>
    </row>
    <row r="64" spans="1:9" x14ac:dyDescent="0.25">
      <c r="B64" s="73"/>
      <c r="C64" s="73"/>
    </row>
    <row r="65" spans="2:4" x14ac:dyDescent="0.25">
      <c r="B65" s="54" t="s">
        <v>221</v>
      </c>
      <c r="C65" s="73"/>
    </row>
    <row r="66" spans="2:4" x14ac:dyDescent="0.25">
      <c r="B66" s="100">
        <f>B62+16</f>
        <v>385</v>
      </c>
      <c r="C66" s="73"/>
      <c r="D66" s="48" t="s">
        <v>222</v>
      </c>
    </row>
    <row r="67" spans="2:4" x14ac:dyDescent="0.25">
      <c r="B67" s="101">
        <f>B60*PI()</f>
        <v>386.41589639154455</v>
      </c>
      <c r="C67" s="102"/>
      <c r="D67" s="48" t="s">
        <v>223</v>
      </c>
    </row>
    <row r="68" spans="2:4" x14ac:dyDescent="0.25">
      <c r="B68" s="102"/>
      <c r="C68" s="102"/>
    </row>
    <row r="69" spans="2:4" x14ac:dyDescent="0.25">
      <c r="B69" s="54" t="s">
        <v>224</v>
      </c>
      <c r="C69" s="103"/>
    </row>
    <row r="70" spans="2:4" x14ac:dyDescent="0.25">
      <c r="B70" s="104">
        <v>123</v>
      </c>
      <c r="C70" s="103"/>
      <c r="D70" s="53" t="s">
        <v>225</v>
      </c>
    </row>
    <row r="71" spans="2:4" x14ac:dyDescent="0.25">
      <c r="B71" s="105">
        <v>124</v>
      </c>
      <c r="C71" s="103"/>
      <c r="D71" s="53" t="s">
        <v>226</v>
      </c>
    </row>
    <row r="72" spans="2:4" x14ac:dyDescent="0.25">
      <c r="B72" s="106">
        <f>B70-B71</f>
        <v>-1</v>
      </c>
      <c r="C72" s="107"/>
      <c r="D72" s="48" t="s">
        <v>227</v>
      </c>
    </row>
    <row r="75" spans="2:4" x14ac:dyDescent="0.25">
      <c r="B75" s="50" t="s">
        <v>228</v>
      </c>
    </row>
    <row r="76" spans="2:4" x14ac:dyDescent="0.25">
      <c r="B76" s="108"/>
    </row>
    <row r="77" spans="2:4" x14ac:dyDescent="0.25">
      <c r="B77" s="54" t="s">
        <v>229</v>
      </c>
    </row>
    <row r="78" spans="2:4" x14ac:dyDescent="0.25">
      <c r="B78" s="109" t="s">
        <v>214</v>
      </c>
      <c r="C78" s="73"/>
      <c r="D78" s="53" t="s">
        <v>230</v>
      </c>
    </row>
    <row r="79" spans="2:4" x14ac:dyDescent="0.25">
      <c r="B79" s="95" t="s">
        <v>231</v>
      </c>
      <c r="C79" s="73"/>
      <c r="D79" s="53" t="s">
        <v>232</v>
      </c>
    </row>
    <row r="80" spans="2:4" x14ac:dyDescent="0.25">
      <c r="B80" s="110" t="s">
        <v>233</v>
      </c>
      <c r="C80" s="73"/>
      <c r="D80" s="53" t="s">
        <v>234</v>
      </c>
    </row>
    <row r="81" spans="2:4" x14ac:dyDescent="0.25">
      <c r="B81" s="111" t="s">
        <v>233</v>
      </c>
      <c r="C81" s="73"/>
      <c r="D81" s="53" t="s">
        <v>235</v>
      </c>
    </row>
    <row r="82" spans="2:4" x14ac:dyDescent="0.25">
      <c r="C82" s="73"/>
      <c r="D82" s="53"/>
    </row>
    <row r="83" spans="2:4" x14ac:dyDescent="0.25">
      <c r="B83" s="54" t="s">
        <v>236</v>
      </c>
      <c r="C83" s="73"/>
      <c r="D83" s="53"/>
    </row>
    <row r="84" spans="2:4" x14ac:dyDescent="0.25">
      <c r="B84" s="112" t="s">
        <v>237</v>
      </c>
      <c r="C84" s="73"/>
      <c r="D84" s="53" t="s">
        <v>238</v>
      </c>
    </row>
    <row r="85" spans="2:4" x14ac:dyDescent="0.25">
      <c r="B85" s="113" t="s">
        <v>11</v>
      </c>
      <c r="D85" s="53" t="s">
        <v>239</v>
      </c>
    </row>
  </sheetData>
  <mergeCells count="1">
    <mergeCell ref="B6:G6"/>
  </mergeCell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3">
    <tabColor rgb="FFCCC8D9"/>
  </sheetPr>
  <dimension ref="B2:F35"/>
  <sheetViews>
    <sheetView showGridLines="0" zoomScale="85" zoomScaleNormal="85" workbookViewId="0">
      <pane ySplit="3" topLeftCell="A4" activePane="bottomLeft" state="frozen"/>
      <selection pane="bottomLeft" activeCell="A4" sqref="A4"/>
    </sheetView>
  </sheetViews>
  <sheetFormatPr defaultRowHeight="12.75" x14ac:dyDescent="0.25"/>
  <cols>
    <col min="1" max="1" width="4.7109375" style="48" customWidth="1"/>
    <col min="2" max="2" width="7.5703125" style="48" customWidth="1"/>
    <col min="3" max="3" width="48.140625" style="48" bestFit="1" customWidth="1"/>
    <col min="4" max="5" width="36.28515625" style="48" customWidth="1"/>
    <col min="6" max="6" width="40.7109375" style="48" customWidth="1"/>
    <col min="7" max="7" width="4.5703125" style="48" customWidth="1"/>
    <col min="8" max="8" width="43.42578125" style="48" customWidth="1"/>
    <col min="9" max="9" width="28.7109375" style="48" customWidth="1"/>
    <col min="10" max="10" width="18.42578125" style="48" customWidth="1"/>
    <col min="11" max="12" width="58.42578125" style="48" customWidth="1"/>
    <col min="13" max="16384" width="9.140625" style="48"/>
  </cols>
  <sheetData>
    <row r="2" spans="2:6" s="49" customFormat="1" ht="18" x14ac:dyDescent="0.25">
      <c r="B2" s="49" t="s">
        <v>240</v>
      </c>
    </row>
    <row r="4" spans="2:6" s="56" customFormat="1" x14ac:dyDescent="0.25">
      <c r="B4" s="56" t="s">
        <v>241</v>
      </c>
    </row>
    <row r="6" spans="2:6" x14ac:dyDescent="0.25">
      <c r="B6" s="54" t="s">
        <v>242</v>
      </c>
    </row>
    <row r="7" spans="2:6" x14ac:dyDescent="0.25">
      <c r="B7" s="54" t="s">
        <v>243</v>
      </c>
    </row>
    <row r="9" spans="2:6" x14ac:dyDescent="0.25">
      <c r="B9" s="114" t="s">
        <v>244</v>
      </c>
      <c r="C9" s="114" t="s">
        <v>245</v>
      </c>
      <c r="D9" s="114" t="s">
        <v>246</v>
      </c>
      <c r="E9" s="114" t="s">
        <v>247</v>
      </c>
      <c r="F9" s="114" t="s">
        <v>248</v>
      </c>
    </row>
    <row r="10" spans="2:6" x14ac:dyDescent="0.25">
      <c r="B10" s="115"/>
      <c r="C10" s="115" t="s">
        <v>249</v>
      </c>
      <c r="D10" s="115" t="s">
        <v>250</v>
      </c>
      <c r="E10" s="115" t="s">
        <v>251</v>
      </c>
      <c r="F10" s="115" t="s">
        <v>252</v>
      </c>
    </row>
    <row r="11" spans="2:6" x14ac:dyDescent="0.25">
      <c r="B11" s="116">
        <v>1</v>
      </c>
      <c r="C11" s="117" t="s">
        <v>413</v>
      </c>
      <c r="D11" s="117" t="s">
        <v>414</v>
      </c>
      <c r="E11" s="117"/>
      <c r="F11" s="117"/>
    </row>
    <row r="12" spans="2:6" x14ac:dyDescent="0.25">
      <c r="B12" s="117">
        <v>2</v>
      </c>
      <c r="C12" s="117" t="s">
        <v>53</v>
      </c>
      <c r="E12" s="117"/>
      <c r="F12" s="117"/>
    </row>
    <row r="13" spans="2:6" x14ac:dyDescent="0.25">
      <c r="B13" s="117">
        <v>3</v>
      </c>
      <c r="C13" s="117" t="s">
        <v>411</v>
      </c>
      <c r="D13" s="118" t="s">
        <v>412</v>
      </c>
      <c r="F13" s="117"/>
    </row>
    <row r="14" spans="2:6" x14ac:dyDescent="0.25">
      <c r="B14" s="117">
        <v>4</v>
      </c>
      <c r="C14" s="116" t="s">
        <v>406</v>
      </c>
      <c r="D14" s="117"/>
      <c r="E14" s="117"/>
      <c r="F14" s="117"/>
    </row>
    <row r="15" spans="2:6" x14ac:dyDescent="0.25">
      <c r="B15" s="117">
        <v>5</v>
      </c>
      <c r="C15" s="117" t="s">
        <v>407</v>
      </c>
      <c r="D15" s="117"/>
      <c r="E15" s="117"/>
      <c r="F15" s="117"/>
    </row>
    <row r="16" spans="2:6" x14ac:dyDescent="0.25">
      <c r="B16" s="117">
        <v>6</v>
      </c>
      <c r="C16" s="117" t="s">
        <v>554</v>
      </c>
      <c r="D16" s="117"/>
      <c r="E16" s="117"/>
      <c r="F16" s="117"/>
    </row>
    <row r="17" spans="2:6" x14ac:dyDescent="0.25">
      <c r="B17" s="117">
        <v>7</v>
      </c>
      <c r="C17" s="117" t="s">
        <v>408</v>
      </c>
      <c r="D17" s="117"/>
      <c r="E17" s="117"/>
      <c r="F17" s="117"/>
    </row>
    <row r="18" spans="2:6" x14ac:dyDescent="0.25">
      <c r="B18" s="117">
        <v>8</v>
      </c>
      <c r="C18" s="117" t="s">
        <v>415</v>
      </c>
      <c r="D18" s="117"/>
      <c r="E18" s="117"/>
      <c r="F18" s="119"/>
    </row>
    <row r="19" spans="2:6" x14ac:dyDescent="0.25">
      <c r="B19" s="117">
        <v>9</v>
      </c>
      <c r="C19" s="117" t="s">
        <v>133</v>
      </c>
      <c r="D19" s="119" t="s">
        <v>410</v>
      </c>
      <c r="E19" s="117"/>
      <c r="F19" s="119"/>
    </row>
    <row r="20" spans="2:6" x14ac:dyDescent="0.25">
      <c r="B20" s="117">
        <v>10</v>
      </c>
      <c r="C20" s="117"/>
      <c r="D20" s="117"/>
      <c r="E20" s="117"/>
      <c r="F20" s="119"/>
    </row>
    <row r="23" spans="2:6" s="79" customFormat="1" x14ac:dyDescent="0.25">
      <c r="B23" s="79" t="s">
        <v>253</v>
      </c>
    </row>
    <row r="25" spans="2:6" x14ac:dyDescent="0.25">
      <c r="B25" s="54" t="s">
        <v>254</v>
      </c>
    </row>
    <row r="26" spans="2:6" x14ac:dyDescent="0.25">
      <c r="B26" s="54" t="s">
        <v>255</v>
      </c>
    </row>
    <row r="28" spans="2:6" x14ac:dyDescent="0.25">
      <c r="B28" s="108" t="s">
        <v>256</v>
      </c>
    </row>
    <row r="29" spans="2:6" ht="233.25" customHeight="1" x14ac:dyDescent="0.25">
      <c r="B29" s="213" t="s">
        <v>409</v>
      </c>
      <c r="C29" s="213"/>
      <c r="D29" s="213"/>
      <c r="E29" s="213"/>
      <c r="F29" s="213"/>
    </row>
    <row r="30" spans="2:6" x14ac:dyDescent="0.25">
      <c r="B30" s="108" t="s">
        <v>257</v>
      </c>
    </row>
    <row r="31" spans="2:6" ht="114.75" customHeight="1" x14ac:dyDescent="0.25">
      <c r="B31" s="213" t="s">
        <v>258</v>
      </c>
      <c r="C31" s="213"/>
      <c r="D31" s="213"/>
      <c r="E31" s="213"/>
      <c r="F31" s="213"/>
    </row>
    <row r="32" spans="2:6" ht="28.5" customHeight="1" x14ac:dyDescent="0.25">
      <c r="B32" s="214" t="s">
        <v>259</v>
      </c>
      <c r="C32" s="214"/>
      <c r="D32" s="214"/>
      <c r="E32" s="214"/>
      <c r="F32" s="214"/>
    </row>
    <row r="33" spans="2:6" s="120" customFormat="1" ht="95.25" customHeight="1" x14ac:dyDescent="0.25">
      <c r="B33" s="213" t="s">
        <v>260</v>
      </c>
      <c r="C33" s="213"/>
      <c r="D33" s="213"/>
      <c r="E33" s="213"/>
      <c r="F33" s="213"/>
    </row>
    <row r="35" spans="2:6" x14ac:dyDescent="0.25">
      <c r="B35" s="108"/>
    </row>
  </sheetData>
  <mergeCells count="4">
    <mergeCell ref="B29:F29"/>
    <mergeCell ref="B31:F31"/>
    <mergeCell ref="B32:F32"/>
    <mergeCell ref="B33:F33"/>
  </mergeCells>
  <hyperlinks>
    <hyperlink ref="B32" r:id="rId1" xr:uid="{00000000-0004-0000-0200-000000000000}"/>
    <hyperlink ref="D19" r:id="rId2" xr:uid="{00000000-0004-0000-0200-000001000000}"/>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2">
    <tabColor rgb="FFCCFFFF"/>
  </sheetPr>
  <dimension ref="A1:T36"/>
  <sheetViews>
    <sheetView showGridLines="0" zoomScale="85" zoomScaleNormal="85" workbookViewId="0">
      <pane xSplit="4" ySplit="7" topLeftCell="E8" activePane="bottomRight" state="frozen"/>
      <selection pane="topRight"/>
      <selection pane="bottomLeft"/>
      <selection pane="bottomRight" activeCell="E8" sqref="E8"/>
    </sheetView>
  </sheetViews>
  <sheetFormatPr defaultRowHeight="12.75" x14ac:dyDescent="0.2"/>
  <cols>
    <col min="1" max="1" width="2.7109375" style="32" customWidth="1"/>
    <col min="2" max="2" width="79.85546875" style="44" customWidth="1"/>
    <col min="3" max="3" width="2.7109375" style="32" customWidth="1"/>
    <col min="4" max="4" width="12.5703125" style="44" bestFit="1" customWidth="1"/>
    <col min="5" max="5" width="2.7109375" style="32" customWidth="1"/>
    <col min="6" max="6" width="16.5703125" style="44" bestFit="1" customWidth="1"/>
    <col min="7" max="7" width="2.7109375" style="32" customWidth="1"/>
    <col min="8" max="13" width="14.7109375" style="44" customWidth="1"/>
    <col min="14" max="16384" width="9.140625" style="44"/>
  </cols>
  <sheetData>
    <row r="1" spans="1:13" x14ac:dyDescent="0.2">
      <c r="A1" s="48"/>
      <c r="B1" s="32" t="s">
        <v>68</v>
      </c>
      <c r="C1" s="48"/>
      <c r="E1" s="48"/>
      <c r="G1" s="48"/>
    </row>
    <row r="2" spans="1:13" s="49" customFormat="1" ht="18" x14ac:dyDescent="0.25">
      <c r="B2" s="49" t="s">
        <v>58</v>
      </c>
    </row>
    <row r="3" spans="1:13" x14ac:dyDescent="0.2">
      <c r="A3" s="48"/>
      <c r="C3" s="48"/>
      <c r="E3" s="48"/>
      <c r="G3" s="48"/>
    </row>
    <row r="4" spans="1:13" x14ac:dyDescent="0.2">
      <c r="A4" s="48"/>
      <c r="B4" s="45" t="s">
        <v>71</v>
      </c>
      <c r="C4" s="48"/>
      <c r="E4" s="48"/>
      <c r="G4" s="48"/>
    </row>
    <row r="5" spans="1:13" ht="32.25" customHeight="1" x14ac:dyDescent="0.2">
      <c r="A5" s="48"/>
      <c r="B5" s="69" t="s">
        <v>59</v>
      </c>
      <c r="C5" s="48"/>
      <c r="E5" s="48"/>
      <c r="G5" s="48"/>
    </row>
    <row r="6" spans="1:13" x14ac:dyDescent="0.2">
      <c r="A6" s="48"/>
      <c r="C6" s="48"/>
      <c r="E6" s="48"/>
      <c r="G6" s="48"/>
    </row>
    <row r="7" spans="1:13" s="56" customFormat="1" x14ac:dyDescent="0.25">
      <c r="B7" s="56" t="s">
        <v>60</v>
      </c>
      <c r="D7" s="56" t="s">
        <v>1</v>
      </c>
      <c r="F7" s="57" t="s">
        <v>9</v>
      </c>
      <c r="H7" s="56" t="s">
        <v>69</v>
      </c>
      <c r="I7" s="56" t="s">
        <v>4</v>
      </c>
      <c r="J7" s="56" t="s">
        <v>5</v>
      </c>
      <c r="K7" s="56" t="s">
        <v>6</v>
      </c>
      <c r="L7" s="56" t="s">
        <v>7</v>
      </c>
      <c r="M7" s="56" t="s">
        <v>8</v>
      </c>
    </row>
    <row r="8" spans="1:13" x14ac:dyDescent="0.2">
      <c r="A8" s="48"/>
      <c r="C8" s="48"/>
      <c r="E8" s="48"/>
      <c r="G8" s="48"/>
    </row>
    <row r="9" spans="1:13" x14ac:dyDescent="0.2">
      <c r="A9" s="48"/>
      <c r="B9" s="45" t="s">
        <v>62</v>
      </c>
      <c r="C9" s="48"/>
      <c r="E9" s="48"/>
      <c r="G9" s="48"/>
    </row>
    <row r="10" spans="1:13" x14ac:dyDescent="0.2">
      <c r="A10" s="48"/>
      <c r="B10" s="44" t="s">
        <v>332</v>
      </c>
      <c r="C10" s="48"/>
      <c r="D10" s="44" t="s">
        <v>26</v>
      </c>
      <c r="E10" s="48"/>
      <c r="F10" s="98">
        <f>SUM(H10:M10)</f>
        <v>2189909806.9717116</v>
      </c>
      <c r="G10" s="48"/>
      <c r="H10" s="98">
        <f>'7) X-factor + begininkomsten'!L104</f>
        <v>13115124.759783128</v>
      </c>
      <c r="I10" s="98">
        <f>'7) X-factor + begininkomsten'!M104</f>
        <v>727701254.83758163</v>
      </c>
      <c r="J10" s="98">
        <f>'7) X-factor + begininkomsten'!N104</f>
        <v>834227854.14704788</v>
      </c>
      <c r="K10" s="98">
        <f>'7) X-factor + begininkomsten'!O104</f>
        <v>7847413.4597389121</v>
      </c>
      <c r="L10" s="98">
        <f>'7) X-factor + begininkomsten'!P104</f>
        <v>569955694.42351437</v>
      </c>
      <c r="M10" s="98">
        <f>'7) X-factor + begininkomsten'!Q104</f>
        <v>37062465.344045639</v>
      </c>
    </row>
    <row r="11" spans="1:13" x14ac:dyDescent="0.2">
      <c r="A11" s="48"/>
      <c r="B11" s="201" t="s">
        <v>555</v>
      </c>
      <c r="C11" s="48"/>
      <c r="D11" s="44" t="s">
        <v>171</v>
      </c>
      <c r="E11" s="48"/>
      <c r="F11" s="98">
        <f>SUM(H11:M11)</f>
        <v>2303015302.3222904</v>
      </c>
      <c r="G11" s="48"/>
      <c r="H11" s="98">
        <f>'7) X-factor + begininkomsten'!L111</f>
        <v>13780191.916973539</v>
      </c>
      <c r="I11" s="98">
        <f>'7) X-factor + begininkomsten'!M111</f>
        <v>764717442.71396184</v>
      </c>
      <c r="J11" s="98">
        <f>'7) X-factor + begininkomsten'!N111</f>
        <v>877833265.06966102</v>
      </c>
      <c r="K11" s="98">
        <f>'7) X-factor + begininkomsten'!O111</f>
        <v>8239983.7690054234</v>
      </c>
      <c r="L11" s="98">
        <f>'7) X-factor + begininkomsten'!P111</f>
        <v>599546239.33512473</v>
      </c>
      <c r="M11" s="98">
        <f>'7) X-factor + begininkomsten'!Q111</f>
        <v>38898179.517564029</v>
      </c>
    </row>
    <row r="12" spans="1:13" x14ac:dyDescent="0.2">
      <c r="A12" s="48"/>
      <c r="C12" s="48"/>
      <c r="E12" s="48"/>
      <c r="G12" s="48"/>
    </row>
    <row r="13" spans="1:13" x14ac:dyDescent="0.2">
      <c r="A13" s="48"/>
      <c r="B13" s="44" t="s">
        <v>63</v>
      </c>
      <c r="C13" s="48"/>
      <c r="E13" s="48"/>
      <c r="G13" s="48"/>
      <c r="H13" s="148">
        <f>'7) X-factor + begininkomsten'!L115</f>
        <v>0.8</v>
      </c>
      <c r="I13" s="148">
        <f>'7) X-factor + begininkomsten'!M115</f>
        <v>0.8</v>
      </c>
      <c r="J13" s="148">
        <f>'7) X-factor + begininkomsten'!N115</f>
        <v>0.77</v>
      </c>
      <c r="K13" s="148">
        <f>'7) X-factor + begininkomsten'!O115</f>
        <v>0.81</v>
      </c>
      <c r="L13" s="148">
        <f>'7) X-factor + begininkomsten'!P115</f>
        <v>0.78</v>
      </c>
      <c r="M13" s="148">
        <f>'7) X-factor + begininkomsten'!Q115</f>
        <v>0.82</v>
      </c>
    </row>
    <row r="14" spans="1:13" x14ac:dyDescent="0.2">
      <c r="A14" s="48"/>
      <c r="B14" s="44" t="s">
        <v>64</v>
      </c>
      <c r="C14" s="48"/>
      <c r="E14" s="48"/>
      <c r="G14" s="48"/>
      <c r="H14" s="148">
        <f>'8) Q-factor &amp; tariefruimte'!L32</f>
        <v>2.4299999999999997</v>
      </c>
      <c r="I14" s="148">
        <f>'8) Q-factor &amp; tariefruimte'!M32</f>
        <v>0.25</v>
      </c>
      <c r="J14" s="147">
        <f>'8) Q-factor &amp; tariefruimte'!N32</f>
        <v>-0.05</v>
      </c>
      <c r="K14" s="148">
        <f>'8) Q-factor &amp; tariefruimte'!O32</f>
        <v>-0.05</v>
      </c>
      <c r="L14" s="147">
        <f>'8) Q-factor &amp; tariefruimte'!P32</f>
        <v>-0.3</v>
      </c>
      <c r="M14" s="148">
        <f>'8) Q-factor &amp; tariefruimte'!Q32</f>
        <v>0.28000000000000003</v>
      </c>
    </row>
    <row r="15" spans="1:13" x14ac:dyDescent="0.2">
      <c r="A15" s="48"/>
      <c r="C15" s="48"/>
      <c r="E15" s="48"/>
      <c r="G15" s="48"/>
    </row>
    <row r="16" spans="1:13" s="56" customFormat="1" x14ac:dyDescent="0.25">
      <c r="B16" s="56" t="s">
        <v>65</v>
      </c>
      <c r="D16" s="56" t="s">
        <v>1</v>
      </c>
      <c r="F16" s="56" t="s">
        <v>61</v>
      </c>
      <c r="H16" s="56" t="s">
        <v>69</v>
      </c>
      <c r="I16" s="56" t="s">
        <v>4</v>
      </c>
      <c r="J16" s="56" t="s">
        <v>5</v>
      </c>
      <c r="K16" s="56" t="s">
        <v>6</v>
      </c>
      <c r="L16" s="56" t="s">
        <v>7</v>
      </c>
      <c r="M16" s="56" t="s">
        <v>8</v>
      </c>
    </row>
    <row r="17" spans="1:20" s="50" customFormat="1" x14ac:dyDescent="0.25"/>
    <row r="18" spans="1:20" x14ac:dyDescent="0.2">
      <c r="A18" s="48"/>
      <c r="B18" s="3" t="s">
        <v>42</v>
      </c>
      <c r="C18" s="48"/>
      <c r="E18" s="48"/>
      <c r="G18" s="48"/>
    </row>
    <row r="19" spans="1:20" x14ac:dyDescent="0.2">
      <c r="A19" s="48"/>
      <c r="B19" s="32" t="s">
        <v>340</v>
      </c>
      <c r="C19" s="48"/>
      <c r="D19" s="44" t="s">
        <v>14</v>
      </c>
      <c r="E19" s="48"/>
      <c r="F19" s="168">
        <f>'1) Reguleringsparameters'!H15</f>
        <v>1.2999999999999999E-2</v>
      </c>
      <c r="G19" s="48"/>
      <c r="H19" s="46"/>
      <c r="I19" s="37"/>
      <c r="J19" s="37"/>
      <c r="K19" s="37"/>
      <c r="L19" s="37"/>
      <c r="M19" s="37"/>
    </row>
    <row r="20" spans="1:20" x14ac:dyDescent="0.2">
      <c r="A20" s="48"/>
      <c r="B20" s="32" t="s">
        <v>341</v>
      </c>
      <c r="C20" s="48"/>
      <c r="D20" s="44" t="s">
        <v>14</v>
      </c>
      <c r="E20" s="48"/>
      <c r="F20" s="168">
        <f>'1) Reguleringsparameters'!H16</f>
        <v>0.01</v>
      </c>
      <c r="G20" s="48"/>
      <c r="H20" s="46"/>
      <c r="I20" s="46"/>
      <c r="J20" s="37"/>
      <c r="K20" s="37"/>
      <c r="L20" s="46"/>
      <c r="M20" s="46"/>
    </row>
    <row r="21" spans="1:20" x14ac:dyDescent="0.2">
      <c r="A21" s="48"/>
      <c r="C21" s="48"/>
      <c r="E21" s="48"/>
      <c r="G21" s="48"/>
      <c r="H21" s="46"/>
      <c r="I21" s="46"/>
      <c r="J21" s="37"/>
      <c r="K21" s="37"/>
      <c r="L21" s="46"/>
      <c r="M21" s="46"/>
    </row>
    <row r="22" spans="1:20" x14ac:dyDescent="0.2">
      <c r="A22" s="48"/>
      <c r="B22" s="45" t="s">
        <v>66</v>
      </c>
      <c r="C22" s="48"/>
      <c r="E22" s="48"/>
      <c r="G22" s="48"/>
      <c r="O22" s="32"/>
    </row>
    <row r="23" spans="1:20" x14ac:dyDescent="0.2">
      <c r="A23" s="48"/>
      <c r="B23" s="44" t="s">
        <v>67</v>
      </c>
      <c r="C23" s="48"/>
      <c r="D23" s="44" t="s">
        <v>14</v>
      </c>
      <c r="E23" s="48"/>
      <c r="F23" s="170">
        <f>'7) X-factor + begininkomsten'!J47</f>
        <v>0.99999999999999989</v>
      </c>
      <c r="G23" s="48"/>
      <c r="H23" s="168">
        <f>'7) X-factor + begininkomsten'!L47</f>
        <v>6.123839526964334E-3</v>
      </c>
      <c r="I23" s="168">
        <f>'7) X-factor + begininkomsten'!M47</f>
        <v>0.33852986519673089</v>
      </c>
      <c r="J23" s="168">
        <f>'7) X-factor + begininkomsten'!N47</f>
        <v>0.37525352599339928</v>
      </c>
      <c r="K23" s="168">
        <f>'7) X-factor + begininkomsten'!O47</f>
        <v>3.7230809801920041E-3</v>
      </c>
      <c r="L23" s="168">
        <f>'7) X-factor + begininkomsten'!P47</f>
        <v>0.25858478458796313</v>
      </c>
      <c r="M23" s="168">
        <f>'7) X-factor + begininkomsten'!Q47</f>
        <v>1.7784903714750253E-2</v>
      </c>
    </row>
    <row r="24" spans="1:20" x14ac:dyDescent="0.2">
      <c r="A24" s="48"/>
      <c r="C24" s="48"/>
      <c r="E24" s="48"/>
      <c r="G24" s="48"/>
    </row>
    <row r="25" spans="1:20" x14ac:dyDescent="0.2">
      <c r="A25" s="48"/>
      <c r="B25" s="45" t="s">
        <v>13</v>
      </c>
      <c r="C25" s="48"/>
      <c r="E25" s="48"/>
      <c r="G25" s="70"/>
      <c r="H25" s="71"/>
      <c r="I25" s="71"/>
      <c r="J25" s="71"/>
      <c r="K25" s="45"/>
      <c r="L25" s="45"/>
      <c r="M25" s="45"/>
      <c r="O25" s="32"/>
    </row>
    <row r="26" spans="1:20" x14ac:dyDescent="0.2">
      <c r="A26" s="48"/>
      <c r="B26" s="200" t="s">
        <v>549</v>
      </c>
      <c r="C26" s="48"/>
      <c r="D26" s="44" t="s">
        <v>14</v>
      </c>
      <c r="E26" s="48"/>
      <c r="F26" s="169">
        <f>'5) Productiviteitsverandering'!H92</f>
        <v>1.0479928178634967E-3</v>
      </c>
      <c r="G26" s="48"/>
    </row>
    <row r="27" spans="1:20" x14ac:dyDescent="0.2">
      <c r="A27" s="48"/>
      <c r="B27" s="200" t="s">
        <v>95</v>
      </c>
      <c r="C27" s="48"/>
      <c r="D27" s="44" t="s">
        <v>14</v>
      </c>
      <c r="E27" s="48"/>
      <c r="F27" s="169">
        <f>'4) Berekeningen op parameters'!H44</f>
        <v>2.5715359201648382E-3</v>
      </c>
      <c r="G27" s="48"/>
    </row>
    <row r="28" spans="1:20" x14ac:dyDescent="0.2">
      <c r="A28" s="48"/>
      <c r="C28" s="48"/>
      <c r="E28" s="48"/>
      <c r="G28" s="48"/>
    </row>
    <row r="29" spans="1:20" s="56" customFormat="1" ht="12" customHeight="1" x14ac:dyDescent="0.25">
      <c r="B29" s="56" t="s">
        <v>317</v>
      </c>
      <c r="H29" s="57"/>
      <c r="I29" s="57"/>
      <c r="J29" s="57"/>
      <c r="K29" s="57"/>
      <c r="L29" s="57"/>
      <c r="M29" s="57"/>
      <c r="N29" s="57"/>
      <c r="R29" s="57"/>
      <c r="T29" s="57"/>
    </row>
    <row r="30" spans="1:20" s="32" customFormat="1" x14ac:dyDescent="0.2"/>
    <row r="31" spans="1:20" s="32" customFormat="1" x14ac:dyDescent="0.2">
      <c r="B31" s="32" t="s">
        <v>293</v>
      </c>
      <c r="D31" s="32" t="s">
        <v>141</v>
      </c>
      <c r="F31" s="98">
        <f>SUM(H31:M31)</f>
        <v>2212275788.1567888</v>
      </c>
      <c r="H31" s="43">
        <f>'8) Q-factor &amp; tariefruimte'!L36</f>
        <v>13564973.539043689</v>
      </c>
      <c r="I31" s="43">
        <f>'8) Q-factor &amp; tariefruimte'!M36</f>
        <v>736797520.52305138</v>
      </c>
      <c r="J31" s="43">
        <f>'8) Q-factor &amp; tariefruimte'!N36</f>
        <v>842403287.11768901</v>
      </c>
      <c r="K31" s="43">
        <f>'8) Q-factor &amp; tariefruimte'!O36</f>
        <v>7921179.146260458</v>
      </c>
      <c r="L31" s="43">
        <f>'8) Q-factor &amp; tariefruimte'!P36</f>
        <v>574059375.42336357</v>
      </c>
      <c r="M31" s="43">
        <f>'8) Q-factor &amp; tariefruimte'!Q36</f>
        <v>37529452.407380611</v>
      </c>
    </row>
    <row r="32" spans="1:20" s="32" customFormat="1" x14ac:dyDescent="0.2">
      <c r="B32" s="32" t="s">
        <v>294</v>
      </c>
      <c r="D32" s="32" t="s">
        <v>298</v>
      </c>
      <c r="F32" s="98">
        <f t="shared" ref="F32:F35" si="0">SUM(H32:M32)</f>
        <v>2234887145.6568255</v>
      </c>
      <c r="H32" s="43">
        <f>'8) Q-factor &amp; tariefruimte'!L37</f>
        <v>14030252.131432887</v>
      </c>
      <c r="I32" s="43">
        <f>'8) Q-factor &amp; tariefruimte'!M37</f>
        <v>746007489.52958953</v>
      </c>
      <c r="J32" s="43">
        <f>'8) Q-factor &amp; tariefruimte'!N37</f>
        <v>850658839.33144236</v>
      </c>
      <c r="K32" s="43">
        <f>'8) Q-factor &amp; tariefruimte'!O37</f>
        <v>7995638.2302353065</v>
      </c>
      <c r="L32" s="43">
        <f>'8) Q-factor &amp; tariefruimte'!P37</f>
        <v>578192602.92641175</v>
      </c>
      <c r="M32" s="43">
        <f>'8) Q-factor &amp; tariefruimte'!Q37</f>
        <v>38002323.507713601</v>
      </c>
    </row>
    <row r="33" spans="2:13" s="32" customFormat="1" x14ac:dyDescent="0.2">
      <c r="B33" s="32" t="s">
        <v>295</v>
      </c>
      <c r="D33" s="32" t="s">
        <v>299</v>
      </c>
      <c r="F33" s="98">
        <f t="shared" si="0"/>
        <v>2257746908.566133</v>
      </c>
      <c r="H33" s="43">
        <f>'8) Q-factor &amp; tariefruimte'!L38</f>
        <v>14511489.779541034</v>
      </c>
      <c r="I33" s="43">
        <f>'8) Q-factor &amp; tariefruimte'!M38</f>
        <v>755332583.14870942</v>
      </c>
      <c r="J33" s="43">
        <f>'8) Q-factor &amp; tariefruimte'!N38</f>
        <v>858995295.95689046</v>
      </c>
      <c r="K33" s="43">
        <f>'8) Q-factor &amp; tariefruimte'!O38</f>
        <v>8070797.2295995187</v>
      </c>
      <c r="L33" s="43">
        <f>'8) Q-factor &amp; tariefruimte'!P38</f>
        <v>582355589.66748178</v>
      </c>
      <c r="M33" s="43">
        <f>'8) Q-factor &amp; tariefruimte'!Q38</f>
        <v>38481152.783910789</v>
      </c>
    </row>
    <row r="34" spans="2:13" s="32" customFormat="1" x14ac:dyDescent="0.2">
      <c r="B34" s="32" t="s">
        <v>296</v>
      </c>
      <c r="D34" s="32" t="s">
        <v>300</v>
      </c>
      <c r="F34" s="98">
        <f t="shared" si="0"/>
        <v>2280858152.1199489</v>
      </c>
      <c r="H34" s="43">
        <f>'8) Q-factor &amp; tariefruimte'!L39</f>
        <v>15009233.878979292</v>
      </c>
      <c r="I34" s="43">
        <f>'8) Q-factor &amp; tariefruimte'!M39</f>
        <v>764774240.43806827</v>
      </c>
      <c r="J34" s="43">
        <f>'8) Q-factor &amp; tariefruimte'!N39</f>
        <v>867413449.85726798</v>
      </c>
      <c r="K34" s="43">
        <f>'8) Q-factor &amp; tariefruimte'!O39</f>
        <v>8146662.7235577544</v>
      </c>
      <c r="L34" s="43">
        <f>'8) Q-factor &amp; tariefruimte'!P39</f>
        <v>586548549.91308761</v>
      </c>
      <c r="M34" s="43">
        <f>'8) Q-factor &amp; tariefruimte'!Q39</f>
        <v>38966015.308988065</v>
      </c>
    </row>
    <row r="35" spans="2:13" s="32" customFormat="1" x14ac:dyDescent="0.2">
      <c r="B35" s="32" t="s">
        <v>297</v>
      </c>
      <c r="D35" s="32" t="s">
        <v>171</v>
      </c>
      <c r="F35" s="98">
        <f t="shared" si="0"/>
        <v>2304223998.6379442</v>
      </c>
      <c r="H35" s="43">
        <f>'8) Q-factor &amp; tariefruimte'!L40</f>
        <v>15524050.601028282</v>
      </c>
      <c r="I35" s="43">
        <f>'8) Q-factor &amp; tariefruimte'!M40</f>
        <v>774333918.44354415</v>
      </c>
      <c r="J35" s="43">
        <f>'8) Q-factor &amp; tariefruimte'!N40</f>
        <v>875914101.66586924</v>
      </c>
      <c r="K35" s="43">
        <f>'8) Q-factor &amp; tariefruimte'!O40</f>
        <v>8223241.3531591976</v>
      </c>
      <c r="L35" s="43">
        <f>'8) Q-factor &amp; tariefruimte'!P40</f>
        <v>590771699.47246182</v>
      </c>
      <c r="M35" s="43">
        <f>'8) Q-factor &amp; tariefruimte'!Q40</f>
        <v>39456987.10188131</v>
      </c>
    </row>
    <row r="36" spans="2:13" s="32" customForma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
  <sheetViews>
    <sheetView showGridLines="0" zoomScale="85" zoomScaleNormal="85" workbookViewId="0"/>
  </sheetViews>
  <sheetFormatPr defaultRowHeight="15" x14ac:dyDescent="0.25"/>
  <cols>
    <col min="1" max="16384" width="9.140625" style="6"/>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E1FFE1"/>
  </sheetPr>
  <dimension ref="A1:AA49"/>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2" customWidth="1"/>
    <col min="2" max="2" width="70" style="2" bestFit="1" customWidth="1"/>
    <col min="3" max="3" width="3.140625" style="2" customWidth="1"/>
    <col min="4" max="4" width="18.7109375" style="32" customWidth="1"/>
    <col min="5" max="5" width="3.140625" style="32" customWidth="1"/>
    <col min="6" max="6" width="12.5703125" style="2" bestFit="1" customWidth="1"/>
    <col min="7" max="7" width="2.85546875" style="2" customWidth="1"/>
    <col min="8" max="8" width="15.7109375" style="2" customWidth="1"/>
    <col min="9" max="9" width="2.85546875" style="32" customWidth="1"/>
    <col min="10" max="10" width="15.7109375" style="32" customWidth="1"/>
    <col min="11" max="11" width="2.7109375" style="2" customWidth="1"/>
    <col min="12" max="15" width="10.7109375" style="2" customWidth="1"/>
    <col min="16" max="17" width="10.7109375" style="32" customWidth="1"/>
    <col min="18" max="18" width="12.5703125" style="32" bestFit="1" customWidth="1"/>
    <col min="19" max="21" width="10.7109375" style="32" customWidth="1"/>
    <col min="22" max="22" width="11.28515625" style="32" bestFit="1" customWidth="1"/>
    <col min="23" max="23" width="13.42578125" style="32" customWidth="1"/>
    <col min="24" max="24" width="2.7109375" style="32" customWidth="1"/>
    <col min="25" max="25" width="61" style="32" bestFit="1" customWidth="1"/>
    <col min="26" max="26" width="2.7109375" style="32" customWidth="1"/>
    <col min="27" max="27" width="14.7109375" style="2" customWidth="1"/>
    <col min="28" max="16384" width="9.140625" style="2"/>
  </cols>
  <sheetData>
    <row r="1" spans="1:27" x14ac:dyDescent="0.2">
      <c r="B1" s="32"/>
      <c r="D1" s="48"/>
    </row>
    <row r="2" spans="1:27" s="49" customFormat="1" ht="18" x14ac:dyDescent="0.25">
      <c r="B2" s="49" t="s">
        <v>126</v>
      </c>
    </row>
    <row r="3" spans="1:27" x14ac:dyDescent="0.2">
      <c r="D3" s="48"/>
    </row>
    <row r="4" spans="1:27" s="32" customFormat="1" x14ac:dyDescent="0.2">
      <c r="B4" s="50" t="s">
        <v>71</v>
      </c>
      <c r="D4" s="48"/>
    </row>
    <row r="5" spans="1:27" ht="36" customHeight="1" x14ac:dyDescent="0.2">
      <c r="A5" s="32"/>
      <c r="B5" s="215" t="s">
        <v>87</v>
      </c>
      <c r="C5" s="215"/>
      <c r="D5" s="215"/>
      <c r="E5" s="215"/>
      <c r="F5" s="215"/>
    </row>
    <row r="6" spans="1:27" s="32" customFormat="1" x14ac:dyDescent="0.2">
      <c r="D6" s="48"/>
    </row>
    <row r="7" spans="1:27" s="56" customFormat="1" x14ac:dyDescent="0.25">
      <c r="B7" s="56" t="s">
        <v>75</v>
      </c>
      <c r="D7" s="56" t="s">
        <v>17</v>
      </c>
      <c r="F7" s="56" t="s">
        <v>1</v>
      </c>
      <c r="H7" s="56" t="s">
        <v>329</v>
      </c>
      <c r="J7" s="56" t="s">
        <v>330</v>
      </c>
      <c r="L7" s="57"/>
      <c r="M7" s="57">
        <v>2016</v>
      </c>
      <c r="N7" s="57">
        <v>2017</v>
      </c>
      <c r="O7" s="57">
        <v>2018</v>
      </c>
      <c r="P7" s="57">
        <v>2019</v>
      </c>
      <c r="Q7" s="57">
        <v>2020</v>
      </c>
      <c r="R7" s="57">
        <v>2021</v>
      </c>
      <c r="S7" s="57">
        <v>2022</v>
      </c>
      <c r="T7" s="57">
        <v>2023</v>
      </c>
      <c r="U7" s="57">
        <v>2024</v>
      </c>
      <c r="V7" s="57">
        <v>2025</v>
      </c>
      <c r="W7" s="57">
        <v>2026</v>
      </c>
      <c r="Y7" s="56" t="s">
        <v>125</v>
      </c>
      <c r="AA7" s="56" t="s">
        <v>52</v>
      </c>
    </row>
    <row r="9" spans="1:27" s="56" customFormat="1" x14ac:dyDescent="0.25">
      <c r="B9" s="56" t="s">
        <v>15</v>
      </c>
      <c r="L9" s="57"/>
      <c r="M9" s="57"/>
      <c r="N9" s="57"/>
      <c r="O9" s="57"/>
      <c r="P9" s="57"/>
      <c r="Q9" s="57"/>
      <c r="R9" s="57"/>
      <c r="S9" s="57"/>
      <c r="T9" s="57"/>
      <c r="U9" s="57"/>
      <c r="V9" s="57"/>
      <c r="W9" s="57"/>
    </row>
    <row r="11" spans="1:27" s="48" customFormat="1" x14ac:dyDescent="0.25">
      <c r="B11" s="108" t="s">
        <v>472</v>
      </c>
    </row>
    <row r="12" spans="1:27" s="48" customFormat="1" x14ac:dyDescent="0.2">
      <c r="B12" s="48" t="s">
        <v>473</v>
      </c>
      <c r="F12" s="48" t="s">
        <v>14</v>
      </c>
      <c r="H12" s="151">
        <v>0.03</v>
      </c>
      <c r="Y12" s="48" t="s">
        <v>474</v>
      </c>
    </row>
    <row r="13" spans="1:27" s="48" customFormat="1" x14ac:dyDescent="0.2">
      <c r="B13" s="48" t="s">
        <v>475</v>
      </c>
      <c r="F13" s="48" t="s">
        <v>14</v>
      </c>
      <c r="H13" s="151">
        <v>2.8000000000000001E-2</v>
      </c>
      <c r="Y13" s="48" t="s">
        <v>474</v>
      </c>
    </row>
    <row r="14" spans="1:27" x14ac:dyDescent="0.2">
      <c r="A14" s="32"/>
      <c r="B14" s="3" t="s">
        <v>42</v>
      </c>
      <c r="J14" s="7"/>
      <c r="K14" s="2" t="s">
        <v>70</v>
      </c>
      <c r="X14" s="32" t="s">
        <v>70</v>
      </c>
      <c r="AA14" s="32" t="s">
        <v>458</v>
      </c>
    </row>
    <row r="15" spans="1:27" x14ac:dyDescent="0.2">
      <c r="A15" s="32"/>
      <c r="B15" s="2" t="s">
        <v>340</v>
      </c>
      <c r="F15" s="2" t="s">
        <v>14</v>
      </c>
      <c r="H15" s="151">
        <v>1.2999999999999999E-2</v>
      </c>
      <c r="J15" s="132"/>
      <c r="AA15" s="32" t="s">
        <v>458</v>
      </c>
    </row>
    <row r="16" spans="1:27" x14ac:dyDescent="0.2">
      <c r="A16" s="32"/>
      <c r="B16" s="2" t="s">
        <v>341</v>
      </c>
      <c r="F16" s="2" t="s">
        <v>14</v>
      </c>
      <c r="H16" s="151">
        <v>0.01</v>
      </c>
      <c r="J16" s="132"/>
    </row>
    <row r="17" spans="1:27" x14ac:dyDescent="0.2">
      <c r="J17" s="7"/>
    </row>
    <row r="18" spans="1:27" s="56" customFormat="1" x14ac:dyDescent="0.25">
      <c r="B18" s="56" t="s">
        <v>21</v>
      </c>
      <c r="L18" s="57"/>
      <c r="M18" s="57"/>
      <c r="N18" s="57"/>
      <c r="O18" s="57"/>
      <c r="P18" s="57"/>
      <c r="Q18" s="57"/>
      <c r="R18" s="57"/>
      <c r="S18" s="57"/>
      <c r="T18" s="57"/>
      <c r="U18" s="57"/>
      <c r="V18" s="57"/>
      <c r="W18" s="57"/>
    </row>
    <row r="20" spans="1:27" x14ac:dyDescent="0.2">
      <c r="B20" s="3" t="s">
        <v>342</v>
      </c>
    </row>
    <row r="21" spans="1:27" x14ac:dyDescent="0.2">
      <c r="A21" s="32"/>
      <c r="B21" s="2" t="s">
        <v>343</v>
      </c>
      <c r="F21" s="2" t="s">
        <v>14</v>
      </c>
      <c r="M21" s="151">
        <v>8.0000000000000002E-3</v>
      </c>
      <c r="N21" s="151">
        <v>2E-3</v>
      </c>
      <c r="O21" s="151">
        <v>1.4E-2</v>
      </c>
      <c r="P21" s="151">
        <v>2.1000000000000001E-2</v>
      </c>
      <c r="Q21" s="151">
        <v>2.8000000000000001E-2</v>
      </c>
      <c r="R21" s="151">
        <v>7.0000000000000001E-3</v>
      </c>
      <c r="AA21" s="32" t="s">
        <v>53</v>
      </c>
    </row>
    <row r="22" spans="1:27" s="32" customFormat="1" x14ac:dyDescent="0.2">
      <c r="L22" s="132"/>
      <c r="M22" s="132"/>
      <c r="N22" s="132"/>
      <c r="O22" s="132"/>
      <c r="P22" s="132"/>
      <c r="Q22" s="132"/>
    </row>
    <row r="23" spans="1:27" x14ac:dyDescent="0.2">
      <c r="A23" s="32"/>
      <c r="B23" s="3" t="s">
        <v>456</v>
      </c>
      <c r="F23" s="7"/>
      <c r="G23" s="7"/>
      <c r="H23" s="132"/>
      <c r="J23" s="131"/>
      <c r="AA23" s="32" t="s">
        <v>457</v>
      </c>
    </row>
    <row r="24" spans="1:27" x14ac:dyDescent="0.2">
      <c r="A24" s="32"/>
      <c r="B24" s="32" t="s">
        <v>455</v>
      </c>
      <c r="F24" s="32" t="s">
        <v>14</v>
      </c>
      <c r="H24" s="151">
        <v>1.7999999999999999E-2</v>
      </c>
      <c r="J24" s="131"/>
    </row>
    <row r="25" spans="1:27" x14ac:dyDescent="0.2">
      <c r="A25" s="32"/>
    </row>
    <row r="26" spans="1:27" s="56" customFormat="1" x14ac:dyDescent="0.25">
      <c r="B26" s="56" t="s">
        <v>270</v>
      </c>
      <c r="L26" s="57"/>
      <c r="M26" s="57"/>
      <c r="N26" s="57"/>
      <c r="O26" s="57"/>
      <c r="P26" s="57"/>
      <c r="Q26" s="57"/>
      <c r="R26" s="57"/>
      <c r="S26" s="57"/>
      <c r="T26" s="57"/>
      <c r="U26" s="57"/>
      <c r="V26" s="57"/>
      <c r="W26" s="57"/>
    </row>
    <row r="27" spans="1:27" s="32" customFormat="1" x14ac:dyDescent="0.2"/>
    <row r="28" spans="1:27" s="32" customFormat="1" x14ac:dyDescent="0.2">
      <c r="B28" s="32" t="s">
        <v>289</v>
      </c>
      <c r="F28" s="192" t="s">
        <v>138</v>
      </c>
      <c r="J28" s="9"/>
      <c r="T28" s="152">
        <v>633241.16346136387</v>
      </c>
      <c r="U28" s="152">
        <v>2571288.7028688826</v>
      </c>
      <c r="V28" s="152">
        <v>2614400.6528726881</v>
      </c>
      <c r="W28" s="152">
        <v>2658096.6093278606</v>
      </c>
      <c r="AA28" s="35" t="s">
        <v>575</v>
      </c>
    </row>
    <row r="29" spans="1:27" s="32" customFormat="1" x14ac:dyDescent="0.2">
      <c r="B29" s="32" t="s">
        <v>335</v>
      </c>
      <c r="F29" s="192" t="s">
        <v>138</v>
      </c>
      <c r="J29" s="9"/>
      <c r="T29" s="152">
        <v>4948916.9118785299</v>
      </c>
      <c r="U29" s="152">
        <v>6571739.9964271188</v>
      </c>
      <c r="V29" s="152">
        <v>6677681.9815214379</v>
      </c>
      <c r="W29" s="152">
        <v>6785052.5655689761</v>
      </c>
      <c r="Y29" s="32" t="s">
        <v>327</v>
      </c>
      <c r="AA29" s="35" t="s">
        <v>576</v>
      </c>
    </row>
    <row r="30" spans="1:27" s="32" customFormat="1" x14ac:dyDescent="0.2">
      <c r="B30" s="32" t="s">
        <v>334</v>
      </c>
      <c r="F30" s="192" t="s">
        <v>138</v>
      </c>
      <c r="J30" s="9"/>
      <c r="AA30" s="35"/>
    </row>
    <row r="31" spans="1:27" s="32" customFormat="1" x14ac:dyDescent="0.2">
      <c r="B31" s="32" t="s">
        <v>290</v>
      </c>
      <c r="F31" s="192" t="s">
        <v>138</v>
      </c>
      <c r="J31" s="9"/>
      <c r="P31" s="9"/>
      <c r="AA31" s="35"/>
    </row>
    <row r="32" spans="1:27" s="32" customFormat="1" x14ac:dyDescent="0.2">
      <c r="B32" s="32" t="s">
        <v>319</v>
      </c>
      <c r="F32" s="192" t="s">
        <v>138</v>
      </c>
      <c r="J32" s="9"/>
      <c r="U32" s="152">
        <v>4707082.0482439762</v>
      </c>
      <c r="V32" s="152">
        <v>10600581.329924364</v>
      </c>
      <c r="W32" s="152">
        <v>10788986.574972708</v>
      </c>
      <c r="Y32" s="32" t="s">
        <v>328</v>
      </c>
      <c r="AA32" s="35" t="s">
        <v>577</v>
      </c>
    </row>
    <row r="33" spans="1:27" s="32" customFormat="1" x14ac:dyDescent="0.2">
      <c r="B33" s="32" t="s">
        <v>291</v>
      </c>
      <c r="F33" s="192" t="s">
        <v>138</v>
      </c>
      <c r="J33" s="9"/>
    </row>
    <row r="34" spans="1:27" s="32" customFormat="1" x14ac:dyDescent="0.2">
      <c r="AA34" s="36"/>
    </row>
    <row r="35" spans="1:27" s="56" customFormat="1" x14ac:dyDescent="0.25">
      <c r="B35" s="56" t="s">
        <v>64</v>
      </c>
      <c r="L35" s="57"/>
      <c r="M35" s="57"/>
      <c r="N35" s="57"/>
      <c r="O35" s="57"/>
      <c r="P35" s="57"/>
      <c r="Q35" s="57"/>
      <c r="R35" s="57"/>
      <c r="S35" s="57"/>
      <c r="T35" s="57"/>
      <c r="U35" s="57"/>
      <c r="V35" s="57"/>
      <c r="W35" s="57"/>
    </row>
    <row r="36" spans="1:27" x14ac:dyDescent="0.2">
      <c r="J36" s="7"/>
    </row>
    <row r="37" spans="1:27" s="32" customFormat="1" x14ac:dyDescent="0.2">
      <c r="A37" s="7"/>
      <c r="B37" s="32" t="s">
        <v>165</v>
      </c>
      <c r="F37" s="32" t="s">
        <v>26</v>
      </c>
      <c r="H37" s="150">
        <v>4822740.8938368913</v>
      </c>
      <c r="J37" s="133"/>
      <c r="L37" s="5"/>
      <c r="AA37" s="209" t="s">
        <v>578</v>
      </c>
    </row>
    <row r="38" spans="1:27" x14ac:dyDescent="0.2">
      <c r="B38" s="2" t="s">
        <v>166</v>
      </c>
      <c r="F38" s="32" t="s">
        <v>26</v>
      </c>
      <c r="H38" s="150">
        <v>25895281.033806879</v>
      </c>
      <c r="J38" s="133"/>
      <c r="L38" s="5"/>
      <c r="T38" s="181"/>
      <c r="U38" s="181"/>
      <c r="V38" s="181"/>
      <c r="W38" s="181"/>
      <c r="AA38" s="209" t="s">
        <v>579</v>
      </c>
    </row>
    <row r="39" spans="1:27" x14ac:dyDescent="0.2">
      <c r="B39" s="2" t="s">
        <v>167</v>
      </c>
      <c r="F39" s="32" t="s">
        <v>26</v>
      </c>
      <c r="H39" s="150">
        <v>-6986651.1138314363</v>
      </c>
      <c r="J39" s="133"/>
      <c r="L39" s="5"/>
      <c r="T39" s="181"/>
      <c r="U39" s="181"/>
      <c r="V39" s="181"/>
      <c r="W39" s="181"/>
      <c r="AA39" s="209" t="s">
        <v>580</v>
      </c>
    </row>
    <row r="40" spans="1:27" x14ac:dyDescent="0.2">
      <c r="B40" s="32" t="s">
        <v>168</v>
      </c>
      <c r="F40" s="32" t="s">
        <v>26</v>
      </c>
      <c r="H40" s="150">
        <v>-63881.848380199328</v>
      </c>
      <c r="J40" s="133"/>
      <c r="L40" s="5"/>
      <c r="T40" s="181"/>
      <c r="U40" s="181"/>
      <c r="V40" s="181"/>
      <c r="W40" s="181"/>
      <c r="AA40" s="209" t="s">
        <v>581</v>
      </c>
    </row>
    <row r="41" spans="1:27" x14ac:dyDescent="0.2">
      <c r="B41" s="32" t="s">
        <v>320</v>
      </c>
      <c r="F41" s="32" t="s">
        <v>26</v>
      </c>
      <c r="H41" s="150">
        <v>-25144803.556875207</v>
      </c>
      <c r="J41" s="133"/>
      <c r="L41" s="5"/>
      <c r="T41" s="181"/>
      <c r="U41" s="181"/>
      <c r="V41" s="181"/>
      <c r="W41" s="181"/>
      <c r="AA41" s="209" t="s">
        <v>582</v>
      </c>
    </row>
    <row r="42" spans="1:27" x14ac:dyDescent="0.2">
      <c r="B42" s="32" t="s">
        <v>169</v>
      </c>
      <c r="F42" s="32" t="s">
        <v>26</v>
      </c>
      <c r="H42" s="150">
        <v>1477314.5914432928</v>
      </c>
      <c r="J42" s="133"/>
      <c r="L42" s="5"/>
      <c r="T42" s="181"/>
      <c r="U42" s="181"/>
      <c r="V42" s="181"/>
      <c r="W42" s="181"/>
      <c r="AA42" s="209" t="s">
        <v>583</v>
      </c>
    </row>
    <row r="43" spans="1:27" x14ac:dyDescent="0.2">
      <c r="J43" s="7"/>
      <c r="T43" s="181"/>
      <c r="U43" s="181"/>
      <c r="V43" s="181"/>
      <c r="W43" s="181"/>
      <c r="AA43" s="32"/>
    </row>
    <row r="44" spans="1:27" s="56" customFormat="1" x14ac:dyDescent="0.25">
      <c r="B44" s="56" t="s">
        <v>544</v>
      </c>
    </row>
    <row r="45" spans="1:27" x14ac:dyDescent="0.2">
      <c r="D45" s="2"/>
      <c r="E45" s="2"/>
      <c r="G45" s="32"/>
      <c r="H45" s="32"/>
      <c r="I45" s="2"/>
      <c r="J45" s="2"/>
      <c r="P45" s="2"/>
      <c r="Q45" s="2"/>
      <c r="R45" s="2"/>
      <c r="S45" s="2"/>
      <c r="T45" s="2"/>
      <c r="U45" s="2"/>
      <c r="V45" s="2"/>
      <c r="W45" s="2"/>
      <c r="X45" s="2"/>
      <c r="Y45" s="2"/>
      <c r="Z45" s="2"/>
    </row>
    <row r="46" spans="1:27" x14ac:dyDescent="0.2">
      <c r="B46" s="196" t="s">
        <v>95</v>
      </c>
      <c r="D46" s="2"/>
      <c r="E46" s="2"/>
      <c r="F46" s="32" t="s">
        <v>14</v>
      </c>
      <c r="G46" s="32"/>
      <c r="H46" s="149">
        <v>8.8756134879797166E-4</v>
      </c>
      <c r="I46" s="2"/>
      <c r="J46" s="2"/>
      <c r="P46" s="2"/>
      <c r="Q46" s="2"/>
      <c r="R46" s="2"/>
      <c r="S46" s="2"/>
      <c r="T46" s="2"/>
      <c r="U46" s="2"/>
      <c r="V46" s="2"/>
      <c r="W46" s="2"/>
      <c r="X46" s="2"/>
      <c r="Y46" s="2"/>
      <c r="Z46" s="2"/>
      <c r="AA46" s="196" t="s">
        <v>545</v>
      </c>
    </row>
    <row r="47" spans="1:27" x14ac:dyDescent="0.2">
      <c r="B47" s="196" t="s">
        <v>550</v>
      </c>
      <c r="D47" s="2"/>
      <c r="E47" s="2"/>
      <c r="F47" s="196" t="s">
        <v>14</v>
      </c>
      <c r="G47" s="32"/>
      <c r="H47" s="149">
        <v>3.44E-2</v>
      </c>
      <c r="I47" s="2"/>
      <c r="J47" s="2"/>
      <c r="P47" s="2"/>
      <c r="Q47" s="2"/>
      <c r="R47" s="2"/>
      <c r="S47" s="2"/>
      <c r="T47" s="2"/>
      <c r="U47" s="2"/>
      <c r="V47" s="2"/>
      <c r="W47" s="2"/>
      <c r="X47" s="2"/>
      <c r="Y47" s="2"/>
      <c r="Z47" s="2"/>
      <c r="AA47" s="199" t="s">
        <v>552</v>
      </c>
    </row>
    <row r="48" spans="1:27" x14ac:dyDescent="0.2">
      <c r="B48" s="196" t="s">
        <v>551</v>
      </c>
      <c r="D48" s="2"/>
      <c r="E48" s="2"/>
      <c r="F48" s="196" t="s">
        <v>138</v>
      </c>
      <c r="G48" s="32"/>
      <c r="I48" s="2"/>
      <c r="J48" s="2"/>
      <c r="P48" s="2"/>
      <c r="Q48" s="2"/>
      <c r="R48" s="95">
        <v>110041303.37721671</v>
      </c>
      <c r="S48" s="2"/>
      <c r="U48" s="2"/>
      <c r="V48" s="2"/>
      <c r="W48" s="2"/>
      <c r="X48" s="2"/>
      <c r="Y48" s="2"/>
      <c r="Z48" s="2"/>
      <c r="AA48" s="199" t="s">
        <v>553</v>
      </c>
    </row>
    <row r="49" spans="20:23" x14ac:dyDescent="0.2">
      <c r="T49" s="181"/>
      <c r="U49" s="181"/>
      <c r="V49" s="181"/>
      <c r="W49" s="181"/>
    </row>
  </sheetData>
  <mergeCells count="1">
    <mergeCell ref="B5: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tabColor rgb="FFE1FFE1"/>
    <pageSetUpPr fitToPage="1"/>
  </sheetPr>
  <dimension ref="A1:V69"/>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75" x14ac:dyDescent="0.2"/>
  <cols>
    <col min="1" max="1" width="2.7109375" style="2" customWidth="1"/>
    <col min="2" max="2" width="64.42578125" style="2" customWidth="1"/>
    <col min="3" max="3" width="3.140625" style="2" customWidth="1"/>
    <col min="4" max="4" width="18.7109375" style="2" customWidth="1"/>
    <col min="5" max="5" width="2.85546875" style="2" customWidth="1"/>
    <col min="6" max="6" width="15.7109375" style="2" customWidth="1"/>
    <col min="7" max="7" width="2.7109375" style="32" customWidth="1"/>
    <col min="8" max="8" width="15.7109375" style="32" customWidth="1"/>
    <col min="9" max="9" width="2.7109375" style="2" customWidth="1"/>
    <col min="10" max="10" width="15.7109375" style="2" customWidth="1"/>
    <col min="11" max="11" width="3.28515625" style="2" customWidth="1"/>
    <col min="12" max="17" width="14.7109375" style="2" customWidth="1"/>
    <col min="18" max="18" width="3.28515625" style="32" customWidth="1"/>
    <col min="19" max="20" width="14.7109375" style="32" customWidth="1"/>
    <col min="21" max="21" width="3.28515625" style="32" customWidth="1"/>
    <col min="22" max="16384" width="9.140625" style="2"/>
  </cols>
  <sheetData>
    <row r="1" spans="1:22" s="48" customFormat="1" x14ac:dyDescent="0.25"/>
    <row r="2" spans="1:22" s="49" customFormat="1" ht="18" x14ac:dyDescent="0.25">
      <c r="B2" s="49" t="s">
        <v>429</v>
      </c>
    </row>
    <row r="3" spans="1:22" s="48" customFormat="1" x14ac:dyDescent="0.25"/>
    <row r="4" spans="1:22" s="48" customFormat="1" ht="15" x14ac:dyDescent="0.25">
      <c r="B4" s="50" t="s">
        <v>71</v>
      </c>
      <c r="K4" s="51"/>
      <c r="L4" s="51"/>
      <c r="R4" s="51"/>
      <c r="U4" s="51"/>
    </row>
    <row r="5" spans="1:22" s="48" customFormat="1" ht="62.25" customHeight="1" x14ac:dyDescent="0.25">
      <c r="B5" s="212" t="s">
        <v>72</v>
      </c>
      <c r="C5" s="212"/>
    </row>
    <row r="6" spans="1:22" s="48" customFormat="1" x14ac:dyDescent="0.25">
      <c r="B6" s="53"/>
    </row>
    <row r="7" spans="1:22" x14ac:dyDescent="0.2">
      <c r="A7" s="32"/>
      <c r="B7" s="54" t="s">
        <v>73</v>
      </c>
    </row>
    <row r="8" spans="1:22" ht="78" customHeight="1" x14ac:dyDescent="0.2">
      <c r="A8" s="32"/>
      <c r="B8" s="212" t="s">
        <v>74</v>
      </c>
      <c r="C8" s="212"/>
    </row>
    <row r="9" spans="1:22" s="32" customFormat="1" ht="12.75" customHeight="1" x14ac:dyDescent="0.2">
      <c r="B9" s="36"/>
    </row>
    <row r="10" spans="1:22" s="56" customFormat="1" x14ac:dyDescent="0.25">
      <c r="B10" s="56" t="s">
        <v>75</v>
      </c>
      <c r="D10" s="56" t="s">
        <v>17</v>
      </c>
      <c r="F10" s="56" t="s">
        <v>1</v>
      </c>
      <c r="H10" s="56" t="s">
        <v>329</v>
      </c>
      <c r="J10" s="56" t="s">
        <v>330</v>
      </c>
      <c r="L10" s="56" t="s">
        <v>69</v>
      </c>
      <c r="M10" s="56" t="s">
        <v>4</v>
      </c>
      <c r="N10" s="56" t="s">
        <v>5</v>
      </c>
      <c r="O10" s="56" t="s">
        <v>6</v>
      </c>
      <c r="P10" s="56" t="s">
        <v>7</v>
      </c>
      <c r="Q10" s="56" t="s">
        <v>8</v>
      </c>
      <c r="S10" s="56" t="s">
        <v>336</v>
      </c>
      <c r="T10" s="56" t="s">
        <v>537</v>
      </c>
      <c r="V10" s="56" t="s">
        <v>54</v>
      </c>
    </row>
    <row r="12" spans="1:22" s="56" customFormat="1" x14ac:dyDescent="0.25">
      <c r="B12" s="56" t="s">
        <v>46</v>
      </c>
    </row>
    <row r="13" spans="1:22" s="18" customFormat="1" ht="15" x14ac:dyDescent="0.25"/>
    <row r="14" spans="1:22" ht="15" x14ac:dyDescent="0.25">
      <c r="A14" s="18"/>
      <c r="B14" s="3" t="s">
        <v>44</v>
      </c>
      <c r="H14" s="7"/>
      <c r="L14" s="30"/>
    </row>
    <row r="15" spans="1:22" ht="15" x14ac:dyDescent="0.25">
      <c r="A15" s="18"/>
      <c r="B15" s="23" t="s">
        <v>90</v>
      </c>
      <c r="D15" s="32" t="s">
        <v>333</v>
      </c>
      <c r="F15" s="2" t="s">
        <v>16</v>
      </c>
      <c r="H15" s="42"/>
      <c r="J15" s="24">
        <f>SUM(L15:Q15)</f>
        <v>973124864.26440775</v>
      </c>
      <c r="L15" s="153">
        <v>4571550.2540674517</v>
      </c>
      <c r="M15" s="153">
        <v>279382067.0943011</v>
      </c>
      <c r="N15" s="153">
        <v>431723282.08801162</v>
      </c>
      <c r="O15" s="153">
        <v>2729417.13</v>
      </c>
      <c r="P15" s="153">
        <v>242743583.9444744</v>
      </c>
      <c r="Q15" s="153">
        <v>11974963.753553275</v>
      </c>
      <c r="S15" s="174"/>
      <c r="T15" s="174"/>
      <c r="V15" s="32" t="s">
        <v>362</v>
      </c>
    </row>
    <row r="16" spans="1:22" s="32" customFormat="1" ht="15" x14ac:dyDescent="0.25">
      <c r="A16" s="18"/>
      <c r="B16" s="23" t="s">
        <v>41</v>
      </c>
      <c r="D16" s="25" t="s">
        <v>78</v>
      </c>
      <c r="F16" s="32" t="s">
        <v>16</v>
      </c>
      <c r="H16" s="42"/>
      <c r="J16" s="24">
        <f>SUM(L16:Q16)</f>
        <v>999666215.95852435</v>
      </c>
      <c r="K16" s="26"/>
      <c r="L16" s="153">
        <v>5913219.4031619262</v>
      </c>
      <c r="M16" s="153">
        <v>344504866.42293304</v>
      </c>
      <c r="N16" s="153">
        <v>326636918.5820806</v>
      </c>
      <c r="O16" s="153">
        <v>3948668.1273172079</v>
      </c>
      <c r="P16" s="153">
        <v>298895255.49605262</v>
      </c>
      <c r="Q16" s="153">
        <v>19767287.926978983</v>
      </c>
      <c r="R16" s="26"/>
      <c r="S16" s="153">
        <v>364505976.78865701</v>
      </c>
      <c r="T16" s="153">
        <v>4036438.7423505681</v>
      </c>
      <c r="U16" s="26"/>
      <c r="V16" s="32" t="s">
        <v>363</v>
      </c>
    </row>
    <row r="17" spans="1:22" ht="15" x14ac:dyDescent="0.25">
      <c r="A17" s="18"/>
      <c r="H17" s="7"/>
      <c r="V17" s="32"/>
    </row>
    <row r="18" spans="1:22" s="56" customFormat="1" x14ac:dyDescent="0.25">
      <c r="B18" s="56" t="s">
        <v>76</v>
      </c>
    </row>
    <row r="19" spans="1:22" s="18" customFormat="1" ht="15" x14ac:dyDescent="0.25">
      <c r="V19" s="32"/>
    </row>
    <row r="20" spans="1:22" s="32" customFormat="1" ht="15" x14ac:dyDescent="0.25">
      <c r="A20" s="18"/>
      <c r="B20" s="3" t="s">
        <v>44</v>
      </c>
      <c r="H20" s="7"/>
      <c r="L20" s="30"/>
    </row>
    <row r="21" spans="1:22" s="32" customFormat="1" ht="15" x14ac:dyDescent="0.25">
      <c r="A21" s="18"/>
      <c r="B21" s="23" t="s">
        <v>79</v>
      </c>
      <c r="D21" s="32" t="s">
        <v>333</v>
      </c>
      <c r="F21" s="32" t="s">
        <v>2</v>
      </c>
      <c r="H21" s="42"/>
      <c r="J21" s="24">
        <f>SUM(L21:Q21)</f>
        <v>911305549.99349415</v>
      </c>
      <c r="L21" s="153">
        <v>4744040.0775594693</v>
      </c>
      <c r="M21" s="153">
        <v>271291179.72745043</v>
      </c>
      <c r="N21" s="153">
        <v>386316165.23504925</v>
      </c>
      <c r="O21" s="153">
        <v>2491685.4400000004</v>
      </c>
      <c r="P21" s="153">
        <v>236823025.31887537</v>
      </c>
      <c r="Q21" s="153">
        <v>9639454.1945597194</v>
      </c>
      <c r="S21" s="174"/>
      <c r="T21" s="174"/>
      <c r="V21" s="32" t="s">
        <v>364</v>
      </c>
    </row>
    <row r="22" spans="1:22" s="32" customFormat="1" ht="15" x14ac:dyDescent="0.25">
      <c r="A22" s="18"/>
      <c r="B22" s="23" t="s">
        <v>80</v>
      </c>
      <c r="D22" s="25" t="s">
        <v>78</v>
      </c>
      <c r="F22" s="32" t="s">
        <v>2</v>
      </c>
      <c r="H22" s="42"/>
      <c r="J22" s="24">
        <f>SUM(L22:Q22)</f>
        <v>1019702886.2676834</v>
      </c>
      <c r="K22" s="26"/>
      <c r="L22" s="153">
        <v>5941429.6321190689</v>
      </c>
      <c r="M22" s="153">
        <v>344391454.57128751</v>
      </c>
      <c r="N22" s="153">
        <v>336306153.32600009</v>
      </c>
      <c r="O22" s="153">
        <v>3966724.7886264441</v>
      </c>
      <c r="P22" s="153">
        <v>309239287.35215294</v>
      </c>
      <c r="Q22" s="153">
        <v>19857836.597497389</v>
      </c>
      <c r="R22" s="26"/>
      <c r="S22" s="153">
        <v>367490433.43847513</v>
      </c>
      <c r="T22" s="153">
        <v>4073310.4539763173</v>
      </c>
      <c r="U22" s="26"/>
      <c r="V22" s="32" t="s">
        <v>365</v>
      </c>
    </row>
    <row r="23" spans="1:22" s="32" customFormat="1" ht="15" x14ac:dyDescent="0.25">
      <c r="A23" s="18"/>
      <c r="B23" s="23" t="s">
        <v>80</v>
      </c>
      <c r="D23" s="25" t="s">
        <v>81</v>
      </c>
      <c r="F23" s="32" t="s">
        <v>2</v>
      </c>
      <c r="H23" s="42"/>
      <c r="J23" s="24">
        <f>SUM(L23:Q23)</f>
        <v>1053188924.8229412</v>
      </c>
      <c r="K23" s="26"/>
      <c r="L23" s="153">
        <v>6116956.9760172199</v>
      </c>
      <c r="M23" s="153">
        <v>355191956.47265458</v>
      </c>
      <c r="N23" s="153">
        <v>348070828.07267159</v>
      </c>
      <c r="O23" s="153">
        <v>4056792.3825080884</v>
      </c>
      <c r="P23" s="153">
        <v>319149380.05976111</v>
      </c>
      <c r="Q23" s="153">
        <v>20603010.859328613</v>
      </c>
      <c r="R23" s="26"/>
      <c r="S23" s="153">
        <v>378475689.92569864</v>
      </c>
      <c r="T23" s="153">
        <v>4164745.3140745419</v>
      </c>
      <c r="U23" s="26"/>
      <c r="V23" s="32" t="s">
        <v>366</v>
      </c>
    </row>
    <row r="24" spans="1:22" s="32" customFormat="1" ht="15" x14ac:dyDescent="0.25">
      <c r="A24" s="18"/>
      <c r="H24" s="7"/>
    </row>
    <row r="25" spans="1:22" s="56" customFormat="1" x14ac:dyDescent="0.25">
      <c r="B25" s="56" t="s">
        <v>77</v>
      </c>
    </row>
    <row r="26" spans="1:22" s="18" customFormat="1" ht="15" x14ac:dyDescent="0.25">
      <c r="V26" s="32"/>
    </row>
    <row r="27" spans="1:22" s="32" customFormat="1" ht="15" x14ac:dyDescent="0.25">
      <c r="A27" s="18"/>
      <c r="B27" s="3" t="s">
        <v>44</v>
      </c>
      <c r="H27" s="7"/>
      <c r="L27" s="30"/>
    </row>
    <row r="28" spans="1:22" s="32" customFormat="1" ht="15" x14ac:dyDescent="0.25">
      <c r="A28" s="18"/>
      <c r="B28" s="23" t="s">
        <v>82</v>
      </c>
      <c r="D28" s="32" t="s">
        <v>333</v>
      </c>
      <c r="F28" s="32" t="s">
        <v>22</v>
      </c>
      <c r="H28" s="42"/>
      <c r="J28" s="24">
        <f>SUM(L28:Q28)</f>
        <v>963234682.88586998</v>
      </c>
      <c r="L28" s="153">
        <v>4793848.4849565132</v>
      </c>
      <c r="M28" s="153">
        <v>282825111.31030846</v>
      </c>
      <c r="N28" s="153">
        <v>422075879.79618818</v>
      </c>
      <c r="O28" s="153">
        <v>2879617.7499999991</v>
      </c>
      <c r="P28" s="153">
        <v>237096299.37102836</v>
      </c>
      <c r="Q28" s="153">
        <v>13563926.173388492</v>
      </c>
      <c r="S28" s="174"/>
      <c r="T28" s="174"/>
      <c r="V28" s="32" t="s">
        <v>367</v>
      </c>
    </row>
    <row r="29" spans="1:22" s="32" customFormat="1" ht="15" x14ac:dyDescent="0.25">
      <c r="A29" s="18"/>
      <c r="B29" s="23" t="s">
        <v>83</v>
      </c>
      <c r="D29" s="25" t="s">
        <v>81</v>
      </c>
      <c r="F29" s="32" t="s">
        <v>22</v>
      </c>
      <c r="H29" s="42"/>
      <c r="J29" s="24">
        <f>SUM(L29:Q29)</f>
        <v>1070215273.0720309</v>
      </c>
      <c r="K29" s="26"/>
      <c r="L29" s="153">
        <v>6100929.730737919</v>
      </c>
      <c r="M29" s="153">
        <v>355662524.76644295</v>
      </c>
      <c r="N29" s="153">
        <v>357245205.38789356</v>
      </c>
      <c r="O29" s="153">
        <v>4027068.2069468126</v>
      </c>
      <c r="P29" s="153">
        <v>326819533.99837017</v>
      </c>
      <c r="Q29" s="153">
        <v>20360010.981639527</v>
      </c>
      <c r="R29" s="26"/>
      <c r="S29" s="153">
        <v>375870334.20581532</v>
      </c>
      <c r="T29" s="153">
        <v>4190201.8337720828</v>
      </c>
      <c r="U29" s="26"/>
      <c r="V29" s="32" t="s">
        <v>368</v>
      </c>
    </row>
    <row r="30" spans="1:22" s="32" customFormat="1" ht="15" x14ac:dyDescent="0.25">
      <c r="A30" s="18"/>
      <c r="B30" s="23" t="s">
        <v>83</v>
      </c>
      <c r="D30" s="25" t="s">
        <v>84</v>
      </c>
      <c r="F30" s="32" t="s">
        <v>22</v>
      </c>
      <c r="H30" s="42"/>
      <c r="J30" s="24">
        <f>SUM(L30:Q30)</f>
        <v>1036544702.4708407</v>
      </c>
      <c r="K30" s="26"/>
      <c r="L30" s="153">
        <v>5930933.1537389522</v>
      </c>
      <c r="M30" s="153">
        <v>344910908.16513294</v>
      </c>
      <c r="N30" s="153">
        <v>345261514.77839291</v>
      </c>
      <c r="O30" s="153">
        <v>3940130.1713915933</v>
      </c>
      <c r="P30" s="153">
        <v>316868613.87179667</v>
      </c>
      <c r="Q30" s="153">
        <v>19632602.330387652</v>
      </c>
      <c r="R30" s="26"/>
      <c r="S30" s="153">
        <v>364988554.85833687</v>
      </c>
      <c r="T30" s="153">
        <v>4100915.3244180786</v>
      </c>
      <c r="U30" s="26"/>
      <c r="V30" s="32" t="s">
        <v>369</v>
      </c>
    </row>
    <row r="31" spans="1:22" s="32" customFormat="1" ht="15" x14ac:dyDescent="0.25">
      <c r="A31" s="18"/>
      <c r="H31" s="7"/>
    </row>
    <row r="32" spans="1:22" s="56" customFormat="1" x14ac:dyDescent="0.25">
      <c r="B32" s="56" t="s">
        <v>85</v>
      </c>
    </row>
    <row r="33" spans="1:22" s="18" customFormat="1" ht="15" x14ac:dyDescent="0.25">
      <c r="H33" s="136"/>
      <c r="V33" s="32"/>
    </row>
    <row r="34" spans="1:22" s="27" customFormat="1" ht="15" x14ac:dyDescent="0.25">
      <c r="A34" s="18"/>
      <c r="B34" s="28" t="s">
        <v>45</v>
      </c>
      <c r="H34" s="134"/>
      <c r="M34" s="29"/>
      <c r="S34" s="29"/>
      <c r="T34" s="36"/>
      <c r="V34" s="32"/>
    </row>
    <row r="35" spans="1:22" ht="15" x14ac:dyDescent="0.25">
      <c r="A35" s="18"/>
      <c r="B35" s="23" t="s">
        <v>96</v>
      </c>
      <c r="D35" s="32" t="s">
        <v>333</v>
      </c>
      <c r="F35" s="2" t="s">
        <v>23</v>
      </c>
      <c r="H35" s="42"/>
      <c r="J35" s="24">
        <f>SUM(L35:Q35)</f>
        <v>1009971433.9997885</v>
      </c>
      <c r="L35" s="153">
        <v>4439847</v>
      </c>
      <c r="M35" s="153">
        <v>299802677.21869445</v>
      </c>
      <c r="N35" s="153">
        <v>426475939.31395882</v>
      </c>
      <c r="O35" s="153">
        <v>2997263.19</v>
      </c>
      <c r="P35" s="153">
        <v>261834860.35601774</v>
      </c>
      <c r="Q35" s="153">
        <v>14420846.921117436</v>
      </c>
      <c r="S35" s="174"/>
      <c r="T35" s="174"/>
      <c r="V35" s="32" t="s">
        <v>370</v>
      </c>
    </row>
    <row r="36" spans="1:22" ht="15" x14ac:dyDescent="0.25">
      <c r="A36" s="18"/>
      <c r="B36" s="23" t="s">
        <v>97</v>
      </c>
      <c r="F36" s="32" t="s">
        <v>23</v>
      </c>
      <c r="H36" s="42"/>
      <c r="J36" s="24">
        <f>SUM(L36:Q36)</f>
        <v>425553739.03948039</v>
      </c>
      <c r="L36" s="153">
        <v>3085313.7827404072</v>
      </c>
      <c r="M36" s="153">
        <v>157241166.7658073</v>
      </c>
      <c r="N36" s="153">
        <v>146855574.71489841</v>
      </c>
      <c r="O36" s="153">
        <v>1939371.6598624184</v>
      </c>
      <c r="P36" s="153">
        <v>106839771.21628962</v>
      </c>
      <c r="Q36" s="153">
        <v>9592540.899882257</v>
      </c>
      <c r="S36" s="174"/>
      <c r="T36" s="174"/>
      <c r="V36" s="32" t="s">
        <v>371</v>
      </c>
    </row>
    <row r="37" spans="1:22" ht="15" x14ac:dyDescent="0.25">
      <c r="A37" s="18"/>
      <c r="B37" s="23" t="s">
        <v>98</v>
      </c>
      <c r="D37" s="25" t="s">
        <v>102</v>
      </c>
      <c r="F37" s="32" t="s">
        <v>23</v>
      </c>
      <c r="H37" s="42"/>
      <c r="J37" s="24">
        <f>SUM(L37:Q37)</f>
        <v>853291785.39368308</v>
      </c>
      <c r="L37" s="153">
        <v>4910785.9890219187</v>
      </c>
      <c r="M37" s="153">
        <v>284330739.13245308</v>
      </c>
      <c r="N37" s="153">
        <v>282186710.50188702</v>
      </c>
      <c r="O37" s="153">
        <v>1169110.1550912394</v>
      </c>
      <c r="P37" s="153">
        <v>265373151.92599452</v>
      </c>
      <c r="Q37" s="153">
        <v>15321287.689235255</v>
      </c>
      <c r="S37" s="153">
        <v>298099104.16316551</v>
      </c>
      <c r="T37" s="153">
        <v>1366626.667686891</v>
      </c>
      <c r="V37" s="32" t="s">
        <v>372</v>
      </c>
    </row>
    <row r="38" spans="1:22" ht="15" x14ac:dyDescent="0.25">
      <c r="A38" s="18"/>
      <c r="B38" s="23" t="s">
        <v>98</v>
      </c>
      <c r="D38" s="25" t="s">
        <v>100</v>
      </c>
      <c r="F38" s="32" t="s">
        <v>23</v>
      </c>
      <c r="H38" s="42"/>
      <c r="J38" s="24">
        <f>SUM(L38:Q38)</f>
        <v>818933918.13676989</v>
      </c>
      <c r="L38" s="153">
        <v>4747594.7316497788</v>
      </c>
      <c r="M38" s="153">
        <v>273487081.21241379</v>
      </c>
      <c r="N38" s="153">
        <v>269757416.23549306</v>
      </c>
      <c r="O38" s="153">
        <v>1090618.3012001575</v>
      </c>
      <c r="P38" s="153">
        <v>255256798.05417097</v>
      </c>
      <c r="Q38" s="153">
        <v>14594409.601842174</v>
      </c>
      <c r="S38" s="153">
        <v>287162726.47878271</v>
      </c>
      <c r="T38" s="153">
        <v>1285624.5710001232</v>
      </c>
      <c r="V38" s="32" t="s">
        <v>373</v>
      </c>
    </row>
    <row r="39" spans="1:22" ht="15" x14ac:dyDescent="0.25">
      <c r="A39" s="18"/>
      <c r="B39" s="23"/>
      <c r="D39" s="25"/>
      <c r="H39" s="135"/>
      <c r="J39" s="26"/>
      <c r="K39" s="26"/>
      <c r="R39" s="26"/>
      <c r="U39" s="26"/>
      <c r="V39" s="32"/>
    </row>
    <row r="40" spans="1:22" ht="15" x14ac:dyDescent="0.25">
      <c r="A40" s="18"/>
      <c r="B40" s="3" t="s">
        <v>44</v>
      </c>
      <c r="H40" s="7"/>
      <c r="V40" s="32"/>
    </row>
    <row r="41" spans="1:22" ht="15" x14ac:dyDescent="0.25">
      <c r="A41" s="18"/>
      <c r="B41" s="23" t="s">
        <v>96</v>
      </c>
      <c r="D41" s="32" t="s">
        <v>333</v>
      </c>
      <c r="F41" s="32" t="s">
        <v>23</v>
      </c>
      <c r="H41" s="42"/>
      <c r="J41" s="24">
        <f>SUM(L41:Q41)</f>
        <v>1009971433.9997885</v>
      </c>
      <c r="L41" s="153">
        <v>4439847</v>
      </c>
      <c r="M41" s="153">
        <v>299802677.21869445</v>
      </c>
      <c r="N41" s="153">
        <v>426475939.31395882</v>
      </c>
      <c r="O41" s="153">
        <v>2997263.19</v>
      </c>
      <c r="P41" s="153">
        <v>261834860.35601774</v>
      </c>
      <c r="Q41" s="153">
        <v>14420846.921117436</v>
      </c>
      <c r="S41" s="174"/>
      <c r="T41" s="174"/>
      <c r="V41" s="32" t="s">
        <v>374</v>
      </c>
    </row>
    <row r="42" spans="1:22" ht="15" x14ac:dyDescent="0.25">
      <c r="A42" s="18"/>
      <c r="B42" s="23" t="s">
        <v>98</v>
      </c>
      <c r="D42" s="25" t="s">
        <v>84</v>
      </c>
      <c r="F42" s="32" t="s">
        <v>23</v>
      </c>
      <c r="H42" s="42"/>
      <c r="J42" s="24">
        <f>SUM(L42:Q42)</f>
        <v>1067240443.2141671</v>
      </c>
      <c r="K42" s="26"/>
      <c r="L42" s="153">
        <v>5917132.0761501156</v>
      </c>
      <c r="M42" s="153">
        <v>351199962.97269499</v>
      </c>
      <c r="N42" s="153">
        <v>358834025.14464992</v>
      </c>
      <c r="O42" s="153">
        <v>3728286.3236063747</v>
      </c>
      <c r="P42" s="153">
        <v>327757334.13557315</v>
      </c>
      <c r="Q42" s="153">
        <v>19803702.561492588</v>
      </c>
      <c r="R42" s="26"/>
      <c r="S42" s="153">
        <v>365540099.88352615</v>
      </c>
      <c r="T42" s="153">
        <v>3941282.666775425</v>
      </c>
      <c r="U42" s="26"/>
      <c r="V42" s="32" t="s">
        <v>375</v>
      </c>
    </row>
    <row r="43" spans="1:22" ht="15" x14ac:dyDescent="0.25">
      <c r="A43" s="18"/>
      <c r="B43" s="2" t="s">
        <v>99</v>
      </c>
      <c r="D43" s="25" t="s">
        <v>101</v>
      </c>
      <c r="F43" s="32" t="s">
        <v>23</v>
      </c>
      <c r="H43" s="42"/>
      <c r="J43" s="24">
        <f>SUM(L43:Q43)</f>
        <v>1030807432.8877338</v>
      </c>
      <c r="K43" s="26"/>
      <c r="L43" s="153">
        <v>5753940.8187779756</v>
      </c>
      <c r="M43" s="153">
        <v>340356305.05265582</v>
      </c>
      <c r="N43" s="153">
        <v>346404730.8782559</v>
      </c>
      <c r="O43" s="153">
        <v>1574651.4001951611</v>
      </c>
      <c r="P43" s="153">
        <v>317640980.26374954</v>
      </c>
      <c r="Q43" s="153">
        <v>19076824.474099506</v>
      </c>
      <c r="R43" s="26"/>
      <c r="S43" s="153">
        <v>354603722.19914329</v>
      </c>
      <c r="T43" s="153">
        <v>1785137.5005685247</v>
      </c>
      <c r="U43" s="26"/>
      <c r="V43" s="32" t="s">
        <v>376</v>
      </c>
    </row>
    <row r="44" spans="1:22" x14ac:dyDescent="0.2">
      <c r="H44" s="7"/>
      <c r="V44" s="32"/>
    </row>
    <row r="45" spans="1:22" s="56" customFormat="1" x14ac:dyDescent="0.25">
      <c r="B45" s="56" t="s">
        <v>107</v>
      </c>
    </row>
    <row r="46" spans="1:22" s="18" customFormat="1" ht="15" x14ac:dyDescent="0.25">
      <c r="V46" s="32"/>
    </row>
    <row r="47" spans="1:22" s="27" customFormat="1" ht="15" x14ac:dyDescent="0.25">
      <c r="A47" s="18"/>
      <c r="B47" s="28" t="s">
        <v>45</v>
      </c>
      <c r="H47" s="134"/>
      <c r="M47" s="29"/>
      <c r="S47" s="29"/>
      <c r="T47" s="36"/>
      <c r="V47" s="32"/>
    </row>
    <row r="48" spans="1:22" s="32" customFormat="1" ht="15" x14ac:dyDescent="0.25">
      <c r="A48" s="18"/>
      <c r="B48" s="23" t="s">
        <v>108</v>
      </c>
      <c r="D48" s="32" t="s">
        <v>333</v>
      </c>
      <c r="F48" s="32" t="s">
        <v>24</v>
      </c>
      <c r="H48" s="42"/>
      <c r="J48" s="24">
        <f>SUM(L48:Q48)</f>
        <v>1087441866.6401911</v>
      </c>
      <c r="L48" s="153">
        <v>5071352</v>
      </c>
      <c r="M48" s="153">
        <v>332067371.70822752</v>
      </c>
      <c r="N48" s="153">
        <v>456762141.08280051</v>
      </c>
      <c r="O48" s="153">
        <v>3379986.4499999997</v>
      </c>
      <c r="P48" s="153">
        <v>274769924.33086795</v>
      </c>
      <c r="Q48" s="153">
        <v>15391091.068295019</v>
      </c>
      <c r="S48" s="174"/>
      <c r="T48" s="174"/>
      <c r="V48" s="32" t="s">
        <v>377</v>
      </c>
    </row>
    <row r="49" spans="1:22" s="32" customFormat="1" ht="15" x14ac:dyDescent="0.25">
      <c r="A49" s="18"/>
      <c r="B49" s="23" t="s">
        <v>109</v>
      </c>
      <c r="F49" s="32" t="s">
        <v>24</v>
      </c>
      <c r="H49" s="42"/>
      <c r="J49" s="24">
        <f>SUM(L49:Q49)</f>
        <v>436833674.88939983</v>
      </c>
      <c r="L49" s="153">
        <v>3177900.5445365515</v>
      </c>
      <c r="M49" s="153">
        <v>159454455.57186881</v>
      </c>
      <c r="N49" s="153">
        <v>152735467.35903996</v>
      </c>
      <c r="O49" s="153">
        <v>2039105.0750962067</v>
      </c>
      <c r="P49" s="153">
        <v>109850147.18643378</v>
      </c>
      <c r="Q49" s="153">
        <v>9576599.1524245199</v>
      </c>
      <c r="S49" s="174"/>
      <c r="T49" s="174"/>
      <c r="V49" s="32" t="s">
        <v>378</v>
      </c>
    </row>
    <row r="50" spans="1:22" s="32" customFormat="1" ht="15" x14ac:dyDescent="0.25">
      <c r="A50" s="18"/>
      <c r="B50" s="23" t="s">
        <v>110</v>
      </c>
      <c r="D50" s="25" t="s">
        <v>102</v>
      </c>
      <c r="F50" s="32" t="s">
        <v>24</v>
      </c>
      <c r="H50" s="42"/>
      <c r="J50" s="24">
        <f>SUM(L50:Q50)</f>
        <v>891883721.3879323</v>
      </c>
      <c r="L50" s="153">
        <v>4997077.6863944717</v>
      </c>
      <c r="M50" s="153">
        <v>294941824.95532763</v>
      </c>
      <c r="N50" s="153">
        <v>297708099.06611753</v>
      </c>
      <c r="O50" s="153">
        <v>1448491.3799571528</v>
      </c>
      <c r="P50" s="153">
        <v>277165486.27007872</v>
      </c>
      <c r="Q50" s="153">
        <v>15622742.030056711</v>
      </c>
      <c r="S50" s="153">
        <v>306116663.52907848</v>
      </c>
      <c r="T50" s="153">
        <v>1665838.0202457407</v>
      </c>
      <c r="V50" s="32" t="s">
        <v>379</v>
      </c>
    </row>
    <row r="51" spans="1:22" s="32" customFormat="1" ht="15" x14ac:dyDescent="0.25">
      <c r="A51" s="18"/>
      <c r="B51" s="23" t="s">
        <v>110</v>
      </c>
      <c r="D51" s="25" t="s">
        <v>100</v>
      </c>
      <c r="F51" s="32" t="s">
        <v>24</v>
      </c>
      <c r="H51" s="42"/>
      <c r="J51" s="24">
        <f>SUM(L51:Q51)</f>
        <v>856169306.41812789</v>
      </c>
      <c r="L51" s="153">
        <v>4836921.4382167906</v>
      </c>
      <c r="M51" s="153">
        <v>283770438.7546705</v>
      </c>
      <c r="N51" s="153">
        <v>284656228.29625756</v>
      </c>
      <c r="O51" s="153">
        <v>1365272.8633488473</v>
      </c>
      <c r="P51" s="153">
        <v>266651490.94331941</v>
      </c>
      <c r="Q51" s="153">
        <v>14888954.122314753</v>
      </c>
      <c r="S51" s="153">
        <v>294882759.5741595</v>
      </c>
      <c r="T51" s="153">
        <v>1580001.8778771795</v>
      </c>
      <c r="V51" s="32" t="s">
        <v>380</v>
      </c>
    </row>
    <row r="52" spans="1:22" s="32" customFormat="1" ht="15" x14ac:dyDescent="0.25">
      <c r="A52" s="18"/>
      <c r="B52" s="23"/>
      <c r="D52" s="25"/>
      <c r="H52" s="135"/>
      <c r="J52" s="26"/>
      <c r="K52" s="26"/>
      <c r="R52" s="26"/>
      <c r="U52" s="26"/>
    </row>
    <row r="53" spans="1:22" s="32" customFormat="1" ht="15" x14ac:dyDescent="0.25">
      <c r="A53" s="18"/>
      <c r="B53" s="3" t="s">
        <v>44</v>
      </c>
      <c r="H53" s="7"/>
    </row>
    <row r="54" spans="1:22" s="32" customFormat="1" ht="15" x14ac:dyDescent="0.25">
      <c r="A54" s="18"/>
      <c r="B54" s="23" t="s">
        <v>108</v>
      </c>
      <c r="D54" s="32" t="s">
        <v>333</v>
      </c>
      <c r="F54" s="32" t="s">
        <v>24</v>
      </c>
      <c r="H54" s="42"/>
      <c r="J54" s="24">
        <f>SUM(L54:Q54)</f>
        <v>1087441866.6401911</v>
      </c>
      <c r="L54" s="153">
        <v>5071352</v>
      </c>
      <c r="M54" s="153">
        <v>332067371.70822752</v>
      </c>
      <c r="N54" s="153">
        <v>456762141.08280051</v>
      </c>
      <c r="O54" s="153">
        <v>3379986.4499999997</v>
      </c>
      <c r="P54" s="153">
        <v>274769924.33086795</v>
      </c>
      <c r="Q54" s="153">
        <v>15391091.068295019</v>
      </c>
      <c r="S54" s="174"/>
      <c r="T54" s="174"/>
      <c r="V54" s="32" t="s">
        <v>381</v>
      </c>
    </row>
    <row r="55" spans="1:22" s="32" customFormat="1" ht="15" x14ac:dyDescent="0.25">
      <c r="A55" s="18"/>
      <c r="B55" s="23" t="s">
        <v>110</v>
      </c>
      <c r="D55" s="25" t="s">
        <v>101</v>
      </c>
      <c r="F55" s="32" t="s">
        <v>24</v>
      </c>
      <c r="H55" s="42"/>
      <c r="J55" s="24">
        <f>SUM(L55:Q55)</f>
        <v>1076408198.7319214</v>
      </c>
      <c r="K55" s="26"/>
      <c r="L55" s="153">
        <v>5824551.6353124883</v>
      </c>
      <c r="M55" s="153">
        <v>352660653.65872264</v>
      </c>
      <c r="N55" s="153">
        <v>365142764.71039432</v>
      </c>
      <c r="O55" s="153">
        <v>1878453.7157667312</v>
      </c>
      <c r="P55" s="153">
        <v>331487795.45833486</v>
      </c>
      <c r="Q55" s="153">
        <v>19413979.55339016</v>
      </c>
      <c r="R55" s="26"/>
      <c r="S55" s="153">
        <v>364158500.62949288</v>
      </c>
      <c r="T55" s="153">
        <v>2109324.7558166394</v>
      </c>
      <c r="U55" s="26"/>
      <c r="V55" s="32" t="s">
        <v>382</v>
      </c>
    </row>
    <row r="56" spans="1:22" s="32" customFormat="1" ht="15" x14ac:dyDescent="0.25">
      <c r="A56" s="18"/>
      <c r="B56" s="32" t="s">
        <v>111</v>
      </c>
      <c r="D56" s="25" t="s">
        <v>106</v>
      </c>
      <c r="F56" s="32" t="s">
        <v>24</v>
      </c>
      <c r="H56" s="42"/>
      <c r="J56" s="24">
        <f>SUM(L56:Q56)</f>
        <v>1040693783.7621169</v>
      </c>
      <c r="K56" s="26"/>
      <c r="L56" s="153">
        <v>5664395.3871348072</v>
      </c>
      <c r="M56" s="153">
        <v>341489267.45806551</v>
      </c>
      <c r="N56" s="153">
        <v>352090893.94053429</v>
      </c>
      <c r="O56" s="153">
        <v>1795235.1991584254</v>
      </c>
      <c r="P56" s="153">
        <v>320973800.13157558</v>
      </c>
      <c r="Q56" s="153">
        <v>18680191.645648204</v>
      </c>
      <c r="R56" s="26"/>
      <c r="S56" s="153">
        <v>352924596.67457396</v>
      </c>
      <c r="T56" s="153">
        <v>2023488.6134480783</v>
      </c>
      <c r="U56" s="26"/>
      <c r="V56" s="44" t="s">
        <v>383</v>
      </c>
    </row>
    <row r="57" spans="1:22" s="32" customFormat="1" x14ac:dyDescent="0.2">
      <c r="H57" s="7"/>
      <c r="V57" s="158"/>
    </row>
    <row r="58" spans="1:22" s="56" customFormat="1" x14ac:dyDescent="0.25">
      <c r="B58" s="56" t="s">
        <v>86</v>
      </c>
    </row>
    <row r="59" spans="1:22" s="18" customFormat="1" ht="15" x14ac:dyDescent="0.25">
      <c r="V59" s="32"/>
    </row>
    <row r="60" spans="1:22" s="27" customFormat="1" ht="15" x14ac:dyDescent="0.25">
      <c r="A60" s="18"/>
      <c r="B60" s="28" t="s">
        <v>45</v>
      </c>
      <c r="H60" s="134"/>
      <c r="M60" s="29"/>
      <c r="S60" s="29"/>
      <c r="T60" s="36"/>
      <c r="V60" s="32"/>
    </row>
    <row r="61" spans="1:22" s="32" customFormat="1" ht="15" x14ac:dyDescent="0.25">
      <c r="A61" s="18"/>
      <c r="B61" s="23" t="s">
        <v>103</v>
      </c>
      <c r="D61" s="32" t="s">
        <v>333</v>
      </c>
      <c r="F61" s="32" t="s">
        <v>25</v>
      </c>
      <c r="H61" s="42"/>
      <c r="J61" s="24">
        <f>SUM(L61:Q61)</f>
        <v>1162233747.3752635</v>
      </c>
      <c r="L61" s="153">
        <v>6204111.3105000006</v>
      </c>
      <c r="M61" s="153">
        <v>381252352.82367951</v>
      </c>
      <c r="N61" s="153">
        <v>477952056.88271475</v>
      </c>
      <c r="O61" s="153">
        <v>3647978.0700000003</v>
      </c>
      <c r="P61" s="153">
        <v>277635862.00361073</v>
      </c>
      <c r="Q61" s="153">
        <v>15541386.284758322</v>
      </c>
      <c r="S61" s="174"/>
      <c r="T61" s="174"/>
      <c r="V61" s="32" t="s">
        <v>384</v>
      </c>
    </row>
    <row r="62" spans="1:22" s="32" customFormat="1" ht="15" x14ac:dyDescent="0.25">
      <c r="A62" s="18"/>
      <c r="B62" s="23" t="s">
        <v>104</v>
      </c>
      <c r="F62" s="32" t="s">
        <v>25</v>
      </c>
      <c r="H62" s="42"/>
      <c r="J62" s="24">
        <f>SUM(L62:Q62)</f>
        <v>473284866.03944355</v>
      </c>
      <c r="L62" s="153">
        <v>2758814.2709009191</v>
      </c>
      <c r="M62" s="153">
        <v>175153010.53270462</v>
      </c>
      <c r="N62" s="153">
        <v>165464747.56449082</v>
      </c>
      <c r="O62" s="153">
        <v>1876196.0459502104</v>
      </c>
      <c r="P62" s="153">
        <v>117982115.76653253</v>
      </c>
      <c r="Q62" s="153">
        <v>10049981.858864449</v>
      </c>
      <c r="S62" s="174"/>
      <c r="T62" s="174"/>
      <c r="V62" s="32" t="s">
        <v>385</v>
      </c>
    </row>
    <row r="63" spans="1:22" s="32" customFormat="1" ht="15" x14ac:dyDescent="0.25">
      <c r="A63" s="18"/>
      <c r="B63" s="23" t="s">
        <v>105</v>
      </c>
      <c r="D63" s="25" t="s">
        <v>102</v>
      </c>
      <c r="F63" s="32" t="s">
        <v>25</v>
      </c>
      <c r="H63" s="42"/>
      <c r="J63" s="24">
        <f>SUM(L63:Q63)</f>
        <v>946799379.07719398</v>
      </c>
      <c r="L63" s="153">
        <v>5153137.3511205893</v>
      </c>
      <c r="M63" s="153">
        <v>311180398.61272132</v>
      </c>
      <c r="N63" s="153">
        <v>319947128.48960185</v>
      </c>
      <c r="O63" s="153">
        <v>1607965.580862992</v>
      </c>
      <c r="P63" s="153">
        <v>292938861.10141462</v>
      </c>
      <c r="Q63" s="153">
        <v>15971887.941472523</v>
      </c>
      <c r="S63" s="153">
        <v>319521567.94613206</v>
      </c>
      <c r="T63" s="153">
        <v>1816409.7528222268</v>
      </c>
      <c r="V63" s="32" t="s">
        <v>386</v>
      </c>
    </row>
    <row r="64" spans="1:22" s="32" customFormat="1" ht="15" x14ac:dyDescent="0.25">
      <c r="A64" s="18"/>
      <c r="B64" s="23" t="s">
        <v>105</v>
      </c>
      <c r="D64" s="25" t="s">
        <v>100</v>
      </c>
      <c r="F64" s="32" t="s">
        <v>25</v>
      </c>
      <c r="H64" s="42"/>
      <c r="J64" s="24">
        <f>SUM(L64:Q64)</f>
        <v>908919672.31125724</v>
      </c>
      <c r="L64" s="153">
        <v>4994602.963354012</v>
      </c>
      <c r="M64" s="153">
        <v>299410889.75227469</v>
      </c>
      <c r="N64" s="153">
        <v>305867150.02143884</v>
      </c>
      <c r="O64" s="153">
        <v>1513756.1622119192</v>
      </c>
      <c r="P64" s="153">
        <v>281897320.73483652</v>
      </c>
      <c r="Q64" s="153">
        <v>15235952.677141333</v>
      </c>
      <c r="S64" s="153">
        <v>307711931.53621614</v>
      </c>
      <c r="T64" s="153">
        <v>1720088.2823137902</v>
      </c>
      <c r="V64" s="32" t="s">
        <v>387</v>
      </c>
    </row>
    <row r="65" spans="1:22" s="32" customFormat="1" ht="15" x14ac:dyDescent="0.25">
      <c r="A65" s="18"/>
      <c r="B65" s="23"/>
      <c r="D65" s="25"/>
      <c r="H65" s="135"/>
      <c r="J65" s="26"/>
      <c r="K65" s="26"/>
      <c r="R65" s="26"/>
      <c r="U65" s="26"/>
    </row>
    <row r="66" spans="1:22" s="32" customFormat="1" ht="15" x14ac:dyDescent="0.25">
      <c r="A66" s="18"/>
      <c r="B66" s="3" t="s">
        <v>44</v>
      </c>
      <c r="H66" s="7"/>
    </row>
    <row r="67" spans="1:22" s="32" customFormat="1" ht="15" x14ac:dyDescent="0.25">
      <c r="A67" s="18"/>
      <c r="B67" s="23" t="s">
        <v>103</v>
      </c>
      <c r="D67" s="32" t="s">
        <v>333</v>
      </c>
      <c r="F67" s="32" t="s">
        <v>25</v>
      </c>
      <c r="H67" s="42"/>
      <c r="J67" s="24">
        <f>SUM(L67:Q67)</f>
        <v>1162233747.3752635</v>
      </c>
      <c r="L67" s="153">
        <v>6204111.3105000006</v>
      </c>
      <c r="M67" s="153">
        <v>381252352.82367951</v>
      </c>
      <c r="N67" s="153">
        <v>477952056.88271475</v>
      </c>
      <c r="O67" s="153">
        <v>3647978.0700000003</v>
      </c>
      <c r="P67" s="153">
        <v>277635862.00361073</v>
      </c>
      <c r="Q67" s="153">
        <v>15541386.284758322</v>
      </c>
      <c r="S67" s="174"/>
      <c r="T67" s="174"/>
      <c r="V67" s="32" t="s">
        <v>388</v>
      </c>
    </row>
    <row r="68" spans="1:22" s="32" customFormat="1" ht="15" x14ac:dyDescent="0.25">
      <c r="A68" s="18"/>
      <c r="B68" s="23" t="s">
        <v>105</v>
      </c>
      <c r="D68" s="25" t="s">
        <v>106</v>
      </c>
      <c r="F68" s="32" t="s">
        <v>25</v>
      </c>
      <c r="H68" s="42"/>
      <c r="J68" s="24">
        <f>SUM(L68:Q68)</f>
        <v>1104631490.6019297</v>
      </c>
      <c r="K68" s="26"/>
      <c r="L68" s="153">
        <v>5813697.3001479935</v>
      </c>
      <c r="M68" s="153">
        <v>360220018.86458242</v>
      </c>
      <c r="N68" s="153">
        <v>378613705.44028091</v>
      </c>
      <c r="O68" s="153">
        <v>2000504.8252424614</v>
      </c>
      <c r="P68" s="153">
        <v>338945279.29548991</v>
      </c>
      <c r="Q68" s="153">
        <v>19038284.87618582</v>
      </c>
      <c r="R68" s="26"/>
      <c r="S68" s="153">
        <v>368728386.32078171</v>
      </c>
      <c r="T68" s="153">
        <v>2217749.2132740463</v>
      </c>
      <c r="U68" s="26"/>
      <c r="V68" s="32" t="s">
        <v>389</v>
      </c>
    </row>
    <row r="69" spans="1:22" s="32" customFormat="1" ht="13.5" customHeight="1" x14ac:dyDescent="0.2">
      <c r="H69" s="7"/>
    </row>
  </sheetData>
  <mergeCells count="2">
    <mergeCell ref="B5:C5"/>
    <mergeCell ref="B8:C8"/>
  </mergeCell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tabColor rgb="FFE1FFE1"/>
  </sheetPr>
  <dimension ref="B1:S83"/>
  <sheetViews>
    <sheetView showGridLines="0" zoomScale="85" zoomScaleNormal="85" workbookViewId="0">
      <pane xSplit="6" ySplit="7" topLeftCell="G8" activePane="bottomRight" state="frozen"/>
      <selection pane="topRight"/>
      <selection pane="bottomLeft"/>
      <selection pane="bottomRight" activeCell="G8" sqref="G8"/>
    </sheetView>
  </sheetViews>
  <sheetFormatPr defaultRowHeight="12.75" x14ac:dyDescent="0.2"/>
  <cols>
    <col min="1" max="1" width="2.7109375" style="2" customWidth="1"/>
    <col min="2" max="2" width="54" style="2" customWidth="1"/>
    <col min="3" max="3" width="3.140625" style="2" customWidth="1"/>
    <col min="4" max="4" width="28.28515625" style="2" customWidth="1"/>
    <col min="5" max="5" width="2.7109375" style="2" customWidth="1"/>
    <col min="6" max="6" width="15.7109375" style="2" customWidth="1"/>
    <col min="7" max="7" width="2.7109375" style="32" customWidth="1"/>
    <col min="8" max="8" width="15.7109375" style="32" customWidth="1"/>
    <col min="9" max="9" width="2.7109375" style="2" customWidth="1"/>
    <col min="10" max="10" width="15.7109375" style="2" customWidth="1"/>
    <col min="11" max="11" width="3.28515625" style="2" customWidth="1"/>
    <col min="12" max="17" width="14.7109375" style="2" customWidth="1"/>
    <col min="18" max="18" width="3.85546875" style="2" customWidth="1"/>
    <col min="19" max="20" width="11.85546875" style="2" customWidth="1"/>
    <col min="21" max="21" width="18.42578125" style="2" customWidth="1"/>
    <col min="22" max="22" width="11.28515625" style="2" customWidth="1"/>
    <col min="23" max="23" width="4.5703125" style="2" customWidth="1"/>
    <col min="24" max="24" width="12.85546875" style="2" customWidth="1"/>
    <col min="25" max="16384" width="9.140625" style="2"/>
  </cols>
  <sheetData>
    <row r="1" spans="2:19" s="48" customFormat="1" x14ac:dyDescent="0.25"/>
    <row r="2" spans="2:19" s="49" customFormat="1" ht="18" x14ac:dyDescent="0.25">
      <c r="B2" s="49" t="s">
        <v>428</v>
      </c>
    </row>
    <row r="3" spans="2:19" s="48" customFormat="1" x14ac:dyDescent="0.25"/>
    <row r="4" spans="2:19" s="48" customFormat="1" ht="15" x14ac:dyDescent="0.25">
      <c r="B4" s="50" t="s">
        <v>71</v>
      </c>
      <c r="K4" s="51"/>
      <c r="L4" s="51"/>
    </row>
    <row r="5" spans="2:19" s="48" customFormat="1" ht="45.75" customHeight="1" x14ac:dyDescent="0.25">
      <c r="B5" s="212" t="s">
        <v>128</v>
      </c>
      <c r="C5" s="212"/>
    </row>
    <row r="6" spans="2:19" s="48" customFormat="1" x14ac:dyDescent="0.25">
      <c r="B6" s="53"/>
    </row>
    <row r="7" spans="2:19" s="56" customFormat="1" x14ac:dyDescent="0.25">
      <c r="B7" s="56" t="s">
        <v>75</v>
      </c>
      <c r="D7" s="56" t="s">
        <v>17</v>
      </c>
      <c r="F7" s="56" t="s">
        <v>1</v>
      </c>
      <c r="H7" s="56" t="s">
        <v>329</v>
      </c>
      <c r="J7" s="56" t="s">
        <v>330</v>
      </c>
      <c r="L7" s="56" t="s">
        <v>69</v>
      </c>
      <c r="M7" s="56" t="s">
        <v>4</v>
      </c>
      <c r="N7" s="56" t="s">
        <v>5</v>
      </c>
      <c r="O7" s="56" t="s">
        <v>6</v>
      </c>
      <c r="P7" s="56" t="s">
        <v>7</v>
      </c>
      <c r="Q7" s="56" t="s">
        <v>8</v>
      </c>
      <c r="S7" s="56" t="s">
        <v>54</v>
      </c>
    </row>
    <row r="9" spans="2:19" s="56" customFormat="1" x14ac:dyDescent="0.25">
      <c r="B9" s="56" t="s">
        <v>129</v>
      </c>
    </row>
    <row r="10" spans="2:19" s="32" customFormat="1" x14ac:dyDescent="0.2">
      <c r="H10" s="8"/>
      <c r="J10" s="8"/>
      <c r="K10" s="8"/>
      <c r="L10" s="8"/>
      <c r="M10" s="8"/>
      <c r="N10" s="8"/>
      <c r="O10" s="8"/>
      <c r="P10" s="8"/>
      <c r="Q10" s="8"/>
    </row>
    <row r="11" spans="2:19" s="32" customFormat="1" x14ac:dyDescent="0.2">
      <c r="B11" s="3" t="s">
        <v>112</v>
      </c>
    </row>
    <row r="12" spans="2:19" s="32" customFormat="1" x14ac:dyDescent="0.2">
      <c r="B12" s="32" t="s">
        <v>88</v>
      </c>
      <c r="F12" s="32" t="s">
        <v>89</v>
      </c>
      <c r="H12" s="137"/>
      <c r="J12" s="33">
        <f>SUM(L12:Q12)</f>
        <v>3028603759.5461416</v>
      </c>
      <c r="K12" s="8"/>
      <c r="L12" s="95">
        <v>17498112.716337565</v>
      </c>
      <c r="M12" s="95">
        <v>996215247.61324668</v>
      </c>
      <c r="N12" s="95">
        <v>1177786149.5767894</v>
      </c>
      <c r="O12" s="95">
        <v>11178373.914935049</v>
      </c>
      <c r="P12" s="95">
        <v>771831041.36204338</v>
      </c>
      <c r="Q12" s="95">
        <v>54094834.362789869</v>
      </c>
      <c r="S12" s="209" t="s">
        <v>584</v>
      </c>
    </row>
    <row r="13" spans="2:19" s="32" customFormat="1" x14ac:dyDescent="0.2">
      <c r="H13" s="8"/>
      <c r="J13" s="8"/>
      <c r="K13" s="8"/>
      <c r="L13" s="8"/>
      <c r="M13" s="8"/>
      <c r="N13" s="8"/>
      <c r="O13" s="8"/>
      <c r="P13" s="8"/>
      <c r="Q13" s="8"/>
    </row>
    <row r="14" spans="2:19" s="56" customFormat="1" x14ac:dyDescent="0.25">
      <c r="B14" s="56" t="s">
        <v>130</v>
      </c>
    </row>
    <row r="15" spans="2:19" s="32" customFormat="1" x14ac:dyDescent="0.2">
      <c r="H15" s="8"/>
      <c r="J15" s="8"/>
      <c r="K15" s="8"/>
      <c r="L15" s="8"/>
      <c r="M15" s="8"/>
      <c r="N15" s="8"/>
      <c r="O15" s="8"/>
      <c r="P15" s="8"/>
      <c r="Q15" s="8"/>
    </row>
    <row r="16" spans="2:19" s="32" customFormat="1" x14ac:dyDescent="0.2">
      <c r="B16" s="3" t="s">
        <v>56</v>
      </c>
      <c r="H16" s="8"/>
      <c r="J16" s="8"/>
      <c r="K16" s="8"/>
      <c r="L16" s="8"/>
      <c r="M16" s="8"/>
      <c r="N16" s="8"/>
      <c r="O16" s="8"/>
      <c r="P16" s="8"/>
      <c r="Q16" s="8"/>
    </row>
    <row r="17" spans="2:19" s="32" customFormat="1" x14ac:dyDescent="0.2">
      <c r="B17" s="32" t="s">
        <v>48</v>
      </c>
      <c r="D17" s="32" t="s">
        <v>57</v>
      </c>
      <c r="F17" s="32" t="s">
        <v>49</v>
      </c>
      <c r="H17" s="95">
        <v>93340746.863857359</v>
      </c>
      <c r="J17" s="137"/>
      <c r="K17" s="8"/>
      <c r="L17" s="8"/>
      <c r="M17" s="8"/>
      <c r="N17" s="8"/>
      <c r="O17" s="8"/>
      <c r="P17" s="8"/>
      <c r="Q17" s="8"/>
      <c r="S17" s="209" t="s">
        <v>357</v>
      </c>
    </row>
    <row r="18" spans="2:19" s="32" customFormat="1" x14ac:dyDescent="0.2">
      <c r="B18" s="32" t="s">
        <v>119</v>
      </c>
      <c r="D18" s="32" t="s">
        <v>57</v>
      </c>
      <c r="F18" s="32" t="s">
        <v>120</v>
      </c>
      <c r="H18" s="95">
        <v>119461042.48441979</v>
      </c>
      <c r="J18" s="137"/>
      <c r="K18" s="8"/>
      <c r="L18" s="8"/>
      <c r="M18" s="8"/>
      <c r="N18" s="8"/>
      <c r="O18" s="8"/>
      <c r="P18" s="8"/>
      <c r="Q18" s="8"/>
      <c r="S18" s="209" t="s">
        <v>358</v>
      </c>
    </row>
    <row r="19" spans="2:19" s="32" customFormat="1" x14ac:dyDescent="0.2">
      <c r="B19" s="32" t="s">
        <v>121</v>
      </c>
      <c r="D19" s="32" t="s">
        <v>57</v>
      </c>
      <c r="F19" s="32" t="s">
        <v>122</v>
      </c>
      <c r="H19" s="95">
        <v>105989089.58187632</v>
      </c>
      <c r="J19" s="137"/>
      <c r="K19" s="8"/>
      <c r="L19" s="8"/>
      <c r="M19" s="8"/>
      <c r="N19" s="8"/>
      <c r="O19" s="8"/>
      <c r="P19" s="8"/>
      <c r="Q19" s="8"/>
      <c r="S19" s="209" t="s">
        <v>585</v>
      </c>
    </row>
    <row r="20" spans="2:19" s="32" customFormat="1" x14ac:dyDescent="0.2">
      <c r="H20" s="8"/>
      <c r="J20" s="8"/>
      <c r="K20" s="8"/>
      <c r="L20" s="8"/>
      <c r="M20" s="8"/>
      <c r="N20" s="8"/>
      <c r="O20" s="8"/>
      <c r="P20" s="8"/>
      <c r="Q20" s="8"/>
    </row>
    <row r="21" spans="2:19" s="32" customFormat="1" x14ac:dyDescent="0.2">
      <c r="B21" s="3" t="s">
        <v>184</v>
      </c>
      <c r="H21" s="8"/>
      <c r="J21" s="8"/>
      <c r="K21" s="8"/>
      <c r="L21" s="8"/>
      <c r="M21" s="8"/>
      <c r="N21" s="8"/>
      <c r="O21" s="8"/>
      <c r="P21" s="8"/>
      <c r="Q21" s="8"/>
    </row>
    <row r="22" spans="2:19" s="32" customFormat="1" x14ac:dyDescent="0.2">
      <c r="B22" s="37" t="s">
        <v>113</v>
      </c>
      <c r="D22" s="32" t="s">
        <v>55</v>
      </c>
      <c r="F22" s="32" t="s">
        <v>114</v>
      </c>
      <c r="H22" s="137"/>
      <c r="J22" s="33">
        <f>SUM(L22:Q22)</f>
        <v>120974767.46933956</v>
      </c>
      <c r="K22" s="8"/>
      <c r="L22" s="95">
        <v>531196.49000000011</v>
      </c>
      <c r="M22" s="95">
        <v>36591739.009999998</v>
      </c>
      <c r="N22" s="95">
        <v>48337177.439340211</v>
      </c>
      <c r="O22" s="95">
        <v>268643.15000000002</v>
      </c>
      <c r="P22" s="95">
        <v>33967915.519999355</v>
      </c>
      <c r="Q22" s="95">
        <v>1278095.8600000003</v>
      </c>
      <c r="S22" s="209" t="s">
        <v>586</v>
      </c>
    </row>
    <row r="23" spans="2:19" s="32" customFormat="1" x14ac:dyDescent="0.2">
      <c r="B23" s="37" t="s">
        <v>115</v>
      </c>
      <c r="D23" s="32" t="s">
        <v>55</v>
      </c>
      <c r="F23" s="32" t="s">
        <v>116</v>
      </c>
      <c r="H23" s="137"/>
      <c r="J23" s="33">
        <f t="shared" ref="J23:J24" si="0">SUM(L23:Q23)</f>
        <v>143202878.16999993</v>
      </c>
      <c r="K23" s="8"/>
      <c r="L23" s="95">
        <v>704942.04</v>
      </c>
      <c r="M23" s="95">
        <v>40919901.289999999</v>
      </c>
      <c r="N23" s="95">
        <v>63720578.629999995</v>
      </c>
      <c r="O23" s="95">
        <v>445140.15</v>
      </c>
      <c r="P23" s="95">
        <v>35637987.209999941</v>
      </c>
      <c r="Q23" s="95">
        <v>1774328.8499999999</v>
      </c>
      <c r="S23" s="209" t="s">
        <v>587</v>
      </c>
    </row>
    <row r="24" spans="2:19" s="32" customFormat="1" x14ac:dyDescent="0.2">
      <c r="B24" s="37" t="s">
        <v>117</v>
      </c>
      <c r="D24" s="32" t="s">
        <v>55</v>
      </c>
      <c r="F24" s="32" t="s">
        <v>118</v>
      </c>
      <c r="H24" s="137"/>
      <c r="J24" s="33">
        <f t="shared" si="0"/>
        <v>162549288.46165749</v>
      </c>
      <c r="K24" s="8"/>
      <c r="L24" s="95">
        <v>775862.47</v>
      </c>
      <c r="M24" s="95">
        <v>49430964.869999997</v>
      </c>
      <c r="N24" s="95">
        <v>69760420.34165749</v>
      </c>
      <c r="O24" s="95">
        <v>298987</v>
      </c>
      <c r="P24" s="95">
        <v>40703431.510000005</v>
      </c>
      <c r="Q24" s="95">
        <v>1579622.27</v>
      </c>
      <c r="S24" s="209" t="s">
        <v>588</v>
      </c>
    </row>
    <row r="25" spans="2:19" s="32" customFormat="1" x14ac:dyDescent="0.2">
      <c r="H25" s="8"/>
      <c r="J25" s="8"/>
      <c r="K25" s="8"/>
      <c r="L25" s="8"/>
      <c r="M25" s="8"/>
      <c r="N25" s="8"/>
      <c r="O25" s="8"/>
      <c r="P25" s="8"/>
      <c r="Q25" s="8"/>
    </row>
    <row r="26" spans="2:19" s="56" customFormat="1" x14ac:dyDescent="0.25">
      <c r="B26" s="56" t="s">
        <v>131</v>
      </c>
    </row>
    <row r="27" spans="2:19" s="32" customFormat="1" x14ac:dyDescent="0.2">
      <c r="H27" s="8"/>
      <c r="J27" s="8"/>
      <c r="K27" s="8"/>
      <c r="L27" s="8"/>
      <c r="M27" s="8"/>
      <c r="N27" s="8"/>
      <c r="O27" s="8"/>
      <c r="P27" s="8"/>
      <c r="Q27" s="8"/>
    </row>
    <row r="28" spans="2:19" s="32" customFormat="1" x14ac:dyDescent="0.2">
      <c r="B28" s="3" t="s">
        <v>50</v>
      </c>
      <c r="H28" s="8"/>
      <c r="J28" s="8"/>
      <c r="K28" s="8"/>
      <c r="L28" s="8"/>
      <c r="M28" s="8"/>
      <c r="N28" s="8"/>
      <c r="O28" s="8"/>
      <c r="P28" s="8"/>
      <c r="Q28" s="8"/>
    </row>
    <row r="29" spans="2:19" s="32" customFormat="1" x14ac:dyDescent="0.2">
      <c r="B29" s="32" t="s">
        <v>123</v>
      </c>
      <c r="F29" s="32" t="s">
        <v>10</v>
      </c>
      <c r="H29" s="137"/>
      <c r="J29" s="33">
        <f>SUM(L29:Q29)</f>
        <v>3040863951.6439981</v>
      </c>
      <c r="K29" s="8"/>
      <c r="L29" s="95">
        <v>18621762.863198478</v>
      </c>
      <c r="M29" s="95">
        <v>1029423263.631641</v>
      </c>
      <c r="N29" s="95">
        <v>1141094919.9206319</v>
      </c>
      <c r="O29" s="95">
        <v>11321382.741717268</v>
      </c>
      <c r="P29" s="95">
        <v>786321149.89716566</v>
      </c>
      <c r="Q29" s="95">
        <v>54081472.589643478</v>
      </c>
      <c r="S29" s="209" t="s">
        <v>589</v>
      </c>
    </row>
    <row r="30" spans="2:19" s="32" customFormat="1" x14ac:dyDescent="0.2">
      <c r="H30" s="8"/>
      <c r="J30" s="8"/>
      <c r="K30" s="8"/>
      <c r="L30" s="8"/>
      <c r="M30" s="8"/>
      <c r="N30" s="8"/>
      <c r="O30" s="8"/>
      <c r="P30" s="8"/>
      <c r="Q30" s="8"/>
    </row>
    <row r="31" spans="2:19" s="32" customFormat="1" x14ac:dyDescent="0.2">
      <c r="B31" s="3" t="s">
        <v>51</v>
      </c>
      <c r="H31" s="8"/>
      <c r="J31" s="8"/>
      <c r="K31" s="8"/>
      <c r="L31" s="8"/>
      <c r="M31" s="8"/>
      <c r="N31" s="8"/>
      <c r="O31" s="8"/>
      <c r="P31" s="8"/>
      <c r="Q31" s="8"/>
    </row>
    <row r="32" spans="2:19" s="32" customFormat="1" x14ac:dyDescent="0.2">
      <c r="B32" s="32" t="s">
        <v>321</v>
      </c>
      <c r="F32" s="32" t="s">
        <v>10</v>
      </c>
      <c r="H32" s="95">
        <v>2898248194.9692092</v>
      </c>
      <c r="J32" s="133"/>
      <c r="K32" s="8"/>
      <c r="L32" s="8"/>
      <c r="M32" s="8"/>
      <c r="N32" s="8"/>
      <c r="O32" s="8"/>
      <c r="P32" s="8"/>
      <c r="Q32" s="8"/>
      <c r="S32" s="209" t="s">
        <v>590</v>
      </c>
    </row>
    <row r="33" spans="2:19" s="32" customFormat="1" x14ac:dyDescent="0.2">
      <c r="B33" s="32" t="s">
        <v>322</v>
      </c>
      <c r="F33" s="32" t="s">
        <v>10</v>
      </c>
      <c r="H33" s="95">
        <v>2952430710.9893508</v>
      </c>
      <c r="J33" s="133"/>
      <c r="K33" s="8"/>
      <c r="L33" s="8"/>
      <c r="M33" s="8"/>
      <c r="N33" s="8"/>
      <c r="O33" s="8"/>
      <c r="P33" s="8"/>
      <c r="Q33" s="8"/>
      <c r="S33" s="209" t="s">
        <v>359</v>
      </c>
    </row>
    <row r="34" spans="2:19" s="32" customFormat="1" x14ac:dyDescent="0.2">
      <c r="B34" s="32" t="s">
        <v>323</v>
      </c>
      <c r="F34" s="32" t="s">
        <v>10</v>
      </c>
      <c r="H34" s="95">
        <v>2960837094.8159423</v>
      </c>
      <c r="J34" s="133"/>
      <c r="K34" s="8"/>
      <c r="L34" s="8"/>
      <c r="M34" s="8"/>
      <c r="N34" s="8"/>
      <c r="O34" s="8"/>
      <c r="P34" s="8"/>
      <c r="Q34" s="8"/>
      <c r="S34" s="209" t="s">
        <v>591</v>
      </c>
    </row>
    <row r="35" spans="2:19" s="32" customFormat="1" x14ac:dyDescent="0.2">
      <c r="B35" s="32" t="s">
        <v>324</v>
      </c>
      <c r="F35" s="32" t="s">
        <v>10</v>
      </c>
      <c r="H35" s="95">
        <v>3005145275.901782</v>
      </c>
      <c r="J35" s="133"/>
      <c r="K35" s="8"/>
      <c r="L35" s="8"/>
      <c r="M35" s="8"/>
      <c r="N35" s="8"/>
      <c r="O35" s="8"/>
      <c r="P35" s="8"/>
      <c r="Q35" s="8"/>
      <c r="S35" s="209" t="s">
        <v>592</v>
      </c>
    </row>
    <row r="36" spans="2:19" s="32" customFormat="1" x14ac:dyDescent="0.2">
      <c r="B36" s="32" t="s">
        <v>325</v>
      </c>
      <c r="F36" s="32" t="s">
        <v>10</v>
      </c>
      <c r="H36" s="95">
        <v>3049695601.1448069</v>
      </c>
      <c r="J36" s="133"/>
      <c r="K36" s="8"/>
      <c r="L36" s="8"/>
      <c r="M36" s="8"/>
      <c r="N36" s="8"/>
      <c r="O36" s="8"/>
      <c r="P36" s="8"/>
      <c r="Q36" s="8"/>
      <c r="S36" s="209" t="s">
        <v>360</v>
      </c>
    </row>
    <row r="37" spans="2:19" s="32" customFormat="1" x14ac:dyDescent="0.2">
      <c r="B37" s="32" t="s">
        <v>326</v>
      </c>
      <c r="F37" s="32" t="s">
        <v>10</v>
      </c>
      <c r="H37" s="95">
        <v>3067750977.8854051</v>
      </c>
      <c r="J37" s="133"/>
      <c r="K37" s="8"/>
      <c r="L37" s="8"/>
      <c r="M37" s="8"/>
      <c r="N37" s="8"/>
      <c r="O37" s="8"/>
      <c r="P37" s="8"/>
      <c r="Q37" s="8"/>
      <c r="S37" s="209" t="s">
        <v>361</v>
      </c>
    </row>
    <row r="38" spans="2:19" s="32" customFormat="1" x14ac:dyDescent="0.2">
      <c r="H38" s="8"/>
      <c r="J38" s="8"/>
      <c r="K38" s="8"/>
      <c r="L38" s="8"/>
      <c r="M38" s="8"/>
      <c r="N38" s="8"/>
      <c r="O38" s="8"/>
      <c r="P38" s="8"/>
      <c r="Q38" s="8"/>
    </row>
    <row r="39" spans="2:19" s="56" customFormat="1" x14ac:dyDescent="0.25">
      <c r="B39" s="56" t="s">
        <v>543</v>
      </c>
    </row>
    <row r="41" spans="2:19" x14ac:dyDescent="0.2">
      <c r="B41" s="32" t="s">
        <v>28</v>
      </c>
      <c r="D41" s="32"/>
      <c r="F41" s="32" t="s">
        <v>14</v>
      </c>
      <c r="H41" s="149">
        <v>3.425995973882974E-2</v>
      </c>
      <c r="I41" s="32"/>
      <c r="J41" s="130"/>
      <c r="S41" s="14" t="s">
        <v>346</v>
      </c>
    </row>
    <row r="42" spans="2:19" x14ac:dyDescent="0.2">
      <c r="B42" s="32" t="s">
        <v>29</v>
      </c>
      <c r="D42" s="32"/>
      <c r="F42" s="32" t="s">
        <v>14</v>
      </c>
      <c r="H42" s="149">
        <v>1.7300488701200271E-2</v>
      </c>
      <c r="I42" s="32"/>
      <c r="J42" s="130"/>
      <c r="S42" s="14" t="s">
        <v>347</v>
      </c>
    </row>
    <row r="43" spans="2:19" x14ac:dyDescent="0.2">
      <c r="B43" s="32" t="s">
        <v>30</v>
      </c>
      <c r="D43" s="32"/>
      <c r="F43" s="32" t="s">
        <v>14</v>
      </c>
      <c r="H43" s="149">
        <v>-5.3188850905792244E-3</v>
      </c>
      <c r="I43" s="32"/>
      <c r="J43" s="130"/>
      <c r="S43" s="14" t="s">
        <v>348</v>
      </c>
    </row>
    <row r="44" spans="2:19" x14ac:dyDescent="0.2">
      <c r="B44" s="32" t="s">
        <v>31</v>
      </c>
      <c r="D44" s="32"/>
      <c r="F44" s="32" t="s">
        <v>14</v>
      </c>
      <c r="H44" s="149">
        <v>-2.0735154963991833E-2</v>
      </c>
      <c r="I44" s="32"/>
      <c r="J44" s="130"/>
      <c r="S44" s="14" t="s">
        <v>349</v>
      </c>
    </row>
    <row r="45" spans="2:19" x14ac:dyDescent="0.2">
      <c r="B45" s="32" t="s">
        <v>32</v>
      </c>
      <c r="D45" s="32"/>
      <c r="F45" s="32" t="s">
        <v>14</v>
      </c>
      <c r="H45" s="149">
        <v>-3.5343875767043995E-2</v>
      </c>
      <c r="I45" s="32"/>
      <c r="J45" s="130"/>
      <c r="S45" s="14" t="s">
        <v>350</v>
      </c>
    </row>
    <row r="46" spans="2:19" x14ac:dyDescent="0.2">
      <c r="B46" s="32" t="s">
        <v>33</v>
      </c>
      <c r="D46" s="32"/>
      <c r="F46" s="32" t="s">
        <v>14</v>
      </c>
      <c r="H46" s="149">
        <v>6.7434039535301471E-2</v>
      </c>
      <c r="I46" s="32"/>
      <c r="J46" s="130"/>
      <c r="S46" s="14" t="s">
        <v>351</v>
      </c>
    </row>
    <row r="47" spans="2:19" x14ac:dyDescent="0.2">
      <c r="B47" s="32" t="s">
        <v>34</v>
      </c>
      <c r="D47" s="32"/>
      <c r="F47" s="32" t="s">
        <v>14</v>
      </c>
      <c r="H47" s="149">
        <v>-2.4818831350901238E-3</v>
      </c>
      <c r="I47" s="32"/>
      <c r="J47" s="130"/>
      <c r="S47" s="14" t="s">
        <v>352</v>
      </c>
    </row>
    <row r="48" spans="2:19" x14ac:dyDescent="0.2">
      <c r="B48" s="32" t="s">
        <v>35</v>
      </c>
      <c r="D48" s="32"/>
      <c r="F48" s="32" t="s">
        <v>14</v>
      </c>
      <c r="H48" s="149">
        <v>-2.4930310753759732E-2</v>
      </c>
      <c r="I48" s="32"/>
      <c r="J48" s="130"/>
      <c r="S48" s="14" t="s">
        <v>353</v>
      </c>
    </row>
    <row r="49" spans="2:19" x14ac:dyDescent="0.2">
      <c r="B49" s="32" t="s">
        <v>37</v>
      </c>
      <c r="D49" s="32"/>
      <c r="F49" s="32" t="s">
        <v>14</v>
      </c>
      <c r="H49" s="149">
        <v>9.2233301152407909E-3</v>
      </c>
      <c r="I49" s="32"/>
      <c r="J49" s="130"/>
      <c r="S49" s="14" t="s">
        <v>354</v>
      </c>
    </row>
    <row r="50" spans="2:19" x14ac:dyDescent="0.2">
      <c r="B50" s="32" t="s">
        <v>38</v>
      </c>
      <c r="D50" s="32"/>
      <c r="F50" s="32" t="s">
        <v>14</v>
      </c>
      <c r="H50" s="149">
        <v>2.7022878029008823E-2</v>
      </c>
      <c r="I50" s="32"/>
      <c r="J50" s="130"/>
      <c r="S50" s="14" t="s">
        <v>355</v>
      </c>
    </row>
    <row r="51" spans="2:19" x14ac:dyDescent="0.2">
      <c r="B51" s="32" t="s">
        <v>39</v>
      </c>
      <c r="D51" s="32"/>
      <c r="F51" s="32" t="s">
        <v>14</v>
      </c>
      <c r="H51" s="149">
        <v>1.1703916858672003E-2</v>
      </c>
      <c r="I51" s="32"/>
      <c r="J51" s="130"/>
      <c r="S51" s="14" t="s">
        <v>356</v>
      </c>
    </row>
    <row r="52" spans="2:19" x14ac:dyDescent="0.2">
      <c r="J52" s="7"/>
    </row>
    <row r="53" spans="2:19" x14ac:dyDescent="0.2">
      <c r="B53" s="193" t="s">
        <v>488</v>
      </c>
      <c r="F53" s="193" t="s">
        <v>519</v>
      </c>
      <c r="H53" s="95">
        <v>2383961314.5423479</v>
      </c>
      <c r="J53" s="7"/>
      <c r="S53" s="194" t="s">
        <v>520</v>
      </c>
    </row>
    <row r="54" spans="2:19" x14ac:dyDescent="0.2">
      <c r="B54" s="193" t="s">
        <v>489</v>
      </c>
      <c r="F54" s="193" t="s">
        <v>519</v>
      </c>
      <c r="H54" s="95">
        <v>2213634121.8651342</v>
      </c>
      <c r="S54" s="194" t="s">
        <v>521</v>
      </c>
    </row>
    <row r="55" spans="2:19" x14ac:dyDescent="0.2">
      <c r="B55" s="193" t="s">
        <v>490</v>
      </c>
      <c r="F55" s="193" t="s">
        <v>519</v>
      </c>
      <c r="H55" s="95">
        <v>2249852191.356039</v>
      </c>
      <c r="S55" s="194" t="s">
        <v>522</v>
      </c>
    </row>
    <row r="56" spans="2:19" x14ac:dyDescent="0.2">
      <c r="B56" s="193" t="s">
        <v>491</v>
      </c>
      <c r="F56" s="193" t="s">
        <v>519</v>
      </c>
      <c r="H56" s="95">
        <v>2280878306.689877</v>
      </c>
      <c r="S56" s="194" t="s">
        <v>523</v>
      </c>
    </row>
    <row r="57" spans="2:19" x14ac:dyDescent="0.2">
      <c r="B57" s="193" t="s">
        <v>492</v>
      </c>
      <c r="F57" s="193" t="s">
        <v>519</v>
      </c>
      <c r="H57" s="95">
        <v>2317795790.4824877</v>
      </c>
      <c r="S57" s="194" t="s">
        <v>524</v>
      </c>
    </row>
    <row r="58" spans="2:19" x14ac:dyDescent="0.2">
      <c r="B58" s="193" t="s">
        <v>493</v>
      </c>
      <c r="F58" s="193" t="s">
        <v>519</v>
      </c>
      <c r="H58" s="95">
        <v>2378651513.5483675</v>
      </c>
      <c r="S58" s="194" t="s">
        <v>525</v>
      </c>
    </row>
    <row r="59" spans="2:19" s="32" customFormat="1" x14ac:dyDescent="0.2">
      <c r="B59" s="193" t="s">
        <v>494</v>
      </c>
      <c r="F59" s="193" t="s">
        <v>2</v>
      </c>
      <c r="H59" s="95">
        <v>2465347060.1123848</v>
      </c>
      <c r="S59" s="194" t="s">
        <v>505</v>
      </c>
    </row>
    <row r="60" spans="2:19" s="32" customFormat="1" x14ac:dyDescent="0.2">
      <c r="B60" s="193" t="s">
        <v>495</v>
      </c>
      <c r="F60" s="193" t="s">
        <v>2</v>
      </c>
      <c r="H60" s="95">
        <v>2437575880.8384333</v>
      </c>
      <c r="S60" s="194" t="s">
        <v>506</v>
      </c>
    </row>
    <row r="61" spans="2:19" s="32" customFormat="1" x14ac:dyDescent="0.2">
      <c r="B61" s="193" t="s">
        <v>496</v>
      </c>
      <c r="F61" s="193" t="s">
        <v>2</v>
      </c>
      <c r="H61" s="95">
        <v>2290938578.2612882</v>
      </c>
      <c r="S61" s="194" t="s">
        <v>507</v>
      </c>
    </row>
    <row r="62" spans="2:19" s="32" customFormat="1" x14ac:dyDescent="0.2">
      <c r="B62" s="193" t="s">
        <v>497</v>
      </c>
      <c r="F62" s="193" t="s">
        <v>2</v>
      </c>
      <c r="H62" s="95">
        <v>2226902806.2910309</v>
      </c>
      <c r="S62" s="194" t="s">
        <v>508</v>
      </c>
    </row>
    <row r="63" spans="2:19" s="32" customFormat="1" x14ac:dyDescent="0.2">
      <c r="B63" s="193" t="s">
        <v>498</v>
      </c>
      <c r="F63" s="193" t="s">
        <v>2</v>
      </c>
      <c r="H63" s="95">
        <v>2064813498.1101253</v>
      </c>
      <c r="S63" s="194" t="s">
        <v>509</v>
      </c>
    </row>
    <row r="64" spans="2:19" s="32" customFormat="1" x14ac:dyDescent="0.2">
      <c r="B64" s="193" t="s">
        <v>499</v>
      </c>
      <c r="F64" s="193" t="s">
        <v>2</v>
      </c>
      <c r="H64" s="95">
        <v>2053032106.2747271</v>
      </c>
      <c r="S64" s="194" t="s">
        <v>510</v>
      </c>
    </row>
    <row r="65" spans="2:19" s="32" customFormat="1" x14ac:dyDescent="0.2">
      <c r="S65" s="14"/>
    </row>
    <row r="66" spans="2:19" s="32" customFormat="1" x14ac:dyDescent="0.2">
      <c r="B66" s="193" t="s">
        <v>534</v>
      </c>
      <c r="F66" s="193" t="s">
        <v>10</v>
      </c>
      <c r="H66" s="95">
        <v>2859361038.0062499</v>
      </c>
      <c r="S66" s="202" t="s">
        <v>563</v>
      </c>
    </row>
    <row r="67" spans="2:19" s="32" customFormat="1" x14ac:dyDescent="0.2">
      <c r="B67" s="193" t="s">
        <v>535</v>
      </c>
      <c r="F67" s="193" t="s">
        <v>10</v>
      </c>
      <c r="H67" s="95">
        <v>2848815089.0869627</v>
      </c>
      <c r="S67" s="202" t="s">
        <v>566</v>
      </c>
    </row>
    <row r="68" spans="2:19" s="32" customFormat="1" x14ac:dyDescent="0.2">
      <c r="B68" s="193" t="s">
        <v>536</v>
      </c>
      <c r="F68" s="193" t="s">
        <v>10</v>
      </c>
      <c r="H68" s="95">
        <v>2876985762.9977312</v>
      </c>
      <c r="S68" s="202" t="s">
        <v>565</v>
      </c>
    </row>
    <row r="69" spans="2:19" s="32" customFormat="1" x14ac:dyDescent="0.2">
      <c r="B69" s="193" t="s">
        <v>533</v>
      </c>
      <c r="F69" s="193" t="s">
        <v>10</v>
      </c>
      <c r="H69" s="95">
        <v>2888257866.1869693</v>
      </c>
      <c r="S69" s="202" t="s">
        <v>564</v>
      </c>
    </row>
    <row r="70" spans="2:19" x14ac:dyDescent="0.2">
      <c r="B70" s="193" t="s">
        <v>500</v>
      </c>
      <c r="F70" s="193" t="s">
        <v>10</v>
      </c>
      <c r="H70" s="95">
        <v>2590091362.4394689</v>
      </c>
      <c r="S70" s="208" t="s">
        <v>567</v>
      </c>
    </row>
    <row r="71" spans="2:19" x14ac:dyDescent="0.2">
      <c r="B71" s="193" t="s">
        <v>501</v>
      </c>
      <c r="F71" s="193" t="s">
        <v>10</v>
      </c>
      <c r="H71" s="95">
        <v>2584386547.3921552</v>
      </c>
      <c r="S71" s="210" t="s">
        <v>593</v>
      </c>
    </row>
    <row r="72" spans="2:19" x14ac:dyDescent="0.2">
      <c r="B72" s="193" t="s">
        <v>502</v>
      </c>
      <c r="F72" s="193" t="s">
        <v>10</v>
      </c>
      <c r="H72" s="95">
        <v>2581741901.2808876</v>
      </c>
      <c r="S72" s="208" t="s">
        <v>568</v>
      </c>
    </row>
    <row r="73" spans="2:19" x14ac:dyDescent="0.2">
      <c r="B73" s="193" t="s">
        <v>503</v>
      </c>
      <c r="F73" s="193" t="s">
        <v>10</v>
      </c>
      <c r="H73" s="95">
        <v>2577942556.1795478</v>
      </c>
      <c r="S73" s="208" t="s">
        <v>569</v>
      </c>
    </row>
    <row r="74" spans="2:19" x14ac:dyDescent="0.2">
      <c r="B74" s="193" t="s">
        <v>504</v>
      </c>
      <c r="F74" s="193" t="s">
        <v>10</v>
      </c>
      <c r="H74" s="95">
        <v>2593640598.1224194</v>
      </c>
      <c r="S74" s="208" t="s">
        <v>570</v>
      </c>
    </row>
    <row r="76" spans="2:19" x14ac:dyDescent="0.2">
      <c r="B76" s="193" t="s">
        <v>511</v>
      </c>
      <c r="F76" s="193" t="s">
        <v>10</v>
      </c>
      <c r="H76" s="95">
        <v>104464167.95156704</v>
      </c>
      <c r="S76" s="202" t="s">
        <v>556</v>
      </c>
    </row>
    <row r="77" spans="2:19" x14ac:dyDescent="0.2">
      <c r="B77" s="193" t="s">
        <v>512</v>
      </c>
      <c r="F77" s="193" t="s">
        <v>10</v>
      </c>
      <c r="H77" s="95">
        <v>102255955.14008641</v>
      </c>
      <c r="S77" s="202" t="s">
        <v>557</v>
      </c>
    </row>
    <row r="78" spans="2:19" x14ac:dyDescent="0.2">
      <c r="B78" s="193" t="s">
        <v>513</v>
      </c>
      <c r="F78" s="193" t="s">
        <v>10</v>
      </c>
      <c r="H78" s="95">
        <v>107374574.66751736</v>
      </c>
      <c r="S78" s="202" t="s">
        <v>558</v>
      </c>
    </row>
    <row r="79" spans="2:19" x14ac:dyDescent="0.2">
      <c r="B79" s="193" t="s">
        <v>514</v>
      </c>
      <c r="F79" s="193" t="s">
        <v>10</v>
      </c>
      <c r="H79" s="95">
        <v>99962166.333404377</v>
      </c>
      <c r="S79" s="202" t="s">
        <v>559</v>
      </c>
    </row>
    <row r="80" spans="2:19" x14ac:dyDescent="0.2">
      <c r="B80" s="193" t="s">
        <v>515</v>
      </c>
      <c r="F80" s="193" t="s">
        <v>10</v>
      </c>
      <c r="G80" s="205"/>
      <c r="H80" s="206">
        <v>74441038.428955644</v>
      </c>
      <c r="S80" s="208" t="s">
        <v>571</v>
      </c>
    </row>
    <row r="81" spans="2:19" x14ac:dyDescent="0.2">
      <c r="B81" s="193" t="s">
        <v>516</v>
      </c>
      <c r="F81" s="193" t="s">
        <v>10</v>
      </c>
      <c r="H81" s="206">
        <v>74494352.329943836</v>
      </c>
      <c r="S81" s="208" t="s">
        <v>572</v>
      </c>
    </row>
    <row r="82" spans="2:19" x14ac:dyDescent="0.2">
      <c r="B82" s="193" t="s">
        <v>517</v>
      </c>
      <c r="F82" s="193" t="s">
        <v>10</v>
      </c>
      <c r="H82" s="206">
        <v>74204302.087746158</v>
      </c>
      <c r="S82" s="208" t="s">
        <v>573</v>
      </c>
    </row>
    <row r="83" spans="2:19" x14ac:dyDescent="0.2">
      <c r="B83" s="193" t="s">
        <v>518</v>
      </c>
      <c r="F83" s="193" t="s">
        <v>10</v>
      </c>
      <c r="H83" s="206">
        <v>80232883.139501438</v>
      </c>
      <c r="S83" s="208" t="s">
        <v>574</v>
      </c>
    </row>
  </sheetData>
  <mergeCells count="1">
    <mergeCell ref="B5:C5"/>
  </mergeCells>
  <phoneticPr fontId="3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
  <sheetViews>
    <sheetView showGridLines="0" zoomScale="85" zoomScaleNormal="85" workbookViewId="0"/>
  </sheetViews>
  <sheetFormatPr defaultRowHeight="15" x14ac:dyDescent="0.25"/>
  <cols>
    <col min="1" max="16384" width="9.140625" style="6"/>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Bijlage 1</vt:lpstr>
      <vt:lpstr>Input -&gt;</vt:lpstr>
      <vt:lpstr>1) Reguleringsparameters</vt:lpstr>
      <vt:lpstr>2) Kosten 2015-2020</vt:lpstr>
      <vt:lpstr>3) BI, EAV, SO &amp; PV</vt:lpstr>
      <vt:lpstr>Berekeningen --&gt;</vt:lpstr>
      <vt:lpstr>4) Berekeningen op parameters</vt:lpstr>
      <vt:lpstr>5) Productiviteitsverandering</vt:lpstr>
      <vt:lpstr>6) Totale kosten maatstaf</vt:lpstr>
      <vt:lpstr>7) X-factor + begininkomsten</vt:lpstr>
      <vt:lpstr>8) Q-factor &amp; tariefruimte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Wesselink, Noa</cp:lastModifiedBy>
  <cp:lastPrinted>2016-02-24T13:43:11Z</cp:lastPrinted>
  <dcterms:created xsi:type="dcterms:W3CDTF">2015-11-25T09:31:40Z</dcterms:created>
  <dcterms:modified xsi:type="dcterms:W3CDTF">2021-09-16T06:21:58Z</dcterms:modified>
</cp:coreProperties>
</file>