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P:\Documents\Tarieven en inkomsten 2022\Versturen naar webteam 25 november 2021\"/>
    </mc:Choice>
  </mc:AlternateContent>
  <xr:revisionPtr revIDLastSave="0" documentId="13_ncr:1_{904436E4-2B77-496A-97A2-91D896B196FB}" xr6:coauthVersionLast="46" xr6:coauthVersionMax="46" xr10:uidLastSave="{00000000-0000-0000-0000-000000000000}"/>
  <bookViews>
    <workbookView xWindow="-120" yWindow="-120" windowWidth="38640" windowHeight="21240" tabRatio="581" xr2:uid="{00000000-000D-0000-FFFF-FFFF00000000}"/>
  </bookViews>
  <sheets>
    <sheet name="Tab 1_Titelblad" sheetId="9" r:id="rId1"/>
    <sheet name="Tab 2_Toelichting" sheetId="10" r:id="rId2"/>
    <sheet name="Tab 3_Bronnen en toepassingen" sheetId="11" r:id="rId3"/>
    <sheet name="Resultaat --&gt;" sheetId="60" r:id="rId4"/>
    <sheet name="Tab 4_Totale inkomsten 2022" sheetId="25" r:id="rId5"/>
    <sheet name="Tab 5_Tarieven en RV 2022" sheetId="49" r:id="rId6"/>
    <sheet name="Input (Dataverzoek TenneT) --&gt;" sheetId="13" r:id="rId7"/>
    <sheet name="Tab 6_Correcties en prognoses" sheetId="31" r:id="rId8"/>
    <sheet name="Tab 7_Toevoeging kosten RCR" sheetId="33" r:id="rId9"/>
    <sheet name="Tab 8_Voorstel tarieven" sheetId="45" r:id="rId10"/>
    <sheet name="Input (Data door ACM) --&gt;" sheetId="59" r:id="rId11"/>
    <sheet name="Tab 9_Parameters" sheetId="52" r:id="rId12"/>
    <sheet name="Tab 10_Brondata" sheetId="32" r:id="rId13"/>
    <sheet name="Tab 11_Tarieven en omzet" sheetId="47" r:id="rId14"/>
    <sheet name="Berekeningen --&gt;" sheetId="15" r:id="rId15"/>
    <sheet name="Tab 12_Berekening parameters" sheetId="53" r:id="rId16"/>
    <sheet name="Tab 13_TI transporttaken" sheetId="54" r:id="rId17"/>
    <sheet name="Tab 14_TI systeemtaken" sheetId="64" r:id="rId18"/>
    <sheet name="Tab 15_Nacalculatie IKE&amp;V" sheetId="63" r:id="rId19"/>
    <sheet name="Tab 16_Prognoses IKTNN" sheetId="55" r:id="rId20"/>
    <sheet name="Tab 17_Correcties OA&amp;M en IKTNN" sheetId="37" r:id="rId21"/>
    <sheet name="Tab 18_Overige correcties" sheetId="51" r:id="rId22"/>
    <sheet name="Tab 19_Omzetcorrectie" sheetId="40" r:id="rId23"/>
    <sheet name="Tab 20_ Inzet congestie-ontv." sheetId="46" r:id="rId24"/>
    <sheet name="Tab 21_Controle tarieven" sheetId="44" r:id="rId25"/>
  </sheets>
  <definedNames>
    <definedName name="_xlnm.Print_Area" localSheetId="15">'Tab 12_Berekening parameters'!$A$1:$W$57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1" i="25" l="1"/>
  <c r="H63" i="25"/>
  <c r="H62" i="25"/>
  <c r="H64" i="25"/>
  <c r="U33" i="64" l="1"/>
  <c r="H56" i="53"/>
  <c r="P26" i="49"/>
  <c r="O26" i="49"/>
  <c r="N26" i="49"/>
  <c r="M26" i="49"/>
  <c r="L26" i="49"/>
  <c r="P22" i="49"/>
  <c r="O22" i="49"/>
  <c r="N22" i="49"/>
  <c r="M22" i="49"/>
  <c r="L22" i="49"/>
  <c r="P18" i="44"/>
  <c r="O18" i="44"/>
  <c r="N18" i="44"/>
  <c r="M18" i="44"/>
  <c r="L18" i="44"/>
  <c r="P14" i="44"/>
  <c r="O14" i="44"/>
  <c r="N14" i="44"/>
  <c r="M14" i="44"/>
  <c r="L14" i="44"/>
  <c r="U31" i="51" l="1"/>
  <c r="T31" i="51"/>
  <c r="L36" i="51" l="1"/>
  <c r="M36" i="51"/>
  <c r="N36" i="51"/>
  <c r="O36" i="51"/>
  <c r="P36" i="51"/>
  <c r="Q36" i="51"/>
  <c r="R36" i="51"/>
  <c r="S36" i="51"/>
  <c r="L29" i="51"/>
  <c r="M29" i="51"/>
  <c r="N29" i="51"/>
  <c r="O29" i="51"/>
  <c r="P29" i="51"/>
  <c r="Q29" i="51"/>
  <c r="R29" i="51"/>
  <c r="S29" i="51"/>
  <c r="L34" i="51"/>
  <c r="L27" i="51"/>
  <c r="K44" i="25" l="1"/>
  <c r="T22" i="54" l="1"/>
  <c r="T23" i="54"/>
  <c r="T21" i="54"/>
  <c r="T27" i="64" l="1"/>
  <c r="K36" i="25" l="1"/>
  <c r="J36" i="25"/>
  <c r="J35" i="25"/>
  <c r="H36" i="25" l="1"/>
  <c r="K35" i="25" l="1"/>
  <c r="K34" i="25"/>
  <c r="J34" i="25"/>
  <c r="U15" i="64"/>
  <c r="T15" i="64"/>
  <c r="T24" i="64"/>
  <c r="H21" i="64"/>
  <c r="P28" i="40"/>
  <c r="O28" i="40"/>
  <c r="N28" i="40"/>
  <c r="M28" i="40"/>
  <c r="L28" i="40"/>
  <c r="P21" i="40"/>
  <c r="O21" i="40"/>
  <c r="N21" i="40"/>
  <c r="M21" i="40"/>
  <c r="L21" i="40"/>
  <c r="H30" i="63"/>
  <c r="U32" i="64" l="1"/>
  <c r="U34" i="64" s="1"/>
  <c r="J25" i="25" s="1"/>
  <c r="T15" i="54"/>
  <c r="H18" i="54"/>
  <c r="U15" i="54"/>
  <c r="U30" i="54" l="1"/>
  <c r="U29" i="54"/>
  <c r="K22" i="25" s="1"/>
  <c r="U28" i="54"/>
  <c r="J22" i="25" s="1"/>
  <c r="U21" i="46"/>
  <c r="U29" i="46" s="1"/>
  <c r="S23" i="46"/>
  <c r="S34" i="51" l="1"/>
  <c r="S27" i="51"/>
  <c r="U18" i="53"/>
  <c r="U19" i="53"/>
  <c r="T20" i="53"/>
  <c r="T21" i="53"/>
  <c r="M24" i="37"/>
  <c r="L28" i="37"/>
  <c r="L27" i="37"/>
  <c r="M23" i="37"/>
  <c r="M20" i="37"/>
  <c r="L20" i="37"/>
  <c r="L29" i="55"/>
  <c r="L28" i="55"/>
  <c r="L27" i="55"/>
  <c r="M24" i="55"/>
  <c r="M23" i="55"/>
  <c r="M22" i="55"/>
  <c r="U15" i="53"/>
  <c r="H36" i="53" s="1"/>
  <c r="U35" i="53" s="1"/>
  <c r="U42" i="53" l="1"/>
  <c r="H54" i="53" s="1"/>
  <c r="U53" i="53" s="1"/>
  <c r="M36" i="37"/>
  <c r="H18" i="64" l="1"/>
  <c r="H24" i="51"/>
  <c r="U47" i="51" s="1"/>
  <c r="J52" i="25" s="1"/>
  <c r="H52" i="25" s="1"/>
  <c r="H44" i="25" l="1"/>
  <c r="J38" i="25" l="1"/>
  <c r="K38" i="25"/>
  <c r="R23" i="46"/>
  <c r="S38" i="51"/>
  <c r="R34" i="51"/>
  <c r="R27" i="51"/>
  <c r="H35" i="25" l="1"/>
  <c r="H66" i="25" s="1"/>
  <c r="T19" i="53" l="1"/>
  <c r="T18" i="53"/>
  <c r="S20" i="53"/>
  <c r="S21" i="53"/>
  <c r="T42" i="53" l="1"/>
  <c r="H53" i="53" s="1"/>
  <c r="U52" i="53" s="1"/>
  <c r="L20" i="40"/>
  <c r="T52" i="53" l="1"/>
  <c r="B77" i="10"/>
  <c r="B65" i="10"/>
  <c r="B66" i="10" s="1"/>
  <c r="H27" i="63" l="1"/>
  <c r="U155" i="63" s="1"/>
  <c r="J40" i="25" s="1"/>
  <c r="H17" i="37"/>
  <c r="H23" i="51"/>
  <c r="B67" i="10"/>
  <c r="B71" i="10" s="1"/>
  <c r="B72" i="10"/>
  <c r="U54" i="51" l="1"/>
  <c r="K45" i="25" s="1"/>
  <c r="S19" i="53" l="1"/>
  <c r="S18" i="53"/>
  <c r="R20" i="53"/>
  <c r="R21" i="53"/>
  <c r="S42" i="53" l="1"/>
  <c r="H52" i="53" s="1"/>
  <c r="S51" i="53" l="1"/>
  <c r="T51" i="53"/>
  <c r="U51" i="53"/>
  <c r="Q34" i="51"/>
  <c r="Q27" i="51"/>
  <c r="Q23" i="46"/>
  <c r="H22" i="51" l="1"/>
  <c r="R19" i="53" l="1"/>
  <c r="R18" i="53"/>
  <c r="S15" i="53" l="1"/>
  <c r="H34" i="53" s="1"/>
  <c r="S33" i="53" s="1"/>
  <c r="T15" i="53"/>
  <c r="H35" i="53" s="1"/>
  <c r="T34" i="53" l="1"/>
  <c r="T33" i="53" s="1"/>
  <c r="U34" i="53"/>
  <c r="S20" i="63"/>
  <c r="H25" i="46"/>
  <c r="S29" i="46" l="1"/>
  <c r="R29" i="46"/>
  <c r="Q29" i="46"/>
  <c r="U33" i="53"/>
  <c r="H19" i="55"/>
  <c r="H45" i="52"/>
  <c r="J29" i="46" l="1"/>
  <c r="H65" i="25" s="1"/>
  <c r="H68" i="25" s="1"/>
  <c r="L33" i="37"/>
  <c r="J37" i="25" s="1"/>
  <c r="M33" i="37"/>
  <c r="M37" i="37"/>
  <c r="K48" i="25" s="1"/>
  <c r="H18" i="55"/>
  <c r="H31" i="40" l="1"/>
  <c r="H30" i="40"/>
  <c r="H24" i="40"/>
  <c r="H23" i="40"/>
  <c r="H36" i="40" l="1"/>
  <c r="H35" i="40"/>
  <c r="H29" i="44" l="1"/>
  <c r="H28" i="44"/>
  <c r="H25" i="44"/>
  <c r="H24" i="44"/>
  <c r="L19" i="53" l="1"/>
  <c r="M19" i="53"/>
  <c r="N19" i="53"/>
  <c r="O19" i="53"/>
  <c r="P19" i="53"/>
  <c r="Q19" i="53"/>
  <c r="L20" i="53"/>
  <c r="M20" i="53"/>
  <c r="N20" i="53"/>
  <c r="O20" i="53"/>
  <c r="P20" i="53"/>
  <c r="Q20" i="53"/>
  <c r="L21" i="53"/>
  <c r="M21" i="53"/>
  <c r="N21" i="53"/>
  <c r="O21" i="53"/>
  <c r="P21" i="53"/>
  <c r="Q21" i="53"/>
  <c r="L18" i="53"/>
  <c r="M18" i="53"/>
  <c r="N18" i="53"/>
  <c r="O18" i="53"/>
  <c r="P18" i="53"/>
  <c r="Q18" i="53"/>
  <c r="M42" i="53" l="1"/>
  <c r="H22" i="25"/>
  <c r="H17" i="40"/>
  <c r="R42" i="53"/>
  <c r="H51" i="53" s="1"/>
  <c r="L15" i="53"/>
  <c r="M15" i="53"/>
  <c r="H28" i="53" s="1"/>
  <c r="M27" i="53" s="1"/>
  <c r="N15" i="53"/>
  <c r="H29" i="53" s="1"/>
  <c r="N28" i="53" s="1"/>
  <c r="O15" i="53"/>
  <c r="H30" i="53" s="1"/>
  <c r="O29" i="53" s="1"/>
  <c r="H24" i="63" s="1"/>
  <c r="P15" i="53"/>
  <c r="H31" i="53" s="1"/>
  <c r="P30" i="53" s="1"/>
  <c r="Q15" i="53"/>
  <c r="H32" i="53" s="1"/>
  <c r="Q31" i="53" s="1"/>
  <c r="R15" i="53"/>
  <c r="H33" i="53" s="1"/>
  <c r="R41" i="53"/>
  <c r="Q41" i="53"/>
  <c r="P41" i="53"/>
  <c r="O41" i="53"/>
  <c r="N41" i="53"/>
  <c r="M41" i="53"/>
  <c r="L41" i="53"/>
  <c r="Q26" i="53"/>
  <c r="P26" i="53"/>
  <c r="O26" i="53"/>
  <c r="N26" i="53"/>
  <c r="M26" i="53"/>
  <c r="L26" i="53"/>
  <c r="O42" i="53"/>
  <c r="H48" i="53" s="1"/>
  <c r="O47" i="53" s="1"/>
  <c r="N42" i="53"/>
  <c r="H47" i="53" s="1"/>
  <c r="N46" i="53" s="1"/>
  <c r="Q30" i="53" l="1"/>
  <c r="N27" i="53"/>
  <c r="O46" i="53"/>
  <c r="R50" i="53"/>
  <c r="T50" i="53"/>
  <c r="S50" i="53"/>
  <c r="U50" i="53"/>
  <c r="O28" i="53"/>
  <c r="R32" i="53"/>
  <c r="R31" i="53" s="1"/>
  <c r="R30" i="53" s="1"/>
  <c r="R29" i="53" s="1"/>
  <c r="R28" i="53" s="1"/>
  <c r="R27" i="53" s="1"/>
  <c r="S32" i="53"/>
  <c r="S31" i="53" s="1"/>
  <c r="S30" i="53" s="1"/>
  <c r="S29" i="53" s="1"/>
  <c r="S28" i="53" s="1"/>
  <c r="S27" i="53" s="1"/>
  <c r="T32" i="53"/>
  <c r="T31" i="53" s="1"/>
  <c r="T30" i="53" s="1"/>
  <c r="T29" i="53" s="1"/>
  <c r="T28" i="53" s="1"/>
  <c r="T27" i="53" s="1"/>
  <c r="U32" i="53"/>
  <c r="Q29" i="53"/>
  <c r="Q28" i="53" s="1"/>
  <c r="Q27" i="53" s="1"/>
  <c r="P29" i="53"/>
  <c r="P28" i="53" s="1"/>
  <c r="P27" i="53" s="1"/>
  <c r="R20" i="63"/>
  <c r="Q20" i="63"/>
  <c r="P20" i="63"/>
  <c r="Q42" i="53"/>
  <c r="H50" i="53" s="1"/>
  <c r="Q49" i="53" s="1"/>
  <c r="P42" i="53"/>
  <c r="H49" i="53" s="1"/>
  <c r="P48" i="53" s="1"/>
  <c r="P47" i="53" s="1"/>
  <c r="P46" i="53" s="1"/>
  <c r="H46" i="53" l="1"/>
  <c r="M45" i="53" s="1"/>
  <c r="O27" i="53"/>
  <c r="H23" i="63"/>
  <c r="T49" i="53"/>
  <c r="T48" i="53" s="1"/>
  <c r="T47" i="53" s="1"/>
  <c r="T46" i="53" s="1"/>
  <c r="Q48" i="53"/>
  <c r="Q47" i="53" s="1"/>
  <c r="Q46" i="53" s="1"/>
  <c r="Q45" i="53" s="1"/>
  <c r="R49" i="53"/>
  <c r="R48" i="53" s="1"/>
  <c r="R47" i="53" s="1"/>
  <c r="R46" i="53" s="1"/>
  <c r="R45" i="53" s="1"/>
  <c r="U49" i="53"/>
  <c r="H21" i="51"/>
  <c r="O45" i="53"/>
  <c r="S49" i="53"/>
  <c r="S48" i="53" s="1"/>
  <c r="S47" i="53" s="1"/>
  <c r="S46" i="53" s="1"/>
  <c r="S45" i="53" s="1"/>
  <c r="U31" i="53"/>
  <c r="U30" i="53" s="1"/>
  <c r="U29" i="53" s="1"/>
  <c r="U28" i="53" s="1"/>
  <c r="U27" i="53" s="1"/>
  <c r="H17" i="55"/>
  <c r="T45" i="53" l="1"/>
  <c r="N45" i="53"/>
  <c r="P45" i="53"/>
  <c r="L35" i="55"/>
  <c r="M33" i="55"/>
  <c r="H22" i="63"/>
  <c r="U48" i="53"/>
  <c r="H20" i="51"/>
  <c r="K26" i="25"/>
  <c r="U47" i="53" l="1"/>
  <c r="H19" i="51"/>
  <c r="H38" i="25"/>
  <c r="M34" i="51"/>
  <c r="N34" i="51"/>
  <c r="O34" i="51"/>
  <c r="P34" i="51"/>
  <c r="M27" i="51"/>
  <c r="N27" i="51"/>
  <c r="O27" i="51"/>
  <c r="P27" i="51"/>
  <c r="J24" i="25"/>
  <c r="K24" i="25"/>
  <c r="K23" i="25"/>
  <c r="J23" i="25"/>
  <c r="K29" i="25" l="1"/>
  <c r="U46" i="53"/>
  <c r="H18" i="51"/>
  <c r="H45" i="25"/>
  <c r="J27" i="25"/>
  <c r="H34" i="25"/>
  <c r="H24" i="25"/>
  <c r="H23" i="25"/>
  <c r="L40" i="37"/>
  <c r="L41" i="37" s="1"/>
  <c r="H27" i="25" l="1"/>
  <c r="J29" i="25"/>
  <c r="H29" i="25" s="1"/>
  <c r="U45" i="53"/>
  <c r="H16" i="51" s="1"/>
  <c r="H17" i="51"/>
  <c r="H26" i="25"/>
  <c r="H40" i="25"/>
  <c r="U52" i="51" l="1"/>
  <c r="K42" i="25" s="1"/>
  <c r="H42" i="25" s="1"/>
  <c r="U45" i="51"/>
  <c r="J43" i="25" s="1"/>
  <c r="H43" i="25" s="1"/>
  <c r="U43" i="51"/>
  <c r="U124" i="63"/>
  <c r="K39" i="25" s="1"/>
  <c r="U100" i="63"/>
  <c r="J39" i="25" s="1"/>
  <c r="U50" i="51"/>
  <c r="K41" i="25" s="1"/>
  <c r="M27" i="40"/>
  <c r="N27" i="40"/>
  <c r="O27" i="40"/>
  <c r="P27" i="40"/>
  <c r="L27" i="40"/>
  <c r="M20" i="40"/>
  <c r="N20" i="40"/>
  <c r="O20" i="40"/>
  <c r="P20" i="40"/>
  <c r="H39" i="25" l="1"/>
  <c r="O44" i="40"/>
  <c r="N44" i="40"/>
  <c r="M44" i="40"/>
  <c r="P39" i="40"/>
  <c r="N39" i="40"/>
  <c r="M39" i="40"/>
  <c r="L39" i="40"/>
  <c r="J41" i="25" l="1"/>
  <c r="N13" i="44"/>
  <c r="M13" i="44"/>
  <c r="O17" i="44"/>
  <c r="P17" i="44"/>
  <c r="O13" i="44"/>
  <c r="M17" i="44"/>
  <c r="L17" i="44"/>
  <c r="L69" i="44" s="1"/>
  <c r="L72" i="44" s="1"/>
  <c r="L13" i="44"/>
  <c r="P13" i="44"/>
  <c r="N17" i="44"/>
  <c r="O39" i="40"/>
  <c r="J39" i="40" s="1"/>
  <c r="H40" i="40" s="1"/>
  <c r="H41" i="40" s="1"/>
  <c r="J50" i="25" s="1"/>
  <c r="L44" i="40"/>
  <c r="P44" i="40"/>
  <c r="H36" i="44" l="1"/>
  <c r="L51" i="44"/>
  <c r="L73" i="44"/>
  <c r="H33" i="44"/>
  <c r="L70" i="44"/>
  <c r="J44" i="40"/>
  <c r="H45" i="40" s="1"/>
  <c r="H43" i="44"/>
  <c r="H60" i="44"/>
  <c r="L54" i="44" l="1"/>
  <c r="L55" i="44" s="1"/>
  <c r="L52" i="44"/>
  <c r="H46" i="40"/>
  <c r="K50" i="25" s="1"/>
  <c r="K37" i="25"/>
  <c r="K54" i="25" s="1"/>
  <c r="H37" i="25" l="1"/>
  <c r="H50" i="25"/>
  <c r="H48" i="25"/>
  <c r="J49" i="25"/>
  <c r="J54" i="25" s="1"/>
  <c r="J58" i="25" s="1"/>
  <c r="H49" i="25" l="1"/>
  <c r="K58" i="25" l="1"/>
  <c r="H21" i="44" s="1"/>
  <c r="H41" i="25"/>
  <c r="H54" i="25" l="1"/>
  <c r="H61" i="44" l="1"/>
  <c r="H25" i="25"/>
  <c r="H20" i="44" l="1"/>
  <c r="H37" i="44" l="1"/>
  <c r="H38" i="44" s="1"/>
  <c r="H58" i="25"/>
  <c r="H44" i="44"/>
  <c r="H46" i="44" s="1"/>
  <c r="H48" i="44" l="1"/>
  <c r="M51" i="44" s="1"/>
  <c r="H39" i="44"/>
  <c r="H83" i="44" s="1"/>
  <c r="L85" i="44" l="1"/>
  <c r="L86" i="44"/>
  <c r="H63" i="44"/>
  <c r="H64" i="44" s="1"/>
  <c r="F11" i="45" l="1"/>
  <c r="H49" i="44"/>
  <c r="N51" i="44" s="1"/>
  <c r="H66" i="44"/>
  <c r="M69" i="44" s="1"/>
  <c r="H67" i="44"/>
  <c r="N69" i="44" s="1"/>
  <c r="N72" i="44" l="1"/>
  <c r="N73" i="44" s="1"/>
  <c r="N70" i="44"/>
  <c r="P69" i="44"/>
  <c r="O69" i="44"/>
  <c r="M70" i="44"/>
  <c r="M72" i="44"/>
  <c r="M73" i="44" s="1"/>
  <c r="M54" i="44"/>
  <c r="M55" i="44" s="1"/>
  <c r="M52" i="44"/>
  <c r="O51" i="44"/>
  <c r="P51" i="44"/>
  <c r="N52" i="44"/>
  <c r="N54" i="44"/>
  <c r="N55" i="44" s="1"/>
  <c r="F13" i="49"/>
  <c r="L25" i="49"/>
  <c r="L21" i="49"/>
  <c r="N86" i="44" l="1"/>
  <c r="N25" i="49" s="1"/>
  <c r="M86" i="44"/>
  <c r="M25" i="49" s="1"/>
  <c r="N85" i="44"/>
  <c r="N21" i="49" s="1"/>
  <c r="M85" i="44"/>
  <c r="M21" i="49" s="1"/>
  <c r="O72" i="44"/>
  <c r="O70" i="44"/>
  <c r="P52" i="44"/>
  <c r="P54" i="44"/>
  <c r="P70" i="44"/>
  <c r="P72" i="44"/>
  <c r="O54" i="44"/>
  <c r="O52" i="44"/>
  <c r="P55" i="44" l="1"/>
  <c r="P85" i="44"/>
  <c r="P21" i="49" s="1"/>
  <c r="O55" i="44"/>
  <c r="O85" i="44"/>
  <c r="O21" i="49" s="1"/>
  <c r="P73" i="44"/>
  <c r="P86" i="44"/>
  <c r="P25" i="49" s="1"/>
  <c r="O73" i="44"/>
  <c r="O86" i="44"/>
  <c r="O25" i="49" s="1"/>
  <c r="J70" i="44"/>
  <c r="J52" i="44"/>
  <c r="H78" i="44" l="1"/>
  <c r="J73" i="44"/>
  <c r="H74" i="44" s="1"/>
  <c r="J55" i="44"/>
  <c r="H56" i="44" l="1"/>
  <c r="H79" i="44"/>
  <c r="H80"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<sst xmlns="http://schemas.openxmlformats.org/spreadsheetml/2006/main" count="1386" uniqueCount="689">
  <si>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</si>
  <si>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</si>
  <si>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</si>
  <si>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</si>
  <si>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</si>
  <si>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</si>
  <si>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</si>
  <si>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</si>
  <si>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</si>
  <si>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</si>
  <si>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</si>
  <si>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</si>
  <si>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</si>
  <si>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</si>
  <si>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</si>
  <si>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</si>
  <si>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</si>
  <si>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</si>
  <si>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</si>
  <si>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</si>
  <si>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</si>
  <si>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</si>
  <si>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</si>
  <si>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</si>
  <si>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</si>
  <si>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</si>
  <si>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</si>
  <si>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</si>
  <si>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</si>
  <si>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</si>
  <si>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</si>
  <si>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</si>
  <si>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</si>
  <si>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</si>
  <si>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</si>
  <si>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</si>
  <si>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</si>
  <si>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</si>
  <si>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</si>
  <si>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</si>
  <si>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</si>
  <si>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</si>
  <si>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</si>
  <si>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</si>
  <si>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</si>
  <si>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</si>
  <si>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</si>
  <si>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</si>
  <si>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</si>
  <si>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</si>
  <si>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</si>
  <si>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Nr.</t>
  </si>
  <si>
    <t xml:space="preserve">Verkorte naam </t>
  </si>
  <si>
    <t>Zoals gebruikt in dit bestand, evt. incl. nummering</t>
  </si>
  <si>
    <t>Naam bestand extern</t>
  </si>
  <si>
    <t>Beschrijving berekening</t>
  </si>
  <si>
    <t>Schematische weergave en/of inhoudsopgave van de werking van dit model</t>
  </si>
  <si>
    <t>CPI</t>
  </si>
  <si>
    <t>%</t>
  </si>
  <si>
    <t>Toelichting vaststelling jaarlijks CPI-percentage</t>
  </si>
  <si>
    <t>Toelichting gegevens rentepercentage tariefcorrecties</t>
  </si>
  <si>
    <t xml:space="preserve">De nacalculaties waarop het rentepercentage tariefcorrecties wordt toegepast kunnen zowel positief als negatief zijn; ACM past het rentepercentage tariefcorrecties symmetrisch toe. </t>
  </si>
  <si>
    <t>Rentepercentage tariefcorrecties</t>
  </si>
  <si>
    <t>Eerste kwartaal</t>
  </si>
  <si>
    <t>Tweede kwartaal</t>
  </si>
  <si>
    <t>Derde kwartaal</t>
  </si>
  <si>
    <t>Vierde kwartaal</t>
  </si>
  <si>
    <t>X-factor TenneT</t>
  </si>
  <si>
    <t>Overige parameters</t>
  </si>
  <si>
    <t>Vastrecht</t>
  </si>
  <si>
    <t>kW
gecontracteerd
per jaar</t>
  </si>
  <si>
    <t>kW max
per maand</t>
  </si>
  <si>
    <t>kW
gecontracteerd
per jaar
(max 600 uur)</t>
  </si>
  <si>
    <t>EHS</t>
  </si>
  <si>
    <t>#</t>
  </si>
  <si>
    <t>HS</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</si>
  <si>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</si>
  <si>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</si>
  <si>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</si>
  <si>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</si>
  <si>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Dekking kosten door tariefdragers TAVT:</t>
  </si>
  <si>
    <t>kW gecontracteerd (min/max 600)</t>
  </si>
  <si>
    <t>kW max (per maand/week)</t>
  </si>
  <si>
    <t>Verhouding tarieven TAVT:</t>
  </si>
  <si>
    <t>kW max per week : kW max per maand</t>
  </si>
  <si>
    <t>Kostentoerekening EHS aan HS</t>
  </si>
  <si>
    <t>Verschil</t>
  </si>
  <si>
    <t>Verschil door afronden tarieven</t>
  </si>
  <si>
    <t>50% kW max per maand/week</t>
  </si>
  <si>
    <t>Verschil niet en wel afronden tarieven</t>
  </si>
  <si>
    <t>EUR, pp 2018</t>
  </si>
  <si>
    <t>EUR, pp 2019</t>
  </si>
  <si>
    <t>Correctie omzet aansluitdienst en meterhuur</t>
  </si>
  <si>
    <t>kW max per maand</t>
  </si>
  <si>
    <t>kW gecontracteerd per jaar (max 600 uur)</t>
  </si>
  <si>
    <t xml:space="preserve">Berekening totale inkomsten </t>
  </si>
  <si>
    <t>Stap 1: Totale inkomsten exclusief tariefcorrecties</t>
  </si>
  <si>
    <t>Stap 2: Tariefcorrecties</t>
  </si>
  <si>
    <t xml:space="preserve">Stap 3: Totale inkomsten </t>
  </si>
  <si>
    <t>Correcties op grond van de algemene bevoegdheid</t>
  </si>
  <si>
    <t>Correcties op grond van een specifieke wettelijke bevoegdheid</t>
  </si>
  <si>
    <t>Correctie inkomsten transportdiensten EHS</t>
  </si>
  <si>
    <t>Correctie inkomsten transportdiensten HS</t>
  </si>
  <si>
    <t>Omzet aansluitdienst en meterhuur</t>
  </si>
  <si>
    <t>Controle tarieven</t>
  </si>
  <si>
    <t>Berekening van correcties</t>
  </si>
  <si>
    <t>Inkoopkosten transport bij regionale netbeheerder(s)</t>
  </si>
  <si>
    <t>Correctie inkoopkosten transport bij regionale netbeheerder(s)</t>
  </si>
  <si>
    <t>Berekening omzetcorrectie</t>
  </si>
  <si>
    <t>Toevoegingen RCR-investeringen</t>
  </si>
  <si>
    <t>Consumenten Prijs Index</t>
  </si>
  <si>
    <t>CPI als jaarlijks percentage</t>
  </si>
  <si>
    <t>Dekking kosten door tariefdragers TAVT</t>
  </si>
  <si>
    <t>Verhouding tarieven TAVT</t>
  </si>
  <si>
    <t>kW gecontracteerd max 600: kW gecontracteerd min 600</t>
  </si>
  <si>
    <t>kW max per week: kW max per maand</t>
  </si>
  <si>
    <t>kW max
per week
(max 600 uur)</t>
  </si>
  <si>
    <t>kW max per week 
(max 600 uur)</t>
  </si>
  <si>
    <t>Uitkomst</t>
  </si>
  <si>
    <t>Berekening van prognoses</t>
  </si>
  <si>
    <t>Realisatie inkoopkosten transport bij regionale netbeheerder(s)</t>
  </si>
  <si>
    <t>Verschil tussen toegestane tariefinkomsten en gerealiseerde tariefinkomsten</t>
  </si>
  <si>
    <t>CBS Statline</t>
  </si>
  <si>
    <t>Hyperlink</t>
  </si>
  <si>
    <t>Tarievencode elektriciteit</t>
  </si>
  <si>
    <t>Rekenmodule RCR-investeringen</t>
  </si>
  <si>
    <t>Omzetcorrectie EHS</t>
  </si>
  <si>
    <t>Omzetcorrectie HS</t>
  </si>
  <si>
    <t xml:space="preserve">Bevoegdhedenovereenkomst ACM en TenneT veilingmiddelen </t>
  </si>
  <si>
    <t>Bevoegdhedenovereenkomst veilingmiddelen</t>
  </si>
  <si>
    <t>EUR, pp 2020</t>
  </si>
  <si>
    <t>kW gecontracteerd per jaar</t>
  </si>
  <si>
    <t>N.v.t.</t>
  </si>
  <si>
    <t>Transporttaak</t>
  </si>
  <si>
    <t>Systeemtaak</t>
  </si>
  <si>
    <t>kW gecontracteerd (min/max 600 uur)</t>
  </si>
  <si>
    <t>kW gecontracteerd max 600 uur : kWgecontracteerd min 600 uur</t>
  </si>
  <si>
    <t>50% kW gecontracteerd</t>
  </si>
  <si>
    <t>50% kW max per maand</t>
  </si>
  <si>
    <t>Totale inkomsten EHS TOVT</t>
  </si>
  <si>
    <t>Totale inkomsten EHS TAVT</t>
  </si>
  <si>
    <t>Totale inkomsten EHS TAVT uit EHS</t>
  </si>
  <si>
    <t>Totale inkomsten HS TOVT</t>
  </si>
  <si>
    <t>Totale inkomsten HS TAVT (zonder EHS)</t>
  </si>
  <si>
    <t>Totale inkomsten HS TAVT (met EHS)</t>
  </si>
  <si>
    <t>Voldoet het tarievenvoorstel van TenneT?</t>
  </si>
  <si>
    <t>Overige opmerkingen</t>
  </si>
  <si>
    <t>Inputs</t>
  </si>
  <si>
    <t>Berekeningen</t>
  </si>
  <si>
    <t>Resultaten</t>
  </si>
  <si>
    <t>Hulpberekeningen</t>
  </si>
  <si>
    <t>Tabblad 1 - Titelblad</t>
  </si>
  <si>
    <t>Tabblad 2 - Toelichting bij dit bestand</t>
  </si>
  <si>
    <t>Tabblad 3 - Bronnenoverzicht en specifieke toepassingen</t>
  </si>
  <si>
    <t>Tabblad 6 - Correcties en prognoses</t>
  </si>
  <si>
    <t>Tabblad 7 - Toevoeging geschatte kosten RCR-investeringen</t>
  </si>
  <si>
    <t>Tabblad 12 - Berekening op basis van parameters</t>
  </si>
  <si>
    <t>Postbus 16326</t>
  </si>
  <si>
    <t>2500 BH DEN HAAG</t>
  </si>
  <si>
    <t>Tab 6_Correcties en prognoses</t>
  </si>
  <si>
    <t>Tab 7_Toevoegingen kosten RCR</t>
  </si>
  <si>
    <t>Tab 12_Berekening parameters</t>
  </si>
  <si>
    <t>Tab 9_Parameters</t>
  </si>
  <si>
    <t>Tab 10_Brondata</t>
  </si>
  <si>
    <t>Tab 11_Tarieven, RV en omzet</t>
  </si>
  <si>
    <t xml:space="preserve">Tabblad 9 - Parameters </t>
  </si>
  <si>
    <t>Tabblad 10 - Brondata</t>
  </si>
  <si>
    <t>Zijn de tarieven conform voorstel TenneT?</t>
  </si>
  <si>
    <t>Voldoet het voorstel voor de tarieven?</t>
  </si>
  <si>
    <t>ja/nee</t>
  </si>
  <si>
    <t>kW gecontracteerd
per jaar
(max 600 uur)</t>
  </si>
  <si>
    <t>kW gecontracteerd
per jaar</t>
  </si>
  <si>
    <t>Controles</t>
  </si>
  <si>
    <t>Zijn de verwachte tariefinkomsten minder of gelijk aan de toegestane tariefinkomsten?</t>
  </si>
  <si>
    <t xml:space="preserve">minder of gelijk aan de toegestane tariefinkomsten? </t>
  </si>
  <si>
    <t>Tariefinkomsten op basis van niet-afgeronde tarieven</t>
  </si>
  <si>
    <t>Tariefinkomsten op basis van afgeronde tarieven</t>
  </si>
  <si>
    <t>X-factor periode 2017-2021</t>
  </si>
  <si>
    <t>Tarievencode elektricteit, artikel 3.7.5 a</t>
  </si>
  <si>
    <t>Tarievencode elektricteit, artikel 3.7.5 b</t>
  </si>
  <si>
    <t>Tarievencode elektricteit, artikel 3.7.5a a</t>
  </si>
  <si>
    <t>Tarievencode elektriciteit, artikel 3.7.5a b</t>
  </si>
  <si>
    <t>Bevoegdhedenovereenkomst veilingmiddelen, p. 5, rnnr. 2.6</t>
  </si>
  <si>
    <t>Als de verwachte tariefinkomsten hoger zijn dan de toegestane tariefinkomsten, dan voldoet het voorstel niet.</t>
  </si>
  <si>
    <t>In deze rij wordt voor elke tariefdrager het tarief afgeleid uit het vastrechttarief en de tarievencodebepalingen. De formule verschilt per tariefdrager.</t>
  </si>
  <si>
    <t>Controle: verwachte tariefinkomsten minder of gelijk aan toegestane inkomsten?</t>
  </si>
  <si>
    <t>De relatieve wijziging van de consumentenprijsindex wordt berekend uit het quotiënt van deze index, gepubliceerd in de vierde maand voorafgaande aan het jaar t, en van deze index, gepubliceerd</t>
  </si>
  <si>
    <t>De gegevens zijn afkomstig uit StatLine, zie voor recente CPI-cijfers: https://opendata.cbs.nl/statline/#/CBS/nl/dataset/70936ned/table?ts=1532343719053.</t>
  </si>
  <si>
    <t>e-mail : DE-tarievenbesluiten@acm.nl</t>
  </si>
  <si>
    <t>Disclaimer</t>
  </si>
  <si>
    <t>Dit bestand is bedoeld ter verduidelijking van de berekeningen door ACM. Aan dit bestand kunnen geen rechten worden ontleend.</t>
  </si>
  <si>
    <t>Realisatie netverliezen HS</t>
  </si>
  <si>
    <t>Realisatie blindvermogen HS</t>
  </si>
  <si>
    <t>Realisatie oplossen transportbeperkingen HS</t>
  </si>
  <si>
    <t>Realisatie netverliezen EHS</t>
  </si>
  <si>
    <t>Realisatie blindvermogen EHS</t>
  </si>
  <si>
    <t>Realisatie oplossen transportbeperkingen EHS</t>
  </si>
  <si>
    <t>Prognose netverliezen EHS</t>
  </si>
  <si>
    <t>Prognose blindvermogen EHS</t>
  </si>
  <si>
    <t>Prognose netverliezen HS</t>
  </si>
  <si>
    <t>Prognose blindvermogen HS</t>
  </si>
  <si>
    <t>Verschil tussen realisatie en prognose</t>
  </si>
  <si>
    <t>Risico van TenneT (25% van verschil)</t>
  </si>
  <si>
    <t>Maximum risico van TenneT (25%*20% van prognose)</t>
  </si>
  <si>
    <t>Netto risico van TenneT</t>
  </si>
  <si>
    <t>Nacalculatie</t>
  </si>
  <si>
    <t>Prognose oplossen transportbeperkingen EHS</t>
  </si>
  <si>
    <t>Prognose oplossen transportbeperkingen HS</t>
  </si>
  <si>
    <t>Berekening nacalculatie per product met bonus/malus-regeling</t>
  </si>
  <si>
    <t>Inkoopkosten transporttaak EHS</t>
  </si>
  <si>
    <t>Inkoopkosten transporttaak HS</t>
  </si>
  <si>
    <t>Inkoopkosten systeemtaak</t>
  </si>
  <si>
    <t>Gemiddelde inkoopkosten netverliezen EHS</t>
  </si>
  <si>
    <t>Gemiddelde inkoopkosten blindvermogen EHS</t>
  </si>
  <si>
    <t>Gemiddelde inkoopkosten oplossen transportbeperkingen EHS</t>
  </si>
  <si>
    <t>Gemiddelde inkoopkosten netverliezen HS</t>
  </si>
  <si>
    <t>Gemiddelde inkoopkosten blindvermogen HS</t>
  </si>
  <si>
    <t>Gemiddelde inkoopkosten oplossen transportbeperkingen HS</t>
  </si>
  <si>
    <t>Prognose inkoopkosten per product transporttaak EHS</t>
  </si>
  <si>
    <t>Gemiddelde inkoopkosten per product transporttaak EHS in 2016</t>
  </si>
  <si>
    <t>Gemiddelde inkoopkosten per product transporttaak HS in 2016</t>
  </si>
  <si>
    <t>Prognose inkoopkosten per product transporttaak HS</t>
  </si>
  <si>
    <t>Transporttaak EHS</t>
  </si>
  <si>
    <t>Transporttaak HS</t>
  </si>
  <si>
    <t>Het overige gedeelte van EHS TAVT wordt door toedoen van het cascade-beginsel afgenomen door HS.</t>
  </si>
  <si>
    <t>Realisatie inkoopkosten overdracht HS-Stedin</t>
  </si>
  <si>
    <t>Let op: de inkoopkosten overdracht HS-Stedin worden hierna toegerekend aan het product netverliezen.</t>
  </si>
  <si>
    <t xml:space="preserve">Let op: formule op deze regel kan niet worden doorgetrokken. </t>
  </si>
  <si>
    <t>Data ten behoeve van inkoopkosten transport naastgelegen netten</t>
  </si>
  <si>
    <t>Deze correctie verrekent de inkomsten op het EHS netvlak als gevolg van wijzigingen in de inkomsten van de transportdiensten in afgelopen jaren. Wijzigingen kunnen bijvoorbeeld plaatsvinden door het wijzigen van een factuur of als gevolg van een geschilprocedure.</t>
  </si>
  <si>
    <t>Deze correctie verrekent de inkomsten op het HS netvlak als gevolg van wijzigingen in de inkomsten van de transportdiensten in afgelopen jaren. Wijzigingen kunnen bijvoorbeeld plaatsvinden door het wijzigen van een factuur of als gevolg van een geschilprocedure.</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</si>
  <si>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</si>
  <si>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</si>
  <si>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</si>
  <si>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</si>
  <si>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</si>
  <si>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</si>
  <si>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Gestandaardiseerde tabbladen, omvat tenminste: 'Titelblad', 'Toelichting' en 'Bronnen en toepassingen' (kleur: ACM-lichtpaars)</t>
  </si>
  <si>
    <t>Nacalculatie netverliezen transporttaak EHS</t>
  </si>
  <si>
    <t>Nacalculatie blindvermogen transporttaak EHS</t>
  </si>
  <si>
    <t>Nacalculatie oplossen transportbeperkingen transporttaak EHS</t>
  </si>
  <si>
    <t>Totale nacalculatie inkoopkosten transporttaak EHS</t>
  </si>
  <si>
    <t>Nacalculatie netverliezen transporttaak HS</t>
  </si>
  <si>
    <t>Nacalculatie blindvermogen transporttaak HS</t>
  </si>
  <si>
    <t>Nacalculatie oplossen transportbeperkingen transporttaak HS</t>
  </si>
  <si>
    <t>Totale nacalculatie inkoopkosten transporttaak HS</t>
  </si>
  <si>
    <t>Nacalculatie regel- en reservevermogen systeemtaak</t>
  </si>
  <si>
    <t>Nacalculatie noodvermogen systeemtaak</t>
  </si>
  <si>
    <t>Nacalculatie primaire reserve systeemtaak</t>
  </si>
  <si>
    <t>Nacalculatie herstelvoorzieningen systeemtaak</t>
  </si>
  <si>
    <t>Totale nacalculatie inkoopkosten systeemtaak</t>
  </si>
  <si>
    <t>Tab 15_Nacalculatie IK&amp;EV</t>
  </si>
  <si>
    <t>Tab 16_Prognoses IKTNN</t>
  </si>
  <si>
    <t>Tab 17_Correcties OA&amp;M en IKTNN</t>
  </si>
  <si>
    <t>Tab 18_Overige correcties</t>
  </si>
  <si>
    <t>Tab 19_Omzetcorrectie</t>
  </si>
  <si>
    <t>hier</t>
  </si>
  <si>
    <t>Herstel uitwerking van de methode voor de WACC</t>
  </si>
  <si>
    <t>Reguleringsdata TenneT 2018</t>
  </si>
  <si>
    <t>Reguleringsdata TenneT 2015</t>
  </si>
  <si>
    <t>Reguleringsdata TenneT 2013</t>
  </si>
  <si>
    <t>Reguleringsdata TenneT 2014</t>
  </si>
  <si>
    <t>WACC-methode Gewijzigd methodebesluit TenneT Transporttaken 2017-2021 d.d. 24-01-2019</t>
  </si>
  <si>
    <t>Deze correctie verrekent de inkomsten als gevolg van wijzigingen in de inkomsten van de transportdiensten in afgelopen jaren. Wijzigingen kunnen bijvoorbeeld plaatsvinden door het wijzigen van een factuur of als gevolg van een geschilprocedure.</t>
  </si>
  <si>
    <t>Addendum bij bevoegdhedenovereenkomst</t>
  </si>
  <si>
    <t>Addendum bevoegdhedenovereenkomst veilingmiddelen</t>
  </si>
  <si>
    <t>X-factorberekening bij tweede herstel x-factorbesluit TenneT 2017-2021 d.d. 12-12-2019</t>
  </si>
  <si>
    <t>Einduitspraak CBb d.d. 28-11-2019</t>
  </si>
  <si>
    <t>2021</t>
  </si>
  <si>
    <t>EUR, pp jaar</t>
  </si>
  <si>
    <t>Data ten behoeve van correcties op toevoegingen RCR-investeringen</t>
  </si>
  <si>
    <t>Begininkomsten</t>
  </si>
  <si>
    <t>Data ten behoeve van nacalculatie inkoopkosten energie en vermogen</t>
  </si>
  <si>
    <t>Data ten behoeve van toevoeging verkabelingsprojecten</t>
  </si>
  <si>
    <t xml:space="preserve">Begininkomsten </t>
  </si>
  <si>
    <t>Inkomsten op basis van wettelijke formule</t>
  </si>
  <si>
    <t>Berekening inkomsten op basis van wettelijke formule</t>
  </si>
  <si>
    <r>
      <t xml:space="preserve">Op dit tabblad berekent de ACM de nacalculatie op de inkoopkosten energie en vermogen. Het gaat niet om een volledige nacalculatie van het verschil tussen prognose en realisatie, maar om een gedeeltelijke nacalculatie op basis van een bonus-malusregeling. Een kwart van het verschil tussen prognose en realisatie is voor rekening van TenneT, tot een maximum van 20% afwijking op de prognose. De prognose voor de inkoopkosten energie en vermogen binnen de transporttaak is gebaseerd op de realisatie in de jaren 2013 t/m 2015; de prognose voor de inkoopkosten energie en vermogen binnen de systeemtaak is gebaseerd op de realisatie in het jaar t-2. 
</t>
    </r>
    <r>
      <rPr>
        <i/>
        <sz val="10"/>
        <rFont val="Arial"/>
        <family val="2"/>
      </rPr>
      <t>Toelichting bij bijzonderheden</t>
    </r>
    <r>
      <rPr>
        <sz val="10"/>
        <rFont val="Arial"/>
        <family val="2"/>
      </rPr>
      <t xml:space="preserve">
Bedragen in de berekening zijn inclusief het rentepercentage voor tariefcorrecties.</t>
    </r>
  </si>
  <si>
    <t>Berekening prognose inkoopkosten transporttaak per product</t>
  </si>
  <si>
    <t>Realisatie inkoopkosten transport bij regionale netbeheerder(s) 2019</t>
  </si>
  <si>
    <t>Dit getal mag niet positief zijn, indien dit wel het geval is, dan handmatig een afgerond tarief aanpassen.</t>
  </si>
  <si>
    <t>Rekenmodule tarievenbesluit TenneT 2020</t>
  </si>
  <si>
    <t>Reguleringsdata TenneT 2019</t>
  </si>
  <si>
    <t>Rekenmodule verkabelingsprojecten</t>
  </si>
  <si>
    <t>Toevoeging als bedoeld in artikel 41b, eerste lid, onderdeel l van de E-wet</t>
  </si>
  <si>
    <t xml:space="preserve">Onderdeel van de gemaakte kosten voor de uitvoering van artikel 22a van de E-wet. </t>
  </si>
  <si>
    <t>Nacalculatie efficiënte (vermogens)kosten</t>
  </si>
  <si>
    <t>Correctie toevoeging vermogenkosten</t>
  </si>
  <si>
    <t>Doelmatigheidsfactor TenneT</t>
  </si>
  <si>
    <t>X-factor periode 2022-2026</t>
  </si>
  <si>
    <t>Data ten behoeve van inkomsten transporttaak o.b.v. wettelijke formule</t>
  </si>
  <si>
    <t>Data ten behoeve van inkomsten systeemtaak</t>
  </si>
  <si>
    <t>Begininkomsten systeemtaak</t>
  </si>
  <si>
    <t>Correctie toevoeging verkabelingsprojecten 2020 in 2022</t>
  </si>
  <si>
    <t>Correctie toevoeging vermogenskosten RCR-investeringen EHS 2020 in 2022</t>
  </si>
  <si>
    <t>Correctie toevoeging vermogenskosten RCR-investeringen HS 2020 in 2022</t>
  </si>
  <si>
    <t>Prognose regel- en reservevermogen 2020</t>
  </si>
  <si>
    <t>Prognose noodvermogen 2020</t>
  </si>
  <si>
    <t>Prognose primaire reserve 2020</t>
  </si>
  <si>
    <t>Prognose herstelvoorzieningen 2020</t>
  </si>
  <si>
    <t>Prognose inkoopkosten transport bij regionale netbeheerder(s) 2020</t>
  </si>
  <si>
    <t>Tarieven 2020</t>
  </si>
  <si>
    <t>Totale inkomsten EHS TAVT 2020 uit EHS</t>
  </si>
  <si>
    <t>Totale inkomsten EHS TOVT 2020</t>
  </si>
  <si>
    <t>Totale inkomsten HS TOVT 2020</t>
  </si>
  <si>
    <t>Totale inkomsten HS TAVT 2020</t>
  </si>
  <si>
    <t>Realisatie regel- en reservevermogen 2020</t>
  </si>
  <si>
    <t>Realisatie noodvermogen 2020</t>
  </si>
  <si>
    <t>Realisatie primaire reserve 2020</t>
  </si>
  <si>
    <t>Realisatie herstelvoorzieningen 2020</t>
  </si>
  <si>
    <t>Correctie inkoopkosten transporttaak EHS 2020 in 2022</t>
  </si>
  <si>
    <t>Correctie inkoopkosten transporttaak HS 2020 in 2022</t>
  </si>
  <si>
    <t>Correctie inkoopkosten systeemtaak 2020 in 2022</t>
  </si>
  <si>
    <t>1+CPI van 2018 naar 2022</t>
  </si>
  <si>
    <t>1+CPI van 2019 naar 2022</t>
  </si>
  <si>
    <t>1+CPI van 2020 naar 2022</t>
  </si>
  <si>
    <t>1+%</t>
  </si>
  <si>
    <t>1 + CPI van … naar …</t>
  </si>
  <si>
    <t>1+CPI</t>
  </si>
  <si>
    <t>Realisatie inkoopkosten transport bij regionale netbeheerder(s) 2018</t>
  </si>
  <si>
    <t>Realisatie inkoopkosten transport bij regionale netbeheerder(s) 2020</t>
  </si>
  <si>
    <t>Reguleringsdata TenneT 2018, tab 2A, cel I30; Reguleringsdata TenneT 2019, tab 2A, cel I31; Reguleringsdata 2020, tab 2A, cel H31</t>
  </si>
  <si>
    <t>Prognose inkoopkosten transport bij regionale netbeheerders 2022</t>
  </si>
  <si>
    <t>EUR, pp 2022</t>
  </si>
  <si>
    <t>Correctie omzet aansluitdienst en meterhuur 2020</t>
  </si>
  <si>
    <t>EUR, 2020</t>
  </si>
  <si>
    <r>
      <rPr>
        <b/>
        <sz val="10"/>
        <rFont val="Arial"/>
        <family val="2"/>
      </rPr>
      <t>Beschrijving gegevens</t>
    </r>
    <r>
      <rPr>
        <sz val="10"/>
        <rFont val="Arial"/>
        <family val="2"/>
      </rPr>
      <t xml:space="preserve">
Op dit tabblad vult TenneT gegevens in ten behoeve van de berekening van de totale inkomsten in 2022.
De ACM schrijft een aantal correcties en prognoses voor die TenneT jaarlijks in moet vullen. Daarnaast heeft TenneT zelf de mogelijkheid een aantal (incidentele) correcties op te geven. </t>
    </r>
  </si>
  <si>
    <t>Correctie omzet aansluitdienst en meterhuur EHS 2020</t>
  </si>
  <si>
    <t>Prognose omzet aansluitdienst en meterhuur EHS 2022</t>
  </si>
  <si>
    <t>Correctie omzet aansluitdienst en meterhuur HS 2020</t>
  </si>
  <si>
    <t>Prognose omzet aansluitdienst en meterhuur HS 2022</t>
  </si>
  <si>
    <t>Correctie onderzoekskosten niet-geactiveerde verkabelingsprojecten 2020</t>
  </si>
  <si>
    <t>Correctie omzet aansluitdienst en meterhuur 2020 in 2022</t>
  </si>
  <si>
    <t>EUR, 2022</t>
  </si>
  <si>
    <t>Verschil tussen realisatie en prognose 2020</t>
  </si>
  <si>
    <t>Correctie inkoopkosten transport bij regionale netbeheerders(s) 2020 in 2022</t>
  </si>
  <si>
    <t>Correctie Inter-TSO Compensation 2020 in 2022</t>
  </si>
  <si>
    <t xml:space="preserve">1 + rentepercentage van … naar … </t>
  </si>
  <si>
    <t xml:space="preserve">Rentepercentage tariefcorrecties </t>
  </si>
  <si>
    <t>1+rentepercentage van 2013 naar 2022</t>
  </si>
  <si>
    <t>1+rentepercentage van 2014 naar 2022</t>
  </si>
  <si>
    <t>1+rentepercentage van 2015 naar 2022</t>
  </si>
  <si>
    <t>1+rentepercentage van 2016 naar 2022</t>
  </si>
  <si>
    <t>1+rentepercentage van 2017 naar 2022</t>
  </si>
  <si>
    <t>1+rentepercentage van 2018 naar 2022</t>
  </si>
  <si>
    <t>1+rentepercentage van 2019 naar 2022</t>
  </si>
  <si>
    <t>1+rentepercentage van 2020 naar 2022</t>
  </si>
  <si>
    <t>Correctie inkomsten transportdiensten EHS in 2022</t>
  </si>
  <si>
    <t>Correctie inkomsten transportdiensten HS in 2022</t>
  </si>
  <si>
    <t>Correctie onderzoekskosten niet-geactiveerde verkabelingsprojecten 2020 in 2022</t>
  </si>
  <si>
    <r>
      <rPr>
        <b/>
        <sz val="10"/>
        <rFont val="Arial"/>
        <family val="2"/>
      </rPr>
      <t>Beschrijving berekening</t>
    </r>
    <r>
      <rPr>
        <sz val="10"/>
        <rFont val="Arial"/>
        <family val="2"/>
      </rPr>
      <t xml:space="preserve">
Op dit tabblad berekent de ACM de omzet van TenneT in 2020 op basis van daadwerkelijk gefactureerde volumina. De ACM berekent vervolgens de correctie op de omzet 2020, door het verschil te nemen tussen de toegestane tariefinkomsten (op basis van de rekenvolumina 2020) en de gerealiseerde tariefinkomsten (op basis van de daadwerkelijk gefactureerde volumina). Op deze tariefcorrectie wordt nog het rentepercentage voor tariefcorrecties toegepast. </t>
    </r>
  </si>
  <si>
    <t>Rentepercentage tariefcorrecties van 31/12/2020 tot 1/7/2022</t>
  </si>
  <si>
    <t>Realisatie volumina 2020</t>
  </si>
  <si>
    <t>Toegestane tariefinkomsten EHS 2020</t>
  </si>
  <si>
    <t>Toegestane tariefinkomsten HS 2020</t>
  </si>
  <si>
    <t>Realisatie tariefinkomsten EHS 2020</t>
  </si>
  <si>
    <t>Realisatie tariefinkomsten HS 2020</t>
  </si>
  <si>
    <t>Omzetcorrectie op basis van volumeverschillen EHS 2020 in 2022</t>
  </si>
  <si>
    <t>Omzetcorrectie op basis van volumeverschillen HS 2020 in 2022</t>
  </si>
  <si>
    <t>Vast bedrag beschikbaar voor teruggave in 2022</t>
  </si>
  <si>
    <t>Het bedrag voor 2023 is nog niet opgenomen.</t>
  </si>
  <si>
    <t>Voorstel tarieven 2022</t>
  </si>
  <si>
    <t>Tennet doet een voorstel voor de tarieven 2022. Op dit tabblad controleert de ACM het voorstel voor de tarieven van TenneT. Eerst berekent de ACM of de voorgestelde tarieven voldoen aan de toegestane inkomsten. Daarna berekent de ACM zelf de tarieven aan de hand van de Tarievencode Elektriciteit. Indien het voorstel van TenneT niet voldoet, dan stelt de ACM de tarieven vast op basis van de zelf berekende tarieven.</t>
  </si>
  <si>
    <t>Rekenvolumina 2022</t>
  </si>
  <si>
    <t>Toegestane tariefinkomsten transporttarieven voor 2022 EHS</t>
  </si>
  <si>
    <t>Toegestane tariefinkomsten transporttarieven voor 2022 HS</t>
  </si>
  <si>
    <t>Verwachte tariefinkomsten met tarievenvoorstel 2022</t>
  </si>
  <si>
    <t>Toegestane tariefinkomsten uit transporttarieven 2022</t>
  </si>
  <si>
    <t>Tarieven 2022 EHS</t>
  </si>
  <si>
    <t>Tarieven 2022 HS</t>
  </si>
  <si>
    <r>
      <rPr>
        <b/>
        <sz val="10"/>
        <rFont val="Arial"/>
        <family val="2"/>
      </rPr>
      <t>Beschrijving gegevens</t>
    </r>
    <r>
      <rPr>
        <sz val="10"/>
        <rFont val="Arial"/>
        <family val="2"/>
      </rPr>
      <t xml:space="preserve">
Op dit tabblad vult TenneT voor de RCR-investeringen de geschatte vermogenskosten (voor investeringen in aanbouw) en de geschatte totale kosten (voor investeringen in gebruik) in 2022 in. De omvang van deze kosten wordt berekend in een aparte rekenmodule. </t>
    </r>
  </si>
  <si>
    <t>Toevoeging vermogenskosten RCR-investeringen 2022</t>
  </si>
  <si>
    <t>Toevoeging totale kosten RCR-investeringen 2022</t>
  </si>
  <si>
    <t>kW max per week (max 600 uur)</t>
  </si>
  <si>
    <t>Voorstel tarieven en rekenvolumina 2022</t>
  </si>
  <si>
    <t>Op dit tabblad staan per jaar de gegevens die de ACM gebruikt voor de berekening van de totale inkomsten van TenneT in 2022. Bij elk gegeven is een bron aangegeven.</t>
  </si>
  <si>
    <t>Rekenvolumina (realisatie 2020)</t>
  </si>
  <si>
    <t xml:space="preserve">CPI </t>
  </si>
  <si>
    <t>1+CPI van 2013 naar 2016</t>
  </si>
  <si>
    <t>1+CPI van 2014 naar 2016</t>
  </si>
  <si>
    <t>1+CPI van 2015 naar 2016</t>
  </si>
  <si>
    <t>Doelmatigheidsfactor periode 2022-2026</t>
  </si>
  <si>
    <t>Tabblad 4 - Totale inkomsten TenneT 2022</t>
  </si>
  <si>
    <t>Totale inkomsten op basis van wettelijke formule 2022</t>
  </si>
  <si>
    <t>Toevoeging prognose inkoopkosten transport bij regionale netbeheerder(s) 2022</t>
  </si>
  <si>
    <t>Toevoeging prognose Inter-TSO compensation 2022</t>
  </si>
  <si>
    <t>Correctie toevoeging vermogenskosten RCR-investeringen 2020 in 2022</t>
  </si>
  <si>
    <t>Prognose omzet aansluitdienst en meterhuur 2022</t>
  </si>
  <si>
    <t>Correctie inkoopkosten energie en vermogen transporttaak 2020 in 2022</t>
  </si>
  <si>
    <t>Correctie inkoopkosten energie en vermogen systeemtaak 2020 in 2022</t>
  </si>
  <si>
    <t>Correctie inkomsten transportdiensten in 2022</t>
  </si>
  <si>
    <t>Omzetcorrectie op basis van volumeverschillen 2020 in 2022</t>
  </si>
  <si>
    <t>Totaal tariefcorrecties 2022</t>
  </si>
  <si>
    <t>Totale inkomsten 2022</t>
  </si>
  <si>
    <t>Totale inkomsten exclusief tariefcorrecties 2022</t>
  </si>
  <si>
    <t>Rekenmodule tarievenbesluit TenneT 2022</t>
  </si>
  <si>
    <t>Rekenmodule netbeheerder van het landelijke hoogspanningsnet 2022</t>
  </si>
  <si>
    <t>Tarievenbesluit TenneT TSO B.V. 2022</t>
  </si>
  <si>
    <t>ACM/21/051831</t>
  </si>
  <si>
    <t>in de zestiende maand voorafgaande aan het jaar t, zoals deze maandelijks wordt vastgesteld door het CBS. Dit komt neer op de relatieve wijziging van het quotiënt zoals gepubliceerd in augustus voorafgaande aan jaar t.</t>
  </si>
  <si>
    <t>De ACM gebruikt het rentepercentage tariefcorrecties voor de vergoeding van de tijdwaarde van geld in het geval van het toekennen van correcties in de tarieven die volgen uit nacalculaties over eerdere jaren.</t>
  </si>
  <si>
    <t>Nacalculatie efficiënte kosten Breukelen-Kortrijk EHS 2020 in 2022</t>
  </si>
  <si>
    <t>Nacalculatie efficiënte kosten Breukelen-Kortrijk HS 2020 in 2022</t>
  </si>
  <si>
    <t>Rekenmodule RCR-investeringen, tab 4, cel M90</t>
  </si>
  <si>
    <t>Rekenmodule RCR-investeringen, tab 4, cel L93</t>
  </si>
  <si>
    <t>Rekenmodule RCR-investeringen, tab 4, cel L90</t>
  </si>
  <si>
    <t>Rekenmodule RCR-investeringen, tab 4, cel M93</t>
  </si>
  <si>
    <t>Rekenmodule RCR-investeringen, tab 4, cel L94</t>
  </si>
  <si>
    <t>Rekenmodule RCR-investeringen, tab 4, cel M94</t>
  </si>
  <si>
    <t xml:space="preserve">De roze cellen betreffen voorlopige cijfers voor de wettelijke rente. De ACM hanteert hiervoor de wettelijke rente zoals die is vastgesteld voor het meest recente half jaar. </t>
  </si>
  <si>
    <t>Rekenmodule verkabelingsprojecten, tab 4, cel J18</t>
  </si>
  <si>
    <t>X-factoren en doelmatigheidsfactor</t>
  </si>
  <si>
    <t>Nacalculatie efficiënte kosten Station Breukelen-Kortrijk 2020 in 2022</t>
  </si>
  <si>
    <t>Tabblad 5 - Tarieven en rekenvolumina 2022</t>
  </si>
  <si>
    <t>Voorstel Tennet voor 2022</t>
  </si>
  <si>
    <t>Tarieven 2022</t>
  </si>
  <si>
    <t>1+rentepercentage van 2021 naar 2022</t>
  </si>
  <si>
    <t>Vrijval saldo onbalans 2021</t>
  </si>
  <si>
    <t>Vrijval saldo onbalans</t>
  </si>
  <si>
    <t>Deze rekenmodule wordt gebruikt bij het vaststellen van het Tarievenbesluit TenneT 2022.</t>
  </si>
  <si>
    <t>Deze rekenmodule bevat alle gegevens die nodig zijn om de tarieven voor het landelijk hoogspanningsnet te berekenen voor het jaar 2022.</t>
  </si>
  <si>
    <t>2013</t>
  </si>
  <si>
    <t>Doelmatigheidsfactor systeemtaken</t>
  </si>
  <si>
    <t>Tabblad 14 - Toegestane inkomsten systeemtaken</t>
  </si>
  <si>
    <t>Tab 14_TI systeemtaken</t>
  </si>
  <si>
    <t>Berekening toegestane inkomsten systeemtaken</t>
  </si>
  <si>
    <t>Toegestane inkomsten systeemtaken</t>
  </si>
  <si>
    <t>- onderdeel transporttaken EHS</t>
  </si>
  <si>
    <t>- onderdeel transporttaken HS</t>
  </si>
  <si>
    <t>Efficiënte begininkomsten</t>
  </si>
  <si>
    <t>Totale inkomsten op basis van wettelijke formule</t>
  </si>
  <si>
    <t>Tabblad 15 - Nacalculatie inkoopkosten energie en vermogen</t>
  </si>
  <si>
    <t>Tabblad 16 - Prognoses inkoopkosten transport naastgelegen netten</t>
  </si>
  <si>
    <t>Tabblad 17 - Correcties omzet aansluitdienst &amp; meterhuur en inkoopkosten transport naastgelegen netten</t>
  </si>
  <si>
    <t>Tabblad 18 - Overige correcties</t>
  </si>
  <si>
    <t>Tabblad 19 - Omzetcorrectie op basis van volumeverschillen</t>
  </si>
  <si>
    <t>Rekenmodule RCR-investeringen, Rekenmodule verkabelingsprojecten</t>
  </si>
  <si>
    <t>Tab 4_Totale inkomsten 2022</t>
  </si>
  <si>
    <t>Tab 5_Tarieven en RV 2022</t>
  </si>
  <si>
    <t>Toevoeging toegestane inkomsten systeemtaken 2022</t>
  </si>
  <si>
    <t>Reguleringsdata 2018, tab 2A, cel J32; Reguleringsdata 2019, tab 2A, cel J33; Reguleringsdata 2020, tab 2A, cel H33</t>
  </si>
  <si>
    <t>DNB</t>
  </si>
  <si>
    <t>Reguleringsdata TenneT 2020</t>
  </si>
  <si>
    <t>Rekenmodule RCR-investeringen TenneT 2022</t>
  </si>
  <si>
    <t>Rekenmodule verkabelingsprojecten TenneT 2022</t>
  </si>
  <si>
    <t>Doelmatigheidsfactorberekening 2022-2026</t>
  </si>
  <si>
    <t>Addendum bij bevoegdhedenovereenkomst ACM TenneT veilingmiddelen</t>
  </si>
  <si>
    <t>Rekenmodule tarievenbesluit TenneT 2020, tab 16, cel J35</t>
  </si>
  <si>
    <t>Rekenmodule tarievenbesluit TenneT 2020, tab 5, rij 22</t>
  </si>
  <si>
    <t>Rekenmodule tarievenbesluit TenneT 2020, tab 22, cel H44</t>
  </si>
  <si>
    <t>Rekenmodule tarievenbesluit TenneT 2020, tab 22, cel H47</t>
  </si>
  <si>
    <t>Rekenmodule tarievenbesluit TenneT 2020, tab 5, rij 26</t>
  </si>
  <si>
    <t>Rekenmodule tarievenbesluit TenneT 2020, tab 22, cel H61</t>
  </si>
  <si>
    <t>Rekenmodule tarievenbesluit TenneT 2020, tab 22, cel H65</t>
  </si>
  <si>
    <t>Berekening bij tweede wijziging X-factorbesluit TenneT 2017-2021</t>
  </si>
  <si>
    <t>Methodebesluit Transporttaken TenneT 2022-2026</t>
  </si>
  <si>
    <t>Methodebesluit Systeemtaken TenneT 2022-2026</t>
  </si>
  <si>
    <r>
      <rPr>
        <b/>
        <sz val="10"/>
        <rFont val="Arial"/>
        <family val="2"/>
      </rPr>
      <t>Beschrijving resultaat</t>
    </r>
    <r>
      <rPr>
        <sz val="10"/>
        <rFont val="Arial"/>
        <family val="2"/>
      </rPr>
      <t xml:space="preserve">
Dit tabblad is een overzicht van de totale inkomsten 2022 van de beheerder van het landelijke hoogspanningsnet, TenneT TSO B.V.. De ACM bepaalt de totale inkomsten inclusief tariefcorrecties in drie stappen:
1: de ACM berekent de totale inkomsten exclusief tariefcorrecties;
2: de ACM bepaalt de tariefcorrecties;
3: de ACM berekent de totale inkomsten inclusief tariefcorrecties.
</t>
    </r>
    <r>
      <rPr>
        <i/>
        <sz val="10"/>
        <rFont val="Arial"/>
        <family val="2"/>
      </rPr>
      <t xml:space="preserve">
Toelichting bij bijzonderheden</t>
    </r>
    <r>
      <rPr>
        <sz val="10"/>
        <rFont val="Arial"/>
        <family val="2"/>
      </rPr>
      <t xml:space="preserve">
Bedragen zijn inclusief het rentepercentage voor tariefcorrecties.
</t>
    </r>
  </si>
  <si>
    <t>Deze correctie verrekent de inkomsten op het HS netvlak als gevolg van een verschil tussen de realisatie en de prognose van de aansluitdienst en meterhuur in 2020.</t>
  </si>
  <si>
    <t>Deze correctie verrekent de inkomsten op het EHS netvlak als gevolg van een verschil tussen de realisatie en de prognose van de aansluitdienst en meterhuur in 2020.</t>
  </si>
  <si>
    <t>X-factor transporttaken</t>
  </si>
  <si>
    <t>X-factorberekening bij tweede herstel X-factorbesluit TenneT 2017-2021 d.d. 12-12-2019, tab Overzicht parameters, cel D30</t>
  </si>
  <si>
    <t>Inter-TSO compensation</t>
  </si>
  <si>
    <t>Prognose Inter-TSO compensation 2020</t>
  </si>
  <si>
    <t>Realisatie Inter-TSO compensation</t>
  </si>
  <si>
    <t>Rapport veilingopbrengsten TenneT 2018/2019</t>
  </si>
  <si>
    <t>Report auction receipts TenneT TSO B.V. for the period January 2018 - June 2019</t>
  </si>
  <si>
    <t>Rapport veilingopbrengsten TenneT 2019</t>
  </si>
  <si>
    <t>Report auction receipts TenneT TSO B.V. for the period January 2019 - December 2019</t>
  </si>
  <si>
    <t>Rapport veilingopbrengsten TenneT 2018/2019, p.3; Rapport veilingopbrengsten TenneT 2019, p.4; Rapport congestie-ontvangsten TenneT 2020, p.4</t>
  </si>
  <si>
    <t>Rapport congestie-ontvangsten TenneT 2020</t>
  </si>
  <si>
    <t>Report congestion revenues TenneT TSO B.V. for the period January 2020 - December 2020</t>
  </si>
  <si>
    <t>Rekenmodule tarievenbesluit TenneT 2021</t>
  </si>
  <si>
    <t>Berekening mutatie CPI over meerdere jaren</t>
  </si>
  <si>
    <t>1+ rentepercentage</t>
  </si>
  <si>
    <t>Tabblad 13 - Toegestane inkomsten transporttaken</t>
  </si>
  <si>
    <r>
      <rPr>
        <b/>
        <sz val="10"/>
        <rFont val="Arial"/>
        <family val="2"/>
      </rPr>
      <t>Beschrijving berekening</t>
    </r>
    <r>
      <rPr>
        <sz val="10"/>
        <rFont val="Arial"/>
        <family val="2"/>
      </rPr>
      <t xml:space="preserve">
Op dit tabblad berekent de ACM de toegestane inkomsten van TenneT voor de transporttaken op basis van de wettelijke formule. Dit is de formule in artikel 41b, eerste lid, onderdeel d, van de E-wet waarmee de ACM de x-factor en de rekenvolumina toepast op de totale inkomsten.
</t>
    </r>
    <r>
      <rPr>
        <i/>
        <sz val="10"/>
        <rFont val="Arial"/>
        <family val="2"/>
      </rPr>
      <t xml:space="preserve">
</t>
    </r>
  </si>
  <si>
    <t>Tab 13_TI transporttaken</t>
  </si>
  <si>
    <t>Prognose Inter-TSO compensation 2022</t>
  </si>
  <si>
    <t>Realisatie Inter-TSO compensation 2018</t>
  </si>
  <si>
    <t>Realisatie Inter-TSO compensation 2019</t>
  </si>
  <si>
    <t>Realisatie Inter-TSO compensation 2020</t>
  </si>
  <si>
    <t>Correctie Inter-TSO compensation 2020 in 2022</t>
  </si>
  <si>
    <t>Inter-TSO compensation 2020</t>
  </si>
  <si>
    <t>Correctie Inter-TSO compensation</t>
  </si>
  <si>
    <r>
      <t xml:space="preserve">Op dit tabblad berekent de ACM de overige correcties. 
</t>
    </r>
    <r>
      <rPr>
        <i/>
        <sz val="10"/>
        <rFont val="Arial"/>
        <family val="2"/>
      </rPr>
      <t xml:space="preserve">
Toelichting bij bijzonderheden</t>
    </r>
    <r>
      <rPr>
        <sz val="10"/>
        <rFont val="Arial"/>
        <family val="2"/>
      </rPr>
      <t xml:space="preserve"> 
De bedragen in de berekening zijn inclusief het rentepercentage voor tariefcorrecties.
</t>
    </r>
  </si>
  <si>
    <r>
      <rPr>
        <b/>
        <sz val="10"/>
        <rFont val="Arial"/>
        <family val="2"/>
      </rPr>
      <t>Beschrijving berekening</t>
    </r>
    <r>
      <rPr>
        <sz val="10"/>
        <rFont val="Arial"/>
        <family val="2"/>
      </rPr>
      <t xml:space="preserve">
Op dit tabblad berekent de ACM de correcties voor de omzet aansluitdienst en meterhuur 2020 en voor de inkoopkosten transport naastgelegen netten 2020. Die laatste categorie omvat de inkoopkosten transport bij regionale netbeheerder(s) en de Inter-TSO compensation. De ACM berekent telkens het verschil tussen de realisatie en de prognose, vervolgens wordt dit bedrag met het rentepercentage tariefcorrecties aangepast.</t>
    </r>
  </si>
  <si>
    <t>Tarievencode Elektriciteit 3.6.3 a: (Afname van HS af EHS) / (Afname van HS af EHS + Afname verbruikers op EHS)</t>
  </si>
  <si>
    <t>Berekening a: wat zijn de EHS-tarieven volgens de Tarievencode?</t>
  </si>
  <si>
    <t>Tarieven EHS volgens de Tarievencode</t>
  </si>
  <si>
    <t>Tariefinkomsten EHS volgens de Tarievencode</t>
  </si>
  <si>
    <t>Tarieven EHS volgens de Tarievencode afgerond</t>
  </si>
  <si>
    <t>Berekening b: wat zijn de HS-tarieven volgens de Tarievencode?</t>
  </si>
  <si>
    <t xml:space="preserve">Tarieven HS volgens de Tarievencode </t>
  </si>
  <si>
    <t>Tariefinkomsten HS volgens de Tarievencode</t>
  </si>
  <si>
    <t>Tarieven HS volgens de Tarievencode afgerond</t>
  </si>
  <si>
    <t xml:space="preserve">Controle berekening: zijn de tariefinkomsten op basis van de tarieven volgens de Tarievencode </t>
  </si>
  <si>
    <t>Rekenmodule tarievenbesluit TenneT 2020, tab 16, cel J33</t>
  </si>
  <si>
    <r>
      <rPr>
        <b/>
        <sz val="10"/>
        <rFont val="Arial"/>
        <family val="2"/>
      </rPr>
      <t>Beschrijving berekening</t>
    </r>
    <r>
      <rPr>
        <sz val="10"/>
        <rFont val="Arial"/>
        <family val="2"/>
      </rPr>
      <t xml:space="preserve">
Op dit tabblad berekent de ACM samengestelde percentages voor de toepassing van de CPI en het rentepercentage tariefcorrecties. Bij de toepassing van de samengestelde percentages wordt niet tussentijds afgerond. </t>
    </r>
  </si>
  <si>
    <t>Rekenmodule RCR-investeringen, tab 4, cel L83 en M83</t>
  </si>
  <si>
    <t>Rekenmodule RCR-investeringen, tab 4, cel L86 en M86</t>
  </si>
  <si>
    <r>
      <rPr>
        <b/>
        <sz val="10"/>
        <rFont val="Arial"/>
        <family val="2"/>
      </rPr>
      <t>Beschrijving berekening</t>
    </r>
    <r>
      <rPr>
        <sz val="10"/>
        <rFont val="Arial"/>
        <family val="2"/>
      </rPr>
      <t xml:space="preserve">
Op dit tabblad berekent de ACM het budget dat TenneT in 2022 ter beschikking krijgt voor het uitvoeren van de systeemtaken. Het budget voor systeemtaken bestaat uit inkoopkosten en uitvoeringskosten. De wijze van berekening is omschreven in het Methodebesluit Systeemtaken TenneT 2022-2026.</t>
    </r>
  </si>
  <si>
    <t xml:space="preserve">Correctie verrekening garantstelling faillissementen </t>
  </si>
  <si>
    <t>Correctie verrekening garantstelling faillissementen in 2022</t>
  </si>
  <si>
    <t xml:space="preserve">Correctie ten behoeve van verrekening Robin Energie. </t>
  </si>
  <si>
    <t>Correctie inkomsten aansluitdiensten HS</t>
  </si>
  <si>
    <t>Correctie inkomsten aansluitdiensten HS in 2022</t>
  </si>
  <si>
    <t>Correctie inkomsten aansluitdiensten in 2022</t>
  </si>
  <si>
    <t>Verrekening kosten net op zee fase II</t>
  </si>
  <si>
    <t>Verrekening kosten net op zee fase II in 2022</t>
  </si>
  <si>
    <t xml:space="preserve">Tabblad 8 - Voorstel tarieven </t>
  </si>
  <si>
    <r>
      <rPr>
        <b/>
        <sz val="10"/>
        <rFont val="Arial"/>
        <family val="2"/>
      </rPr>
      <t>Beschrijving gegevens</t>
    </r>
    <r>
      <rPr>
        <sz val="10"/>
        <rFont val="Arial"/>
        <family val="2"/>
      </rPr>
      <t xml:space="preserve">
Op dit tabblad vult TenneT de voorgestelde tarieven voor 2022 in. 
De controles hieronder gaan na of de getallen die TenneT invult voor de tarieven voldoen aan respectievelijk de Tarievencode Elektriciteit.
</t>
    </r>
  </si>
  <si>
    <t>Tabblad 21 - Controle tarieven</t>
  </si>
  <si>
    <t>Tab 8_Voorstel tarieven</t>
  </si>
  <si>
    <t>Tab 21_Controle tarieven</t>
  </si>
  <si>
    <r>
      <rPr>
        <b/>
        <sz val="10"/>
        <rFont val="Arial"/>
        <family val="2"/>
      </rPr>
      <t>Beschrijving resultaat</t>
    </r>
    <r>
      <rPr>
        <sz val="10"/>
        <rFont val="Arial"/>
        <family val="2"/>
      </rPr>
      <t xml:space="preserve">
Op dit tabblad geeft de ACM de tarieven en rekenvolumina per tariefdrager voor 2022 weer.
De controle hieronder gaat na of de tarieven die in dit resultaat worden weergegeven gelijk zijn aan de tarieven die TenneT heeft voorgesteld.</t>
    </r>
  </si>
  <si>
    <r>
      <rPr>
        <b/>
        <sz val="10"/>
        <rFont val="Arial"/>
        <family val="2"/>
      </rPr>
      <t>Beschrijving gegevens</t>
    </r>
    <r>
      <rPr>
        <sz val="10"/>
        <rFont val="Arial"/>
        <family val="2"/>
      </rPr>
      <t xml:space="preserve">
Op dit tabblad staan per tariefdrager de tarieven 2020 en de totale inkomsten 2020, uitgesplitst voor de netvlakken EHS en HS. Deze gegevens worden gebruikt ten behoeve van de berekening van de omzetcorrectie (het verschil tussen de toegestane inkomsten en de gerealiseerde inkomsten).</t>
    </r>
  </si>
  <si>
    <t>Tabblad 11 - Tarieven en omzet</t>
  </si>
  <si>
    <t>De ACM heeft besloten om voor alle nacalculaties vanaf 2022 de wettelijke rente als rentepercentage tariefcorrecties te hanteren. Dit percentage wordt halfjaarlijks door De Nederlandsche Bank gepubliceerd.</t>
  </si>
  <si>
    <r>
      <rPr>
        <b/>
        <sz val="10"/>
        <rFont val="Arial"/>
        <family val="2"/>
      </rPr>
      <t>Beschrijving gegevens</t>
    </r>
    <r>
      <rPr>
        <sz val="10"/>
        <rFont val="Arial"/>
        <family val="2"/>
      </rPr>
      <t xml:space="preserve">
Op dit blad staan inputgegevens voor relevante parameters in de berekening van de totale inkomsten en de tarieven. Deze parameters betreffen achtereenvolgens: CPI, rentepercentage tariefcorrecties, x-factoren en doelmatigheidsfactor en overige parameters.</t>
    </r>
  </si>
  <si>
    <t>Tarieven en inkomsten</t>
  </si>
  <si>
    <t>Doelmatigheidsfactorberekening 2022-2026, tab 1, cel F12</t>
  </si>
  <si>
    <t>X-factorberekening Transporttaken TenneT 2022-2026</t>
  </si>
  <si>
    <t>Methodebesluit TenneT Transport 2022-2026</t>
  </si>
  <si>
    <t>Methodebesluit TenneT Systeem 2022-2026</t>
  </si>
  <si>
    <t>Doelmatigheidsfactorberekening 2022-2026, tab 1, cel F14</t>
  </si>
  <si>
    <t>X-factorberekening Transporttaken TenneT 2022-2026, tab 1, cel F16</t>
  </si>
  <si>
    <t>X-factorberekening Transporttaken TenneT 2022-2026, tab 1, cel F13</t>
  </si>
  <si>
    <t>X-factorberekening Transporttaken TenneT 2022-2026, tab 1, cel F12</t>
  </si>
  <si>
    <t>X-factorberekening Transporttaken TenneT 2022-2026, tab 1, cel F14</t>
  </si>
  <si>
    <t>X-factorbesluit en Rekenvoluminabesluit 2022-2026</t>
  </si>
  <si>
    <t>X-factorbesluit TenneT Transport 2022-2026</t>
  </si>
  <si>
    <r>
      <rPr>
        <b/>
        <sz val="10"/>
        <rFont val="Arial"/>
        <family val="2"/>
      </rPr>
      <t>Beschrijving berekening</t>
    </r>
    <r>
      <rPr>
        <sz val="10"/>
        <rFont val="Arial"/>
        <family val="2"/>
      </rPr>
      <t xml:space="preserve">
Op dit tabblad berekent de ACM de prognoses voor de inkoopkosten transport naastgelegen netten 2022. Deze bestaan uit de inkoopkosten transport bij regionale netbeheerders en de Inter-TSO compensation. De ACM schat deze kosten aan de hand van het gemiddelde over 2018 t/m 2020 met toepassing van een inflatiecorrectie. (Bron: Methodebesluit Transporttaken TenneT 2022-2026, paragraaf 9.2.2)</t>
    </r>
  </si>
  <si>
    <t>X-factorberekening transporttaken TenneT 2022-2026</t>
  </si>
  <si>
    <t xml:space="preserve">Doelmatigheidsfactorberekening </t>
  </si>
  <si>
    <t>X-factorbesluit en Rekenvoluminabesluit 2022-2026, p.9</t>
  </si>
  <si>
    <t>Toegestane inkomsten systeemtaken exclusief tariefcorrecties</t>
  </si>
  <si>
    <t xml:space="preserve">Totale toegestane inkomsten systeemtaken </t>
  </si>
  <si>
    <t>Saldo onbalans</t>
  </si>
  <si>
    <t>Inzet congestie-ontvangsten 2022</t>
  </si>
  <si>
    <t>Netto congestie-ontvangsten</t>
  </si>
  <si>
    <t>Aantal jaren waarover netto congestie-ontvangsten worden verdeeld</t>
  </si>
  <si>
    <t>Data ten behoeve van inzet congestie-ontvangsten</t>
  </si>
  <si>
    <t>Tabblad 20 - Inzet congestie-ontvangsten</t>
  </si>
  <si>
    <t>Netto congestie-ontvangsten per jaar</t>
  </si>
  <si>
    <t>Berekening inzet congestie-ontvangsten</t>
  </si>
  <si>
    <t>Tab 20_Inzet congestie-ontv.</t>
  </si>
  <si>
    <t>Totale inkomsten 2022 volgens tarievenvoorstel TenneT</t>
  </si>
  <si>
    <t>Data ten behoeve van de hulpberekening: verschil ten opzichte van het tarievenvoorstel van TenneT</t>
  </si>
  <si>
    <t>Rekenmodule tarievenvoorstel TenneT 2022</t>
  </si>
  <si>
    <t>Rekenmodule tarievenvoorstel TenneT 2022, tab 4, cel H59</t>
  </si>
  <si>
    <t>Inzet congestie-ontvangsten 2022 volgens tarievenvoorstel TenneT</t>
  </si>
  <si>
    <t>De inzet congestie-ontvangsten in het tarievenvoorstel 2022 is gelijk aan de berekende inzet congestie-ontvangsten op tabblad 20 van deze module.</t>
  </si>
  <si>
    <t>Verschil door gecorrigeerde fouten in de RCR-module</t>
  </si>
  <si>
    <t xml:space="preserve">Totale inkomsten 2022 volgens tarievenvoorstel </t>
  </si>
  <si>
    <t xml:space="preserve">Nacalculatie efficiënte kosten Station Breukelen-Kortrijk 2020 in 2022 HS volgens tarievenvoorstel </t>
  </si>
  <si>
    <t>Rekenmodule tarievenvoorstel TenneT 2022, tab 4, cel H37</t>
  </si>
  <si>
    <t>Rekenmodule tarievenvoorstel TenneT 2022, tab 4, cel H36</t>
  </si>
  <si>
    <t>Verschil totale inkomsten 2022 en totale inkomsten 2022 volgens tarievenvoorstel TenneT</t>
  </si>
  <si>
    <t>Hulpberekening: verklaring verschil ten opzichte van het tarievenvoorstel van TenneT</t>
  </si>
  <si>
    <t>Het verschil in de totale inkomsten tussen het tarievenvoorstel en de huidige inkomstenberekening wordt veroorzaakt door het herstel van de RCR-module en de aanpassing van de inzet congestie-ontvangsten.</t>
  </si>
  <si>
    <t>Nacalculatie efficiënte (vermogens)kosten Doetinchem-Voorst 2016 t/m 2020 in 2022</t>
  </si>
  <si>
    <t xml:space="preserve">Nacalculatie efficiënte (vermogens)kosten Doetinchem-Voorst 2016 t/m 2020 in 2022 volgens tarievenvoorstel </t>
  </si>
  <si>
    <t>Nacalculatie efficiënte (vermogens)kosten Doetinchem-Voorst EHS 2016 t/m 2020 in 2022</t>
  </si>
  <si>
    <t>Nacalculatie efficiënte (vermogens)kosten Doetinchem-Voorst HS 2016 t/m 2020 in 2022</t>
  </si>
  <si>
    <t xml:space="preserve">Let op: dit is de inzet congestie-ontvangsten zoals berekend in het tarievenvoorstel. In het tarievenbesluit zet de ACM de inzet gelijk aan 0 (zie ook paragraaf 4.2.2 van het besluit). </t>
  </si>
  <si>
    <t>Inzet congestie-ontvangsten 2022 in tarievenvoorstel</t>
  </si>
  <si>
    <t>Inzet congestie-ontvangsten in 2022</t>
  </si>
  <si>
    <t>Tarievenbesluit TenneT 2022</t>
  </si>
  <si>
    <r>
      <rPr>
        <b/>
        <sz val="10"/>
        <rFont val="Arial"/>
        <family val="2"/>
      </rPr>
      <t>Beschrijving berekening</t>
    </r>
    <r>
      <rPr>
        <sz val="10"/>
        <rFont val="Arial"/>
        <family val="2"/>
      </rPr>
      <t xml:space="preserve">
Op dit tabblad berekent de ACM hoeveel congestie-ontvangsten TenneT moet inzetten ter verlaging van de transporttarieven in 2022. Het bedrag aan netto congestie-ontvangsten wordt over een aantal jaren verdeeld om tariefschommelingen te beperken.
</t>
    </r>
    <r>
      <rPr>
        <i/>
        <sz val="10"/>
        <rFont val="Arial"/>
        <family val="2"/>
      </rPr>
      <t xml:space="preserve">
Toelichting bij bijzonderheden</t>
    </r>
    <r>
      <rPr>
        <sz val="10"/>
        <rFont val="Arial"/>
        <family val="2"/>
      </rPr>
      <t xml:space="preserve">
Op de inzet congestie-ontvangsten wordt niet het rentepercentage voor tariefcorrecties toegepast omdat de netto congestie-ontvangsten al inclusief de netto rentebaten zijn.
Zoals beschreven in paragraaf 4.4.2 van het Tarievenbesluit TenneT 2022 heeft de ACM besloten er in 2022 geen congestie-ontvangsten ingezet zullen worden voor de tarieven in 2022. De reden hiervoor is dat TenneT anders naar verwachting niet aan haar verplichtingen uit Verordening 2019/943 kan voldoen. </t>
    </r>
  </si>
  <si>
    <t xml:space="preserve">Zoals beschreven in paragraaf 4.4.2 van het Tarievenbesluit TenneT 2022 heeft de ACM besloten dat er in 2022 geen congestie-ontvangsten ingezet zullen worden voor de tarieven in 2022. </t>
  </si>
  <si>
    <t>=S148-S151</t>
  </si>
  <si>
    <t>=S44-S49</t>
  </si>
  <si>
    <t>=25%*S127</t>
  </si>
  <si>
    <t>=ALS(S128&lt;0;-5%*S49;5%*S49)</t>
  </si>
  <si>
    <t>=ALS(S127&lt;0;MAX(S128;S129);MIN(S128;S129))</t>
  </si>
  <si>
    <t>=S127-S130</t>
  </si>
  <si>
    <t>=S45-S50</t>
  </si>
  <si>
    <t>=25%*S134</t>
  </si>
  <si>
    <t>=ALS(S135&lt;0;-5%*S50;5%*S50)</t>
  </si>
  <si>
    <t>=ALS(S134&lt;0;MAX(S135;S136);MIN(S135;S136))</t>
  </si>
  <si>
    <t>=S134-S137</t>
  </si>
  <si>
    <t>=S46-S51</t>
  </si>
  <si>
    <t>=25%*S141</t>
  </si>
  <si>
    <t>=ALS(S142&lt;0;-5%*S51;5%*S51)</t>
  </si>
  <si>
    <t>=ALS(S141&lt;0;MAX(S142;S143);MIN(S142;S143))</t>
  </si>
  <si>
    <t>=S141-S144</t>
  </si>
  <si>
    <t>=S47-S52</t>
  </si>
  <si>
    <t>=25%*S148</t>
  </si>
  <si>
    <t>=ALS(S149&lt;0;-5%*S52;5%*S52)</t>
  </si>
  <si>
    <t>=ALS(S148&lt;0;MAX(S149;S150);MIN(S149;S150))</t>
  </si>
  <si>
    <t>=S38-S72</t>
  </si>
  <si>
    <t>=25%*S103</t>
  </si>
  <si>
    <t>=ALS(S104&lt;0;-5%*S72;5%*S72)</t>
  </si>
  <si>
    <t>=ALS(S103&lt;0;MAX(S104;S105);MIN(S104;S105))</t>
  </si>
  <si>
    <t>=S103-S106</t>
  </si>
  <si>
    <t>=S39-S73</t>
  </si>
  <si>
    <t>=25%*S110</t>
  </si>
  <si>
    <t>=ALS(S111&lt;0;-5%*S73;5%*S73)</t>
  </si>
  <si>
    <t>=ALS(S110&lt;0;MAX(S111;S112);MIN(S111;S112))</t>
  </si>
  <si>
    <t>=S110-S113</t>
  </si>
  <si>
    <t>=S40-S74</t>
  </si>
  <si>
    <t>=25%*S117</t>
  </si>
  <si>
    <t>=ALS(S118&lt;0;-5%*S74;5%*S74)</t>
  </si>
  <si>
    <t>=ALS(S117&lt;0;MAX(S118;S119);MIN(S118;S119))</t>
  </si>
  <si>
    <t>=S117-S120</t>
  </si>
  <si>
    <t>=S33-S67</t>
  </si>
  <si>
    <t>=25%*S79</t>
  </si>
  <si>
    <t>=ALS(S80&lt;0;-5%*S67;5%*S67)</t>
  </si>
  <si>
    <t>=ALS(S79&lt;0;MAX(S80;S81);MIN(S80;S81))</t>
  </si>
  <si>
    <t>=S79-S82</t>
  </si>
  <si>
    <t>=S34-S68</t>
  </si>
  <si>
    <t>=25%*S86</t>
  </si>
  <si>
    <t>=ALS(S87&lt;0;-5%*S68;5%*S68)</t>
  </si>
  <si>
    <t>=ALS(S86&lt;0;MAX(S87;S88);MIN(S87;S88))</t>
  </si>
  <si>
    <t>=S86-S89</t>
  </si>
  <si>
    <t>=S35-S69</t>
  </si>
  <si>
    <t>=25%*S93</t>
  </si>
  <si>
    <t>=ALS(S94&lt;0;-5%*S69;5%*S69)</t>
  </si>
  <si>
    <t>=ALS(S93&lt;0;MAX(S94;S95);MIN(S94;S95))</t>
  </si>
  <si>
    <t>=S93-S96</t>
  </si>
  <si>
    <t>=O57*(1+(P$20-$H$30/100))</t>
  </si>
  <si>
    <t>=O58*(1+(P$20-$H$30/100))</t>
  </si>
  <si>
    <t>=O59*(1+(P$20-$H$30/100))</t>
  </si>
  <si>
    <t>=O62*(1+(P$20-$H$30/100))</t>
  </si>
  <si>
    <t>=O63*(1+(P$20-$H$30/100))</t>
  </si>
  <si>
    <t>=O64*(1+(P$20-$H$30/100))</t>
  </si>
  <si>
    <t>=(1/3)*(L33*$H$22+M33*$H$23+N33*$H$24)</t>
  </si>
  <si>
    <t>=(1/3)*(L34*$H$22+M34*$H$23+N34*$H$24)</t>
  </si>
  <si>
    <t>=(1/3)*(L35*$H$22+M35*$H$23+N35*$H$24)</t>
  </si>
  <si>
    <t>=(1/3)*((L38+L41)*$H$22+(M38+M41)*$H$23+(N38+N41)*$H$24)</t>
  </si>
  <si>
    <t>=(1/3)*(L39*$H$22+M39*$H$23+N39*$H$24)</t>
  </si>
  <si>
    <t>=(1/3)*(L40*$H$22+M40*$H$23+N40*$H$24)</t>
  </si>
  <si>
    <t>='Tab 10_Brondata'!L40</t>
  </si>
  <si>
    <t>='Tab 10_Brondata'!L41</t>
  </si>
  <si>
    <t>='Tab 10_Brondata'!L42</t>
  </si>
  <si>
    <t>='Tab 10_Brondata'!L45</t>
  </si>
  <si>
    <t>='Tab 10_Brondata'!L46</t>
  </si>
  <si>
    <t>='Tab 10_Brondata'!L47</t>
  </si>
  <si>
    <t>='Tab 10_Brondata'!L48</t>
  </si>
  <si>
    <t>='Tab 10_Brondata'!M40</t>
  </si>
  <si>
    <t>='Tab 10_Brondata'!M41</t>
  </si>
  <si>
    <t>='Tab 10_Brondata'!M42</t>
  </si>
  <si>
    <t>='Tab 10_Brondata'!M45</t>
  </si>
  <si>
    <t>='Tab 10_Brondata'!M46</t>
  </si>
  <si>
    <t>='Tab 10_Brondata'!M47</t>
  </si>
  <si>
    <t>='Tab 10_Brondata'!M48</t>
  </si>
  <si>
    <t>='Tab 10_Brondata'!N40</t>
  </si>
  <si>
    <t>='Tab 10_Brondata'!N41</t>
  </si>
  <si>
    <t>='Tab 10_Brondata'!N42</t>
  </si>
  <si>
    <t>='Tab 10_Brondata'!N45</t>
  </si>
  <si>
    <t>='Tab 10_Brondata'!N46</t>
  </si>
  <si>
    <t>='Tab 10_Brondata'!N47</t>
  </si>
  <si>
    <t>='Tab 10_Brondata'!N48</t>
  </si>
  <si>
    <t>='Tab 10_Brondata'!S40</t>
  </si>
  <si>
    <t>='Tab 10_Brondata'!S41</t>
  </si>
  <si>
    <t>='Tab 10_Brondata'!S42</t>
  </si>
  <si>
    <t>='Tab 10_Brondata'!S45</t>
  </si>
  <si>
    <t>='Tab 10_Brondata'!S46</t>
  </si>
  <si>
    <t>='Tab 10_Brondata'!S47</t>
  </si>
  <si>
    <t>='Tab 10_Brondata'!S51</t>
  </si>
  <si>
    <t>='Tab 10_Brondata'!S52</t>
  </si>
  <si>
    <t>='Tab 10_Brondata'!S53</t>
  </si>
  <si>
    <t>='Tab 10_Brondata'!S54</t>
  </si>
  <si>
    <t>='Tab 10_Brondata'!S56</t>
  </si>
  <si>
    <t>='Tab 10_Brondata'!S57</t>
  </si>
  <si>
    <t>='Tab 10_Brondata'!S58</t>
  </si>
  <si>
    <t>='Tab 10_Brondata'!S59</t>
  </si>
  <si>
    <r>
      <rPr>
        <i/>
        <sz val="10"/>
        <rFont val="Arial"/>
        <family val="2"/>
      </rPr>
      <t xml:space="preserve">Opmerking TenneT: </t>
    </r>
    <r>
      <rPr>
        <sz val="10"/>
        <rFont val="Arial"/>
        <family val="2"/>
      </rPr>
      <t>Bedrijfsvertrouwelijk</t>
    </r>
  </si>
  <si>
    <t>Ja</t>
  </si>
  <si>
    <t>ACM/UIT/563796</t>
  </si>
  <si>
    <t>=P72*(1+(Q$20-$H$30/100))</t>
  </si>
  <si>
    <t>=P73*(1+(Q$20-$H$30/100))</t>
  </si>
  <si>
    <t>=P74*(1+(Q$20-$H$30/100))</t>
  </si>
  <si>
    <t>=P67*(1+(Q$20-$H$30/100))</t>
  </si>
  <si>
    <t>=P68*(1+(Q$20-$H$30/100))</t>
  </si>
  <si>
    <t>=P69*(1+(Q$20-$H$30/100))</t>
  </si>
  <si>
    <t>=Q67*(1+(R$20-$H$30/100))</t>
  </si>
  <si>
    <t>=Q68*(1+(R$20-$H$30/100))</t>
  </si>
  <si>
    <t>=Q69*(1+(R$20-$H$30/100))</t>
  </si>
  <si>
    <t>=Q72*(1+(R$20-$H$30/100))</t>
  </si>
  <si>
    <t>=Q73*(1+(R$20-$H$30/100))</t>
  </si>
  <si>
    <t>=Q74*(1+(R$20-$H$30/100))</t>
  </si>
  <si>
    <t>=R67*(1+(S$20-$H$30/100))</t>
  </si>
  <si>
    <t>=R68*(1+(S$20-$H$30/100))</t>
  </si>
  <si>
    <t>=R69*(1+(S$20-$H$30/100))</t>
  </si>
  <si>
    <t>=R72*(1+(S$20-$H$30/100))</t>
  </si>
  <si>
    <t>=R73*(1+(S$20-$H$30/100))</t>
  </si>
  <si>
    <t>=R74*(1+(S$20-$H$30/100))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</si>
</sst>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0_-;_-* #,##0\-;_-* &quot;-&quot;??_-;_-@_-"/>
    <numFmt numFmtId="165" formatCode="0.0%"/>
    <numFmt numFmtId="166" formatCode="_ * #,##0_ ;_ * \-#,##0_ ;_ * &quot;-&quot;??_ ;_ @_ "/>
    <numFmt numFmtId="167" formatCode="#,##0.00_ ;\-#,##0.00\ "/>
    <numFmt numFmtId="168" formatCode="#,##0_ ;\-#,##0\ "/>
    <numFmt numFmtId="169" formatCode="_ * #,##0.000_ ;_ * \-#,##0.000_ ;_ * &quot;-&quot;_ ;_ @_ "/>
    <numFmt numFmtId="170" formatCode="#,##0.000"/>
  </numFmts>
  <fonts count="36">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name val="DTLArgoT"/>
    </font>
    <font>
      <sz val="10"/>
      <color indexed="8"/>
      <name val="Arial"/>
      <family val="2"/>
    </font>
    <font>
      <sz val="12"/>
      <name val="Times New Roman"/>
      <family val="1"/>
    </font>
    <font>
      <sz val="10"/>
      <color indexed="8"/>
      <name val="MS Sans Serif"/>
      <family val="2"/>
    </font>
    <font>
      <b/>
      <sz val="10"/>
      <color indexed="8"/>
      <name val="Arial"/>
      <family val="2"/>
    </font>
    <font>
      <sz val="11"/>
      <color indexed="8"/>
      <name val="Arial"/>
      <family val="2"/>
    </font>
    <font>
      <sz val="10"/>
      <color theme="0"/>
      <name val="Arial"/>
      <family val="2"/>
    </font>
    <font>
      <b/>
      <sz val="10"/>
      <color rgb="FFFFC000"/>
      <name val="Arial"/>
      <family val="2"/>
    </font>
    <font>
      <sz val="8"/>
      <color indexed="81"/>
      <name val="Tahoma"/>
      <family val="2"/>
    </font>
    <font>
      <u/>
      <sz val="11"/>
      <color theme="10"/>
      <name val="Calibri"/>
      <family val="2"/>
      <scheme val="minor"/>
    </font>
    <font>
      <u/>
      <sz val="10"/>
      <color theme="10"/>
      <name val="Arial"/>
      <family val="2"/>
    </font>
    <font>
      <b/>
      <sz val="15"/>
      <color theme="3"/>
      <name val="Arial"/>
      <family val="2"/>
    </font>
    <font>
      <b/>
      <sz val="13"/>
      <color theme="3"/>
      <name val="Arial"/>
      <family val="2"/>
    </font>
    <font>
      <b/>
      <sz val="11"/>
      <color theme="3"/>
      <name val="Arial"/>
      <family val="2"/>
    </font>
    <font>
      <i/>
      <sz val="10"/>
      <color rgb="FF7F7F7F"/>
      <name val="Arial"/>
      <family val="2"/>
    </font>
    <font>
      <sz val="8"/>
      <name val="Calibri"/>
      <family val="2"/>
      <scheme val="minor"/>
    </font>
    <font>
      <sz val="9.5"/>
      <color theme="1"/>
      <name val="Arial"/>
      <family val="2"/>
    </font>
  </fonts>
  <fills count="2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
      <patternFill patternType="solid">
        <fgColor theme="1"/>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10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alignment vertical="top"/>
    </xf>
    <xf numFmtId="49" fontId="8" fillId="5" borderId="1">
      <alignment vertical="top"/>
    </xf>
    <xf numFmtId="49" fontId="5" fillId="20" borderId="1">
      <alignment vertical="top"/>
    </xf>
    <xf numFmtId="49" fontId="5" fillId="0" borderId="0">
      <alignment vertical="top"/>
    </xf>
    <xf numFmtId="43" fontId="4" fillId="13" borderId="0">
      <alignment vertical="top"/>
    </xf>
    <xf numFmtId="43" fontId="4" fillId="12" borderId="0">
      <alignment vertical="top"/>
    </xf>
    <xf numFmtId="43" fontId="4" fillId="10" borderId="0">
      <alignment vertical="top"/>
    </xf>
    <xf numFmtId="43" fontId="4" fillId="6" borderId="0">
      <alignment vertical="top"/>
    </xf>
    <xf numFmtId="43" fontId="4" fillId="8" borderId="0">
      <alignment vertical="top"/>
    </xf>
    <xf numFmtId="43" fontId="4" fillId="14" borderId="0">
      <alignment vertical="top"/>
    </xf>
    <xf numFmtId="49" fontId="10" fillId="0" borderId="0">
      <alignment vertical="top"/>
    </xf>
    <xf numFmtId="49" fontId="9" fillId="0" borderId="0">
      <alignment vertical="top"/>
    </xf>
    <xf numFmtId="0" fontId="15" fillId="16" borderId="3" applyNumberFormat="0" applyAlignment="0" applyProtection="0"/>
    <xf numFmtId="0" fontId="16" fillId="17" borderId="4" applyNumberFormat="0" applyAlignment="0" applyProtection="0"/>
    <xf numFmtId="0" fontId="17" fillId="17" borderId="3" applyNumberFormat="0" applyAlignment="0" applyProtection="0"/>
    <xf numFmtId="0" fontId="18" fillId="0" borderId="5" applyNumberFormat="0" applyFill="0" applyAlignment="0" applyProtection="0"/>
    <xf numFmtId="0" fontId="12" fillId="18" borderId="6" applyNumberFormat="0" applyAlignment="0" applyProtection="0"/>
    <xf numFmtId="0" fontId="14" fillId="19" borderId="7" applyNumberFormat="0" applyFont="0" applyAlignment="0" applyProtection="0"/>
    <xf numFmtId="0" fontId="19" fillId="0" borderId="0"/>
    <xf numFmtId="0" fontId="4" fillId="0" borderId="0"/>
    <xf numFmtId="0" fontId="21" fillId="0" borderId="0"/>
    <xf numFmtId="0" fontId="19" fillId="0" borderId="0"/>
    <xf numFmtId="0" fontId="22" fillId="0" borderId="0"/>
    <xf numFmtId="0" fontId="22" fillId="0" borderId="0"/>
    <xf numFmtId="0" fontId="4" fillId="0" borderId="0"/>
    <xf numFmtId="0" fontId="4" fillId="0" borderId="0"/>
    <xf numFmtId="9" fontId="14" fillId="0" borderId="0" applyFont="0" applyFill="0" applyBorder="0" applyAlignment="0" applyProtection="0"/>
    <xf numFmtId="0" fontId="4" fillId="0" borderId="0"/>
    <xf numFmtId="43" fontId="4" fillId="23" borderId="0">
      <alignment vertical="top"/>
    </xf>
    <xf numFmtId="43" fontId="14" fillId="0" borderId="0" applyFont="0" applyFill="0" applyBorder="0" applyAlignment="0" applyProtection="0"/>
    <xf numFmtId="0" fontId="28"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 fillId="3" borderId="0" applyNumberFormat="0" applyBorder="0" applyAlignment="0" applyProtection="0"/>
    <xf numFmtId="0" fontId="15" fillId="16" borderId="3" applyNumberFormat="0" applyAlignment="0" applyProtection="0"/>
    <xf numFmtId="0" fontId="16" fillId="17" borderId="4" applyNumberFormat="0" applyAlignment="0" applyProtection="0"/>
    <xf numFmtId="0" fontId="12" fillId="18" borderId="6" applyNumberFormat="0" applyAlignment="0" applyProtection="0"/>
    <xf numFmtId="0" fontId="14" fillId="19" borderId="7" applyNumberFormat="0" applyFont="0" applyAlignment="0" applyProtection="0"/>
    <xf numFmtId="0" fontId="30" fillId="0" borderId="27" applyNumberFormat="0" applyFill="0" applyAlignment="0" applyProtection="0"/>
    <xf numFmtId="0" fontId="31" fillId="0" borderId="28" applyNumberFormat="0" applyFill="0" applyAlignment="0" applyProtection="0"/>
    <xf numFmtId="0" fontId="32" fillId="0" borderId="2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00">
    <xf numFmtId="0" fontId="0" fillId="0" borderId="0" xfId="0"/>
    <xf numFmtId="0" fontId="5" fillId="0" borderId="0" xfId="4" applyFont="1">
      <alignment vertical="top"/>
    </xf>
    <xf numFmtId="0" fontId="4" fillId="0" borderId="0" xfId="4">
      <alignment vertical="top"/>
    </xf>
    <xf numFmtId="0" fontId="6" fillId="0" borderId="0" xfId="4" applyFont="1">
      <alignment vertical="top"/>
    </xf>
    <xf numFmtId="0" fontId="9" fillId="0" borderId="0" xfId="4" applyFont="1">
      <alignment vertical="top"/>
    </xf>
    <xf numFmtId="0" fontId="10" fillId="0" borderId="0" xfId="4" applyFont="1">
      <alignment vertical="top"/>
    </xf>
    <xf numFmtId="0" fontId="4" fillId="0" borderId="2" xfId="4" applyBorder="1">
      <alignment vertical="top"/>
    </xf>
    <xf numFmtId="49" fontId="5" fillId="20" borderId="1" xfId="6">
      <alignment vertical="top"/>
    </xf>
    <xf numFmtId="0" fontId="4" fillId="0" borderId="0" xfId="4" applyFill="1">
      <alignment vertical="top"/>
    </xf>
    <xf numFmtId="0" fontId="6" fillId="0" borderId="2" xfId="4" applyFont="1" applyBorder="1" applyAlignment="1">
      <alignment horizontal="left" vertical="top" wrapText="1"/>
    </xf>
    <xf numFmtId="0" fontId="4" fillId="0" borderId="2" xfId="4" applyBorder="1" applyAlignment="1">
      <alignment horizontal="left" vertical="top" wrapText="1"/>
    </xf>
    <xf numFmtId="0" fontId="8" fillId="5" borderId="1" xfId="4" applyFont="1" applyFill="1" applyBorder="1">
      <alignment vertical="top"/>
    </xf>
    <xf numFmtId="0" fontId="7" fillId="5" borderId="1" xfId="4" applyFont="1" applyFill="1" applyBorder="1">
      <alignment vertical="top"/>
    </xf>
    <xf numFmtId="0" fontId="10" fillId="0" borderId="0" xfId="4" applyFont="1" applyFill="1">
      <alignment vertical="top"/>
    </xf>
    <xf numFmtId="0" fontId="4" fillId="7" borderId="0" xfId="4" applyFill="1">
      <alignment vertical="top"/>
    </xf>
    <xf numFmtId="2" fontId="4" fillId="11" borderId="0" xfId="4" applyNumberFormat="1" applyFill="1">
      <alignment vertical="top"/>
    </xf>
    <xf numFmtId="1" fontId="4" fillId="0" borderId="0" xfId="4" applyNumberFormat="1" applyFill="1">
      <alignment vertical="top"/>
    </xf>
    <xf numFmtId="1" fontId="9" fillId="0" borderId="0" xfId="4" applyNumberFormat="1" applyFont="1" applyFill="1">
      <alignment vertical="top"/>
    </xf>
    <xf numFmtId="0" fontId="11" fillId="0" borderId="0" xfId="4" applyFont="1" applyFill="1">
      <alignment vertical="top"/>
    </xf>
    <xf numFmtId="49" fontId="6" fillId="20" borderId="2" xfId="6" applyFont="1" applyBorder="1">
      <alignment vertical="top"/>
    </xf>
    <xf numFmtId="0" fontId="8" fillId="5" borderId="1" xfId="5" applyNumberFormat="1">
      <alignment vertical="top"/>
    </xf>
    <xf numFmtId="0" fontId="13" fillId="0" borderId="0" xfId="4" applyFont="1">
      <alignment vertical="top"/>
    </xf>
    <xf numFmtId="0" fontId="4" fillId="15" borderId="0" xfId="4" applyFill="1">
      <alignment vertical="top"/>
    </xf>
    <xf numFmtId="0" fontId="4" fillId="0" borderId="0" xfId="4" applyFont="1">
      <alignment vertical="top"/>
    </xf>
    <xf numFmtId="49" fontId="4" fillId="20" borderId="2" xfId="6" applyFont="1" applyBorder="1">
      <alignment vertical="top"/>
    </xf>
    <xf numFmtId="0" fontId="4" fillId="0" borderId="2" xfId="4" applyFont="1" applyBorder="1">
      <alignment vertical="top"/>
    </xf>
    <xf numFmtId="49" fontId="10" fillId="0" borderId="0" xfId="14">
      <alignment vertical="top"/>
    </xf>
    <xf numFmtId="0" fontId="5" fillId="20" borderId="1" xfId="6" applyNumberFormat="1" applyAlignment="1">
      <alignment horizontal="left" vertical="top" wrapText="1"/>
    </xf>
    <xf numFmtId="3" fontId="4" fillId="0" borderId="0" xfId="4" applyNumberFormat="1" applyFill="1">
      <alignment vertical="top"/>
    </xf>
    <xf numFmtId="0" fontId="4" fillId="0" borderId="0" xfId="4" applyFont="1" applyFill="1">
      <alignment vertical="top"/>
    </xf>
    <xf numFmtId="3" fontId="4" fillId="7" borderId="0" xfId="4" applyNumberFormat="1" applyFill="1">
      <alignment vertical="top"/>
    </xf>
    <xf numFmtId="49" fontId="5" fillId="20" borderId="1" xfId="6" applyAlignment="1">
      <alignment vertical="top" wrapText="1"/>
    </xf>
    <xf numFmtId="0" fontId="4" fillId="0" borderId="0" xfId="4" applyAlignment="1">
      <alignment horizontal="left" vertical="top"/>
    </xf>
    <xf numFmtId="3" fontId="20" fillId="0" borderId="0" xfId="22" applyNumberFormat="1" applyFont="1" applyFill="1" applyBorder="1" applyAlignment="1" applyProtection="1">
      <protection locked="0"/>
    </xf>
    <xf numFmtId="3" fontId="4" fillId="0" borderId="0" xfId="4" applyNumberFormat="1">
      <alignment vertical="top"/>
    </xf>
    <xf numFmtId="49" fontId="10" fillId="20" borderId="1" xfId="6" applyFont="1">
      <alignment vertical="top"/>
    </xf>
    <xf numFmtId="166" fontId="4" fillId="14" borderId="0" xfId="13" applyNumberFormat="1">
      <alignment vertical="top"/>
    </xf>
    <xf numFmtId="166" fontId="4" fillId="12" borderId="0" xfId="9" applyNumberFormat="1">
      <alignment vertical="top"/>
    </xf>
    <xf numFmtId="166" fontId="4" fillId="13" borderId="0" xfId="8" applyNumberFormat="1">
      <alignment vertical="top"/>
    </xf>
    <xf numFmtId="0" fontId="4" fillId="0" borderId="0" xfId="23" applyFont="1"/>
    <xf numFmtId="43" fontId="4" fillId="6" borderId="0" xfId="11">
      <alignment vertical="top"/>
    </xf>
    <xf numFmtId="49" fontId="5" fillId="20" borderId="1" xfId="6" applyFont="1" applyAlignment="1">
      <alignment vertical="top" wrapText="1"/>
    </xf>
    <xf numFmtId="4" fontId="13" fillId="0" borderId="0" xfId="4" applyNumberFormat="1" applyFont="1">
      <alignment vertical="top"/>
    </xf>
    <xf numFmtId="49" fontId="4" fillId="0" borderId="0" xfId="4" applyNumberFormat="1">
      <alignment vertical="top"/>
    </xf>
    <xf numFmtId="166" fontId="4" fillId="0" borderId="0" xfId="13" applyNumberFormat="1" applyFill="1">
      <alignment vertical="top"/>
    </xf>
    <xf numFmtId="41" fontId="4" fillId="12" borderId="0" xfId="9" applyNumberFormat="1">
      <alignment vertical="top"/>
    </xf>
    <xf numFmtId="166" fontId="4" fillId="0" borderId="0" xfId="4" applyNumberFormat="1">
      <alignment vertical="top"/>
    </xf>
    <xf numFmtId="3" fontId="4" fillId="0" borderId="0" xfId="24" applyNumberFormat="1" applyFont="1" applyFill="1" applyBorder="1" applyAlignment="1" applyProtection="1">
      <alignment vertical="center"/>
    </xf>
    <xf numFmtId="3" fontId="5" fillId="0" borderId="0" xfId="24" applyNumberFormat="1" applyFont="1" applyFill="1" applyBorder="1" applyAlignment="1" applyProtection="1">
      <alignment vertical="center"/>
    </xf>
    <xf numFmtId="39" fontId="4" fillId="0" borderId="0" xfId="25" applyNumberFormat="1" applyFont="1" applyFill="1" applyBorder="1" applyAlignment="1" applyProtection="1">
      <alignment vertical="center"/>
    </xf>
    <xf numFmtId="3" fontId="4" fillId="0" borderId="0" xfId="24" applyNumberFormat="1" applyFont="1" applyBorder="1" applyAlignment="1" applyProtection="1">
      <alignment vertical="center"/>
    </xf>
    <xf numFmtId="0" fontId="5" fillId="0" borderId="0" xfId="26" applyFont="1" applyBorder="1"/>
    <xf numFmtId="0" fontId="4" fillId="0" borderId="0" xfId="26" applyFont="1" applyFill="1" applyBorder="1"/>
    <xf numFmtId="0" fontId="20" fillId="0" borderId="0" xfId="26" applyFont="1" applyFill="1" applyBorder="1"/>
    <xf numFmtId="0" fontId="4" fillId="0" borderId="0" xfId="27" applyFont="1" applyFill="1" applyBorder="1"/>
    <xf numFmtId="4" fontId="4" fillId="0" borderId="0" xfId="26" applyNumberFormat="1" applyFont="1" applyFill="1" applyBorder="1"/>
    <xf numFmtId="0" fontId="4" fillId="0" borderId="0" xfId="26" quotePrefix="1" applyFont="1" applyFill="1" applyBorder="1"/>
    <xf numFmtId="3" fontId="4" fillId="0" borderId="0" xfId="26" applyNumberFormat="1" applyFont="1" applyFill="1" applyBorder="1"/>
    <xf numFmtId="0" fontId="4" fillId="0" borderId="0" xfId="27" applyFont="1" applyBorder="1"/>
    <xf numFmtId="165" fontId="4" fillId="12" borderId="0" xfId="9" applyNumberFormat="1">
      <alignment vertical="top"/>
    </xf>
    <xf numFmtId="164" fontId="4" fillId="0" borderId="0" xfId="26" applyNumberFormat="1" applyFont="1" applyFill="1" applyBorder="1"/>
    <xf numFmtId="0" fontId="4" fillId="0" borderId="0" xfId="4" applyBorder="1">
      <alignment vertical="top"/>
    </xf>
    <xf numFmtId="39" fontId="4" fillId="0" borderId="0" xfId="28" applyNumberFormat="1" applyFont="1" applyFill="1" applyBorder="1" applyAlignment="1" applyProtection="1">
      <alignment vertical="center"/>
    </xf>
    <xf numFmtId="0" fontId="4" fillId="0" borderId="0" xfId="26" applyFont="1" applyBorder="1"/>
    <xf numFmtId="3" fontId="4" fillId="0" borderId="0" xfId="26" applyNumberFormat="1" applyFont="1" applyBorder="1"/>
    <xf numFmtId="167" fontId="4" fillId="12" borderId="0" xfId="9" applyNumberFormat="1">
      <alignment vertical="top"/>
    </xf>
    <xf numFmtId="41" fontId="4" fillId="12" borderId="0" xfId="9" applyNumberFormat="1" applyFill="1">
      <alignment vertical="top"/>
    </xf>
    <xf numFmtId="0" fontId="4" fillId="0" borderId="0" xfId="29" applyFont="1" applyFill="1" applyBorder="1"/>
    <xf numFmtId="3" fontId="4" fillId="0" borderId="0" xfId="24" applyNumberFormat="1" applyFont="1" applyBorder="1" applyAlignment="1" applyProtection="1">
      <alignment horizontal="center" vertical="center"/>
    </xf>
    <xf numFmtId="0" fontId="5" fillId="20" borderId="1" xfId="4" applyFont="1" applyFill="1" applyBorder="1">
      <alignment vertical="top"/>
    </xf>
    <xf numFmtId="0" fontId="4" fillId="20" borderId="1" xfId="4" applyFill="1" applyBorder="1">
      <alignment vertical="top"/>
    </xf>
    <xf numFmtId="0" fontId="8" fillId="5" borderId="1" xfId="5" applyNumberFormat="1" applyFont="1">
      <alignment vertical="top"/>
    </xf>
    <xf numFmtId="0" fontId="5" fillId="20" borderId="1" xfId="6" applyNumberFormat="1" applyAlignment="1">
      <alignment horizontal="left" vertical="top"/>
    </xf>
    <xf numFmtId="166" fontId="4" fillId="13" borderId="0" xfId="4" applyNumberFormat="1" applyFill="1">
      <alignment vertical="top"/>
    </xf>
    <xf numFmtId="49" fontId="4" fillId="0" borderId="0" xfId="4" applyNumberFormat="1" applyAlignment="1">
      <alignment horizontal="left" vertical="top"/>
    </xf>
    <xf numFmtId="49" fontId="5" fillId="20" borderId="1" xfId="6" applyFont="1">
      <alignment vertical="top"/>
    </xf>
    <xf numFmtId="3" fontId="4" fillId="0" borderId="0" xfId="4" applyNumberFormat="1" applyFont="1" applyFill="1">
      <alignment vertical="top"/>
    </xf>
    <xf numFmtId="0" fontId="7" fillId="5" borderId="1" xfId="5" applyNumberFormat="1" applyFont="1">
      <alignment vertical="top"/>
    </xf>
    <xf numFmtId="0" fontId="5" fillId="0" borderId="0" xfId="4" applyFont="1">
      <alignment vertical="top"/>
    </xf>
    <xf numFmtId="0" fontId="4" fillId="0" borderId="0" xfId="4">
      <alignment vertical="top"/>
    </xf>
    <xf numFmtId="0" fontId="4" fillId="0" borderId="0" xfId="4" applyFont="1">
      <alignment vertical="top"/>
    </xf>
    <xf numFmtId="0" fontId="13" fillId="0" borderId="0" xfId="4" applyFont="1">
      <alignment vertical="top"/>
    </xf>
    <xf numFmtId="0" fontId="9" fillId="0" borderId="0" xfId="4" applyFont="1">
      <alignment vertical="top"/>
    </xf>
    <xf numFmtId="49" fontId="5" fillId="20" borderId="1" xfId="6">
      <alignment vertical="top"/>
    </xf>
    <xf numFmtId="49" fontId="5" fillId="20" borderId="1" xfId="6" applyFont="1" applyAlignment="1">
      <alignment vertical="top" wrapText="1"/>
    </xf>
    <xf numFmtId="39" fontId="4" fillId="0" borderId="0" xfId="25" applyNumberFormat="1" applyFont="1" applyFill="1" applyBorder="1" applyAlignment="1" applyProtection="1">
      <alignment vertical="center"/>
    </xf>
    <xf numFmtId="166" fontId="4" fillId="7" borderId="0" xfId="4" applyNumberFormat="1" applyFill="1">
      <alignment vertical="top"/>
    </xf>
    <xf numFmtId="165" fontId="4" fillId="0" borderId="0" xfId="30" applyNumberFormat="1" applyFont="1" applyFill="1" applyAlignment="1">
      <alignment vertical="top"/>
    </xf>
    <xf numFmtId="165" fontId="4" fillId="14" borderId="0" xfId="13" applyNumberFormat="1">
      <alignment vertical="top"/>
    </xf>
    <xf numFmtId="3" fontId="4" fillId="0" borderId="0" xfId="24" applyNumberFormat="1" applyFont="1" applyFill="1" applyBorder="1" applyAlignment="1" applyProtection="1">
      <alignment vertical="center"/>
    </xf>
    <xf numFmtId="43" fontId="4" fillId="0" borderId="0" xfId="4" applyNumberFormat="1" applyFill="1">
      <alignment vertical="top"/>
    </xf>
    <xf numFmtId="0" fontId="5" fillId="0" borderId="0" xfId="4" applyFont="1" applyFill="1">
      <alignment vertical="top"/>
    </xf>
    <xf numFmtId="43" fontId="4" fillId="14" borderId="0" xfId="13">
      <alignment vertical="top"/>
    </xf>
    <xf numFmtId="43" fontId="4" fillId="12" borderId="0" xfId="9">
      <alignment vertical="top"/>
    </xf>
    <xf numFmtId="43" fontId="4" fillId="12" borderId="0" xfId="9" applyAlignment="1">
      <alignment horizontal="left" vertical="top"/>
    </xf>
    <xf numFmtId="43" fontId="4" fillId="13" borderId="0" xfId="8" applyNumberFormat="1">
      <alignment vertical="top"/>
    </xf>
    <xf numFmtId="43" fontId="4" fillId="0" borderId="0" xfId="9" applyFill="1">
      <alignment vertical="top"/>
    </xf>
    <xf numFmtId="166" fontId="4" fillId="0" borderId="0" xfId="9" applyNumberFormat="1" applyFill="1">
      <alignment vertical="top"/>
    </xf>
    <xf numFmtId="9" fontId="4" fillId="14" borderId="0" xfId="13" applyNumberFormat="1">
      <alignment vertical="top"/>
    </xf>
    <xf numFmtId="10" fontId="4" fillId="14" borderId="0" xfId="13" applyNumberFormat="1">
      <alignment vertical="top"/>
    </xf>
    <xf numFmtId="43" fontId="4" fillId="0" borderId="0" xfId="13" applyFill="1">
      <alignment vertical="top"/>
    </xf>
    <xf numFmtId="165" fontId="4" fillId="6" borderId="0" xfId="11" applyNumberFormat="1">
      <alignment vertical="top"/>
    </xf>
    <xf numFmtId="9" fontId="4" fillId="6" borderId="0" xfId="11" applyNumberFormat="1">
      <alignment vertical="top"/>
    </xf>
    <xf numFmtId="0" fontId="4" fillId="0" borderId="0" xfId="31" applyFont="1" applyFill="1"/>
    <xf numFmtId="0" fontId="23" fillId="21" borderId="8" xfId="0" applyFont="1" applyFill="1" applyBorder="1" applyAlignment="1">
      <alignment vertical="top"/>
    </xf>
    <xf numFmtId="0" fontId="23" fillId="21" borderId="9" xfId="0" applyFont="1" applyFill="1" applyBorder="1" applyAlignment="1">
      <alignment vertical="top"/>
    </xf>
    <xf numFmtId="0" fontId="24" fillId="22" borderId="10" xfId="0" applyFont="1" applyFill="1" applyBorder="1" applyAlignment="1">
      <alignment vertical="top"/>
    </xf>
    <xf numFmtId="0" fontId="24" fillId="22" borderId="11" xfId="0" applyFont="1" applyFill="1" applyBorder="1" applyAlignment="1">
      <alignment vertical="top"/>
    </xf>
    <xf numFmtId="0" fontId="24" fillId="22" borderId="0" xfId="0" applyFont="1" applyFill="1" applyBorder="1" applyAlignment="1">
      <alignment vertical="top"/>
    </xf>
    <xf numFmtId="0" fontId="4" fillId="0" borderId="12" xfId="31" applyFont="1" applyFill="1" applyBorder="1"/>
    <xf numFmtId="0" fontId="24" fillId="22" borderId="13" xfId="0" applyFont="1" applyFill="1" applyBorder="1" applyAlignment="1">
      <alignment vertical="top"/>
    </xf>
    <xf numFmtId="0" fontId="20" fillId="22" borderId="14" xfId="0" applyFont="1" applyFill="1" applyBorder="1" applyAlignment="1">
      <alignment vertical="top"/>
    </xf>
    <xf numFmtId="0" fontId="20" fillId="22" borderId="15" xfId="0" applyFont="1" applyFill="1" applyBorder="1" applyAlignment="1">
      <alignment vertical="top"/>
    </xf>
    <xf numFmtId="0" fontId="20" fillId="22" borderId="16" xfId="0" applyFont="1" applyFill="1" applyBorder="1" applyAlignment="1">
      <alignment vertical="top"/>
    </xf>
    <xf numFmtId="0" fontId="20" fillId="22" borderId="0" xfId="0" applyFont="1" applyFill="1" applyBorder="1" applyAlignment="1">
      <alignment vertical="top"/>
    </xf>
    <xf numFmtId="0" fontId="20" fillId="22" borderId="17" xfId="0" applyFont="1" applyFill="1" applyBorder="1" applyAlignment="1">
      <alignment vertical="top"/>
    </xf>
    <xf numFmtId="0" fontId="20" fillId="6" borderId="0" xfId="0" applyFont="1" applyFill="1" applyBorder="1" applyAlignment="1">
      <alignment horizontal="center" vertical="top"/>
    </xf>
    <xf numFmtId="0" fontId="20" fillId="22" borderId="18" xfId="0" applyFont="1" applyFill="1" applyBorder="1" applyAlignment="1">
      <alignment vertical="top"/>
    </xf>
    <xf numFmtId="0" fontId="20" fillId="22" borderId="19" xfId="0" applyFont="1" applyFill="1" applyBorder="1" applyAlignment="1">
      <alignment vertical="top"/>
    </xf>
    <xf numFmtId="0" fontId="20" fillId="22" borderId="20" xfId="0" applyFont="1" applyFill="1" applyBorder="1" applyAlignment="1">
      <alignment vertical="top"/>
    </xf>
    <xf numFmtId="0" fontId="20" fillId="22" borderId="21" xfId="0" applyFont="1" applyFill="1" applyBorder="1" applyAlignment="1">
      <alignment vertical="top"/>
    </xf>
    <xf numFmtId="0" fontId="10" fillId="0" borderId="0" xfId="31" applyFont="1" applyFill="1"/>
    <xf numFmtId="0" fontId="20" fillId="12" borderId="0" xfId="0" applyFont="1" applyFill="1" applyBorder="1" applyAlignment="1">
      <alignment horizontal="center" vertical="top"/>
    </xf>
    <xf numFmtId="0" fontId="4" fillId="0" borderId="0" xfId="31" applyFont="1" applyFill="1" applyBorder="1"/>
    <xf numFmtId="0" fontId="20" fillId="22" borderId="0" xfId="0" applyFont="1" applyFill="1" applyAlignment="1">
      <alignment vertical="top"/>
    </xf>
    <xf numFmtId="0" fontId="20" fillId="13" borderId="0" xfId="0" applyFont="1" applyFill="1" applyBorder="1" applyAlignment="1">
      <alignment horizontal="center" vertical="top"/>
    </xf>
    <xf numFmtId="0" fontId="4" fillId="0" borderId="22" xfId="4" applyBorder="1">
      <alignment vertical="top"/>
    </xf>
    <xf numFmtId="0" fontId="4" fillId="0" borderId="23" xfId="4" applyBorder="1">
      <alignment vertical="top"/>
    </xf>
    <xf numFmtId="0" fontId="23" fillId="21" borderId="24" xfId="0" applyFont="1" applyFill="1" applyBorder="1" applyAlignment="1">
      <alignment vertical="top"/>
    </xf>
    <xf numFmtId="0" fontId="4" fillId="0" borderId="12" xfId="4" applyBorder="1">
      <alignment vertical="top"/>
    </xf>
    <xf numFmtId="0" fontId="4" fillId="0" borderId="25" xfId="4" applyBorder="1">
      <alignment vertical="top"/>
    </xf>
    <xf numFmtId="0" fontId="4" fillId="0" borderId="13" xfId="4" applyBorder="1">
      <alignment vertical="top"/>
    </xf>
    <xf numFmtId="0" fontId="4" fillId="0" borderId="2" xfId="4" applyFont="1" applyBorder="1" applyAlignment="1">
      <alignment horizontal="left" vertical="top" wrapText="1"/>
    </xf>
    <xf numFmtId="0" fontId="12" fillId="5" borderId="1" xfId="4" applyFont="1" applyFill="1" applyBorder="1">
      <alignment vertical="top"/>
    </xf>
    <xf numFmtId="41" fontId="4" fillId="6" borderId="0" xfId="11" applyNumberFormat="1">
      <alignment vertical="top"/>
    </xf>
    <xf numFmtId="41" fontId="4" fillId="14" borderId="0" xfId="13" applyNumberFormat="1">
      <alignment vertical="top"/>
    </xf>
    <xf numFmtId="43" fontId="4" fillId="10" borderId="0" xfId="10">
      <alignment vertical="top"/>
    </xf>
    <xf numFmtId="10" fontId="4" fillId="6" borderId="0" xfId="11" applyNumberFormat="1">
      <alignment vertical="top"/>
    </xf>
    <xf numFmtId="10" fontId="4" fillId="12" borderId="0" xfId="9" applyNumberFormat="1">
      <alignment vertical="top"/>
    </xf>
    <xf numFmtId="10" fontId="4" fillId="7" borderId="0" xfId="4" applyNumberFormat="1" applyFill="1">
      <alignment vertical="top"/>
    </xf>
    <xf numFmtId="0" fontId="4" fillId="0" borderId="0" xfId="4">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0" fontId="8" fillId="5" borderId="1" xfId="5" applyNumberFormat="1" applyFont="1">
      <alignment vertical="top"/>
    </xf>
    <xf numFmtId="0" fontId="4" fillId="0" borderId="0" xfId="4">
      <alignment vertical="top"/>
    </xf>
    <xf numFmtId="0" fontId="13" fillId="0" borderId="0" xfId="4" applyFont="1">
      <alignment vertical="top"/>
    </xf>
    <xf numFmtId="49" fontId="4" fillId="0" borderId="0" xfId="14" applyFont="1">
      <alignment vertical="top"/>
    </xf>
    <xf numFmtId="0" fontId="4" fillId="0" borderId="0" xfId="4">
      <alignment vertical="top"/>
    </xf>
    <xf numFmtId="0" fontId="4" fillId="0" borderId="2" xfId="4" applyFont="1" applyBorder="1" applyAlignment="1">
      <alignment horizontal="left" vertical="top" wrapText="1"/>
    </xf>
    <xf numFmtId="0" fontId="4" fillId="0" borderId="0" xfId="4">
      <alignment vertical="top"/>
    </xf>
    <xf numFmtId="0" fontId="4" fillId="22" borderId="0" xfId="26" applyFont="1" applyFill="1" applyBorder="1"/>
    <xf numFmtId="0" fontId="4" fillId="22" borderId="0" xfId="4" applyFill="1">
      <alignment vertical="top"/>
    </xf>
    <xf numFmtId="41" fontId="4" fillId="0" borderId="0" xfId="4" applyNumberFormat="1">
      <alignment vertical="top"/>
    </xf>
    <xf numFmtId="49" fontId="13" fillId="0" borderId="0" xfId="14" applyFont="1">
      <alignment vertical="top"/>
    </xf>
    <xf numFmtId="167" fontId="4" fillId="10" borderId="0" xfId="9" applyNumberFormat="1" applyFill="1">
      <alignment vertical="top"/>
    </xf>
    <xf numFmtId="43" fontId="4" fillId="10" borderId="0" xfId="10" applyFill="1">
      <alignment vertical="top"/>
    </xf>
    <xf numFmtId="49" fontId="4" fillId="0" borderId="0" xfId="14" applyFont="1" applyFill="1">
      <alignment vertical="top"/>
    </xf>
    <xf numFmtId="166" fontId="4" fillId="14" borderId="0" xfId="13" applyNumberFormat="1" applyFill="1">
      <alignment vertical="top"/>
    </xf>
    <xf numFmtId="49" fontId="4" fillId="20" borderId="1" xfId="6" applyFont="1">
      <alignment vertical="top"/>
    </xf>
    <xf numFmtId="0" fontId="25" fillId="0" borderId="0" xfId="4" applyFont="1" applyFill="1">
      <alignment vertical="top"/>
    </xf>
    <xf numFmtId="0" fontId="4" fillId="22" borderId="2" xfId="4" applyFont="1" applyFill="1" applyBorder="1">
      <alignment vertical="top"/>
    </xf>
    <xf numFmtId="4" fontId="4" fillId="0" borderId="0" xfId="4" applyNumberFormat="1" applyFont="1">
      <alignment vertical="top"/>
    </xf>
    <xf numFmtId="0" fontId="4" fillId="0" borderId="0" xfId="4" applyFont="1">
      <alignment vertical="top"/>
    </xf>
    <xf numFmtId="165" fontId="4" fillId="6" borderId="0" xfId="11" applyNumberFormat="1">
      <alignment vertical="top"/>
    </xf>
    <xf numFmtId="10" fontId="4" fillId="6" borderId="0" xfId="11" applyNumberFormat="1">
      <alignment vertical="top"/>
    </xf>
    <xf numFmtId="166" fontId="4" fillId="6" borderId="0" xfId="11" applyNumberFormat="1" applyFont="1">
      <alignment vertical="top"/>
    </xf>
    <xf numFmtId="0" fontId="5" fillId="0" borderId="0" xfId="4" applyFont="1">
      <alignment vertical="top"/>
    </xf>
    <xf numFmtId="0" fontId="4" fillId="0" borderId="0" xfId="4">
      <alignment vertical="top"/>
    </xf>
    <xf numFmtId="0" fontId="4" fillId="0" borderId="0" xfId="4" applyFont="1">
      <alignment vertical="top"/>
    </xf>
    <xf numFmtId="49" fontId="5" fillId="20" borderId="1" xfId="6">
      <alignment vertical="top"/>
    </xf>
    <xf numFmtId="0" fontId="4" fillId="0" borderId="0" xfId="4" applyFill="1">
      <alignment vertical="top"/>
    </xf>
    <xf numFmtId="0" fontId="4" fillId="0" borderId="0" xfId="4" applyFont="1" applyFill="1">
      <alignment vertical="top"/>
    </xf>
    <xf numFmtId="3" fontId="4" fillId="0" borderId="0" xfId="4" applyNumberFormat="1">
      <alignment vertical="top"/>
    </xf>
    <xf numFmtId="166" fontId="4" fillId="14" borderId="0" xfId="13" applyNumberFormat="1">
      <alignment vertical="top"/>
    </xf>
    <xf numFmtId="49" fontId="4" fillId="0" borderId="0" xfId="14" applyFont="1">
      <alignment vertical="top"/>
    </xf>
    <xf numFmtId="0" fontId="4" fillId="0" borderId="0" xfId="4">
      <alignment vertical="top"/>
    </xf>
    <xf numFmtId="0" fontId="4" fillId="0" borderId="0" xfId="4" applyFill="1">
      <alignment vertical="top"/>
    </xf>
    <xf numFmtId="41" fontId="4" fillId="0" borderId="0" xfId="4" applyNumberFormat="1" applyFill="1">
      <alignment vertical="top"/>
    </xf>
    <xf numFmtId="49" fontId="5" fillId="20" borderId="1" xfId="6" applyFont="1">
      <alignment vertical="top"/>
    </xf>
    <xf numFmtId="43" fontId="4" fillId="14" borderId="0" xfId="13" applyNumberFormat="1" applyFill="1">
      <alignment vertical="top"/>
    </xf>
    <xf numFmtId="43" fontId="4" fillId="14" borderId="0" xfId="13" applyNumberFormat="1">
      <alignment vertical="top"/>
    </xf>
    <xf numFmtId="0" fontId="4" fillId="0" borderId="0" xfId="4">
      <alignment vertical="top"/>
    </xf>
    <xf numFmtId="0" fontId="4" fillId="0" borderId="0" xfId="4">
      <alignment vertical="top"/>
    </xf>
    <xf numFmtId="0" fontId="4" fillId="0" borderId="0" xfId="4">
      <alignment vertical="top"/>
    </xf>
    <xf numFmtId="0" fontId="26" fillId="0" borderId="0" xfId="4" applyFont="1">
      <alignment vertical="top"/>
    </xf>
    <xf numFmtId="0" fontId="4" fillId="0" borderId="0" xfId="4">
      <alignment vertical="top"/>
    </xf>
    <xf numFmtId="0" fontId="4" fillId="0" borderId="0" xfId="4" applyFont="1">
      <alignment vertical="top"/>
    </xf>
    <xf numFmtId="0" fontId="10" fillId="0" borderId="0" xfId="4" applyFont="1">
      <alignment vertical="top"/>
    </xf>
    <xf numFmtId="43" fontId="4" fillId="13" borderId="0" xfId="8" applyFont="1">
      <alignment vertical="top"/>
    </xf>
    <xf numFmtId="43" fontId="4" fillId="13" borderId="0" xfId="8" applyNumberFormat="1" applyFont="1">
      <alignment vertical="top"/>
    </xf>
    <xf numFmtId="41" fontId="4" fillId="13" borderId="0" xfId="8" applyNumberFormat="1" applyFont="1">
      <alignment vertical="top"/>
    </xf>
    <xf numFmtId="0" fontId="4" fillId="0" borderId="0" xfId="4">
      <alignment vertical="top"/>
    </xf>
    <xf numFmtId="49" fontId="5" fillId="0" borderId="0" xfId="7">
      <alignment vertical="top"/>
    </xf>
    <xf numFmtId="41" fontId="4" fillId="13" borderId="0" xfId="8" applyNumberFormat="1">
      <alignment vertical="top"/>
    </xf>
    <xf numFmtId="0" fontId="4" fillId="0" borderId="0" xfId="4">
      <alignment vertical="top"/>
    </xf>
    <xf numFmtId="165" fontId="4" fillId="0" borderId="0" xfId="13" applyNumberFormat="1" applyFill="1">
      <alignment vertical="top"/>
    </xf>
    <xf numFmtId="41" fontId="4" fillId="0" borderId="0" xfId="8" applyNumberFormat="1" applyFill="1">
      <alignment vertical="top"/>
    </xf>
    <xf numFmtId="0" fontId="4" fillId="0" borderId="0" xfId="4">
      <alignment vertical="top"/>
    </xf>
    <xf numFmtId="0" fontId="10" fillId="5" borderId="1" xfId="5" applyNumberFormat="1" applyFont="1">
      <alignment vertical="top"/>
    </xf>
    <xf numFmtId="0" fontId="4" fillId="0" borderId="0" xfId="4">
      <alignment vertical="top"/>
    </xf>
    <xf numFmtId="0" fontId="4" fillId="0" borderId="0" xfId="4">
      <alignment vertical="top"/>
    </xf>
    <xf numFmtId="43" fontId="4" fillId="13" borderId="0" xfId="8">
      <alignment vertical="top"/>
    </xf>
    <xf numFmtId="49" fontId="9" fillId="0" borderId="0" xfId="15">
      <alignment vertical="top"/>
    </xf>
    <xf numFmtId="43" fontId="4" fillId="8" borderId="0" xfId="12">
      <alignment vertical="top"/>
    </xf>
    <xf numFmtId="43" fontId="4" fillId="23" borderId="0" xfId="32">
      <alignment vertical="top"/>
    </xf>
    <xf numFmtId="43" fontId="4" fillId="6" borderId="2" xfId="11" applyBorder="1">
      <alignment vertical="top"/>
    </xf>
    <xf numFmtId="43" fontId="11" fillId="0" borderId="0" xfId="33" applyFont="1" applyFill="1" applyAlignment="1">
      <alignment vertical="top"/>
    </xf>
    <xf numFmtId="0" fontId="4" fillId="9" borderId="0" xfId="4" applyFont="1" applyFill="1">
      <alignment vertical="top"/>
    </xf>
    <xf numFmtId="0" fontId="4" fillId="12" borderId="0" xfId="4" applyFont="1" applyFill="1">
      <alignment vertical="top"/>
    </xf>
    <xf numFmtId="49" fontId="4" fillId="20" borderId="0" xfId="6" applyFont="1" applyBorder="1">
      <alignment vertical="top"/>
    </xf>
    <xf numFmtId="0" fontId="13" fillId="0" borderId="0" xfId="4" applyFont="1" applyFill="1">
      <alignment vertical="top"/>
    </xf>
    <xf numFmtId="43" fontId="4" fillId="23" borderId="0" xfId="32" applyAlignment="1">
      <alignment horizontal="center" vertical="top"/>
    </xf>
    <xf numFmtId="0" fontId="4" fillId="0" borderId="0" xfId="4">
      <alignment vertical="top"/>
    </xf>
    <xf numFmtId="168" fontId="4" fillId="6" borderId="0" xfId="11" applyNumberFormat="1" applyFont="1">
      <alignment vertical="top"/>
    </xf>
    <xf numFmtId="0" fontId="29" fillId="0" borderId="2" xfId="34" applyFont="1" applyBorder="1" applyAlignment="1">
      <alignment vertical="top"/>
    </xf>
    <xf numFmtId="0" fontId="4" fillId="0" borderId="0" xfId="4">
      <alignment vertical="top"/>
    </xf>
    <xf numFmtId="166" fontId="4" fillId="0" borderId="0" xfId="4" applyNumberFormat="1" applyFill="1">
      <alignment vertical="top"/>
    </xf>
    <xf numFmtId="166" fontId="4" fillId="0" borderId="0" xfId="8" applyNumberFormat="1" applyFill="1">
      <alignment vertical="top"/>
    </xf>
    <xf numFmtId="166" fontId="4" fillId="0" borderId="0" xfId="11" applyNumberFormat="1" applyFont="1" applyFill="1">
      <alignment vertical="top"/>
    </xf>
    <xf numFmtId="166" fontId="4" fillId="14" borderId="0" xfId="13" applyNumberFormat="1" applyFont="1">
      <alignment vertical="top"/>
    </xf>
    <xf numFmtId="43" fontId="4" fillId="6" borderId="0" xfId="11" applyFont="1">
      <alignment vertical="top"/>
    </xf>
    <xf numFmtId="3" fontId="4" fillId="0" borderId="0" xfId="22" applyNumberFormat="1" applyFont="1" applyFill="1" applyBorder="1" applyAlignment="1" applyProtection="1">
      <protection locked="0"/>
    </xf>
    <xf numFmtId="0" fontId="4" fillId="0" borderId="0" xfId="4">
      <alignment vertical="top"/>
    </xf>
    <xf numFmtId="0" fontId="4" fillId="0" borderId="0" xfId="4">
      <alignment vertical="top"/>
    </xf>
    <xf numFmtId="0" fontId="4" fillId="0" borderId="0" xfId="4">
      <alignment vertical="top"/>
    </xf>
    <xf numFmtId="0" fontId="4" fillId="0" borderId="0" xfId="4">
      <alignment vertical="top"/>
    </xf>
    <xf numFmtId="10" fontId="4" fillId="10" borderId="0" xfId="30" applyNumberFormat="1" applyFont="1" applyFill="1" applyAlignment="1">
      <alignment vertical="top"/>
    </xf>
    <xf numFmtId="0" fontId="4" fillId="0" borderId="0" xfId="4" applyAlignment="1">
      <alignment vertical="top" wrapText="1"/>
    </xf>
    <xf numFmtId="0" fontId="4" fillId="0" borderId="0" xfId="4">
      <alignment vertical="top"/>
    </xf>
    <xf numFmtId="0" fontId="4" fillId="0" borderId="0" xfId="4" applyFont="1" applyAlignment="1">
      <alignment vertical="top" wrapText="1"/>
    </xf>
    <xf numFmtId="0" fontId="4" fillId="0" borderId="0" xfId="4" applyAlignment="1">
      <alignment horizontal="left" vertical="top" wrapText="1"/>
    </xf>
    <xf numFmtId="41" fontId="4" fillId="0" borderId="0" xfId="9" applyNumberFormat="1" applyFill="1">
      <alignment vertical="top"/>
    </xf>
    <xf numFmtId="41" fontId="4" fillId="0" borderId="0" xfId="13" applyNumberFormat="1" applyFill="1">
      <alignment vertical="top"/>
    </xf>
    <xf numFmtId="0" fontId="4" fillId="0" borderId="26" xfId="4" applyBorder="1" applyAlignment="1">
      <alignment vertical="top" wrapText="1"/>
    </xf>
    <xf numFmtId="0" fontId="9" fillId="0" borderId="0" xfId="4" applyFont="1" applyAlignment="1">
      <alignment vertical="top" wrapText="1"/>
    </xf>
    <xf numFmtId="0" fontId="4" fillId="0" borderId="0" xfId="4">
      <alignment vertical="top"/>
    </xf>
    <xf numFmtId="0" fontId="4" fillId="0" borderId="0" xfId="4">
      <alignment vertical="top"/>
    </xf>
    <xf numFmtId="165" fontId="4" fillId="0" borderId="0" xfId="11" applyNumberFormat="1" applyFill="1">
      <alignment vertical="top"/>
    </xf>
    <xf numFmtId="0" fontId="4" fillId="0" borderId="0" xfId="4">
      <alignment vertical="top"/>
    </xf>
    <xf numFmtId="0" fontId="4" fillId="0" borderId="0" xfId="4" applyFont="1">
      <alignment vertical="top"/>
    </xf>
    <xf numFmtId="0" fontId="4" fillId="0" borderId="0" xfId="4" applyAlignment="1">
      <alignment vertical="top" wrapText="1"/>
    </xf>
    <xf numFmtId="0" fontId="4" fillId="0" borderId="0" xfId="4">
      <alignment vertical="top"/>
    </xf>
    <xf numFmtId="0" fontId="4" fillId="0" borderId="0" xfId="4" applyFont="1" applyAlignment="1">
      <alignment vertical="top" wrapText="1"/>
    </xf>
    <xf numFmtId="10" fontId="4" fillId="6" borderId="0" xfId="11" applyNumberFormat="1" applyFont="1">
      <alignment vertical="top"/>
    </xf>
    <xf numFmtId="0" fontId="4" fillId="0" borderId="0" xfId="26" applyFont="1"/>
    <xf numFmtId="169" fontId="4" fillId="12" borderId="0" xfId="9" applyNumberFormat="1">
      <alignment vertical="top"/>
    </xf>
    <xf numFmtId="170" fontId="4" fillId="14" borderId="0" xfId="13" applyNumberFormat="1">
      <alignment vertical="top"/>
    </xf>
    <xf numFmtId="0" fontId="4" fillId="0" borderId="0" xfId="4" applyNumberFormat="1" applyAlignment="1">
      <alignment horizontal="left" vertical="top"/>
    </xf>
    <xf numFmtId="39" fontId="4" fillId="0" borderId="0" xfId="22" applyNumberFormat="1" applyFont="1" applyAlignment="1">
      <alignment vertical="center"/>
    </xf>
    <xf numFmtId="39" fontId="5" fillId="0" borderId="0" xfId="22" applyNumberFormat="1" applyFont="1" applyAlignment="1">
      <alignment vertical="center"/>
    </xf>
    <xf numFmtId="0" fontId="4" fillId="0" borderId="0" xfId="4" applyAlignment="1">
      <alignment vertical="top" wrapText="1"/>
    </xf>
    <xf numFmtId="0" fontId="4" fillId="0" borderId="0" xfId="4">
      <alignment vertical="top"/>
    </xf>
    <xf numFmtId="0" fontId="35" fillId="0" borderId="0" xfId="0" applyFont="1"/>
    <xf numFmtId="0" fontId="4" fillId="0" borderId="0" xfId="23"/>
    <xf numFmtId="0" fontId="4" fillId="0" borderId="0" xfId="4">
      <alignment vertical="top"/>
    </xf>
    <xf numFmtId="0" fontId="4" fillId="0" borderId="0" xfId="4">
      <alignment vertical="top"/>
    </xf>
    <xf numFmtId="0" fontId="4" fillId="0" borderId="0" xfId="4">
      <alignment vertical="top"/>
    </xf>
    <xf numFmtId="0" fontId="4" fillId="0" borderId="0" xfId="4">
      <alignment vertical="top"/>
    </xf>
    <xf numFmtId="0" fontId="4" fillId="0" borderId="0" xfId="4" quotePrefix="1" applyFont="1">
      <alignment vertical="top"/>
    </xf>
    <xf numFmtId="0" fontId="4" fillId="0" borderId="0" xfId="4">
      <alignment vertical="top"/>
    </xf>
    <xf numFmtId="0" fontId="4" fillId="0" borderId="26" xfId="4" applyFont="1" applyBorder="1" applyAlignment="1">
      <alignment vertical="top" wrapText="1"/>
    </xf>
    <xf numFmtId="0" fontId="4" fillId="0" borderId="0" xfId="4">
      <alignment vertical="top"/>
    </xf>
    <xf numFmtId="0" fontId="13" fillId="0" borderId="0" xfId="4" applyFont="1" applyAlignment="1">
      <alignment horizontal="left" vertical="top" wrapText="1"/>
    </xf>
    <xf numFmtId="49" fontId="29" fillId="0" borderId="2" xfId="34" applyNumberFormat="1" applyFont="1" applyFill="1" applyBorder="1" applyAlignment="1">
      <alignment vertical="top"/>
    </xf>
    <xf numFmtId="0" fontId="4" fillId="0" borderId="0" xfId="4">
      <alignment vertical="top"/>
    </xf>
    <xf numFmtId="0" fontId="4" fillId="0" borderId="0" xfId="4">
      <alignment vertical="top"/>
    </xf>
    <xf numFmtId="0" fontId="4" fillId="0" borderId="0" xfId="4">
      <alignment vertical="top"/>
    </xf>
    <xf numFmtId="0" fontId="4" fillId="0" borderId="0" xfId="4">
      <alignment vertical="top"/>
    </xf>
    <xf numFmtId="0" fontId="4" fillId="0" borderId="0" xfId="4">
      <alignment vertical="top"/>
    </xf>
    <xf numFmtId="166" fontId="4" fillId="6" borderId="0" xfId="11" applyNumberFormat="1">
      <alignment vertical="top"/>
    </xf>
    <xf numFmtId="0" fontId="4" fillId="0" borderId="0" xfId="4">
      <alignment vertical="top"/>
    </xf>
    <xf numFmtId="166" fontId="4" fillId="0" borderId="0" xfId="32" applyNumberFormat="1" applyFill="1">
      <alignment vertical="top"/>
    </xf>
    <xf numFmtId="43" fontId="4" fillId="0" borderId="0" xfId="32" applyFill="1">
      <alignment vertical="top"/>
    </xf>
    <xf numFmtId="0" fontId="4" fillId="0" borderId="0" xfId="4">
      <alignment vertical="top"/>
    </xf>
    <xf numFmtId="0" fontId="4" fillId="0" borderId="0" xfId="4">
      <alignment vertical="top"/>
    </xf>
    <xf numFmtId="166" fontId="4" fillId="0" borderId="0" xfId="4" applyNumberFormat="1" applyFont="1">
      <alignment vertical="top"/>
    </xf>
    <xf numFmtId="0" fontId="4" fillId="0" borderId="0" xfId="4">
      <alignment vertical="top"/>
    </xf>
    <xf numFmtId="41" fontId="4" fillId="23" borderId="0" xfId="33" applyNumberFormat="1" applyFont="1" applyFill="1" applyAlignment="1">
      <alignment vertical="top"/>
    </xf>
    <xf numFmtId="41" fontId="4" fillId="23" borderId="0" xfId="32" applyNumberFormat="1">
      <alignment vertical="top"/>
    </xf>
    <xf numFmtId="0" fontId="4" fillId="0" borderId="0" xfId="4">
      <alignment vertical="top"/>
    </xf>
    <xf numFmtId="0" fontId="4" fillId="0" borderId="0" xfId="4">
      <alignment vertical="top"/>
    </xf>
    <xf numFmtId="0" fontId="4" fillId="0" borderId="0" xfId="4">
      <alignment vertical="top"/>
    </xf>
    <xf numFmtId="41" fontId="4" fillId="10" borderId="0" xfId="10" applyNumberFormat="1">
      <alignment vertical="top"/>
    </xf>
    <xf numFmtId="0" fontId="4" fillId="0" borderId="0" xfId="4">
      <alignment vertical="top"/>
    </xf>
    <xf numFmtId="168" fontId="4" fillId="13" borderId="0" xfId="8" applyNumberFormat="1">
      <alignment vertical="top"/>
    </xf>
    <xf numFmtId="0" fontId="4" fillId="0" borderId="0" xfId="4">
      <alignment vertical="top"/>
    </xf>
    <xf numFmtId="0" fontId="4" fillId="0" borderId="0" xfId="4">
      <alignment vertical="top"/>
    </xf>
    <xf numFmtId="41" fontId="4" fillId="12" borderId="0" xfId="9" quotePrefix="1" applyNumberFormat="1">
      <alignment vertical="top"/>
    </xf>
    <xf numFmtId="41" fontId="4" fillId="14" borderId="0" xfId="13" quotePrefix="1" applyNumberFormat="1">
      <alignment vertical="top"/>
    </xf>
    <xf numFmtId="168" fontId="4" fillId="14" borderId="0" xfId="13" quotePrefix="1" applyNumberFormat="1">
      <alignment vertical="top"/>
    </xf>
    <xf numFmtId="166" fontId="4" fillId="24" borderId="0" xfId="11" applyNumberFormat="1" applyFont="1" applyFill="1">
      <alignment vertical="top"/>
    </xf>
    <xf numFmtId="168" fontId="4" fillId="24" borderId="0" xfId="11" applyNumberFormat="1" applyFont="1" applyFill="1">
      <alignment vertical="top"/>
    </xf>
    <xf numFmtId="0" fontId="4" fillId="0" borderId="0" xfId="4" applyAlignment="1">
      <alignment horizontal="left" vertical="top" wrapText="1"/>
    </xf>
    <xf numFmtId="0" fontId="4" fillId="0" borderId="0" xfId="4" applyAlignment="1">
      <alignment vertical="top" wrapText="1"/>
    </xf>
    <xf numFmtId="0" fontId="4" fillId="0" borderId="0" xfId="4">
      <alignment vertical="top"/>
    </xf>
    <xf numFmtId="0" fontId="4" fillId="0" borderId="0" xfId="4" applyFont="1" applyAlignment="1">
      <alignment horizontal="left" vertical="top" wrapText="1"/>
    </xf>
    <xf numFmtId="3" fontId="4" fillId="0" borderId="0" xfId="24" applyNumberFormat="1" applyFont="1" applyFill="1" applyBorder="1" applyAlignment="1" applyProtection="1">
      <alignment vertical="center"/>
    </xf>
    <xf numFmtId="0" fontId="9" fillId="0" borderId="0" xfId="4" applyFont="1" applyAlignment="1">
      <alignment horizontal="left" vertical="top" wrapText="1"/>
    </xf>
  </cellXfs>
  <cellStyles count="105">
    <cellStyle name="_x000d__x000a_JournalTemplate=C:\COMFO\CTALK\JOURSTD.TPL_x000d__x000a_LbStateAddress=3 3 0 251 1 89 2 311_x000d__x000a_LbStateJou" xfId="22" xr:uid="{00000000-0005-0000-0000-000000000000}"/>
    <cellStyle name="_x000d__x000a_JournalTemplate=C:\COMFO\CTALK\JOURSTD.TPL_x000d__x000a_LbStateAddress=3 3 0 251 1 89 2 311_x000d__x000a_LbStateJou 16" xfId="25" xr:uid="{00000000-0005-0000-0000-000002000000}"/>
    <cellStyle name="_kop1 Bladtitel" xfId="5" xr:uid="{00000000-0005-0000-0000-000004000000}"/>
    <cellStyle name="_kop2 Bloktitel" xfId="6" xr:uid="{00000000-0005-0000-0000-000005000000}"/>
    <cellStyle name="_kop3 Subkop" xfId="7" xr:uid="{00000000-0005-0000-0000-000007000000}"/>
    <cellStyle name="Bad" xfId="35" hidden="1" xr:uid="{00000000-0005-0000-0000-000008000000}"/>
    <cellStyle name="Bad" xfId="45" hidden="1" xr:uid="{00000000-0005-0000-0000-000009000000}"/>
    <cellStyle name="Bad" xfId="55" hidden="1" xr:uid="{00000000-0005-0000-0000-00000A000000}"/>
    <cellStyle name="Bad" xfId="65" hidden="1" xr:uid="{00000000-0005-0000-0000-00000B000000}"/>
    <cellStyle name="Bad" xfId="75" hidden="1" xr:uid="{00000000-0005-0000-0000-00000C000000}"/>
    <cellStyle name="Bad" xfId="85" hidden="1" xr:uid="{00000000-0005-0000-0000-00000D000000}"/>
    <cellStyle name="Bad" xfId="95" hidden="1" xr:uid="{00000000-0005-0000-0000-00000E000000}"/>
    <cellStyle name="Berekening" xfId="18" builtinId="22" hidden="1"/>
    <cellStyle name="Cel (tussen)resultaat" xfId="8" xr:uid="{00000000-0005-0000-0000-000010000000}"/>
    <cellStyle name="Cel Berekening" xfId="9" xr:uid="{00000000-0005-0000-0000-000012000000}"/>
    <cellStyle name="Cel Bijzonderheid" xfId="10" xr:uid="{00000000-0005-0000-0000-000014000000}"/>
    <cellStyle name="Cel Input" xfId="11" xr:uid="{00000000-0005-0000-0000-000016000000}"/>
    <cellStyle name="Cel Input Data" xfId="32" xr:uid="{00000000-0005-0000-0000-000019000000}"/>
    <cellStyle name="Cel PM extern" xfId="12" xr:uid="{00000000-0005-0000-0000-00001A000000}"/>
    <cellStyle name="Cel Verwijzing" xfId="13" xr:uid="{00000000-0005-0000-0000-00001C000000}"/>
    <cellStyle name="Check Cell" xfId="38" hidden="1" xr:uid="{00000000-0005-0000-0000-00001E000000}"/>
    <cellStyle name="Check Cell" xfId="48" hidden="1" xr:uid="{00000000-0005-0000-0000-00001F000000}"/>
    <cellStyle name="Check Cell" xfId="58" hidden="1" xr:uid="{00000000-0005-0000-0000-000020000000}"/>
    <cellStyle name="Check Cell" xfId="68" hidden="1" xr:uid="{00000000-0005-0000-0000-000021000000}"/>
    <cellStyle name="Check Cell" xfId="78" hidden="1" xr:uid="{00000000-0005-0000-0000-000022000000}"/>
    <cellStyle name="Check Cell" xfId="88" hidden="1" xr:uid="{00000000-0005-0000-0000-000023000000}"/>
    <cellStyle name="Check Cell" xfId="98" hidden="1" xr:uid="{00000000-0005-0000-0000-000024000000}"/>
    <cellStyle name="Controlecel" xfId="20" builtinId="23" hidden="1"/>
    <cellStyle name="Explanatory Text" xfId="44" hidden="1" xr:uid="{00000000-0005-0000-0000-000026000000}"/>
    <cellStyle name="Explanatory Text" xfId="54" hidden="1" xr:uid="{00000000-0005-0000-0000-000027000000}"/>
    <cellStyle name="Explanatory Text" xfId="64" hidden="1" xr:uid="{00000000-0005-0000-0000-000028000000}"/>
    <cellStyle name="Explanatory Text" xfId="74" hidden="1" xr:uid="{00000000-0005-0000-0000-000029000000}"/>
    <cellStyle name="Explanatory Text" xfId="84" hidden="1" xr:uid="{00000000-0005-0000-0000-00002A000000}"/>
    <cellStyle name="Explanatory Text" xfId="94" hidden="1" xr:uid="{00000000-0005-0000-0000-00002B000000}"/>
    <cellStyle name="Explanatory Text" xfId="104" hidden="1" xr:uid="{00000000-0005-0000-0000-00002C000000}"/>
    <cellStyle name="Gekoppelde cel" xfId="19" builtinId="24" hidden="1"/>
    <cellStyle name="Goed" xfId="1" builtinId="26" hidden="1"/>
    <cellStyle name="Heading 1" xfId="40" hidden="1" xr:uid="{00000000-0005-0000-0000-00002F000000}"/>
    <cellStyle name="Heading 1" xfId="50" hidden="1" xr:uid="{00000000-0005-0000-0000-000030000000}"/>
    <cellStyle name="Heading 1" xfId="60" hidden="1" xr:uid="{00000000-0005-0000-0000-000031000000}"/>
    <cellStyle name="Heading 1" xfId="70" hidden="1" xr:uid="{00000000-0005-0000-0000-000032000000}"/>
    <cellStyle name="Heading 1" xfId="80" hidden="1" xr:uid="{00000000-0005-0000-0000-000033000000}"/>
    <cellStyle name="Heading 1" xfId="90" hidden="1" xr:uid="{00000000-0005-0000-0000-000034000000}"/>
    <cellStyle name="Heading 1" xfId="100" hidden="1" xr:uid="{00000000-0005-0000-0000-000035000000}"/>
    <cellStyle name="Heading 2" xfId="41" hidden="1" xr:uid="{00000000-0005-0000-0000-000036000000}"/>
    <cellStyle name="Heading 2" xfId="51" hidden="1" xr:uid="{00000000-0005-0000-0000-000037000000}"/>
    <cellStyle name="Heading 2" xfId="61" hidden="1" xr:uid="{00000000-0005-0000-0000-000038000000}"/>
    <cellStyle name="Heading 2" xfId="71" hidden="1" xr:uid="{00000000-0005-0000-0000-000039000000}"/>
    <cellStyle name="Heading 2" xfId="81" hidden="1" xr:uid="{00000000-0005-0000-0000-00003A000000}"/>
    <cellStyle name="Heading 2" xfId="91" hidden="1" xr:uid="{00000000-0005-0000-0000-00003B000000}"/>
    <cellStyle name="Heading 2" xfId="101" hidden="1" xr:uid="{00000000-0005-0000-0000-00003C000000}"/>
    <cellStyle name="Heading 3" xfId="42" hidden="1" xr:uid="{00000000-0005-0000-0000-00003D000000}"/>
    <cellStyle name="Heading 3" xfId="52" hidden="1" xr:uid="{00000000-0005-0000-0000-00003E000000}"/>
    <cellStyle name="Heading 3" xfId="62" hidden="1" xr:uid="{00000000-0005-0000-0000-00003F000000}"/>
    <cellStyle name="Heading 3" xfId="72" hidden="1" xr:uid="{00000000-0005-0000-0000-000040000000}"/>
    <cellStyle name="Heading 3" xfId="82" hidden="1" xr:uid="{00000000-0005-0000-0000-000041000000}"/>
    <cellStyle name="Heading 3" xfId="92" hidden="1" xr:uid="{00000000-0005-0000-0000-000042000000}"/>
    <cellStyle name="Heading 3" xfId="102" hidden="1" xr:uid="{00000000-0005-0000-0000-000043000000}"/>
    <cellStyle name="Heading 4" xfId="43" hidden="1" xr:uid="{00000000-0005-0000-0000-000044000000}"/>
    <cellStyle name="Heading 4" xfId="53" hidden="1" xr:uid="{00000000-0005-0000-0000-000045000000}"/>
    <cellStyle name="Heading 4" xfId="63" hidden="1" xr:uid="{00000000-0005-0000-0000-000046000000}"/>
    <cellStyle name="Heading 4" xfId="73" hidden="1" xr:uid="{00000000-0005-0000-0000-000047000000}"/>
    <cellStyle name="Heading 4" xfId="83" hidden="1" xr:uid="{00000000-0005-0000-0000-000048000000}"/>
    <cellStyle name="Heading 4" xfId="93" hidden="1" xr:uid="{00000000-0005-0000-0000-000049000000}"/>
    <cellStyle name="Heading 4" xfId="103" hidden="1" xr:uid="{00000000-0005-0000-0000-00004A000000}"/>
    <cellStyle name="Hyperlink" xfId="34" builtinId="8"/>
    <cellStyle name="Input" xfId="36" hidden="1" xr:uid="{00000000-0005-0000-0000-00004C000000}"/>
    <cellStyle name="Input" xfId="46" hidden="1" xr:uid="{00000000-0005-0000-0000-00004D000000}"/>
    <cellStyle name="Input" xfId="56" hidden="1" xr:uid="{00000000-0005-0000-0000-00004E000000}"/>
    <cellStyle name="Input" xfId="66" hidden="1" xr:uid="{00000000-0005-0000-0000-00004F000000}"/>
    <cellStyle name="Input" xfId="76" hidden="1" xr:uid="{00000000-0005-0000-0000-000050000000}"/>
    <cellStyle name="Input" xfId="86" hidden="1" xr:uid="{00000000-0005-0000-0000-000051000000}"/>
    <cellStyle name="Input" xfId="96" hidden="1" xr:uid="{00000000-0005-0000-0000-000052000000}"/>
    <cellStyle name="Invoer" xfId="16" builtinId="20" hidden="1"/>
    <cellStyle name="Komma" xfId="33" builtinId="3"/>
    <cellStyle name="Neutraal" xfId="3" builtinId="28" hidden="1"/>
    <cellStyle name="Note" xfId="39" hidden="1" xr:uid="{00000000-0005-0000-0000-000057000000}"/>
    <cellStyle name="Note" xfId="49" hidden="1" xr:uid="{00000000-0005-0000-0000-000058000000}"/>
    <cellStyle name="Note" xfId="59" hidden="1" xr:uid="{00000000-0005-0000-0000-000059000000}"/>
    <cellStyle name="Note" xfId="69" hidden="1" xr:uid="{00000000-0005-0000-0000-00005A000000}"/>
    <cellStyle name="Note" xfId="79" hidden="1" xr:uid="{00000000-0005-0000-0000-00005B000000}"/>
    <cellStyle name="Note" xfId="89" hidden="1" xr:uid="{00000000-0005-0000-0000-00005C000000}"/>
    <cellStyle name="Note" xfId="99" hidden="1" xr:uid="{00000000-0005-0000-0000-00005D000000}"/>
    <cellStyle name="Notitie" xfId="21" builtinId="10" hidden="1"/>
    <cellStyle name="Ongeldig" xfId="2" builtinId="27" hidden="1"/>
    <cellStyle name="Opm. INTERN" xfId="14" xr:uid="{00000000-0005-0000-0000-000060000000}"/>
    <cellStyle name="Output" xfId="37" hidden="1" xr:uid="{00000000-0005-0000-0000-000061000000}"/>
    <cellStyle name="Output" xfId="47" hidden="1" xr:uid="{00000000-0005-0000-0000-000062000000}"/>
    <cellStyle name="Output" xfId="57" hidden="1" xr:uid="{00000000-0005-0000-0000-000063000000}"/>
    <cellStyle name="Output" xfId="67" hidden="1" xr:uid="{00000000-0005-0000-0000-000064000000}"/>
    <cellStyle name="Output" xfId="77" hidden="1" xr:uid="{00000000-0005-0000-0000-000065000000}"/>
    <cellStyle name="Output" xfId="87" hidden="1" xr:uid="{00000000-0005-0000-0000-000066000000}"/>
    <cellStyle name="Output" xfId="97" hidden="1" xr:uid="{00000000-0005-0000-0000-000067000000}"/>
    <cellStyle name="Procent" xfId="30" builtinId="5"/>
    <cellStyle name="Standaard" xfId="0" builtinId="0"/>
    <cellStyle name="Standaard 2 2 2" xfId="23" xr:uid="{00000000-0005-0000-0000-00006C000000}"/>
    <cellStyle name="Standaard ACM-DE" xfId="4" xr:uid="{00000000-0005-0000-0000-00006E000000}"/>
    <cellStyle name="Standaard_111103 Herberekening tarieven TenneT 2007" xfId="29" xr:uid="{00000000-0005-0000-0000-00006F000000}"/>
    <cellStyle name="Standaard_Berekening tarieven intern_1" xfId="26" xr:uid="{00000000-0005-0000-0000-000070000000}"/>
    <cellStyle name="Standaard_Handboek TSO (260202)" xfId="24" xr:uid="{00000000-0005-0000-0000-000071000000}"/>
    <cellStyle name="Standaard_NG-TAR(i)-10-08 Concept" xfId="31" xr:uid="{00000000-0005-0000-0000-000072000000}"/>
    <cellStyle name="Standaard_Tabellen - CIV2" xfId="28" xr:uid="{00000000-0005-0000-0000-000073000000}"/>
    <cellStyle name="Standaard_test3" xfId="27" xr:uid="{00000000-0005-0000-0000-000074000000}"/>
    <cellStyle name="Toelichting" xfId="15" xr:uid="{00000000-0005-0000-0000-000075000000}"/>
    <cellStyle name="Uitvoer" xfId="17" builtinId="21" hidden="1"/>
  </cellStyles>
  <dxfs count="0"/>
  <tableStyles count="0" defaultTableStyle="TableStyleMedium2" defaultPivotStyle="PivotStyleLight16"/>
  <colors>
    <mruColors>
      <color rgb="FFFFCC99"/>
      <color rgb="FFCCFFCC"/>
      <color rgb="FF99FF99"/>
      <color rgb="FF66FF66"/>
      <color rgb="FFFF66FF"/>
      <color rgb="FFFFCCFF"/>
      <color rgb="FFFFFFCC"/>
      <color rgb="FF5F1F7A"/>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156882</xdr:colOff>
      <xdr:row>14</xdr:row>
      <xdr:rowOff>89647</xdr:rowOff>
    </xdr:from>
    <xdr:to>
      <xdr:col>10</xdr:col>
      <xdr:colOff>392205</xdr:colOff>
      <xdr:row>14</xdr:row>
      <xdr:rowOff>89648</xdr:rowOff>
    </xdr:to>
    <xdr:cxnSp macro="">
      <xdr:nvCxnSpPr>
        <xdr:cNvPr id="21" name="Rechte verbindingslijn met pijl 20">
          <a:extLst>
            <a:ext uri="{FF2B5EF4-FFF2-40B4-BE49-F238E27FC236}">
              <a16:creationId xmlns:a16="http://schemas.microsoft.com/office/drawing/2014/main" id="{00000000-0008-0000-0100-000015000000}"/>
            </a:ext>
          </a:extLst>
        </xdr:cNvPr>
        <xdr:cNvCxnSpPr/>
      </xdr:nvCxnSpPr>
      <xdr:spPr>
        <a:xfrm>
          <a:off x="7250206" y="2554941"/>
          <a:ext cx="683558"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112058</xdr:colOff>
      <xdr:row>14</xdr:row>
      <xdr:rowOff>112059</xdr:rowOff>
    </xdr:from>
    <xdr:to>
      <xdr:col>10</xdr:col>
      <xdr:colOff>425823</xdr:colOff>
      <xdr:row>18</xdr:row>
      <xdr:rowOff>33617</xdr:rowOff>
    </xdr:to>
    <xdr:cxnSp macro="">
      <xdr:nvCxnSpPr>
        <xdr:cNvPr id="29" name="Rechte verbindingslijn met pijl 28">
          <a:extLst>
            <a:ext uri="{FF2B5EF4-FFF2-40B4-BE49-F238E27FC236}">
              <a16:creationId xmlns:a16="http://schemas.microsoft.com/office/drawing/2014/main" id="{00000000-0008-0000-0100-00001D000000}"/>
            </a:ext>
          </a:extLst>
        </xdr:cNvPr>
        <xdr:cNvCxnSpPr/>
      </xdr:nvCxnSpPr>
      <xdr:spPr>
        <a:xfrm>
          <a:off x="7205382" y="2577353"/>
          <a:ext cx="762000" cy="6387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22092</xdr:colOff>
      <xdr:row>14</xdr:row>
      <xdr:rowOff>120064</xdr:rowOff>
    </xdr:from>
    <xdr:to>
      <xdr:col>5</xdr:col>
      <xdr:colOff>435749</xdr:colOff>
      <xdr:row>18</xdr:row>
      <xdr:rowOff>87406</xdr:rowOff>
    </xdr:to>
    <xdr:cxnSp macro="">
      <xdr:nvCxnSpPr>
        <xdr:cNvPr id="47" name="Rechte verbindingslijn met pijl 46">
          <a:extLst>
            <a:ext uri="{FF2B5EF4-FFF2-40B4-BE49-F238E27FC236}">
              <a16:creationId xmlns:a16="http://schemas.microsoft.com/office/drawing/2014/main" id="{00000000-0008-0000-0100-00002F000000}"/>
            </a:ext>
          </a:extLst>
        </xdr:cNvPr>
        <xdr:cNvCxnSpPr/>
      </xdr:nvCxnSpPr>
      <xdr:spPr>
        <a:xfrm>
          <a:off x="4123445" y="2585358"/>
          <a:ext cx="413657" cy="6845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5054</xdr:colOff>
      <xdr:row>22</xdr:row>
      <xdr:rowOff>123265</xdr:rowOff>
    </xdr:from>
    <xdr:to>
      <xdr:col>9</xdr:col>
      <xdr:colOff>100852</xdr:colOff>
      <xdr:row>22</xdr:row>
      <xdr:rowOff>125147</xdr:rowOff>
    </xdr:to>
    <xdr:cxnSp macro="">
      <xdr:nvCxnSpPr>
        <xdr:cNvPr id="59" name="Rechte verbindingslijn met pijl 58">
          <a:extLst>
            <a:ext uri="{FF2B5EF4-FFF2-40B4-BE49-F238E27FC236}">
              <a16:creationId xmlns:a16="http://schemas.microsoft.com/office/drawing/2014/main" id="{00000000-0008-0000-0100-00003B000000}"/>
            </a:ext>
          </a:extLst>
        </xdr:cNvPr>
        <xdr:cNvCxnSpPr/>
      </xdr:nvCxnSpPr>
      <xdr:spPr>
        <a:xfrm flipV="1">
          <a:off x="4106407" y="4022912"/>
          <a:ext cx="3087769" cy="18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27</xdr:row>
      <xdr:rowOff>62760</xdr:rowOff>
    </xdr:from>
    <xdr:to>
      <xdr:col>9</xdr:col>
      <xdr:colOff>107574</xdr:colOff>
      <xdr:row>42</xdr:row>
      <xdr:rowOff>112058</xdr:rowOff>
    </xdr:to>
    <xdr:cxnSp macro="">
      <xdr:nvCxnSpPr>
        <xdr:cNvPr id="79" name="Rechte verbindingslijn met pijl 78">
          <a:extLst>
            <a:ext uri="{FF2B5EF4-FFF2-40B4-BE49-F238E27FC236}">
              <a16:creationId xmlns:a16="http://schemas.microsoft.com/office/drawing/2014/main" id="{00000000-0008-0000-0100-00004F000000}"/>
            </a:ext>
          </a:extLst>
        </xdr:cNvPr>
        <xdr:cNvCxnSpPr/>
      </xdr:nvCxnSpPr>
      <xdr:spPr>
        <a:xfrm flipV="1">
          <a:off x="4123765" y="4701995"/>
          <a:ext cx="3077133" cy="2021534"/>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7292</xdr:colOff>
      <xdr:row>14</xdr:row>
      <xdr:rowOff>91870</xdr:rowOff>
    </xdr:from>
    <xdr:to>
      <xdr:col>9</xdr:col>
      <xdr:colOff>103090</xdr:colOff>
      <xdr:row>14</xdr:row>
      <xdr:rowOff>93752</xdr:rowOff>
    </xdr:to>
    <xdr:cxnSp macro="">
      <xdr:nvCxnSpPr>
        <xdr:cNvPr id="80" name="Rechte verbindingslijn met pijl 79">
          <a:extLst>
            <a:ext uri="{FF2B5EF4-FFF2-40B4-BE49-F238E27FC236}">
              <a16:creationId xmlns:a16="http://schemas.microsoft.com/office/drawing/2014/main" id="{00000000-0008-0000-0100-000050000000}"/>
            </a:ext>
          </a:extLst>
        </xdr:cNvPr>
        <xdr:cNvCxnSpPr/>
      </xdr:nvCxnSpPr>
      <xdr:spPr>
        <a:xfrm flipV="1">
          <a:off x="4108645" y="2557164"/>
          <a:ext cx="3087769" cy="18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107576</xdr:colOff>
      <xdr:row>22</xdr:row>
      <xdr:rowOff>107577</xdr:rowOff>
    </xdr:from>
    <xdr:to>
      <xdr:col>10</xdr:col>
      <xdr:colOff>414617</xdr:colOff>
      <xdr:row>30</xdr:row>
      <xdr:rowOff>0</xdr:rowOff>
    </xdr:to>
    <xdr:cxnSp macro="">
      <xdr:nvCxnSpPr>
        <xdr:cNvPr id="88" name="Rechte verbindingslijn met pijl 87">
          <a:extLst>
            <a:ext uri="{FF2B5EF4-FFF2-40B4-BE49-F238E27FC236}">
              <a16:creationId xmlns:a16="http://schemas.microsoft.com/office/drawing/2014/main" id="{00000000-0008-0000-0100-000058000000}"/>
            </a:ext>
          </a:extLst>
        </xdr:cNvPr>
        <xdr:cNvCxnSpPr/>
      </xdr:nvCxnSpPr>
      <xdr:spPr>
        <a:xfrm>
          <a:off x="7200900" y="3850342"/>
          <a:ext cx="755276" cy="132677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145678</xdr:colOff>
      <xdr:row>22</xdr:row>
      <xdr:rowOff>100854</xdr:rowOff>
    </xdr:from>
    <xdr:to>
      <xdr:col>10</xdr:col>
      <xdr:colOff>414617</xdr:colOff>
      <xdr:row>26</xdr:row>
      <xdr:rowOff>100853</xdr:rowOff>
    </xdr:to>
    <xdr:cxnSp macro="">
      <xdr:nvCxnSpPr>
        <xdr:cNvPr id="89" name="Rechte verbindingslijn met pijl 88">
          <a:extLst>
            <a:ext uri="{FF2B5EF4-FFF2-40B4-BE49-F238E27FC236}">
              <a16:creationId xmlns:a16="http://schemas.microsoft.com/office/drawing/2014/main" id="{00000000-0008-0000-0100-000059000000}"/>
            </a:ext>
          </a:extLst>
        </xdr:cNvPr>
        <xdr:cNvCxnSpPr/>
      </xdr:nvCxnSpPr>
      <xdr:spPr>
        <a:xfrm>
          <a:off x="7239002" y="3843619"/>
          <a:ext cx="717174" cy="71717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134470</xdr:colOff>
      <xdr:row>18</xdr:row>
      <xdr:rowOff>89647</xdr:rowOff>
    </xdr:from>
    <xdr:to>
      <xdr:col>11</xdr:col>
      <xdr:colOff>0</xdr:colOff>
      <xdr:row>22</xdr:row>
      <xdr:rowOff>100853</xdr:rowOff>
    </xdr:to>
    <xdr:cxnSp macro="">
      <xdr:nvCxnSpPr>
        <xdr:cNvPr id="90" name="Rechte verbindingslijn met pijl 89">
          <a:extLst>
            <a:ext uri="{FF2B5EF4-FFF2-40B4-BE49-F238E27FC236}">
              <a16:creationId xmlns:a16="http://schemas.microsoft.com/office/drawing/2014/main" id="{00000000-0008-0000-0100-00005A000000}"/>
            </a:ext>
          </a:extLst>
        </xdr:cNvPr>
        <xdr:cNvCxnSpPr/>
      </xdr:nvCxnSpPr>
      <xdr:spPr>
        <a:xfrm flipV="1">
          <a:off x="7227794" y="3272118"/>
          <a:ext cx="762000" cy="7283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123264</xdr:colOff>
      <xdr:row>15</xdr:row>
      <xdr:rowOff>33618</xdr:rowOff>
    </xdr:from>
    <xdr:to>
      <xdr:col>10</xdr:col>
      <xdr:colOff>381000</xdr:colOff>
      <xdr:row>22</xdr:row>
      <xdr:rowOff>112060</xdr:rowOff>
    </xdr:to>
    <xdr:cxnSp macro="">
      <xdr:nvCxnSpPr>
        <xdr:cNvPr id="91" name="Rechte verbindingslijn met pijl 90">
          <a:extLst>
            <a:ext uri="{FF2B5EF4-FFF2-40B4-BE49-F238E27FC236}">
              <a16:creationId xmlns:a16="http://schemas.microsoft.com/office/drawing/2014/main" id="{00000000-0008-0000-0100-00005B000000}"/>
            </a:ext>
          </a:extLst>
        </xdr:cNvPr>
        <xdr:cNvCxnSpPr/>
      </xdr:nvCxnSpPr>
      <xdr:spPr>
        <a:xfrm flipV="1">
          <a:off x="7216588" y="2678206"/>
          <a:ext cx="705971" cy="133350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107576</xdr:colOff>
      <xdr:row>19</xdr:row>
      <xdr:rowOff>156882</xdr:rowOff>
    </xdr:from>
    <xdr:to>
      <xdr:col>11</xdr:col>
      <xdr:colOff>0</xdr:colOff>
      <xdr:row>27</xdr:row>
      <xdr:rowOff>73959</xdr:rowOff>
    </xdr:to>
    <xdr:cxnSp macro="">
      <xdr:nvCxnSpPr>
        <xdr:cNvPr id="96" name="Rechte verbindingslijn met pijl 95">
          <a:extLst>
            <a:ext uri="{FF2B5EF4-FFF2-40B4-BE49-F238E27FC236}">
              <a16:creationId xmlns:a16="http://schemas.microsoft.com/office/drawing/2014/main" id="{00000000-0008-0000-0100-000060000000}"/>
            </a:ext>
          </a:extLst>
        </xdr:cNvPr>
        <xdr:cNvCxnSpPr/>
      </xdr:nvCxnSpPr>
      <xdr:spPr>
        <a:xfrm flipV="1">
          <a:off x="7200900" y="3518647"/>
          <a:ext cx="788894" cy="1351430"/>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129990</xdr:colOff>
      <xdr:row>27</xdr:row>
      <xdr:rowOff>51548</xdr:rowOff>
    </xdr:from>
    <xdr:to>
      <xdr:col>10</xdr:col>
      <xdr:colOff>414617</xdr:colOff>
      <xdr:row>30</xdr:row>
      <xdr:rowOff>89647</xdr:rowOff>
    </xdr:to>
    <xdr:cxnSp macro="">
      <xdr:nvCxnSpPr>
        <xdr:cNvPr id="99" name="Rechte verbindingslijn met pijl 98">
          <a:extLst>
            <a:ext uri="{FF2B5EF4-FFF2-40B4-BE49-F238E27FC236}">
              <a16:creationId xmlns:a16="http://schemas.microsoft.com/office/drawing/2014/main" id="{00000000-0008-0000-0100-000063000000}"/>
            </a:ext>
          </a:extLst>
        </xdr:cNvPr>
        <xdr:cNvCxnSpPr/>
      </xdr:nvCxnSpPr>
      <xdr:spPr>
        <a:xfrm>
          <a:off x="7223314" y="4690783"/>
          <a:ext cx="732862" cy="575982"/>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136710</xdr:colOff>
      <xdr:row>27</xdr:row>
      <xdr:rowOff>125514</xdr:rowOff>
    </xdr:from>
    <xdr:to>
      <xdr:col>10</xdr:col>
      <xdr:colOff>414617</xdr:colOff>
      <xdr:row>34</xdr:row>
      <xdr:rowOff>145677</xdr:rowOff>
    </xdr:to>
    <xdr:cxnSp macro="">
      <xdr:nvCxnSpPr>
        <xdr:cNvPr id="101" name="Rechte verbindingslijn met pijl 100">
          <a:extLst>
            <a:ext uri="{FF2B5EF4-FFF2-40B4-BE49-F238E27FC236}">
              <a16:creationId xmlns:a16="http://schemas.microsoft.com/office/drawing/2014/main" id="{00000000-0008-0000-0100-000065000000}"/>
            </a:ext>
          </a:extLst>
        </xdr:cNvPr>
        <xdr:cNvCxnSpPr/>
      </xdr:nvCxnSpPr>
      <xdr:spPr>
        <a:xfrm>
          <a:off x="7230034" y="4764749"/>
          <a:ext cx="726142" cy="1275222"/>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22</xdr:row>
      <xdr:rowOff>156882</xdr:rowOff>
    </xdr:from>
    <xdr:to>
      <xdr:col>10</xdr:col>
      <xdr:colOff>403412</xdr:colOff>
      <xdr:row>42</xdr:row>
      <xdr:rowOff>78441</xdr:rowOff>
    </xdr:to>
    <xdr:cxnSp macro="">
      <xdr:nvCxnSpPr>
        <xdr:cNvPr id="107" name="Rechte verbindingslijn met pijl 106">
          <a:extLst>
            <a:ext uri="{FF2B5EF4-FFF2-40B4-BE49-F238E27FC236}">
              <a16:creationId xmlns:a16="http://schemas.microsoft.com/office/drawing/2014/main" id="{00000000-0008-0000-0100-00006B000000}"/>
            </a:ext>
          </a:extLst>
        </xdr:cNvPr>
        <xdr:cNvCxnSpPr/>
      </xdr:nvCxnSpPr>
      <xdr:spPr>
        <a:xfrm>
          <a:off x="4123765" y="4056529"/>
          <a:ext cx="3821206" cy="279026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33618</xdr:colOff>
      <xdr:row>32</xdr:row>
      <xdr:rowOff>145676</xdr:rowOff>
    </xdr:from>
    <xdr:to>
      <xdr:col>11</xdr:col>
      <xdr:colOff>11206</xdr:colOff>
      <xdr:row>50</xdr:row>
      <xdr:rowOff>89647</xdr:rowOff>
    </xdr:to>
    <xdr:cxnSp macro="">
      <xdr:nvCxnSpPr>
        <xdr:cNvPr id="110" name="Rechte verbindingslijn met pijl 109">
          <a:extLst>
            <a:ext uri="{FF2B5EF4-FFF2-40B4-BE49-F238E27FC236}">
              <a16:creationId xmlns:a16="http://schemas.microsoft.com/office/drawing/2014/main" id="{00000000-0008-0000-0100-00006E000000}"/>
            </a:ext>
          </a:extLst>
        </xdr:cNvPr>
        <xdr:cNvCxnSpPr/>
      </xdr:nvCxnSpPr>
      <xdr:spPr>
        <a:xfrm>
          <a:off x="4134971" y="5681382"/>
          <a:ext cx="3866029" cy="281267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32</xdr:row>
      <xdr:rowOff>112059</xdr:rowOff>
    </xdr:from>
    <xdr:to>
      <xdr:col>10</xdr:col>
      <xdr:colOff>403412</xdr:colOff>
      <xdr:row>38</xdr:row>
      <xdr:rowOff>56029</xdr:rowOff>
    </xdr:to>
    <xdr:cxnSp macro="">
      <xdr:nvCxnSpPr>
        <xdr:cNvPr id="118" name="Rechte verbindingslijn met pijl 117">
          <a:extLst>
            <a:ext uri="{FF2B5EF4-FFF2-40B4-BE49-F238E27FC236}">
              <a16:creationId xmlns:a16="http://schemas.microsoft.com/office/drawing/2014/main" id="{00000000-0008-0000-0100-000076000000}"/>
            </a:ext>
          </a:extLst>
        </xdr:cNvPr>
        <xdr:cNvCxnSpPr/>
      </xdr:nvCxnSpPr>
      <xdr:spPr>
        <a:xfrm>
          <a:off x="4123765" y="5647765"/>
          <a:ext cx="3821206" cy="101973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50</xdr:row>
      <xdr:rowOff>100852</xdr:rowOff>
    </xdr:from>
    <xdr:to>
      <xdr:col>11</xdr:col>
      <xdr:colOff>22412</xdr:colOff>
      <xdr:row>50</xdr:row>
      <xdr:rowOff>145676</xdr:rowOff>
    </xdr:to>
    <xdr:cxnSp macro="">
      <xdr:nvCxnSpPr>
        <xdr:cNvPr id="121" name="Rechte verbindingslijn met pijl 120">
          <a:extLst>
            <a:ext uri="{FF2B5EF4-FFF2-40B4-BE49-F238E27FC236}">
              <a16:creationId xmlns:a16="http://schemas.microsoft.com/office/drawing/2014/main" id="{00000000-0008-0000-0100-000079000000}"/>
            </a:ext>
          </a:extLst>
        </xdr:cNvPr>
        <xdr:cNvCxnSpPr/>
      </xdr:nvCxnSpPr>
      <xdr:spPr>
        <a:xfrm>
          <a:off x="4112559" y="8146676"/>
          <a:ext cx="3899647" cy="44824"/>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13446</xdr:colOff>
      <xdr:row>14</xdr:row>
      <xdr:rowOff>125507</xdr:rowOff>
    </xdr:from>
    <xdr:to>
      <xdr:col>16</xdr:col>
      <xdr:colOff>896471</xdr:colOff>
      <xdr:row>44</xdr:row>
      <xdr:rowOff>112059</xdr:rowOff>
    </xdr:to>
    <xdr:cxnSp macro="">
      <xdr:nvCxnSpPr>
        <xdr:cNvPr id="125" name="Rechte verbindingslijn met pijl 124">
          <a:extLst>
            <a:ext uri="{FF2B5EF4-FFF2-40B4-BE49-F238E27FC236}">
              <a16:creationId xmlns:a16="http://schemas.microsoft.com/office/drawing/2014/main" id="{00000000-0008-0000-0100-00007D000000}"/>
            </a:ext>
          </a:extLst>
        </xdr:cNvPr>
        <xdr:cNvCxnSpPr/>
      </xdr:nvCxnSpPr>
      <xdr:spPr>
        <a:xfrm>
          <a:off x="10703858" y="2590801"/>
          <a:ext cx="2093260" cy="4648199"/>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8964</xdr:colOff>
      <xdr:row>18</xdr:row>
      <xdr:rowOff>87407</xdr:rowOff>
    </xdr:from>
    <xdr:to>
      <xdr:col>16</xdr:col>
      <xdr:colOff>638735</xdr:colOff>
      <xdr:row>44</xdr:row>
      <xdr:rowOff>112059</xdr:rowOff>
    </xdr:to>
    <xdr:cxnSp macro="">
      <xdr:nvCxnSpPr>
        <xdr:cNvPr id="127" name="Rechte verbindingslijn met pijl 126">
          <a:extLst>
            <a:ext uri="{FF2B5EF4-FFF2-40B4-BE49-F238E27FC236}">
              <a16:creationId xmlns:a16="http://schemas.microsoft.com/office/drawing/2014/main" id="{00000000-0008-0000-0100-00007F000000}"/>
            </a:ext>
          </a:extLst>
        </xdr:cNvPr>
        <xdr:cNvCxnSpPr/>
      </xdr:nvCxnSpPr>
      <xdr:spPr>
        <a:xfrm>
          <a:off x="10699376" y="3269878"/>
          <a:ext cx="1840006" cy="396912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15688</xdr:colOff>
      <xdr:row>22</xdr:row>
      <xdr:rowOff>82925</xdr:rowOff>
    </xdr:from>
    <xdr:to>
      <xdr:col>16</xdr:col>
      <xdr:colOff>392206</xdr:colOff>
      <xdr:row>44</xdr:row>
      <xdr:rowOff>89647</xdr:rowOff>
    </xdr:to>
    <xdr:cxnSp macro="">
      <xdr:nvCxnSpPr>
        <xdr:cNvPr id="129" name="Rechte verbindingslijn met pijl 128">
          <a:extLst>
            <a:ext uri="{FF2B5EF4-FFF2-40B4-BE49-F238E27FC236}">
              <a16:creationId xmlns:a16="http://schemas.microsoft.com/office/drawing/2014/main" id="{00000000-0008-0000-0100-000081000000}"/>
            </a:ext>
          </a:extLst>
        </xdr:cNvPr>
        <xdr:cNvCxnSpPr/>
      </xdr:nvCxnSpPr>
      <xdr:spPr>
        <a:xfrm>
          <a:off x="10706100" y="3982572"/>
          <a:ext cx="1586753" cy="323401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56030</xdr:rowOff>
    </xdr:from>
    <xdr:to>
      <xdr:col>16</xdr:col>
      <xdr:colOff>78441</xdr:colOff>
      <xdr:row>44</xdr:row>
      <xdr:rowOff>56030</xdr:rowOff>
    </xdr:to>
    <xdr:cxnSp macro="">
      <xdr:nvCxnSpPr>
        <xdr:cNvPr id="131" name="Rechte verbindingslijn met pijl 130">
          <a:extLst>
            <a:ext uri="{FF2B5EF4-FFF2-40B4-BE49-F238E27FC236}">
              <a16:creationId xmlns:a16="http://schemas.microsoft.com/office/drawing/2014/main" id="{00000000-0008-0000-0100-000083000000}"/>
            </a:ext>
          </a:extLst>
        </xdr:cNvPr>
        <xdr:cNvCxnSpPr/>
      </xdr:nvCxnSpPr>
      <xdr:spPr>
        <a:xfrm>
          <a:off x="10690412" y="4672854"/>
          <a:ext cx="1288676" cy="251011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29134</xdr:colOff>
      <xdr:row>30</xdr:row>
      <xdr:rowOff>40348</xdr:rowOff>
    </xdr:from>
    <xdr:to>
      <xdr:col>15</xdr:col>
      <xdr:colOff>358589</xdr:colOff>
      <xdr:row>44</xdr:row>
      <xdr:rowOff>89647</xdr:rowOff>
    </xdr:to>
    <xdr:cxnSp macro="">
      <xdr:nvCxnSpPr>
        <xdr:cNvPr id="133" name="Rechte verbindingslijn met pijl 132">
          <a:extLst>
            <a:ext uri="{FF2B5EF4-FFF2-40B4-BE49-F238E27FC236}">
              <a16:creationId xmlns:a16="http://schemas.microsoft.com/office/drawing/2014/main" id="{00000000-0008-0000-0100-000085000000}"/>
            </a:ext>
          </a:extLst>
        </xdr:cNvPr>
        <xdr:cNvCxnSpPr/>
      </xdr:nvCxnSpPr>
      <xdr:spPr>
        <a:xfrm>
          <a:off x="10719546" y="5374348"/>
          <a:ext cx="934572" cy="184224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2238</xdr:colOff>
      <xdr:row>34</xdr:row>
      <xdr:rowOff>80696</xdr:rowOff>
    </xdr:from>
    <xdr:to>
      <xdr:col>15</xdr:col>
      <xdr:colOff>44824</xdr:colOff>
      <xdr:row>44</xdr:row>
      <xdr:rowOff>100853</xdr:rowOff>
    </xdr:to>
    <xdr:cxnSp macro="">
      <xdr:nvCxnSpPr>
        <xdr:cNvPr id="135" name="Rechte verbindingslijn met pijl 134">
          <a:extLst>
            <a:ext uri="{FF2B5EF4-FFF2-40B4-BE49-F238E27FC236}">
              <a16:creationId xmlns:a16="http://schemas.microsoft.com/office/drawing/2014/main" id="{00000000-0008-0000-0100-000087000000}"/>
            </a:ext>
          </a:extLst>
        </xdr:cNvPr>
        <xdr:cNvCxnSpPr/>
      </xdr:nvCxnSpPr>
      <xdr:spPr>
        <a:xfrm>
          <a:off x="10692650" y="6131872"/>
          <a:ext cx="647703" cy="109592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602874</xdr:colOff>
      <xdr:row>42</xdr:row>
      <xdr:rowOff>53801</xdr:rowOff>
    </xdr:from>
    <xdr:to>
      <xdr:col>14</xdr:col>
      <xdr:colOff>582706</xdr:colOff>
      <xdr:row>45</xdr:row>
      <xdr:rowOff>168089</xdr:rowOff>
    </xdr:to>
    <xdr:cxnSp macro="">
      <xdr:nvCxnSpPr>
        <xdr:cNvPr id="137" name="Rechte verbindingslijn met pijl 136">
          <a:extLst>
            <a:ext uri="{FF2B5EF4-FFF2-40B4-BE49-F238E27FC236}">
              <a16:creationId xmlns:a16="http://schemas.microsoft.com/office/drawing/2014/main" id="{00000000-0008-0000-0100-000089000000}"/>
            </a:ext>
          </a:extLst>
        </xdr:cNvPr>
        <xdr:cNvCxnSpPr/>
      </xdr:nvCxnSpPr>
      <xdr:spPr>
        <a:xfrm>
          <a:off x="10688168" y="6822154"/>
          <a:ext cx="584950" cy="65217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6722</xdr:colOff>
      <xdr:row>46</xdr:row>
      <xdr:rowOff>75841</xdr:rowOff>
    </xdr:from>
    <xdr:to>
      <xdr:col>14</xdr:col>
      <xdr:colOff>571500</xdr:colOff>
      <xdr:row>46</xdr:row>
      <xdr:rowOff>89647</xdr:rowOff>
    </xdr:to>
    <xdr:cxnSp macro="">
      <xdr:nvCxnSpPr>
        <xdr:cNvPr id="139" name="Rechte verbindingslijn met pijl 138">
          <a:extLst>
            <a:ext uri="{FF2B5EF4-FFF2-40B4-BE49-F238E27FC236}">
              <a16:creationId xmlns:a16="http://schemas.microsoft.com/office/drawing/2014/main" id="{00000000-0008-0000-0100-00008B000000}"/>
            </a:ext>
          </a:extLst>
        </xdr:cNvPr>
        <xdr:cNvCxnSpPr/>
      </xdr:nvCxnSpPr>
      <xdr:spPr>
        <a:xfrm>
          <a:off x="4108075" y="7561370"/>
          <a:ext cx="7153837" cy="13806"/>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22413</xdr:colOff>
      <xdr:row>46</xdr:row>
      <xdr:rowOff>123264</xdr:rowOff>
    </xdr:from>
    <xdr:to>
      <xdr:col>15</xdr:col>
      <xdr:colOff>11206</xdr:colOff>
      <xdr:row>50</xdr:row>
      <xdr:rowOff>67235</xdr:rowOff>
    </xdr:to>
    <xdr:cxnSp macro="">
      <xdr:nvCxnSpPr>
        <xdr:cNvPr id="141" name="Rechte verbindingslijn met pijl 140">
          <a:extLst>
            <a:ext uri="{FF2B5EF4-FFF2-40B4-BE49-F238E27FC236}">
              <a16:creationId xmlns:a16="http://schemas.microsoft.com/office/drawing/2014/main" id="{00000000-0008-0000-0100-00008D000000}"/>
            </a:ext>
          </a:extLst>
        </xdr:cNvPr>
        <xdr:cNvCxnSpPr/>
      </xdr:nvCxnSpPr>
      <xdr:spPr>
        <a:xfrm flipH="1">
          <a:off x="10712825" y="8169088"/>
          <a:ext cx="593910" cy="66114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50</xdr:row>
      <xdr:rowOff>67235</xdr:rowOff>
    </xdr:from>
    <xdr:to>
      <xdr:col>15</xdr:col>
      <xdr:colOff>11206</xdr:colOff>
      <xdr:row>50</xdr:row>
      <xdr:rowOff>67236</xdr:rowOff>
    </xdr:to>
    <xdr:cxnSp macro="">
      <xdr:nvCxnSpPr>
        <xdr:cNvPr id="144" name="Rechte verbindingslijn met pijl 143">
          <a:extLst>
            <a:ext uri="{FF2B5EF4-FFF2-40B4-BE49-F238E27FC236}">
              <a16:creationId xmlns:a16="http://schemas.microsoft.com/office/drawing/2014/main" id="{00000000-0008-0000-0100-000090000000}"/>
            </a:ext>
          </a:extLst>
        </xdr:cNvPr>
        <xdr:cNvCxnSpPr/>
      </xdr:nvCxnSpPr>
      <xdr:spPr>
        <a:xfrm flipV="1">
          <a:off x="10690412" y="8830235"/>
          <a:ext cx="616323" cy="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38</xdr:row>
      <xdr:rowOff>78441</xdr:rowOff>
    </xdr:from>
    <xdr:to>
      <xdr:col>14</xdr:col>
      <xdr:colOff>582706</xdr:colOff>
      <xdr:row>45</xdr:row>
      <xdr:rowOff>11206</xdr:rowOff>
    </xdr:to>
    <xdr:cxnSp macro="">
      <xdr:nvCxnSpPr>
        <xdr:cNvPr id="38" name="Rechte verbindingslijn met pijl 37">
          <a:extLst>
            <a:ext uri="{FF2B5EF4-FFF2-40B4-BE49-F238E27FC236}">
              <a16:creationId xmlns:a16="http://schemas.microsoft.com/office/drawing/2014/main" id="{00000000-0008-0000-0100-000026000000}"/>
            </a:ext>
          </a:extLst>
        </xdr:cNvPr>
        <xdr:cNvCxnSpPr/>
      </xdr:nvCxnSpPr>
      <xdr:spPr>
        <a:xfrm>
          <a:off x="10690412" y="6689912"/>
          <a:ext cx="582706" cy="1187823"/>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22</xdr:row>
      <xdr:rowOff>123264</xdr:rowOff>
    </xdr:from>
    <xdr:to>
      <xdr:col>10</xdr:col>
      <xdr:colOff>425823</xdr:colOff>
      <xdr:row>22</xdr:row>
      <xdr:rowOff>123264</xdr:rowOff>
    </xdr:to>
    <xdr:cxnSp macro="">
      <xdr:nvCxnSpPr>
        <xdr:cNvPr id="41" name="Rechte verbindingslijn met pijl 40">
          <a:extLst>
            <a:ext uri="{FF2B5EF4-FFF2-40B4-BE49-F238E27FC236}">
              <a16:creationId xmlns:a16="http://schemas.microsoft.com/office/drawing/2014/main" id="{00000000-0008-0000-0100-000029000000}"/>
            </a:ext>
          </a:extLst>
        </xdr:cNvPr>
        <xdr:cNvCxnSpPr/>
      </xdr:nvCxnSpPr>
      <xdr:spPr>
        <a:xfrm>
          <a:off x="7283824" y="3866029"/>
          <a:ext cx="683558"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23</xdr:row>
      <xdr:rowOff>67235</xdr:rowOff>
    </xdr:from>
    <xdr:to>
      <xdr:col>13</xdr:col>
      <xdr:colOff>156882</xdr:colOff>
      <xdr:row>54</xdr:row>
      <xdr:rowOff>145677</xdr:rowOff>
    </xdr:to>
    <xdr:cxnSp macro="">
      <xdr:nvCxnSpPr>
        <xdr:cNvPr id="20" name="Verbindingslijn: gebogen 19">
          <a:extLst>
            <a:ext uri="{FF2B5EF4-FFF2-40B4-BE49-F238E27FC236}">
              <a16:creationId xmlns:a16="http://schemas.microsoft.com/office/drawing/2014/main" id="{1FFB4989-4AB5-4AB5-A815-1208E09B6AA8}"/>
            </a:ext>
          </a:extLst>
        </xdr:cNvPr>
        <xdr:cNvCxnSpPr/>
      </xdr:nvCxnSpPr>
      <xdr:spPr>
        <a:xfrm>
          <a:off x="4112559" y="3989294"/>
          <a:ext cx="6129617" cy="5636559"/>
        </a:xfrm>
        <a:prstGeom prst="bentConnector3">
          <a:avLst>
            <a:gd name="adj1" fmla="val 36289"/>
          </a:avLst>
        </a:prstGeom>
        <a:ln w="9525" cap="flat" cmpd="sng" algn="ctr">
          <a:solidFill>
            <a:schemeClr val="accent2"/>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13</xdr:col>
      <xdr:colOff>212912</xdr:colOff>
      <xdr:row>50</xdr:row>
      <xdr:rowOff>156882</xdr:rowOff>
    </xdr:from>
    <xdr:to>
      <xdr:col>14</xdr:col>
      <xdr:colOff>593912</xdr:colOff>
      <xdr:row>54</xdr:row>
      <xdr:rowOff>145678</xdr:rowOff>
    </xdr:to>
    <xdr:cxnSp macro="">
      <xdr:nvCxnSpPr>
        <xdr:cNvPr id="60" name="Rechte verbindingslijn met pijl 59">
          <a:extLst>
            <a:ext uri="{FF2B5EF4-FFF2-40B4-BE49-F238E27FC236}">
              <a16:creationId xmlns:a16="http://schemas.microsoft.com/office/drawing/2014/main" id="{75CA1A4A-4951-4500-B9E3-B41B7DB75EF1}"/>
            </a:ext>
          </a:extLst>
        </xdr:cNvPr>
        <xdr:cNvCxnSpPr/>
      </xdr:nvCxnSpPr>
      <xdr:spPr>
        <a:xfrm flipV="1">
          <a:off x="10298206" y="8919882"/>
          <a:ext cx="986118" cy="705972"/>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addendum-bij-bevoegdhedenovereenkomst-acm-tennet-veilingmiddelen" TargetMode="External"/><Relationship Id="rId13" Type="http://schemas.openxmlformats.org/officeDocument/2006/relationships/hyperlink" Target="https://www.acm.nl/nl/publicaties/tarievenbesluit-tennet-2021" TargetMode="External"/><Relationship Id="rId18" Type="http://schemas.openxmlformats.org/officeDocument/2006/relationships/hyperlink" Target="https://www.acm.nl/nl/publicaties/methodebesluit-tennet-systeem-2022-2026" TargetMode="External"/><Relationship Id="rId3" Type="http://schemas.openxmlformats.org/officeDocument/2006/relationships/hyperlink" Target="https://wetten.overheid.nl/BWBR0037951/2021-04-30" TargetMode="External"/><Relationship Id="rId7" Type="http://schemas.openxmlformats.org/officeDocument/2006/relationships/hyperlink" Target="https://www.acm.nl/nl/publicaties/tarievenbesluit-tennet-2020" TargetMode="External"/><Relationship Id="rId12" Type="http://schemas.openxmlformats.org/officeDocument/2006/relationships/hyperlink" Target="https://www.acm.nl/sites/default/files/documents/report-auction-receipts-tennet-2020.pdf" TargetMode="External"/><Relationship Id="rId17" Type="http://schemas.openxmlformats.org/officeDocument/2006/relationships/hyperlink" Target="https://www.acm.nl/nl/publicaties/x-factorbesluit-tennet-transport-2022-2026" TargetMode="External"/><Relationship Id="rId2" Type="http://schemas.openxmlformats.org/officeDocument/2006/relationships/hyperlink" Target="https://opendata.cbs.nl/statline/" TargetMode="External"/><Relationship Id="rId16" Type="http://schemas.openxmlformats.org/officeDocument/2006/relationships/hyperlink" Target="https://www.acm.nl/nl/publicaties/x-factorbesluit-tennet-transport-2022-2026" TargetMode="External"/><Relationship Id="rId20" Type="http://schemas.openxmlformats.org/officeDocument/2006/relationships/printerSettings" Target="../printerSettings/printerSettings3.bin"/><Relationship Id="rId1" Type="http://schemas.openxmlformats.org/officeDocument/2006/relationships/hyperlink" Target="https://www.acm.nl/nl/publicaties/wacc-methode-gewijzigd-methodebesluit-tennet-transport-2017-2021" TargetMode="External"/><Relationship Id="rId6" Type="http://schemas.openxmlformats.org/officeDocument/2006/relationships/hyperlink" Target="https://uitspraken.rechtspraak.nl/inziendocument?id=ECLI:NL:CBB:2019:636&amp;showbutton=true&amp;keyword=tennet" TargetMode="External"/><Relationship Id="rId11" Type="http://schemas.openxmlformats.org/officeDocument/2006/relationships/hyperlink" Target="https://www.dnb.nl/statistieken/data-zoeken/" TargetMode="External"/><Relationship Id="rId5" Type="http://schemas.openxmlformats.org/officeDocument/2006/relationships/hyperlink" Target="https://www.acm.nl/sites/default/files/documents/2019-11/rapport-veilingopbrengsten-tennet-2018-2019.pdf" TargetMode="External"/><Relationship Id="rId15" Type="http://schemas.openxmlformats.org/officeDocument/2006/relationships/hyperlink" Target="https://www.acm.nl/nl/publicaties/methodebesluit-tennet-transport-2022-2026" TargetMode="External"/><Relationship Id="rId10" Type="http://schemas.openxmlformats.org/officeDocument/2006/relationships/hyperlink" Target="https://www.acm.nl/sites/default/files/documents/2020-08/report-auction-receipts-tennet-period-january-2019-december-2019.pdf" TargetMode="External"/><Relationship Id="rId19" Type="http://schemas.openxmlformats.org/officeDocument/2006/relationships/hyperlink" Target="https://www.acm.nl/sites/default/files/documents/rekenmodule-tarievenvoorstel-tennet-2022.xlsx" TargetMode="External"/><Relationship Id="rId4" Type="http://schemas.openxmlformats.org/officeDocument/2006/relationships/hyperlink" Target="https://www.acm.nl/nl/publicaties/publicatie/15112/Bevoegdhedenovereenkomst-ACM-en-TenneT-veilingmiddelen" TargetMode="External"/><Relationship Id="rId9" Type="http://schemas.openxmlformats.org/officeDocument/2006/relationships/hyperlink" Target="https://www.acm.nl/nl/publicaties/tweede-wijziging-x-factorbesluit-tennet-2017-2021-transport" TargetMode="External"/><Relationship Id="rId14" Type="http://schemas.openxmlformats.org/officeDocument/2006/relationships/hyperlink" Target="https://www.acm.nl/nl/publicaties/methodebesluit-tennet-systeem-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CC8D9"/>
    <pageSetUpPr autoPageBreaks="0"/>
  </sheetPr>
  <dimension ref="B2:E42"/>
  <sheetViews>
    <sheetView showGridLines="0" tabSelected="1" zoomScale="85" zoomScaleNormal="85" workbookViewId="0">
      <pane ySplit="3" topLeftCell="A4" activePane="bottomLeft" state="frozen"/>
      <selection pane="bottomLeft"/>
    </sheetView>
  </sheetViews>
  <sheetFormatPr defaultRowHeight="12.75"/>
  <cols>
    <col min="1" max="1" width="2.85546875" style="2" customWidth="1"/>
    <col min="2" max="2" width="39.85546875" style="2" customWidth="1"/>
    <col min="3" max="3" width="91.85546875" style="2" customWidth="1"/>
    <col min="4" max="16384" width="9.140625" style="2"/>
  </cols>
  <sheetData>
    <row r="2" spans="2:3" s="12" customFormat="1" ht="18">
      <c r="B2" s="11" t="s">
        <v>151</v>
      </c>
    </row>
    <row r="6" spans="2:3">
      <c r="B6" s="3"/>
    </row>
    <row r="13" spans="2:3" s="7" customFormat="1">
      <c r="B13" s="7" t="s">
        <v>0</v>
      </c>
    </row>
    <row r="14" spans="2:3" s="8" customFormat="1"/>
    <row r="15" spans="2:3">
      <c r="B15" s="9" t="s">
        <v>1</v>
      </c>
      <c r="C15" s="10" t="s">
        <v>398</v>
      </c>
    </row>
    <row r="16" spans="2:3">
      <c r="B16" s="9" t="s">
        <v>2</v>
      </c>
      <c r="C16" s="150" t="s">
        <v>395</v>
      </c>
    </row>
    <row r="17" spans="2:5">
      <c r="B17" s="9" t="s">
        <v>3</v>
      </c>
      <c r="C17" s="150" t="s">
        <v>396</v>
      </c>
    </row>
    <row r="18" spans="2:5">
      <c r="B18" s="9" t="s">
        <v>4</v>
      </c>
      <c r="C18" s="150" t="s">
        <v>397</v>
      </c>
    </row>
    <row r="19" spans="2:5">
      <c r="B19" s="9" t="s">
        <v>5</v>
      </c>
      <c r="C19" s="150" t="s">
        <v>132</v>
      </c>
    </row>
    <row r="20" spans="2:5">
      <c r="B20" s="9" t="s">
        <v>6</v>
      </c>
      <c r="C20" s="10" t="s">
        <v>670</v>
      </c>
    </row>
    <row r="21" spans="2:5">
      <c r="B21" s="9" t="s">
        <v>7</v>
      </c>
      <c r="C21" s="150" t="s">
        <v>436</v>
      </c>
    </row>
    <row r="22" spans="2:5">
      <c r="B22" s="9" t="s">
        <v>8</v>
      </c>
      <c r="C22" s="10" t="s">
        <v>132</v>
      </c>
    </row>
    <row r="25" spans="2:5" s="7" customFormat="1">
      <c r="B25" s="7" t="s">
        <v>9</v>
      </c>
    </row>
    <row r="27" spans="2:5">
      <c r="B27" s="9" t="s">
        <v>10</v>
      </c>
      <c r="C27" s="150" t="s">
        <v>669</v>
      </c>
    </row>
    <row r="28" spans="2:5">
      <c r="B28" s="9" t="s">
        <v>11</v>
      </c>
      <c r="C28" s="150" t="s">
        <v>669</v>
      </c>
    </row>
    <row r="29" spans="2:5" ht="25.5">
      <c r="B29" s="9" t="s">
        <v>12</v>
      </c>
      <c r="C29" s="150" t="s">
        <v>669</v>
      </c>
      <c r="E29" s="26"/>
    </row>
    <row r="30" spans="2:5">
      <c r="B30" s="9" t="s">
        <v>13</v>
      </c>
      <c r="C30" s="150" t="s">
        <v>132</v>
      </c>
    </row>
    <row r="31" spans="2:5">
      <c r="B31" s="132" t="s">
        <v>146</v>
      </c>
      <c r="C31" s="150" t="s">
        <v>132</v>
      </c>
    </row>
    <row r="34" spans="2:2" s="7" customFormat="1">
      <c r="B34" s="7" t="s">
        <v>14</v>
      </c>
    </row>
    <row r="36" spans="2:2">
      <c r="B36" s="80" t="s">
        <v>157</v>
      </c>
    </row>
    <row r="37" spans="2:2">
      <c r="B37" s="80" t="s">
        <v>158</v>
      </c>
    </row>
    <row r="38" spans="2:2">
      <c r="B38" s="80" t="s">
        <v>188</v>
      </c>
    </row>
    <row r="40" spans="2:2" s="171" customFormat="1">
      <c r="B40" s="171" t="s">
        <v>189</v>
      </c>
    </row>
    <row r="42" spans="2:2">
      <c r="B42" s="184" t="s">
        <v>190</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CCFFCC"/>
    <pageSetUpPr autoPageBreaks="0"/>
  </sheetPr>
  <dimension ref="A1:T28"/>
  <sheetViews>
    <sheetView showGridLines="0" zoomScale="85" zoomScaleNormal="85" workbookViewId="0">
      <pane xSplit="6" ySplit="14" topLeftCell="G15" activePane="bottomRight" state="frozen"/>
      <selection pane="topRight"/>
      <selection pane="bottomLeft"/>
      <selection pane="bottomRight"/>
    </sheetView>
  </sheetViews>
  <sheetFormatPr defaultRowHeight="12.75"/>
  <cols>
    <col min="1" max="1" width="4" style="2" customWidth="1"/>
    <col min="2" max="2" width="58.710937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30" width="13.7109375" style="2" customWidth="1"/>
    <col min="31" max="16384" width="9.140625" style="2"/>
  </cols>
  <sheetData>
    <row r="1" spans="1:18">
      <c r="A1" s="227"/>
    </row>
    <row r="2" spans="1:18" s="20" customFormat="1" ht="18">
      <c r="A2" s="145"/>
      <c r="B2" s="145" t="s">
        <v>510</v>
      </c>
    </row>
    <row r="3" spans="1:18">
      <c r="A3" s="147"/>
      <c r="B3" s="21"/>
    </row>
    <row r="4" spans="1:18" s="79" customFormat="1" ht="12.75" customHeight="1">
      <c r="A4" s="147"/>
      <c r="B4" s="297" t="s">
        <v>511</v>
      </c>
      <c r="C4" s="297"/>
      <c r="D4" s="297"/>
      <c r="E4" s="297"/>
    </row>
    <row r="5" spans="1:18" s="79" customFormat="1">
      <c r="A5" s="147"/>
      <c r="B5" s="297"/>
      <c r="C5" s="297"/>
      <c r="D5" s="297"/>
      <c r="E5" s="297"/>
    </row>
    <row r="6" spans="1:18" s="79" customFormat="1">
      <c r="A6" s="147"/>
      <c r="B6" s="297"/>
      <c r="C6" s="297"/>
      <c r="D6" s="297"/>
      <c r="E6" s="297"/>
    </row>
    <row r="7" spans="1:18" s="79" customFormat="1">
      <c r="A7" s="147"/>
      <c r="B7" s="297"/>
      <c r="C7" s="297"/>
      <c r="D7" s="297"/>
      <c r="E7" s="297"/>
    </row>
    <row r="8" spans="1:18" s="79" customFormat="1">
      <c r="A8" s="147"/>
      <c r="B8" s="297"/>
      <c r="C8" s="297"/>
      <c r="D8" s="297"/>
      <c r="E8" s="297"/>
    </row>
    <row r="9" spans="1:18">
      <c r="A9" s="147"/>
      <c r="B9" s="23"/>
      <c r="C9" s="23"/>
      <c r="D9" s="23"/>
      <c r="H9" s="21"/>
    </row>
    <row r="10" spans="1:18">
      <c r="A10" s="147"/>
      <c r="B10" s="78" t="s">
        <v>172</v>
      </c>
      <c r="C10" s="23"/>
      <c r="D10" s="23"/>
      <c r="H10" s="21"/>
    </row>
    <row r="11" spans="1:18">
      <c r="A11" s="147"/>
      <c r="B11" s="80" t="s">
        <v>168</v>
      </c>
      <c r="C11" s="23"/>
      <c r="D11" s="23"/>
      <c r="F11" s="92" t="str">
        <f>'Tab 21_Controle tarieven'!H83</f>
        <v>ja</v>
      </c>
    </row>
    <row r="12" spans="1:18" s="79" customFormat="1">
      <c r="A12" s="147"/>
      <c r="B12" s="80"/>
      <c r="C12" s="80"/>
      <c r="D12" s="80"/>
      <c r="F12" s="100"/>
    </row>
    <row r="13" spans="1:18" s="83" customFormat="1" ht="38.25">
      <c r="A13" s="171"/>
      <c r="B13" s="83" t="s">
        <v>43</v>
      </c>
      <c r="F13" s="83" t="s">
        <v>26</v>
      </c>
      <c r="H13" s="83" t="s">
        <v>27</v>
      </c>
      <c r="J13" s="83" t="s">
        <v>47</v>
      </c>
      <c r="L13" s="83" t="s">
        <v>69</v>
      </c>
      <c r="M13" s="31" t="s">
        <v>171</v>
      </c>
      <c r="N13" s="31" t="s">
        <v>71</v>
      </c>
      <c r="O13" s="31" t="s">
        <v>170</v>
      </c>
      <c r="P13" s="31" t="s">
        <v>116</v>
      </c>
      <c r="R13" s="83" t="s">
        <v>45</v>
      </c>
    </row>
    <row r="14" spans="1:18">
      <c r="A14" s="227"/>
    </row>
    <row r="15" spans="1:18">
      <c r="A15" s="227"/>
    </row>
    <row r="16" spans="1:18" s="7" customFormat="1">
      <c r="A16" s="171"/>
      <c r="B16" s="7" t="s">
        <v>374</v>
      </c>
      <c r="L16" s="180"/>
      <c r="M16" s="180"/>
      <c r="N16" s="180"/>
      <c r="O16" s="180"/>
      <c r="P16" s="180"/>
      <c r="R16" s="75"/>
    </row>
    <row r="17" spans="1:20">
      <c r="A17" s="227"/>
      <c r="L17" s="163"/>
      <c r="M17" s="163"/>
      <c r="N17" s="163"/>
      <c r="O17" s="163"/>
      <c r="P17" s="163"/>
      <c r="R17" s="80"/>
    </row>
    <row r="18" spans="1:20">
      <c r="A18" s="227"/>
      <c r="B18" s="1" t="s">
        <v>73</v>
      </c>
      <c r="L18" s="163"/>
      <c r="M18" s="163"/>
      <c r="N18" s="163"/>
      <c r="O18" s="163"/>
      <c r="P18" s="163"/>
      <c r="R18" s="80"/>
    </row>
    <row r="19" spans="1:20">
      <c r="A19" s="227"/>
      <c r="B19" s="23" t="s">
        <v>361</v>
      </c>
      <c r="F19" s="2" t="s">
        <v>323</v>
      </c>
      <c r="L19" s="206">
        <v>12478.96</v>
      </c>
      <c r="M19" s="206">
        <v>15.21</v>
      </c>
      <c r="N19" s="206">
        <v>1.65</v>
      </c>
      <c r="O19" s="206">
        <v>7.61</v>
      </c>
      <c r="P19" s="206">
        <v>0.56999999999999995</v>
      </c>
      <c r="R19" s="168"/>
      <c r="S19" s="241"/>
      <c r="T19" s="241"/>
    </row>
    <row r="20" spans="1:20">
      <c r="A20" s="227"/>
      <c r="L20" s="147"/>
      <c r="M20" s="147"/>
      <c r="N20" s="147"/>
      <c r="O20" s="147"/>
      <c r="P20" s="147"/>
      <c r="R20" s="241"/>
      <c r="S20" s="241"/>
      <c r="T20" s="241"/>
    </row>
    <row r="21" spans="1:20">
      <c r="A21" s="227"/>
      <c r="B21" s="1" t="s">
        <v>75</v>
      </c>
      <c r="L21" s="147"/>
      <c r="M21" s="147"/>
      <c r="N21" s="147"/>
      <c r="O21" s="147"/>
      <c r="P21" s="147"/>
      <c r="R21" s="241"/>
      <c r="S21" s="241"/>
      <c r="T21" s="241"/>
    </row>
    <row r="22" spans="1:20">
      <c r="A22" s="227"/>
      <c r="B22" s="23" t="s">
        <v>361</v>
      </c>
      <c r="F22" s="2" t="s">
        <v>323</v>
      </c>
      <c r="L22" s="206">
        <v>2760</v>
      </c>
      <c r="M22" s="206">
        <v>27.24</v>
      </c>
      <c r="N22" s="206">
        <v>2.79</v>
      </c>
      <c r="O22" s="206">
        <v>13.62</v>
      </c>
      <c r="P22" s="206">
        <v>0.97</v>
      </c>
      <c r="R22" s="168"/>
      <c r="S22" s="241"/>
      <c r="T22" s="241"/>
    </row>
    <row r="23" spans="1:20">
      <c r="R23" s="241"/>
      <c r="S23" s="241"/>
      <c r="T23" s="241"/>
    </row>
    <row r="24" spans="1:20">
      <c r="R24" s="266"/>
    </row>
    <row r="25" spans="1:20">
      <c r="R25" s="266"/>
    </row>
    <row r="26" spans="1:20">
      <c r="R26" s="266"/>
    </row>
    <row r="27" spans="1:20">
      <c r="R27" s="266"/>
    </row>
    <row r="28" spans="1:20">
      <c r="R28" s="266"/>
    </row>
  </sheetData>
  <mergeCells count="1">
    <mergeCell ref="B4:E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0" tint="-4.9989318521683403E-2"/>
    <pageSetUpPr autoPageBreaks="0"/>
  </sheetPr>
  <dimension ref="A1"/>
  <sheetViews>
    <sheetView showGridLines="0" zoomScale="90" zoomScaleNormal="90" workbookViewId="0"/>
  </sheetViews>
  <sheetFormatPr defaultRowHeight="12.75"/>
  <cols>
    <col min="1" max="16384" width="9.140625" style="2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rgb="FFCCFFCC"/>
    <pageSetUpPr autoPageBreaks="0"/>
  </sheetPr>
  <dimension ref="A1:Z48"/>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46.140625" style="2" customWidth="1"/>
    <col min="3" max="5" width="4.5703125" style="2" customWidth="1"/>
    <col min="6" max="6" width="11.7109375" style="2" customWidth="1"/>
    <col min="7" max="7" width="2.7109375" style="2" customWidth="1"/>
    <col min="8" max="8" width="12.5703125" style="2" customWidth="1"/>
    <col min="9" max="9" width="2.7109375" style="2" customWidth="1"/>
    <col min="10" max="10" width="10.5703125" style="2" customWidth="1"/>
    <col min="11" max="11" width="2.7109375" style="2" customWidth="1"/>
    <col min="12" max="20" width="12.5703125" style="2" customWidth="1"/>
    <col min="21" max="21" width="12.5703125" style="243" customWidth="1"/>
    <col min="22" max="22" width="2.7109375" style="79" customWidth="1"/>
    <col min="23" max="23" width="39.140625" style="2" customWidth="1"/>
    <col min="24" max="24" width="2.7109375" style="2" customWidth="1"/>
    <col min="25" max="25" width="13.7109375" style="80" customWidth="1"/>
    <col min="26" max="26" width="2.7109375" style="2" customWidth="1"/>
    <col min="27" max="41" width="13.7109375" style="2" customWidth="1"/>
    <col min="42" max="16384" width="9.140625" style="2"/>
  </cols>
  <sheetData>
    <row r="1" spans="1:26">
      <c r="A1" s="178"/>
    </row>
    <row r="2" spans="1:26" s="20" customFormat="1" ht="18">
      <c r="B2" s="20" t="s">
        <v>165</v>
      </c>
      <c r="Y2" s="77"/>
    </row>
    <row r="3" spans="1:26">
      <c r="A3" s="227"/>
    </row>
    <row r="4" spans="1:26" s="79" customFormat="1" ht="12.75" customHeight="1">
      <c r="A4" s="227"/>
      <c r="B4" s="297" t="s">
        <v>519</v>
      </c>
      <c r="C4" s="297"/>
      <c r="D4" s="297"/>
      <c r="E4" s="297"/>
      <c r="U4" s="243"/>
      <c r="Y4" s="189"/>
    </row>
    <row r="5" spans="1:26" s="79" customFormat="1">
      <c r="A5" s="227"/>
      <c r="B5" s="297"/>
      <c r="C5" s="297"/>
      <c r="D5" s="297"/>
      <c r="E5" s="297"/>
      <c r="U5" s="243"/>
      <c r="Y5" s="189"/>
    </row>
    <row r="6" spans="1:26" s="79" customFormat="1">
      <c r="A6" s="227"/>
      <c r="B6" s="297"/>
      <c r="C6" s="297"/>
      <c r="D6" s="297"/>
      <c r="E6" s="297"/>
      <c r="S6" s="243"/>
      <c r="U6" s="243"/>
      <c r="Y6" s="80"/>
    </row>
    <row r="7" spans="1:26" s="79" customFormat="1">
      <c r="A7" s="227"/>
      <c r="B7" s="297"/>
      <c r="C7" s="297"/>
      <c r="D7" s="297"/>
      <c r="E7" s="297"/>
      <c r="S7" s="243"/>
      <c r="U7" s="243"/>
      <c r="Y7" s="80"/>
    </row>
    <row r="8" spans="1:26" s="79" customFormat="1">
      <c r="A8" s="178"/>
      <c r="B8" s="297"/>
      <c r="C8" s="297"/>
      <c r="D8" s="297"/>
      <c r="E8" s="297"/>
      <c r="U8" s="243"/>
      <c r="Y8" s="80"/>
    </row>
    <row r="9" spans="1:26" s="79" customFormat="1">
      <c r="A9" s="227"/>
      <c r="U9" s="243"/>
    </row>
    <row r="10" spans="1:26" s="7" customFormat="1">
      <c r="A10" s="171"/>
      <c r="B10" s="7" t="s">
        <v>43</v>
      </c>
      <c r="F10" s="7" t="s">
        <v>26</v>
      </c>
      <c r="H10" s="7" t="s">
        <v>27</v>
      </c>
      <c r="J10" s="7" t="s">
        <v>47</v>
      </c>
      <c r="L10" s="72">
        <v>2013</v>
      </c>
      <c r="M10" s="72">
        <v>2014</v>
      </c>
      <c r="N10" s="72">
        <v>2015</v>
      </c>
      <c r="O10" s="72">
        <v>2016</v>
      </c>
      <c r="P10" s="72">
        <v>2017</v>
      </c>
      <c r="Q10" s="72">
        <v>2018</v>
      </c>
      <c r="R10" s="72">
        <v>2019</v>
      </c>
      <c r="S10" s="72">
        <v>2020</v>
      </c>
      <c r="T10" s="72">
        <v>2021</v>
      </c>
      <c r="U10" s="72">
        <v>2022</v>
      </c>
      <c r="V10" s="83"/>
      <c r="W10" s="7" t="s">
        <v>44</v>
      </c>
      <c r="Y10" s="75" t="s">
        <v>45</v>
      </c>
      <c r="Z10" s="35"/>
    </row>
    <row r="11" spans="1:26">
      <c r="A11" s="227"/>
    </row>
    <row r="12" spans="1:26">
      <c r="A12" s="227"/>
    </row>
    <row r="13" spans="1:26" s="7" customFormat="1">
      <c r="A13" s="171"/>
      <c r="B13" s="75" t="s">
        <v>57</v>
      </c>
      <c r="U13" s="171"/>
      <c r="V13" s="83"/>
      <c r="Y13" s="75"/>
    </row>
    <row r="14" spans="1:26">
      <c r="A14" s="227"/>
    </row>
    <row r="15" spans="1:26">
      <c r="A15" s="227"/>
      <c r="B15" s="1" t="s">
        <v>110</v>
      </c>
      <c r="Y15" s="78" t="s">
        <v>59</v>
      </c>
    </row>
    <row r="16" spans="1:26">
      <c r="A16" s="281"/>
      <c r="B16" s="2" t="s">
        <v>111</v>
      </c>
      <c r="F16" s="2" t="s">
        <v>58</v>
      </c>
      <c r="L16" s="101">
        <v>2.3E-2</v>
      </c>
      <c r="M16" s="101">
        <v>2.8000000000000001E-2</v>
      </c>
      <c r="N16" s="101">
        <v>0.01</v>
      </c>
      <c r="O16" s="101">
        <v>8.0000000000000002E-3</v>
      </c>
      <c r="P16" s="101">
        <v>2E-3</v>
      </c>
      <c r="Q16" s="101">
        <v>1.4E-2</v>
      </c>
      <c r="R16" s="165">
        <v>2.1000000000000001E-2</v>
      </c>
      <c r="S16" s="165">
        <v>2.8000000000000001E-2</v>
      </c>
      <c r="T16" s="165">
        <v>7.0000000000000001E-3</v>
      </c>
      <c r="U16" s="165">
        <v>2.4E-2</v>
      </c>
      <c r="W16" s="2" t="s">
        <v>122</v>
      </c>
      <c r="Y16" s="39" t="s">
        <v>186</v>
      </c>
    </row>
    <row r="17" spans="1:25">
      <c r="A17" s="227"/>
      <c r="Y17" s="39" t="s">
        <v>399</v>
      </c>
    </row>
    <row r="18" spans="1:25">
      <c r="A18" s="227"/>
      <c r="B18" s="196"/>
      <c r="H18" s="239"/>
      <c r="W18" s="224"/>
      <c r="Y18" s="39" t="s">
        <v>187</v>
      </c>
    </row>
    <row r="19" spans="1:25" s="79" customFormat="1">
      <c r="A19" s="227"/>
      <c r="U19" s="243"/>
      <c r="Y19" s="39"/>
    </row>
    <row r="20" spans="1:25" s="7" customFormat="1">
      <c r="A20" s="171"/>
      <c r="B20" s="75" t="s">
        <v>62</v>
      </c>
      <c r="U20" s="171"/>
      <c r="V20" s="83"/>
      <c r="Y20" s="75"/>
    </row>
    <row r="21" spans="1:25">
      <c r="A21" s="227"/>
    </row>
    <row r="22" spans="1:25">
      <c r="A22" s="227"/>
      <c r="B22" s="168" t="s">
        <v>62</v>
      </c>
      <c r="Y22" s="168" t="s">
        <v>60</v>
      </c>
    </row>
    <row r="23" spans="1:25">
      <c r="A23" s="227"/>
      <c r="B23" s="2" t="s">
        <v>63</v>
      </c>
      <c r="F23" s="2" t="s">
        <v>58</v>
      </c>
      <c r="L23" s="137">
        <v>0.03</v>
      </c>
      <c r="M23" s="137">
        <v>0.03</v>
      </c>
      <c r="N23" s="137">
        <v>0.02</v>
      </c>
      <c r="O23" s="166">
        <v>0.02</v>
      </c>
      <c r="P23" s="166">
        <v>0.02</v>
      </c>
      <c r="Q23" s="166">
        <v>0.02</v>
      </c>
      <c r="R23" s="166">
        <v>0.02</v>
      </c>
      <c r="S23" s="166">
        <v>0.02</v>
      </c>
      <c r="T23" s="166">
        <v>0.02</v>
      </c>
      <c r="U23" s="228">
        <v>0.02</v>
      </c>
      <c r="W23" s="253" t="s">
        <v>441</v>
      </c>
      <c r="Y23" s="254" t="s">
        <v>400</v>
      </c>
    </row>
    <row r="24" spans="1:25">
      <c r="A24" s="178"/>
      <c r="B24" s="2" t="s">
        <v>64</v>
      </c>
      <c r="F24" s="2" t="s">
        <v>58</v>
      </c>
      <c r="L24" s="137">
        <v>0.03</v>
      </c>
      <c r="M24" s="137">
        <v>0.03</v>
      </c>
      <c r="N24" s="137">
        <v>0.02</v>
      </c>
      <c r="O24" s="166">
        <v>0.02</v>
      </c>
      <c r="P24" s="166">
        <v>0.02</v>
      </c>
      <c r="Q24" s="166">
        <v>0.02</v>
      </c>
      <c r="R24" s="166">
        <v>0.02</v>
      </c>
      <c r="S24" s="166">
        <v>0.02</v>
      </c>
      <c r="T24" s="166">
        <v>0.02</v>
      </c>
      <c r="U24" s="228">
        <v>0.02</v>
      </c>
      <c r="W24" s="259" t="s">
        <v>441</v>
      </c>
      <c r="Y24" s="254" t="s">
        <v>61</v>
      </c>
    </row>
    <row r="25" spans="1:25">
      <c r="A25" s="178"/>
      <c r="B25" s="2" t="s">
        <v>65</v>
      </c>
      <c r="F25" s="2" t="s">
        <v>58</v>
      </c>
      <c r="L25" s="137">
        <v>0.03</v>
      </c>
      <c r="M25" s="137">
        <v>0.03</v>
      </c>
      <c r="N25" s="137">
        <v>0.02</v>
      </c>
      <c r="O25" s="166">
        <v>0.02</v>
      </c>
      <c r="P25" s="166">
        <v>0.02</v>
      </c>
      <c r="Q25" s="166">
        <v>0.02</v>
      </c>
      <c r="R25" s="166">
        <v>0.02</v>
      </c>
      <c r="S25" s="166">
        <v>0.02</v>
      </c>
      <c r="T25" s="166">
        <v>0.02</v>
      </c>
      <c r="W25" s="259" t="s">
        <v>441</v>
      </c>
      <c r="Y25" s="254" t="s">
        <v>518</v>
      </c>
    </row>
    <row r="26" spans="1:25">
      <c r="A26" s="178"/>
      <c r="B26" s="2" t="s">
        <v>66</v>
      </c>
      <c r="F26" s="2" t="s">
        <v>58</v>
      </c>
      <c r="L26" s="137">
        <v>0.03</v>
      </c>
      <c r="M26" s="137">
        <v>0.03</v>
      </c>
      <c r="N26" s="137">
        <v>0.02</v>
      </c>
      <c r="O26" s="166">
        <v>0.02</v>
      </c>
      <c r="P26" s="166">
        <v>0.02</v>
      </c>
      <c r="Q26" s="166">
        <v>0.02</v>
      </c>
      <c r="R26" s="166">
        <v>0.02</v>
      </c>
      <c r="S26" s="166">
        <v>0.02</v>
      </c>
      <c r="T26" s="166">
        <v>0.02</v>
      </c>
      <c r="W26" s="259" t="s">
        <v>441</v>
      </c>
      <c r="Y26" s="255" t="s">
        <v>409</v>
      </c>
    </row>
    <row r="27" spans="1:25">
      <c r="A27" s="178"/>
      <c r="Y27" s="39"/>
    </row>
    <row r="28" spans="1:25" s="171" customFormat="1">
      <c r="B28" s="180" t="s">
        <v>411</v>
      </c>
      <c r="W28" s="160"/>
      <c r="Y28" s="180"/>
    </row>
    <row r="29" spans="1:25">
      <c r="A29" s="227"/>
      <c r="H29" s="243"/>
      <c r="W29" s="80"/>
    </row>
    <row r="30" spans="1:25">
      <c r="A30" s="227"/>
      <c r="B30" s="1" t="s">
        <v>460</v>
      </c>
      <c r="W30" s="80"/>
      <c r="Y30" s="78"/>
    </row>
    <row r="31" spans="1:25" s="243" customFormat="1">
      <c r="B31" s="241" t="s">
        <v>177</v>
      </c>
      <c r="F31" s="267" t="s">
        <v>58</v>
      </c>
      <c r="H31" s="40">
        <v>-0.15</v>
      </c>
      <c r="W31" s="241" t="s">
        <v>461</v>
      </c>
      <c r="Y31" s="168"/>
    </row>
    <row r="32" spans="1:25">
      <c r="A32" s="281"/>
      <c r="B32" s="39" t="s">
        <v>289</v>
      </c>
      <c r="F32" s="2" t="s">
        <v>58</v>
      </c>
      <c r="H32" s="245">
        <v>4.5600000000000002E-2</v>
      </c>
      <c r="J32" s="189"/>
      <c r="W32" s="188" t="s">
        <v>526</v>
      </c>
      <c r="Y32" s="188"/>
    </row>
    <row r="33" spans="1:25">
      <c r="A33" s="281"/>
      <c r="W33" s="80"/>
    </row>
    <row r="34" spans="1:25" s="230" customFormat="1">
      <c r="A34" s="281"/>
      <c r="B34" s="168" t="s">
        <v>422</v>
      </c>
      <c r="U34" s="243"/>
      <c r="W34" s="188"/>
      <c r="Y34" s="188"/>
    </row>
    <row r="35" spans="1:25" s="230" customFormat="1">
      <c r="A35" s="281"/>
      <c r="B35" s="230" t="s">
        <v>381</v>
      </c>
      <c r="F35" s="230" t="s">
        <v>58</v>
      </c>
      <c r="H35" s="245">
        <v>5.7000000000000002E-3</v>
      </c>
      <c r="U35" s="243"/>
      <c r="W35" s="188" t="s">
        <v>525</v>
      </c>
      <c r="Y35" s="188"/>
    </row>
    <row r="36" spans="1:25" s="230" customFormat="1">
      <c r="U36" s="243"/>
      <c r="W36" s="188"/>
      <c r="Y36" s="188"/>
    </row>
    <row r="37" spans="1:25" s="7" customFormat="1">
      <c r="A37" s="171"/>
      <c r="B37" s="75" t="s">
        <v>68</v>
      </c>
      <c r="U37" s="171"/>
      <c r="V37" s="83"/>
      <c r="W37" s="160"/>
      <c r="Y37" s="75"/>
    </row>
    <row r="38" spans="1:25">
      <c r="A38" s="227"/>
      <c r="W38" s="80"/>
    </row>
    <row r="39" spans="1:25">
      <c r="A39" s="227"/>
      <c r="B39" s="1" t="s">
        <v>112</v>
      </c>
      <c r="W39" s="80"/>
      <c r="Y39" s="78"/>
    </row>
    <row r="40" spans="1:25">
      <c r="A40" s="227"/>
      <c r="B40" s="39" t="s">
        <v>81</v>
      </c>
      <c r="F40" s="2" t="s">
        <v>58</v>
      </c>
      <c r="H40" s="102">
        <v>0.5</v>
      </c>
      <c r="W40" s="54" t="s">
        <v>178</v>
      </c>
      <c r="Y40" s="78"/>
    </row>
    <row r="41" spans="1:25">
      <c r="A41" s="227"/>
      <c r="B41" s="2" t="s">
        <v>82</v>
      </c>
      <c r="F41" s="2" t="s">
        <v>58</v>
      </c>
      <c r="H41" s="102">
        <v>0.5</v>
      </c>
      <c r="W41" s="54" t="s">
        <v>179</v>
      </c>
    </row>
    <row r="42" spans="1:25">
      <c r="A42" s="227"/>
      <c r="W42" s="80"/>
    </row>
    <row r="43" spans="1:25">
      <c r="A43" s="227"/>
      <c r="B43" s="1" t="s">
        <v>113</v>
      </c>
      <c r="W43" s="80"/>
      <c r="Y43" s="78"/>
    </row>
    <row r="44" spans="1:25">
      <c r="A44" s="227"/>
      <c r="B44" s="2" t="s">
        <v>114</v>
      </c>
      <c r="F44" s="2" t="s">
        <v>58</v>
      </c>
      <c r="H44" s="102">
        <v>0.5</v>
      </c>
      <c r="W44" s="54" t="s">
        <v>180</v>
      </c>
    </row>
    <row r="45" spans="1:25" ht="12.75" customHeight="1">
      <c r="A45" s="227"/>
      <c r="B45" s="2" t="s">
        <v>115</v>
      </c>
      <c r="F45" s="2" t="s">
        <v>58</v>
      </c>
      <c r="H45" s="102">
        <f>18/52</f>
        <v>0.34615384615384615</v>
      </c>
      <c r="W45" s="54" t="s">
        <v>181</v>
      </c>
    </row>
    <row r="46" spans="1:25">
      <c r="A46" s="227"/>
      <c r="W46" s="80"/>
    </row>
    <row r="47" spans="1:25">
      <c r="A47" s="287"/>
      <c r="B47" s="78" t="s">
        <v>540</v>
      </c>
      <c r="W47" s="80"/>
    </row>
    <row r="48" spans="1:25">
      <c r="A48" s="287"/>
      <c r="B48" s="2" t="s">
        <v>541</v>
      </c>
      <c r="F48" s="2" t="s">
        <v>74</v>
      </c>
      <c r="H48" s="134">
        <v>3</v>
      </c>
      <c r="W48" s="80" t="s">
        <v>182</v>
      </c>
    </row>
  </sheetData>
  <mergeCells count="1">
    <mergeCell ref="B4:E8"/>
  </mergeCells>
  <phoneticPr fontId="34"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rgb="FFCCFFCC"/>
    <pageSetUpPr autoPageBreaks="0"/>
  </sheetPr>
  <dimension ref="A1:Y99"/>
  <sheetViews>
    <sheetView showGridLines="0" zoomScale="85" zoomScaleNormal="85" workbookViewId="0">
      <pane xSplit="6" ySplit="8" topLeftCell="G9" activePane="bottomRight" state="frozen"/>
      <selection pane="topRight"/>
      <selection pane="bottomLeft"/>
      <selection pane="bottomRight"/>
    </sheetView>
  </sheetViews>
  <sheetFormatPr defaultRowHeight="12.75"/>
  <cols>
    <col min="1" max="1" width="4" style="2" customWidth="1"/>
    <col min="2" max="2" width="83.42578125" style="2" customWidth="1"/>
    <col min="3" max="5" width="4.5703125" style="2" customWidth="1"/>
    <col min="6" max="6" width="11.5703125" style="2" customWidth="1"/>
    <col min="7" max="7" width="2.7109375" style="2" customWidth="1"/>
    <col min="8" max="8" width="13.85546875" style="2" customWidth="1"/>
    <col min="9" max="9" width="2.7109375" style="2" customWidth="1"/>
    <col min="10" max="10" width="13.85546875" style="230" customWidth="1"/>
    <col min="11" max="11" width="2.7109375" style="2" hidden="1" customWidth="1"/>
    <col min="12" max="14" width="13" style="2" bestFit="1" customWidth="1"/>
    <col min="15" max="15" width="12.85546875" style="2" customWidth="1"/>
    <col min="16" max="16" width="12.42578125" style="2" customWidth="1"/>
    <col min="17" max="18" width="12.5703125" style="2" customWidth="1"/>
    <col min="19" max="20" width="12.5703125" style="79" customWidth="1"/>
    <col min="21" max="21" width="12.5703125" style="243" customWidth="1"/>
    <col min="22" max="22" width="2.7109375" style="2" customWidth="1"/>
    <col min="23" max="23" width="56.140625" style="2" customWidth="1"/>
    <col min="24" max="24" width="2.7109375" style="2" customWidth="1"/>
    <col min="25" max="25" width="13.7109375" style="2" customWidth="1"/>
    <col min="26" max="26" width="2.7109375" style="2" customWidth="1"/>
    <col min="27" max="41" width="13.7109375" style="2" customWidth="1"/>
    <col min="42" max="16384" width="9.140625" style="2"/>
  </cols>
  <sheetData>
    <row r="1" spans="1:25">
      <c r="A1" s="161"/>
    </row>
    <row r="2" spans="1:25" s="20" customFormat="1" ht="18">
      <c r="B2" s="20" t="s">
        <v>166</v>
      </c>
      <c r="W2" s="200"/>
    </row>
    <row r="3" spans="1:25">
      <c r="A3" s="178"/>
    </row>
    <row r="4" spans="1:25">
      <c r="A4" s="178"/>
      <c r="B4" s="1" t="s">
        <v>28</v>
      </c>
      <c r="C4" s="1"/>
      <c r="D4" s="1"/>
      <c r="W4" s="189"/>
    </row>
    <row r="5" spans="1:25" ht="24.75" customHeight="1">
      <c r="A5" s="178"/>
      <c r="B5" s="297" t="s">
        <v>375</v>
      </c>
      <c r="C5" s="297"/>
      <c r="D5" s="297"/>
      <c r="E5" s="297"/>
      <c r="H5" s="21"/>
      <c r="J5" s="147"/>
    </row>
    <row r="7" spans="1:25" s="7" customFormat="1">
      <c r="B7" s="7" t="s">
        <v>43</v>
      </c>
      <c r="F7" s="7" t="s">
        <v>26</v>
      </c>
      <c r="H7" s="7" t="s">
        <v>27</v>
      </c>
      <c r="J7" s="171" t="s">
        <v>47</v>
      </c>
      <c r="L7" s="72">
        <v>2013</v>
      </c>
      <c r="M7" s="72">
        <v>2014</v>
      </c>
      <c r="N7" s="72">
        <v>2015</v>
      </c>
      <c r="O7" s="72">
        <v>2016</v>
      </c>
      <c r="P7" s="72">
        <v>2017</v>
      </c>
      <c r="Q7" s="72">
        <v>2018</v>
      </c>
      <c r="R7" s="72">
        <v>2019</v>
      </c>
      <c r="S7" s="72">
        <v>2020</v>
      </c>
      <c r="T7" s="72">
        <v>2021</v>
      </c>
      <c r="U7" s="72">
        <v>2022</v>
      </c>
      <c r="W7" s="7" t="s">
        <v>44</v>
      </c>
      <c r="Y7" s="7" t="s">
        <v>45</v>
      </c>
    </row>
    <row r="10" spans="1:25" s="7" customFormat="1">
      <c r="B10" s="7" t="s">
        <v>290</v>
      </c>
      <c r="J10" s="171"/>
      <c r="S10" s="83"/>
      <c r="T10" s="83"/>
      <c r="U10" s="171"/>
      <c r="W10" s="160"/>
    </row>
    <row r="11" spans="1:25">
      <c r="A11" s="178"/>
      <c r="W11" s="80"/>
    </row>
    <row r="12" spans="1:25">
      <c r="A12" s="178"/>
      <c r="B12" s="168" t="s">
        <v>271</v>
      </c>
      <c r="W12" s="80"/>
    </row>
    <row r="13" spans="1:25">
      <c r="A13" s="178"/>
      <c r="B13" s="260" t="s">
        <v>427</v>
      </c>
      <c r="C13" s="147"/>
      <c r="D13" s="147"/>
      <c r="E13" s="147"/>
      <c r="F13" s="241" t="s">
        <v>269</v>
      </c>
      <c r="H13" s="188"/>
      <c r="I13" s="188"/>
      <c r="J13" s="188"/>
      <c r="K13" s="188"/>
      <c r="L13" s="223"/>
      <c r="M13" s="223"/>
      <c r="N13" s="188"/>
      <c r="O13" s="243"/>
      <c r="P13" s="220"/>
      <c r="Q13" s="188"/>
      <c r="R13" s="188"/>
      <c r="S13" s="188"/>
      <c r="T13" s="167">
        <v>330399764.3310312</v>
      </c>
      <c r="U13" s="241"/>
      <c r="W13" s="241" t="s">
        <v>527</v>
      </c>
      <c r="Y13" s="189"/>
    </row>
    <row r="14" spans="1:25">
      <c r="A14" s="178"/>
      <c r="B14" s="260" t="s">
        <v>428</v>
      </c>
      <c r="C14" s="147"/>
      <c r="D14" s="147"/>
      <c r="E14" s="147"/>
      <c r="F14" s="241" t="s">
        <v>269</v>
      </c>
      <c r="H14" s="188"/>
      <c r="I14" s="188"/>
      <c r="J14" s="188"/>
      <c r="K14" s="188"/>
      <c r="L14" s="173"/>
      <c r="M14" s="188"/>
      <c r="N14" s="188"/>
      <c r="O14" s="243"/>
      <c r="P14" s="220"/>
      <c r="Q14" s="188"/>
      <c r="R14" s="188"/>
      <c r="S14" s="188"/>
      <c r="T14" s="167">
        <v>357892606.11765027</v>
      </c>
      <c r="U14" s="241"/>
      <c r="W14" s="241" t="s">
        <v>529</v>
      </c>
    </row>
    <row r="15" spans="1:25">
      <c r="A15" s="178"/>
      <c r="B15" s="2" t="s">
        <v>429</v>
      </c>
      <c r="F15" s="227" t="s">
        <v>269</v>
      </c>
      <c r="H15" s="188"/>
      <c r="I15" s="188"/>
      <c r="J15" s="188"/>
      <c r="K15" s="188"/>
      <c r="L15" s="173"/>
      <c r="M15" s="188"/>
      <c r="N15" s="188"/>
      <c r="O15" s="243"/>
      <c r="P15" s="188"/>
      <c r="Q15" s="188"/>
      <c r="R15" s="188"/>
      <c r="S15" s="277"/>
      <c r="T15" s="167">
        <v>688292370.44868159</v>
      </c>
      <c r="W15" s="241" t="s">
        <v>528</v>
      </c>
    </row>
    <row r="16" spans="1:25" s="79" customFormat="1">
      <c r="A16" s="178"/>
      <c r="H16" s="188"/>
      <c r="I16" s="188"/>
      <c r="J16" s="188"/>
      <c r="K16" s="188"/>
      <c r="L16" s="188"/>
      <c r="M16" s="188"/>
      <c r="N16" s="188"/>
      <c r="O16" s="243"/>
      <c r="P16" s="188"/>
      <c r="Q16" s="188"/>
      <c r="R16" s="188"/>
      <c r="S16" s="277"/>
      <c r="T16" s="188"/>
      <c r="U16" s="241"/>
      <c r="W16" s="80"/>
    </row>
    <row r="17" spans="1:23" s="171" customFormat="1">
      <c r="B17" s="171" t="s">
        <v>291</v>
      </c>
      <c r="W17" s="160"/>
    </row>
    <row r="18" spans="1:23" s="243" customFormat="1">
      <c r="A18" s="178"/>
      <c r="H18" s="241"/>
      <c r="I18" s="241"/>
      <c r="J18" s="241"/>
      <c r="K18" s="241"/>
      <c r="L18" s="241"/>
      <c r="M18" s="241"/>
      <c r="N18" s="241"/>
      <c r="O18" s="241"/>
      <c r="P18" s="241"/>
      <c r="Q18" s="241"/>
      <c r="R18" s="241"/>
      <c r="S18" s="241"/>
      <c r="T18" s="241"/>
      <c r="U18" s="241"/>
      <c r="W18" s="241"/>
    </row>
    <row r="19" spans="1:23" s="243" customFormat="1">
      <c r="A19" s="178"/>
      <c r="B19" s="243" t="s">
        <v>292</v>
      </c>
      <c r="F19" s="243" t="s">
        <v>269</v>
      </c>
      <c r="H19" s="241"/>
      <c r="I19" s="241"/>
      <c r="J19" s="241"/>
      <c r="K19" s="241"/>
      <c r="L19" s="241"/>
      <c r="M19" s="241"/>
      <c r="N19" s="241"/>
      <c r="O19" s="241"/>
      <c r="P19" s="241"/>
      <c r="Q19" s="241"/>
      <c r="R19" s="241"/>
      <c r="S19" s="241"/>
      <c r="T19" s="167">
        <v>176854436.24609789</v>
      </c>
      <c r="U19" s="241"/>
      <c r="W19" s="241" t="s">
        <v>521</v>
      </c>
    </row>
    <row r="20" spans="1:23" s="199" customFormat="1">
      <c r="H20" s="188"/>
      <c r="I20" s="188"/>
      <c r="J20" s="188"/>
      <c r="K20" s="188"/>
      <c r="L20" s="188"/>
      <c r="M20" s="188"/>
      <c r="N20" s="188"/>
      <c r="O20" s="188"/>
      <c r="P20" s="188"/>
      <c r="Q20" s="188"/>
      <c r="R20" s="188"/>
      <c r="S20" s="188"/>
      <c r="T20" s="277"/>
      <c r="U20" s="241"/>
      <c r="W20" s="188"/>
    </row>
    <row r="21" spans="1:23" s="171" customFormat="1">
      <c r="B21" s="171" t="s">
        <v>273</v>
      </c>
      <c r="H21" s="180"/>
      <c r="I21" s="180"/>
      <c r="J21" s="180"/>
      <c r="K21" s="180"/>
      <c r="L21" s="180"/>
      <c r="M21" s="180"/>
      <c r="N21" s="180"/>
      <c r="O21" s="180"/>
      <c r="P21" s="180"/>
      <c r="Q21" s="180"/>
      <c r="R21" s="180"/>
      <c r="S21" s="180"/>
      <c r="T21" s="180"/>
      <c r="U21" s="180"/>
      <c r="W21" s="160"/>
    </row>
    <row r="22" spans="1:23" s="230" customFormat="1">
      <c r="H22" s="188"/>
      <c r="I22" s="188"/>
      <c r="J22" s="188"/>
      <c r="K22" s="188"/>
      <c r="L22" s="188"/>
      <c r="M22" s="188"/>
      <c r="N22" s="188"/>
      <c r="O22" s="188"/>
      <c r="P22" s="188"/>
      <c r="Q22" s="188"/>
      <c r="R22" s="188"/>
      <c r="S22" s="188"/>
      <c r="T22" s="188"/>
      <c r="U22" s="241"/>
      <c r="W22" s="188"/>
    </row>
    <row r="23" spans="1:23" s="230" customFormat="1">
      <c r="B23" s="230" t="s">
        <v>293</v>
      </c>
      <c r="F23" s="230" t="s">
        <v>269</v>
      </c>
      <c r="H23" s="188"/>
      <c r="I23" s="188"/>
      <c r="J23" s="188"/>
      <c r="K23" s="188"/>
      <c r="L23" s="188"/>
      <c r="M23" s="188"/>
      <c r="N23" s="188"/>
      <c r="O23" s="188"/>
      <c r="P23" s="188"/>
      <c r="Q23" s="188"/>
      <c r="R23" s="188"/>
      <c r="S23" s="188"/>
      <c r="T23" s="241"/>
      <c r="U23" s="167">
        <v>851205.079705877</v>
      </c>
      <c r="W23" s="241" t="s">
        <v>410</v>
      </c>
    </row>
    <row r="24" spans="1:23" s="230" customFormat="1">
      <c r="H24" s="188"/>
      <c r="I24" s="188"/>
      <c r="J24" s="188"/>
      <c r="K24" s="188"/>
      <c r="L24" s="188"/>
      <c r="M24" s="188"/>
      <c r="N24" s="188"/>
      <c r="O24" s="188"/>
      <c r="P24" s="188"/>
      <c r="Q24" s="188"/>
      <c r="R24" s="188"/>
      <c r="S24" s="188"/>
      <c r="T24" s="188"/>
      <c r="U24" s="241"/>
      <c r="W24" s="188"/>
    </row>
    <row r="25" spans="1:23" s="7" customFormat="1">
      <c r="B25" s="7" t="s">
        <v>270</v>
      </c>
      <c r="H25" s="180"/>
      <c r="I25" s="180"/>
      <c r="J25" s="180"/>
      <c r="K25" s="180"/>
      <c r="L25" s="180"/>
      <c r="M25" s="180"/>
      <c r="N25" s="180"/>
      <c r="O25" s="180"/>
      <c r="P25" s="180"/>
      <c r="Q25" s="180"/>
      <c r="R25" s="180"/>
      <c r="S25" s="180"/>
      <c r="T25" s="180"/>
      <c r="U25" s="180"/>
      <c r="W25" s="160"/>
    </row>
    <row r="26" spans="1:23">
      <c r="H26" s="188"/>
      <c r="I26" s="188"/>
      <c r="J26" s="188"/>
      <c r="K26" s="188"/>
      <c r="L26" s="188"/>
      <c r="M26" s="188"/>
      <c r="N26" s="188"/>
      <c r="O26" s="188"/>
      <c r="P26" s="188"/>
      <c r="Q26" s="188"/>
      <c r="R26" s="188"/>
      <c r="S26" s="188"/>
      <c r="T26" s="188"/>
      <c r="U26" s="241"/>
      <c r="W26" s="80"/>
    </row>
    <row r="27" spans="1:23" s="202" customFormat="1">
      <c r="B27" s="168" t="s">
        <v>287</v>
      </c>
      <c r="H27" s="188"/>
      <c r="I27" s="188"/>
      <c r="J27" s="188"/>
      <c r="K27" s="188"/>
      <c r="L27" s="188"/>
      <c r="M27" s="188"/>
      <c r="N27" s="188"/>
      <c r="O27" s="188"/>
      <c r="P27" s="188"/>
      <c r="Q27" s="188"/>
      <c r="R27" s="188"/>
      <c r="S27" s="241"/>
      <c r="T27" s="188"/>
      <c r="U27" s="241"/>
      <c r="W27" s="188"/>
    </row>
    <row r="28" spans="1:23">
      <c r="B28" s="2" t="s">
        <v>294</v>
      </c>
      <c r="F28" s="2" t="s">
        <v>269</v>
      </c>
      <c r="H28" s="188"/>
      <c r="I28" s="188"/>
      <c r="J28" s="188"/>
      <c r="K28" s="173"/>
      <c r="L28" s="188"/>
      <c r="M28" s="188"/>
      <c r="N28" s="188"/>
      <c r="O28" s="188"/>
      <c r="P28" s="188"/>
      <c r="Q28" s="241"/>
      <c r="R28" s="188"/>
      <c r="S28" s="241"/>
      <c r="T28" s="241"/>
      <c r="U28" s="167">
        <v>572602.25188050536</v>
      </c>
      <c r="W28" s="241" t="s">
        <v>405</v>
      </c>
    </row>
    <row r="29" spans="1:23" s="199" customFormat="1">
      <c r="B29" s="199" t="s">
        <v>295</v>
      </c>
      <c r="F29" s="199" t="s">
        <v>269</v>
      </c>
      <c r="H29" s="188"/>
      <c r="I29" s="188"/>
      <c r="J29" s="188"/>
      <c r="K29" s="173"/>
      <c r="L29" s="188"/>
      <c r="M29" s="188"/>
      <c r="N29" s="188"/>
      <c r="O29" s="188"/>
      <c r="P29" s="188"/>
      <c r="Q29" s="188"/>
      <c r="R29" s="188"/>
      <c r="S29" s="241"/>
      <c r="T29" s="241"/>
      <c r="U29" s="167">
        <v>53887.077676709901</v>
      </c>
      <c r="W29" s="241" t="s">
        <v>403</v>
      </c>
    </row>
    <row r="30" spans="1:23" s="199" customFormat="1">
      <c r="H30" s="188"/>
      <c r="I30" s="188"/>
      <c r="J30" s="188"/>
      <c r="K30" s="173"/>
      <c r="L30" s="188"/>
      <c r="M30" s="188"/>
      <c r="N30" s="188"/>
      <c r="O30" s="188"/>
      <c r="P30" s="188"/>
      <c r="Q30" s="188"/>
      <c r="R30" s="188"/>
      <c r="S30" s="241"/>
      <c r="T30" s="168"/>
      <c r="U30" s="168"/>
      <c r="W30" s="188"/>
    </row>
    <row r="31" spans="1:23" s="230" customFormat="1">
      <c r="B31" s="168" t="s">
        <v>286</v>
      </c>
      <c r="H31" s="188"/>
      <c r="I31" s="188"/>
      <c r="J31" s="188"/>
      <c r="K31" s="173"/>
      <c r="L31" s="188"/>
      <c r="M31" s="188"/>
      <c r="N31" s="188"/>
      <c r="O31" s="188"/>
      <c r="P31" s="188"/>
      <c r="Q31" s="188"/>
      <c r="R31" s="188"/>
      <c r="S31" s="241"/>
      <c r="T31" s="168"/>
      <c r="U31" s="168"/>
      <c r="W31" s="188"/>
    </row>
    <row r="32" spans="1:23" s="230" customFormat="1">
      <c r="B32" s="241" t="s">
        <v>401</v>
      </c>
      <c r="F32" s="230" t="s">
        <v>269</v>
      </c>
      <c r="H32" s="188"/>
      <c r="I32" s="188"/>
      <c r="J32" s="188"/>
      <c r="K32" s="173"/>
      <c r="L32" s="188"/>
      <c r="M32" s="188"/>
      <c r="N32" s="188"/>
      <c r="O32" s="188"/>
      <c r="P32" s="188"/>
      <c r="Q32" s="188"/>
      <c r="R32" s="188"/>
      <c r="S32" s="241"/>
      <c r="T32" s="168"/>
      <c r="U32" s="167">
        <v>107174.71942895197</v>
      </c>
      <c r="W32" s="241" t="s">
        <v>404</v>
      </c>
    </row>
    <row r="33" spans="1:25" s="238" customFormat="1">
      <c r="A33" s="178"/>
      <c r="B33" s="241" t="s">
        <v>402</v>
      </c>
      <c r="F33" s="238" t="s">
        <v>269</v>
      </c>
      <c r="H33" s="188"/>
      <c r="I33" s="188"/>
      <c r="J33" s="188"/>
      <c r="K33" s="173"/>
      <c r="L33" s="188"/>
      <c r="M33" s="188"/>
      <c r="N33" s="188"/>
      <c r="O33" s="188"/>
      <c r="P33" s="188"/>
      <c r="Q33" s="188"/>
      <c r="R33" s="188"/>
      <c r="S33" s="241"/>
      <c r="T33" s="168"/>
      <c r="U33" s="167">
        <v>35534.025938094856</v>
      </c>
      <c r="W33" s="241" t="s">
        <v>406</v>
      </c>
    </row>
    <row r="34" spans="1:25" s="253" customFormat="1">
      <c r="A34" s="178"/>
      <c r="B34" s="253" t="s">
        <v>563</v>
      </c>
      <c r="F34" s="253" t="s">
        <v>269</v>
      </c>
      <c r="H34" s="241"/>
      <c r="I34" s="241"/>
      <c r="J34" s="241"/>
      <c r="K34" s="173"/>
      <c r="L34" s="241"/>
      <c r="M34" s="241"/>
      <c r="N34" s="241"/>
      <c r="O34" s="241"/>
      <c r="P34" s="241"/>
      <c r="Q34" s="241"/>
      <c r="R34" s="241"/>
      <c r="S34" s="241"/>
      <c r="T34" s="168"/>
      <c r="U34" s="167">
        <v>-15889742.799676977</v>
      </c>
      <c r="W34" s="241" t="s">
        <v>407</v>
      </c>
    </row>
    <row r="35" spans="1:25" s="253" customFormat="1">
      <c r="A35" s="178"/>
      <c r="B35" s="253" t="s">
        <v>564</v>
      </c>
      <c r="F35" s="253" t="s">
        <v>269</v>
      </c>
      <c r="H35" s="241"/>
      <c r="I35" s="241"/>
      <c r="J35" s="241"/>
      <c r="K35" s="173"/>
      <c r="L35" s="241"/>
      <c r="M35" s="241"/>
      <c r="N35" s="241"/>
      <c r="O35" s="241"/>
      <c r="P35" s="241"/>
      <c r="Q35" s="241"/>
      <c r="R35" s="241"/>
      <c r="S35" s="241"/>
      <c r="T35" s="168"/>
      <c r="U35" s="167">
        <v>5009718.2404622538</v>
      </c>
      <c r="W35" s="241" t="s">
        <v>408</v>
      </c>
    </row>
    <row r="36" spans="1:25" s="230" customFormat="1">
      <c r="H36" s="188"/>
      <c r="I36" s="188"/>
      <c r="J36" s="188"/>
      <c r="K36" s="173"/>
      <c r="L36" s="188"/>
      <c r="M36" s="188"/>
      <c r="N36" s="188"/>
      <c r="O36" s="188"/>
      <c r="P36" s="188"/>
      <c r="Q36" s="188"/>
      <c r="R36" s="188"/>
      <c r="S36" s="168"/>
      <c r="T36" s="168"/>
      <c r="U36" s="168"/>
      <c r="W36" s="188"/>
    </row>
    <row r="37" spans="1:25" s="171" customFormat="1">
      <c r="B37" s="171" t="s">
        <v>272</v>
      </c>
      <c r="H37" s="180"/>
      <c r="I37" s="180"/>
      <c r="J37" s="180"/>
      <c r="K37" s="180"/>
      <c r="L37" s="180"/>
      <c r="M37" s="180"/>
      <c r="N37" s="180"/>
      <c r="O37" s="180"/>
      <c r="P37" s="180"/>
      <c r="Q37" s="180"/>
      <c r="R37" s="180"/>
      <c r="S37" s="180"/>
      <c r="T37" s="180"/>
      <c r="U37" s="180"/>
      <c r="W37" s="160"/>
    </row>
    <row r="38" spans="1:25" s="196" customFormat="1">
      <c r="A38" s="178"/>
      <c r="H38" s="188"/>
      <c r="I38" s="188"/>
      <c r="J38" s="188"/>
      <c r="K38" s="188"/>
      <c r="L38" s="188"/>
      <c r="M38" s="188"/>
      <c r="N38" s="188"/>
      <c r="O38" s="188"/>
      <c r="P38" s="188"/>
      <c r="Q38" s="188"/>
      <c r="R38" s="188"/>
      <c r="S38" s="188"/>
      <c r="T38" s="188"/>
      <c r="U38" s="241"/>
      <c r="W38" s="188"/>
      <c r="Y38" s="186"/>
    </row>
    <row r="39" spans="1:25">
      <c r="A39" s="178"/>
      <c r="B39" s="168" t="s">
        <v>209</v>
      </c>
      <c r="H39" s="188"/>
      <c r="I39" s="188"/>
      <c r="J39" s="188"/>
      <c r="K39" s="188"/>
      <c r="L39" s="188"/>
      <c r="M39" s="188"/>
      <c r="N39" s="188"/>
      <c r="O39" s="188"/>
      <c r="P39" s="188"/>
      <c r="Q39" s="188"/>
      <c r="R39" s="188"/>
      <c r="S39" s="188"/>
      <c r="T39" s="188"/>
      <c r="U39" s="241"/>
    </row>
    <row r="40" spans="1:25">
      <c r="A40" s="178"/>
      <c r="B40" s="2" t="s">
        <v>194</v>
      </c>
      <c r="F40" s="2" t="s">
        <v>269</v>
      </c>
      <c r="H40" s="188"/>
      <c r="I40" s="188"/>
      <c r="J40" s="188"/>
      <c r="K40" s="188"/>
      <c r="L40" s="292"/>
      <c r="M40" s="292"/>
      <c r="N40" s="292"/>
      <c r="O40" s="188"/>
      <c r="P40" s="220"/>
      <c r="Q40" s="220"/>
      <c r="R40" s="241"/>
      <c r="S40" s="292"/>
      <c r="T40" s="188"/>
      <c r="U40" s="241"/>
      <c r="W40" s="288" t="s">
        <v>668</v>
      </c>
    </row>
    <row r="41" spans="1:25">
      <c r="A41" s="178"/>
      <c r="B41" s="2" t="s">
        <v>195</v>
      </c>
      <c r="F41" s="2" t="s">
        <v>269</v>
      </c>
      <c r="H41" s="188"/>
      <c r="I41" s="188"/>
      <c r="J41" s="188"/>
      <c r="K41" s="188"/>
      <c r="L41" s="292"/>
      <c r="M41" s="292"/>
      <c r="N41" s="292"/>
      <c r="O41" s="188"/>
      <c r="P41" s="220"/>
      <c r="Q41" s="220"/>
      <c r="R41" s="241"/>
      <c r="S41" s="292"/>
      <c r="T41" s="188"/>
      <c r="U41" s="241"/>
      <c r="W41" s="288" t="s">
        <v>668</v>
      </c>
    </row>
    <row r="42" spans="1:25">
      <c r="A42" s="178"/>
      <c r="B42" s="2" t="s">
        <v>196</v>
      </c>
      <c r="F42" s="2" t="s">
        <v>269</v>
      </c>
      <c r="H42" s="188"/>
      <c r="I42" s="188"/>
      <c r="J42" s="188"/>
      <c r="K42" s="188"/>
      <c r="L42" s="292"/>
      <c r="M42" s="292"/>
      <c r="N42" s="292"/>
      <c r="O42" s="188"/>
      <c r="P42" s="220"/>
      <c r="Q42" s="220"/>
      <c r="R42" s="241"/>
      <c r="S42" s="292"/>
      <c r="T42" s="188"/>
      <c r="U42" s="241"/>
      <c r="W42" s="288" t="s">
        <v>668</v>
      </c>
    </row>
    <row r="43" spans="1:25">
      <c r="A43" s="178"/>
      <c r="H43" s="188"/>
      <c r="I43" s="188"/>
      <c r="J43" s="188"/>
      <c r="K43" s="188"/>
      <c r="L43" s="188"/>
      <c r="M43" s="188"/>
      <c r="N43" s="188"/>
      <c r="O43" s="188"/>
      <c r="P43" s="173"/>
      <c r="Q43" s="173"/>
      <c r="R43" s="241"/>
      <c r="S43" s="188"/>
      <c r="T43" s="188"/>
      <c r="U43" s="241"/>
      <c r="W43" s="288"/>
    </row>
    <row r="44" spans="1:25">
      <c r="A44" s="178"/>
      <c r="B44" s="168" t="s">
        <v>210</v>
      </c>
      <c r="H44" s="188"/>
      <c r="I44" s="188"/>
      <c r="J44" s="188"/>
      <c r="K44" s="188"/>
      <c r="L44" s="188"/>
      <c r="M44" s="188"/>
      <c r="N44" s="188"/>
      <c r="O44" s="188"/>
      <c r="P44" s="173"/>
      <c r="Q44" s="173"/>
      <c r="R44" s="188"/>
      <c r="S44" s="188"/>
      <c r="T44" s="188"/>
      <c r="U44" s="241"/>
      <c r="W44" s="288"/>
    </row>
    <row r="45" spans="1:25">
      <c r="A45" s="178"/>
      <c r="B45" s="2" t="s">
        <v>191</v>
      </c>
      <c r="F45" s="2" t="s">
        <v>269</v>
      </c>
      <c r="H45" s="188"/>
      <c r="I45" s="188"/>
      <c r="J45" s="188"/>
      <c r="K45" s="188"/>
      <c r="L45" s="292"/>
      <c r="M45" s="292"/>
      <c r="N45" s="292"/>
      <c r="O45" s="188"/>
      <c r="P45" s="220"/>
      <c r="Q45" s="220"/>
      <c r="R45" s="241"/>
      <c r="S45" s="292"/>
      <c r="T45" s="188"/>
      <c r="U45" s="241"/>
      <c r="W45" s="288" t="s">
        <v>668</v>
      </c>
    </row>
    <row r="46" spans="1:25">
      <c r="A46" s="178"/>
      <c r="B46" s="2" t="s">
        <v>192</v>
      </c>
      <c r="F46" s="2" t="s">
        <v>269</v>
      </c>
      <c r="H46" s="188"/>
      <c r="I46" s="188"/>
      <c r="J46" s="188"/>
      <c r="K46" s="188"/>
      <c r="L46" s="292"/>
      <c r="M46" s="292"/>
      <c r="N46" s="292"/>
      <c r="O46" s="188"/>
      <c r="P46" s="220"/>
      <c r="Q46" s="220"/>
      <c r="R46" s="241"/>
      <c r="S46" s="292"/>
      <c r="T46" s="188"/>
      <c r="U46" s="241"/>
      <c r="W46" s="288" t="s">
        <v>668</v>
      </c>
    </row>
    <row r="47" spans="1:25">
      <c r="A47" s="178"/>
      <c r="B47" s="2" t="s">
        <v>193</v>
      </c>
      <c r="F47" s="2" t="s">
        <v>269</v>
      </c>
      <c r="H47" s="188"/>
      <c r="I47" s="188"/>
      <c r="J47" s="188"/>
      <c r="K47" s="188"/>
      <c r="L47" s="292"/>
      <c r="M47" s="292"/>
      <c r="N47" s="292"/>
      <c r="O47" s="188"/>
      <c r="P47" s="220"/>
      <c r="Q47" s="220"/>
      <c r="R47" s="241"/>
      <c r="S47" s="292"/>
      <c r="T47" s="188"/>
      <c r="U47" s="241"/>
      <c r="W47" s="288" t="s">
        <v>668</v>
      </c>
    </row>
    <row r="48" spans="1:25">
      <c r="A48" s="178"/>
      <c r="B48" s="241" t="s">
        <v>225</v>
      </c>
      <c r="F48" s="2" t="s">
        <v>269</v>
      </c>
      <c r="H48" s="188"/>
      <c r="I48" s="188"/>
      <c r="J48" s="188"/>
      <c r="K48" s="188"/>
      <c r="L48" s="292"/>
      <c r="M48" s="292"/>
      <c r="N48" s="293"/>
      <c r="O48" s="188"/>
      <c r="P48" s="188"/>
      <c r="Q48" s="188"/>
      <c r="R48" s="188"/>
      <c r="S48" s="188"/>
      <c r="T48" s="188"/>
      <c r="U48" s="241"/>
      <c r="W48" s="288" t="s">
        <v>668</v>
      </c>
      <c r="Y48" s="189"/>
    </row>
    <row r="49" spans="1:25" s="202" customFormat="1">
      <c r="H49" s="188"/>
      <c r="I49" s="188"/>
      <c r="J49" s="188"/>
      <c r="K49" s="188"/>
      <c r="L49" s="188"/>
      <c r="M49" s="188"/>
      <c r="N49" s="188"/>
      <c r="O49" s="188"/>
      <c r="P49" s="188"/>
      <c r="Q49" s="188"/>
      <c r="R49" s="188"/>
      <c r="S49" s="188"/>
      <c r="T49" s="188"/>
      <c r="U49" s="241"/>
      <c r="W49" s="288"/>
      <c r="Y49" s="186"/>
    </row>
    <row r="50" spans="1:25" s="227" customFormat="1">
      <c r="A50" s="178"/>
      <c r="B50" s="168" t="s">
        <v>211</v>
      </c>
      <c r="H50" s="188"/>
      <c r="I50" s="188"/>
      <c r="J50" s="188"/>
      <c r="K50" s="188"/>
      <c r="L50" s="188"/>
      <c r="M50" s="188"/>
      <c r="N50" s="188"/>
      <c r="O50" s="188"/>
      <c r="P50" s="188"/>
      <c r="Q50" s="188"/>
      <c r="R50" s="188"/>
      <c r="T50" s="188"/>
      <c r="U50" s="241"/>
      <c r="W50" s="288"/>
      <c r="Y50" s="186"/>
    </row>
    <row r="51" spans="1:25" s="243" customFormat="1">
      <c r="A51" s="178"/>
      <c r="B51" s="243" t="s">
        <v>306</v>
      </c>
      <c r="F51" s="243" t="s">
        <v>269</v>
      </c>
      <c r="H51" s="241"/>
      <c r="I51" s="241"/>
      <c r="J51" s="241"/>
      <c r="K51" s="241"/>
      <c r="L51" s="241"/>
      <c r="M51" s="241"/>
      <c r="N51" s="241"/>
      <c r="O51" s="241"/>
      <c r="P51" s="241"/>
      <c r="Q51" s="241"/>
      <c r="R51" s="241"/>
      <c r="S51" s="292"/>
      <c r="T51" s="241"/>
      <c r="U51" s="241"/>
      <c r="W51" s="288" t="s">
        <v>668</v>
      </c>
      <c r="Y51" s="186"/>
    </row>
    <row r="52" spans="1:25" s="243" customFormat="1">
      <c r="A52" s="178"/>
      <c r="B52" s="243" t="s">
        <v>307</v>
      </c>
      <c r="F52" s="243" t="s">
        <v>269</v>
      </c>
      <c r="H52" s="241"/>
      <c r="I52" s="241"/>
      <c r="J52" s="241"/>
      <c r="K52" s="241"/>
      <c r="L52" s="241"/>
      <c r="M52" s="241"/>
      <c r="N52" s="241"/>
      <c r="O52" s="241"/>
      <c r="P52" s="241"/>
      <c r="Q52" s="241"/>
      <c r="R52" s="241"/>
      <c r="S52" s="292"/>
      <c r="T52" s="241"/>
      <c r="U52" s="241"/>
      <c r="W52" s="288" t="s">
        <v>668</v>
      </c>
      <c r="Y52" s="186"/>
    </row>
    <row r="53" spans="1:25" s="243" customFormat="1">
      <c r="A53" s="178"/>
      <c r="B53" s="243" t="s">
        <v>308</v>
      </c>
      <c r="F53" s="243" t="s">
        <v>269</v>
      </c>
      <c r="H53" s="241"/>
      <c r="I53" s="241"/>
      <c r="J53" s="241"/>
      <c r="K53" s="241"/>
      <c r="L53" s="241"/>
      <c r="M53" s="241"/>
      <c r="N53" s="241"/>
      <c r="O53" s="241"/>
      <c r="P53" s="241"/>
      <c r="Q53" s="241"/>
      <c r="R53" s="241"/>
      <c r="S53" s="292"/>
      <c r="T53" s="241"/>
      <c r="U53" s="241"/>
      <c r="W53" s="288" t="s">
        <v>668</v>
      </c>
      <c r="Y53" s="186"/>
    </row>
    <row r="54" spans="1:25" s="243" customFormat="1">
      <c r="A54" s="178"/>
      <c r="B54" s="243" t="s">
        <v>309</v>
      </c>
      <c r="F54" s="243" t="s">
        <v>269</v>
      </c>
      <c r="H54" s="241"/>
      <c r="I54" s="241"/>
      <c r="J54" s="241"/>
      <c r="K54" s="241"/>
      <c r="L54" s="241"/>
      <c r="M54" s="241"/>
      <c r="N54" s="241"/>
      <c r="O54" s="241"/>
      <c r="P54" s="241"/>
      <c r="Q54" s="241"/>
      <c r="R54" s="241"/>
      <c r="S54" s="292"/>
      <c r="T54" s="241"/>
      <c r="U54" s="241"/>
      <c r="W54" s="288" t="s">
        <v>668</v>
      </c>
      <c r="Y54" s="186"/>
    </row>
    <row r="55" spans="1:25" s="243" customFormat="1">
      <c r="A55" s="178"/>
      <c r="B55" s="168"/>
      <c r="H55" s="241"/>
      <c r="I55" s="241"/>
      <c r="J55" s="241"/>
      <c r="K55" s="241"/>
      <c r="L55" s="241"/>
      <c r="M55" s="241"/>
      <c r="N55" s="241"/>
      <c r="O55" s="241"/>
      <c r="P55" s="241"/>
      <c r="Q55" s="241"/>
      <c r="R55" s="241"/>
      <c r="S55" s="241"/>
      <c r="T55" s="241"/>
      <c r="U55" s="241"/>
      <c r="W55" s="288"/>
      <c r="Y55" s="186"/>
    </row>
    <row r="56" spans="1:25" s="227" customFormat="1">
      <c r="A56" s="178"/>
      <c r="B56" s="227" t="s">
        <v>296</v>
      </c>
      <c r="F56" s="227" t="s">
        <v>269</v>
      </c>
      <c r="H56" s="188"/>
      <c r="I56" s="188"/>
      <c r="J56" s="188"/>
      <c r="K56" s="188"/>
      <c r="L56" s="188"/>
      <c r="M56" s="188"/>
      <c r="O56" s="188"/>
      <c r="P56" s="188"/>
      <c r="Q56" s="188"/>
      <c r="R56" s="241"/>
      <c r="S56" s="292"/>
      <c r="T56" s="188"/>
      <c r="U56" s="241"/>
      <c r="W56" s="288" t="s">
        <v>668</v>
      </c>
      <c r="Y56" s="186"/>
    </row>
    <row r="57" spans="1:25" s="227" customFormat="1">
      <c r="A57" s="178"/>
      <c r="B57" s="227" t="s">
        <v>297</v>
      </c>
      <c r="F57" s="227" t="s">
        <v>269</v>
      </c>
      <c r="H57" s="188"/>
      <c r="I57" s="188"/>
      <c r="J57" s="188"/>
      <c r="K57" s="188"/>
      <c r="L57" s="188"/>
      <c r="M57" s="188"/>
      <c r="O57" s="188"/>
      <c r="P57" s="188"/>
      <c r="Q57" s="188"/>
      <c r="R57" s="241"/>
      <c r="S57" s="292"/>
      <c r="T57" s="188"/>
      <c r="U57" s="241"/>
      <c r="W57" s="288" t="s">
        <v>668</v>
      </c>
      <c r="Y57" s="186"/>
    </row>
    <row r="58" spans="1:25" s="227" customFormat="1">
      <c r="A58" s="178"/>
      <c r="B58" s="227" t="s">
        <v>298</v>
      </c>
      <c r="F58" s="227" t="s">
        <v>269</v>
      </c>
      <c r="H58" s="188"/>
      <c r="I58" s="188"/>
      <c r="J58" s="188"/>
      <c r="K58" s="188"/>
      <c r="L58" s="188"/>
      <c r="M58" s="188"/>
      <c r="O58" s="188"/>
      <c r="P58" s="188"/>
      <c r="Q58" s="188"/>
      <c r="R58" s="241"/>
      <c r="S58" s="292"/>
      <c r="T58" s="188"/>
      <c r="U58" s="241"/>
      <c r="W58" s="288" t="s">
        <v>668</v>
      </c>
      <c r="Y58" s="186"/>
    </row>
    <row r="59" spans="1:25" s="227" customFormat="1">
      <c r="A59" s="178"/>
      <c r="B59" s="227" t="s">
        <v>299</v>
      </c>
      <c r="F59" s="227" t="s">
        <v>269</v>
      </c>
      <c r="H59" s="188"/>
      <c r="I59" s="188"/>
      <c r="J59" s="188"/>
      <c r="K59" s="188"/>
      <c r="L59" s="188"/>
      <c r="M59" s="188"/>
      <c r="O59" s="188"/>
      <c r="P59" s="188"/>
      <c r="Q59" s="188"/>
      <c r="R59" s="241"/>
      <c r="S59" s="292"/>
      <c r="T59" s="188"/>
      <c r="U59" s="241"/>
      <c r="W59" s="288" t="s">
        <v>668</v>
      </c>
      <c r="Y59" s="186"/>
    </row>
    <row r="60" spans="1:25" s="227" customFormat="1">
      <c r="H60" s="188"/>
      <c r="I60" s="188"/>
      <c r="J60" s="188"/>
      <c r="K60" s="188"/>
      <c r="L60" s="188"/>
      <c r="M60" s="188"/>
      <c r="N60" s="188"/>
      <c r="O60" s="188"/>
      <c r="P60" s="188"/>
      <c r="Q60" s="188"/>
      <c r="R60" s="188"/>
      <c r="S60" s="188"/>
      <c r="T60" s="188"/>
      <c r="U60" s="241"/>
      <c r="W60" s="188"/>
      <c r="Y60" s="186"/>
    </row>
    <row r="61" spans="1:25" s="7" customFormat="1">
      <c r="B61" s="7" t="s">
        <v>228</v>
      </c>
      <c r="H61" s="180"/>
      <c r="I61" s="180"/>
      <c r="J61" s="180"/>
      <c r="K61" s="180"/>
      <c r="L61" s="180"/>
      <c r="M61" s="180"/>
      <c r="N61" s="180"/>
      <c r="O61" s="180"/>
      <c r="P61" s="180"/>
      <c r="Q61" s="180"/>
      <c r="R61" s="180"/>
      <c r="S61" s="180"/>
      <c r="T61" s="180"/>
      <c r="U61" s="180"/>
      <c r="W61" s="160"/>
    </row>
    <row r="62" spans="1:25">
      <c r="H62" s="188"/>
      <c r="I62" s="188"/>
      <c r="J62" s="188"/>
      <c r="K62" s="188"/>
      <c r="L62" s="188"/>
      <c r="M62" s="188"/>
      <c r="N62" s="188"/>
      <c r="O62" s="188"/>
      <c r="P62" s="188"/>
      <c r="Q62" s="188"/>
      <c r="R62" s="188"/>
      <c r="S62" s="188"/>
      <c r="T62" s="188"/>
      <c r="U62" s="241"/>
      <c r="W62" s="80"/>
    </row>
    <row r="63" spans="1:25">
      <c r="B63" s="1" t="s">
        <v>106</v>
      </c>
      <c r="H63" s="188"/>
      <c r="I63" s="188"/>
      <c r="J63" s="188"/>
      <c r="K63" s="188"/>
      <c r="L63" s="188"/>
      <c r="M63" s="188"/>
      <c r="N63" s="188"/>
      <c r="O63" s="188"/>
      <c r="P63" s="188"/>
      <c r="Q63" s="188"/>
      <c r="R63" s="188"/>
      <c r="S63" s="188"/>
      <c r="T63" s="188"/>
      <c r="U63" s="241"/>
      <c r="W63" s="80"/>
    </row>
    <row r="64" spans="1:25">
      <c r="B64" s="2" t="s">
        <v>300</v>
      </c>
      <c r="F64" s="2" t="s">
        <v>269</v>
      </c>
      <c r="H64" s="188"/>
      <c r="I64" s="188"/>
      <c r="J64" s="188"/>
      <c r="K64" s="188"/>
      <c r="L64" s="220"/>
      <c r="M64" s="220"/>
      <c r="N64" s="220"/>
      <c r="O64" s="220"/>
      <c r="P64" s="188"/>
      <c r="R64" s="241"/>
      <c r="S64" s="167">
        <v>15859078.617973084</v>
      </c>
      <c r="T64" s="220"/>
      <c r="U64" s="220"/>
      <c r="W64" s="188" t="s">
        <v>497</v>
      </c>
      <c r="Y64" s="188"/>
    </row>
    <row r="65" spans="1:25">
      <c r="B65" s="2" t="s">
        <v>120</v>
      </c>
      <c r="F65" s="79" t="s">
        <v>269</v>
      </c>
      <c r="H65" s="188"/>
      <c r="I65" s="188"/>
      <c r="J65" s="188"/>
      <c r="K65" s="188"/>
      <c r="L65" s="220"/>
      <c r="M65" s="220"/>
      <c r="N65" s="220"/>
      <c r="O65" s="188"/>
      <c r="P65" s="188"/>
      <c r="Q65" s="167">
        <v>21124302.600000001</v>
      </c>
      <c r="R65" s="167">
        <v>20364643.440000001</v>
      </c>
      <c r="S65" s="167">
        <v>20963010.800000001</v>
      </c>
      <c r="T65" s="220"/>
      <c r="U65" s="220"/>
      <c r="W65" s="188" t="s">
        <v>440</v>
      </c>
    </row>
    <row r="66" spans="1:25">
      <c r="H66" s="188"/>
      <c r="I66" s="188"/>
      <c r="J66" s="188"/>
      <c r="K66" s="188"/>
      <c r="L66" s="188"/>
      <c r="M66" s="188"/>
      <c r="N66" s="220"/>
      <c r="O66" s="188"/>
      <c r="P66" s="220"/>
      <c r="Q66" s="220"/>
      <c r="R66" s="220"/>
      <c r="S66" s="220"/>
      <c r="T66" s="220"/>
      <c r="U66" s="220"/>
      <c r="W66" s="80"/>
    </row>
    <row r="67" spans="1:25">
      <c r="B67" s="1" t="s">
        <v>462</v>
      </c>
      <c r="H67" s="188"/>
      <c r="I67" s="188"/>
      <c r="J67" s="188"/>
      <c r="K67" s="188"/>
      <c r="L67" s="188"/>
      <c r="M67" s="188"/>
      <c r="N67" s="220"/>
      <c r="O67" s="188"/>
      <c r="P67" s="220"/>
      <c r="Q67" s="220"/>
      <c r="R67" s="220"/>
      <c r="S67" s="220"/>
      <c r="T67" s="220"/>
      <c r="U67" s="220"/>
      <c r="W67" s="80"/>
    </row>
    <row r="68" spans="1:25">
      <c r="B68" s="23" t="s">
        <v>463</v>
      </c>
      <c r="F68" s="2" t="s">
        <v>269</v>
      </c>
      <c r="H68" s="188"/>
      <c r="I68" s="188"/>
      <c r="J68" s="188"/>
      <c r="K68" s="188"/>
      <c r="L68" s="220"/>
      <c r="M68" s="220"/>
      <c r="N68" s="220"/>
      <c r="O68" s="188"/>
      <c r="P68" s="188"/>
      <c r="R68" s="220"/>
      <c r="S68" s="167">
        <v>-4998942.8428196041</v>
      </c>
      <c r="T68" s="220"/>
      <c r="U68" s="220"/>
      <c r="W68" s="188" t="s">
        <v>447</v>
      </c>
      <c r="Y68" s="188"/>
    </row>
    <row r="69" spans="1:25">
      <c r="B69" s="2" t="s">
        <v>464</v>
      </c>
      <c r="F69" s="79" t="s">
        <v>269</v>
      </c>
      <c r="H69" s="188"/>
      <c r="I69" s="188"/>
      <c r="J69" s="188"/>
      <c r="K69" s="188"/>
      <c r="L69" s="220"/>
      <c r="M69" s="220"/>
      <c r="N69" s="220"/>
      <c r="O69" s="188"/>
      <c r="P69" s="188"/>
      <c r="Q69" s="167">
        <v>-10082448.097243795</v>
      </c>
      <c r="R69" s="167">
        <v>-8352546.3211448845</v>
      </c>
      <c r="S69" s="167">
        <v>-10170981.465065157</v>
      </c>
      <c r="T69" s="220"/>
      <c r="U69" s="220"/>
      <c r="W69" s="188" t="s">
        <v>321</v>
      </c>
      <c r="Y69" s="81"/>
    </row>
    <row r="70" spans="1:25" s="202" customFormat="1">
      <c r="H70" s="188"/>
      <c r="I70" s="188"/>
      <c r="J70" s="188"/>
      <c r="K70" s="188"/>
      <c r="L70" s="188"/>
      <c r="M70" s="188"/>
      <c r="N70" s="188"/>
      <c r="O70" s="188"/>
      <c r="P70" s="188"/>
      <c r="Q70" s="188"/>
      <c r="R70" s="188"/>
      <c r="S70" s="188"/>
      <c r="T70" s="188"/>
      <c r="U70" s="241"/>
      <c r="W70" s="188"/>
      <c r="Y70" s="186"/>
    </row>
    <row r="71" spans="1:25" s="7" customFormat="1">
      <c r="A71" s="171"/>
      <c r="B71" s="180" t="s">
        <v>542</v>
      </c>
      <c r="H71" s="180"/>
      <c r="I71" s="180"/>
      <c r="J71" s="180"/>
      <c r="K71" s="180"/>
      <c r="L71" s="180"/>
      <c r="M71" s="180"/>
      <c r="N71" s="180"/>
      <c r="O71" s="180"/>
      <c r="P71" s="180"/>
      <c r="Q71" s="180"/>
      <c r="R71" s="180"/>
      <c r="S71" s="180"/>
      <c r="T71" s="180"/>
      <c r="U71" s="180"/>
      <c r="W71" s="160"/>
    </row>
    <row r="72" spans="1:25">
      <c r="H72" s="188"/>
      <c r="I72" s="188"/>
      <c r="J72" s="188"/>
      <c r="K72" s="188"/>
      <c r="L72" s="188"/>
      <c r="M72" s="188"/>
      <c r="N72" s="188"/>
      <c r="O72" s="188"/>
      <c r="P72" s="188"/>
      <c r="Q72" s="188"/>
      <c r="R72" s="188"/>
      <c r="S72" s="188"/>
      <c r="T72" s="188"/>
      <c r="U72" s="241"/>
      <c r="W72" s="80"/>
    </row>
    <row r="73" spans="1:25">
      <c r="B73" s="241" t="s">
        <v>359</v>
      </c>
      <c r="F73" s="2" t="s">
        <v>269</v>
      </c>
      <c r="H73" s="188"/>
      <c r="I73" s="188"/>
      <c r="J73" s="188"/>
      <c r="K73" s="188"/>
      <c r="L73" s="188"/>
      <c r="M73" s="188"/>
      <c r="N73" s="188"/>
      <c r="O73" s="188"/>
      <c r="P73" s="188"/>
      <c r="Q73" s="188"/>
      <c r="R73" s="188"/>
      <c r="S73" s="241"/>
      <c r="T73" s="241"/>
      <c r="U73" s="167">
        <v>75000000</v>
      </c>
      <c r="W73" s="188" t="s">
        <v>264</v>
      </c>
      <c r="Y73" s="164" t="s">
        <v>360</v>
      </c>
    </row>
    <row r="74" spans="1:25">
      <c r="A74" s="178"/>
      <c r="H74" s="188"/>
      <c r="I74" s="188"/>
      <c r="J74" s="188"/>
      <c r="K74" s="173"/>
      <c r="L74" s="241"/>
      <c r="M74" s="241"/>
      <c r="N74" s="241"/>
      <c r="O74" s="241"/>
      <c r="P74" s="188"/>
      <c r="Q74" s="188"/>
      <c r="R74" s="173"/>
      <c r="S74" s="173"/>
      <c r="T74" s="173"/>
      <c r="U74" s="173"/>
      <c r="V74" s="8"/>
      <c r="W74" s="29"/>
    </row>
    <row r="75" spans="1:25">
      <c r="A75" s="178"/>
      <c r="B75" s="2" t="s">
        <v>544</v>
      </c>
      <c r="F75" s="2" t="s">
        <v>269</v>
      </c>
      <c r="H75" s="76"/>
      <c r="I75" s="188"/>
      <c r="J75" s="76"/>
      <c r="K75" s="173"/>
      <c r="L75" s="241"/>
      <c r="M75" s="241"/>
      <c r="N75" s="241"/>
      <c r="O75" s="241"/>
      <c r="P75" s="241"/>
      <c r="Q75" s="167">
        <v>54737415.890000001</v>
      </c>
      <c r="R75" s="167">
        <v>31996981.02</v>
      </c>
      <c r="S75" s="167">
        <v>36719457</v>
      </c>
      <c r="T75" s="173"/>
      <c r="U75" s="173"/>
      <c r="V75" s="8"/>
      <c r="W75" s="80" t="s">
        <v>469</v>
      </c>
      <c r="Y75" s="80"/>
    </row>
    <row r="76" spans="1:25">
      <c r="A76" s="178"/>
      <c r="L76" s="241"/>
      <c r="M76" s="241"/>
      <c r="N76" s="241"/>
      <c r="O76" s="241"/>
      <c r="P76" s="241"/>
    </row>
    <row r="77" spans="1:25" s="285" customFormat="1">
      <c r="A77" s="178"/>
      <c r="B77" s="285" t="s">
        <v>567</v>
      </c>
      <c r="F77" s="285" t="s">
        <v>269</v>
      </c>
      <c r="L77" s="241"/>
      <c r="M77" s="241"/>
      <c r="N77" s="241"/>
      <c r="O77" s="241"/>
      <c r="P77" s="241"/>
      <c r="U77" s="215">
        <v>0</v>
      </c>
      <c r="W77" s="285" t="s">
        <v>568</v>
      </c>
      <c r="Y77" s="285" t="s">
        <v>570</v>
      </c>
    </row>
    <row r="78" spans="1:25" s="285" customFormat="1">
      <c r="A78" s="178"/>
      <c r="L78" s="241"/>
      <c r="M78" s="241"/>
      <c r="N78" s="241"/>
      <c r="O78" s="241"/>
      <c r="P78" s="241"/>
    </row>
    <row r="79" spans="1:25" s="171" customFormat="1">
      <c r="B79" s="171" t="s">
        <v>376</v>
      </c>
      <c r="P79" s="35"/>
    </row>
    <row r="80" spans="1:25" s="243" customFormat="1"/>
    <row r="81" spans="1:23" s="243" customFormat="1">
      <c r="B81" s="251" t="s">
        <v>73</v>
      </c>
      <c r="L81" s="241"/>
      <c r="M81" s="241"/>
      <c r="N81" s="241"/>
    </row>
    <row r="82" spans="1:23" s="243" customFormat="1">
      <c r="A82" s="281"/>
      <c r="B82" s="250" t="s">
        <v>69</v>
      </c>
      <c r="F82" s="243" t="s">
        <v>74</v>
      </c>
      <c r="H82" s="40">
        <v>21.83</v>
      </c>
      <c r="L82" s="241"/>
      <c r="M82" s="241"/>
      <c r="N82" s="241"/>
      <c r="P82" s="189"/>
      <c r="W82" s="269" t="s">
        <v>535</v>
      </c>
    </row>
    <row r="83" spans="1:23" s="243" customFormat="1">
      <c r="A83" s="281"/>
      <c r="B83" s="250" t="s">
        <v>131</v>
      </c>
      <c r="F83" s="243" t="s">
        <v>74</v>
      </c>
      <c r="H83" s="271">
        <v>1178290</v>
      </c>
      <c r="L83" s="241"/>
      <c r="M83" s="241"/>
      <c r="N83" s="241"/>
      <c r="W83" s="281" t="s">
        <v>535</v>
      </c>
    </row>
    <row r="84" spans="1:23" s="243" customFormat="1">
      <c r="A84" s="281"/>
      <c r="B84" s="250" t="s">
        <v>93</v>
      </c>
      <c r="F84" s="243" t="s">
        <v>74</v>
      </c>
      <c r="H84" s="271">
        <v>10813574</v>
      </c>
      <c r="L84" s="241"/>
      <c r="M84" s="241"/>
      <c r="N84" s="241"/>
      <c r="P84" s="241"/>
      <c r="W84" s="281" t="s">
        <v>535</v>
      </c>
    </row>
    <row r="85" spans="1:23" s="243" customFormat="1">
      <c r="A85" s="281"/>
      <c r="B85" s="250" t="s">
        <v>94</v>
      </c>
      <c r="F85" s="243" t="s">
        <v>74</v>
      </c>
      <c r="H85" s="271">
        <v>163453</v>
      </c>
      <c r="L85" s="241"/>
      <c r="M85" s="241"/>
      <c r="N85" s="241"/>
      <c r="P85" s="189"/>
      <c r="W85" s="281" t="s">
        <v>535</v>
      </c>
    </row>
    <row r="86" spans="1:23">
      <c r="A86" s="281"/>
      <c r="B86" s="250" t="s">
        <v>373</v>
      </c>
      <c r="F86" s="243" t="s">
        <v>74</v>
      </c>
      <c r="H86" s="271">
        <v>2393696</v>
      </c>
      <c r="W86" s="281" t="s">
        <v>535</v>
      </c>
    </row>
    <row r="87" spans="1:23" s="243" customFormat="1">
      <c r="A87" s="281"/>
      <c r="B87" s="250"/>
      <c r="H87" s="269"/>
      <c r="W87" s="189"/>
    </row>
    <row r="88" spans="1:23">
      <c r="A88" s="281"/>
      <c r="B88" s="251" t="s">
        <v>75</v>
      </c>
      <c r="H88" s="269"/>
      <c r="W88" s="189"/>
    </row>
    <row r="89" spans="1:23">
      <c r="A89" s="281"/>
      <c r="B89" s="250" t="s">
        <v>69</v>
      </c>
      <c r="F89" s="243" t="s">
        <v>74</v>
      </c>
      <c r="H89" s="40">
        <v>93.92</v>
      </c>
      <c r="W89" s="281" t="s">
        <v>535</v>
      </c>
    </row>
    <row r="90" spans="1:23">
      <c r="A90" s="281"/>
      <c r="B90" s="250" t="s">
        <v>131</v>
      </c>
      <c r="F90" s="243" t="s">
        <v>74</v>
      </c>
      <c r="H90" s="271">
        <v>14701067</v>
      </c>
      <c r="W90" s="281" t="s">
        <v>535</v>
      </c>
    </row>
    <row r="91" spans="1:23">
      <c r="A91" s="281"/>
      <c r="B91" s="250" t="s">
        <v>93</v>
      </c>
      <c r="F91" s="243" t="s">
        <v>74</v>
      </c>
      <c r="H91" s="271">
        <v>144038838</v>
      </c>
      <c r="W91" s="281" t="s">
        <v>535</v>
      </c>
    </row>
    <row r="92" spans="1:23">
      <c r="A92" s="281"/>
      <c r="B92" s="250" t="s">
        <v>94</v>
      </c>
      <c r="F92" s="243" t="s">
        <v>74</v>
      </c>
      <c r="H92" s="271">
        <v>355537</v>
      </c>
      <c r="W92" s="281" t="s">
        <v>535</v>
      </c>
    </row>
    <row r="93" spans="1:23">
      <c r="A93" s="281"/>
      <c r="B93" s="250" t="s">
        <v>373</v>
      </c>
      <c r="F93" s="243" t="s">
        <v>74</v>
      </c>
      <c r="H93" s="271">
        <v>2930912</v>
      </c>
      <c r="W93" s="281" t="s">
        <v>535</v>
      </c>
    </row>
    <row r="95" spans="1:23" s="171" customFormat="1">
      <c r="B95" s="171" t="s">
        <v>548</v>
      </c>
    </row>
    <row r="97" spans="2:23">
      <c r="B97" s="241" t="s">
        <v>555</v>
      </c>
      <c r="F97" s="2" t="s">
        <v>269</v>
      </c>
      <c r="U97" s="167">
        <v>1372717.680010404</v>
      </c>
      <c r="W97" s="2" t="s">
        <v>557</v>
      </c>
    </row>
    <row r="98" spans="2:23">
      <c r="B98" s="241" t="s">
        <v>562</v>
      </c>
      <c r="F98" s="2" t="s">
        <v>269</v>
      </c>
      <c r="U98" s="167">
        <v>-10690533.487846825</v>
      </c>
      <c r="W98" s="2" t="s">
        <v>556</v>
      </c>
    </row>
    <row r="99" spans="2:23">
      <c r="B99" s="2" t="s">
        <v>554</v>
      </c>
      <c r="F99" s="2" t="s">
        <v>269</v>
      </c>
      <c r="U99" s="167">
        <v>734758981.72247994</v>
      </c>
      <c r="W99" s="2" t="s">
        <v>550</v>
      </c>
    </row>
  </sheetData>
  <mergeCells count="1">
    <mergeCell ref="B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rgb="FFCCFFCC"/>
    <pageSetUpPr autoPageBreaks="0"/>
  </sheetPr>
  <dimension ref="A1:V32"/>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62.4257812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18" width="53.42578125" style="2" bestFit="1" customWidth="1"/>
    <col min="19" max="19" width="2.7109375" style="2" customWidth="1"/>
    <col min="20" max="32" width="13.7109375" style="2" customWidth="1"/>
    <col min="33" max="16384" width="9.140625" style="2"/>
  </cols>
  <sheetData>
    <row r="1" spans="1:20">
      <c r="A1" s="227"/>
    </row>
    <row r="2" spans="1:20" s="20" customFormat="1" ht="18">
      <c r="B2" s="71" t="s">
        <v>517</v>
      </c>
    </row>
    <row r="3" spans="1:20">
      <c r="A3" s="227"/>
      <c r="B3" s="21"/>
    </row>
    <row r="4" spans="1:20" s="79" customFormat="1" ht="12.75" customHeight="1">
      <c r="A4" s="227"/>
      <c r="B4" s="297" t="s">
        <v>516</v>
      </c>
      <c r="C4" s="297"/>
      <c r="D4" s="297"/>
      <c r="E4" s="297"/>
      <c r="F4" s="297"/>
    </row>
    <row r="5" spans="1:20" s="79" customFormat="1">
      <c r="A5" s="227"/>
      <c r="B5" s="297"/>
      <c r="C5" s="297"/>
      <c r="D5" s="297"/>
      <c r="E5" s="297"/>
      <c r="F5" s="297"/>
    </row>
    <row r="6" spans="1:20" s="79" customFormat="1">
      <c r="A6" s="227"/>
      <c r="B6" s="297"/>
      <c r="C6" s="297"/>
      <c r="D6" s="297"/>
      <c r="E6" s="297"/>
      <c r="F6" s="297"/>
    </row>
    <row r="7" spans="1:20" s="79" customFormat="1">
      <c r="A7" s="227"/>
      <c r="B7" s="297"/>
      <c r="C7" s="297"/>
      <c r="D7" s="297"/>
      <c r="E7" s="297"/>
      <c r="F7" s="297"/>
    </row>
    <row r="8" spans="1:20" s="268" customFormat="1">
      <c r="B8" s="297"/>
      <c r="C8" s="297"/>
      <c r="D8" s="297"/>
      <c r="E8" s="297"/>
      <c r="F8" s="297"/>
    </row>
    <row r="9" spans="1:20" s="79" customFormat="1">
      <c r="A9" s="227"/>
      <c r="B9" s="262"/>
      <c r="C9" s="262"/>
      <c r="D9" s="262"/>
      <c r="E9" s="262"/>
      <c r="F9" s="262"/>
    </row>
    <row r="10" spans="1:20" s="7" customFormat="1" ht="38.25">
      <c r="A10" s="171"/>
      <c r="B10" s="7" t="s">
        <v>43</v>
      </c>
      <c r="F10" s="7" t="s">
        <v>26</v>
      </c>
      <c r="H10" s="7" t="s">
        <v>27</v>
      </c>
      <c r="J10" s="7" t="s">
        <v>47</v>
      </c>
      <c r="L10" s="41" t="s">
        <v>69</v>
      </c>
      <c r="M10" s="31" t="s">
        <v>171</v>
      </c>
      <c r="N10" s="31" t="s">
        <v>71</v>
      </c>
      <c r="O10" s="31" t="s">
        <v>170</v>
      </c>
      <c r="P10" s="31" t="s">
        <v>116</v>
      </c>
      <c r="R10" s="7" t="s">
        <v>44</v>
      </c>
      <c r="T10" s="7" t="s">
        <v>45</v>
      </c>
    </row>
    <row r="11" spans="1:20">
      <c r="A11" s="227"/>
    </row>
    <row r="12" spans="1:20">
      <c r="A12" s="227"/>
    </row>
    <row r="13" spans="1:20" s="7" customFormat="1">
      <c r="A13" s="171"/>
      <c r="B13" s="7" t="s">
        <v>520</v>
      </c>
    </row>
    <row r="14" spans="1:20">
      <c r="A14" s="227"/>
    </row>
    <row r="15" spans="1:20">
      <c r="A15" s="227"/>
      <c r="B15" s="1" t="s">
        <v>73</v>
      </c>
    </row>
    <row r="16" spans="1:20">
      <c r="A16" s="278"/>
      <c r="B16" s="23" t="s">
        <v>301</v>
      </c>
      <c r="F16" s="2" t="s">
        <v>130</v>
      </c>
      <c r="L16" s="222">
        <v>12478.96</v>
      </c>
      <c r="M16" s="222">
        <v>13.29</v>
      </c>
      <c r="N16" s="222">
        <v>1.35</v>
      </c>
      <c r="O16" s="222">
        <v>6.65</v>
      </c>
      <c r="P16" s="222">
        <v>0.47</v>
      </c>
      <c r="R16" s="188" t="s">
        <v>448</v>
      </c>
      <c r="T16" s="189"/>
    </row>
    <row r="17" spans="1:22">
      <c r="A17" s="227"/>
      <c r="B17" s="23"/>
      <c r="R17" s="80"/>
    </row>
    <row r="18" spans="1:22" s="79" customFormat="1">
      <c r="A18" s="227"/>
      <c r="B18" s="80" t="s">
        <v>303</v>
      </c>
      <c r="F18" s="187" t="s">
        <v>130</v>
      </c>
      <c r="H18" s="167">
        <v>281400.54800000001</v>
      </c>
      <c r="J18" s="189"/>
      <c r="R18" s="188" t="s">
        <v>449</v>
      </c>
    </row>
    <row r="19" spans="1:22" s="79" customFormat="1">
      <c r="A19" s="227"/>
      <c r="B19" s="246" t="s">
        <v>302</v>
      </c>
      <c r="F19" s="187" t="s">
        <v>130</v>
      </c>
      <c r="H19" s="167">
        <v>35372750.360434361</v>
      </c>
      <c r="J19" s="189"/>
      <c r="R19" s="188" t="s">
        <v>450</v>
      </c>
      <c r="T19" s="146" t="s">
        <v>224</v>
      </c>
    </row>
    <row r="20" spans="1:22" s="79" customFormat="1">
      <c r="A20" s="227"/>
      <c r="B20" s="80"/>
      <c r="H20" s="34"/>
      <c r="R20" s="80"/>
    </row>
    <row r="21" spans="1:22">
      <c r="A21" s="227"/>
      <c r="B21" s="1" t="s">
        <v>75</v>
      </c>
      <c r="R21" s="80"/>
    </row>
    <row r="22" spans="1:22">
      <c r="A22" s="227"/>
      <c r="B22" s="23" t="s">
        <v>301</v>
      </c>
      <c r="F22" s="187" t="s">
        <v>130</v>
      </c>
      <c r="L22" s="40">
        <v>2760</v>
      </c>
      <c r="M22" s="40">
        <v>23.58</v>
      </c>
      <c r="N22" s="40">
        <v>2.29</v>
      </c>
      <c r="O22" s="40">
        <v>11.79</v>
      </c>
      <c r="P22" s="40">
        <v>0.79</v>
      </c>
      <c r="R22" s="188" t="s">
        <v>451</v>
      </c>
      <c r="T22" s="189"/>
    </row>
    <row r="23" spans="1:22">
      <c r="A23" s="227"/>
      <c r="B23" s="23"/>
      <c r="R23" s="80"/>
    </row>
    <row r="24" spans="1:22" s="79" customFormat="1">
      <c r="A24" s="227"/>
      <c r="B24" s="80" t="s">
        <v>304</v>
      </c>
      <c r="F24" s="187" t="s">
        <v>130</v>
      </c>
      <c r="H24" s="167">
        <v>252705.6</v>
      </c>
      <c r="J24" s="189"/>
      <c r="R24" s="188" t="s">
        <v>452</v>
      </c>
    </row>
    <row r="25" spans="1:22">
      <c r="A25" s="227"/>
      <c r="B25" s="29" t="s">
        <v>305</v>
      </c>
      <c r="C25" s="29"/>
      <c r="D25" s="29"/>
      <c r="E25" s="29"/>
      <c r="F25" s="187" t="s">
        <v>130</v>
      </c>
      <c r="G25" s="29"/>
      <c r="H25" s="167">
        <v>709398315.7332623</v>
      </c>
      <c r="J25" s="189"/>
      <c r="L25" s="42"/>
      <c r="M25" s="42"/>
      <c r="N25" s="42"/>
      <c r="O25" s="42"/>
      <c r="P25" s="42"/>
      <c r="R25" s="188" t="s">
        <v>453</v>
      </c>
    </row>
    <row r="26" spans="1:22">
      <c r="A26" s="178"/>
      <c r="B26" s="298"/>
      <c r="C26" s="298"/>
      <c r="D26" s="8"/>
      <c r="E26" s="8"/>
      <c r="F26" s="8"/>
      <c r="G26" s="8"/>
      <c r="H26" s="76"/>
      <c r="T26" s="21"/>
    </row>
    <row r="27" spans="1:22">
      <c r="B27" s="298"/>
      <c r="C27" s="298"/>
      <c r="D27" s="8"/>
      <c r="E27" s="8"/>
      <c r="F27" s="8"/>
      <c r="G27" s="8"/>
      <c r="H27" s="76"/>
      <c r="Q27" s="201"/>
      <c r="R27" s="201"/>
      <c r="S27" s="201"/>
    </row>
    <row r="28" spans="1:22">
      <c r="B28" s="8"/>
      <c r="C28" s="8"/>
      <c r="D28" s="8"/>
      <c r="E28" s="8"/>
      <c r="F28" s="8"/>
      <c r="G28" s="8"/>
      <c r="H28" s="8"/>
    </row>
    <row r="31" spans="1:22">
      <c r="Q31" s="201"/>
      <c r="R31" s="201"/>
      <c r="S31" s="201"/>
      <c r="T31" s="201"/>
      <c r="U31" s="201"/>
      <c r="V31" s="201"/>
    </row>
    <row r="32" spans="1:22">
      <c r="L32" s="201"/>
      <c r="M32" s="201"/>
      <c r="N32" s="201"/>
      <c r="O32" s="201"/>
      <c r="P32" s="201"/>
    </row>
  </sheetData>
  <mergeCells count="3">
    <mergeCell ref="B26:C26"/>
    <mergeCell ref="B27:C27"/>
    <mergeCell ref="B4:F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0" tint="-4.9989318521683403E-2"/>
    <pageSetUpPr autoPageBreaks="0"/>
  </sheetPr>
  <dimension ref="A1"/>
  <sheetViews>
    <sheetView showGridLines="0" zoomScale="90" zoomScaleNormal="90" workbookViewId="0"/>
  </sheetViews>
  <sheetFormatPr defaultRowHeight="12.75"/>
  <cols>
    <col min="1" max="16384" width="9.140625" style="22"/>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FFFFCC"/>
    <pageSetUpPr autoPageBreaks="0" fitToPage="1"/>
  </sheetPr>
  <dimension ref="A1:W57"/>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cols>
    <col min="1" max="1" width="4" style="2" customWidth="1"/>
    <col min="2" max="2" width="57.1406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2.5703125" style="2" customWidth="1"/>
    <col min="21" max="21" width="12.5703125" style="243" customWidth="1"/>
    <col min="22" max="22" width="2.7109375" style="2" customWidth="1"/>
    <col min="23" max="23" width="18" style="2" customWidth="1"/>
    <col min="24" max="36" width="13.7109375" style="2" customWidth="1"/>
    <col min="37" max="16384" width="9.140625" style="2"/>
  </cols>
  <sheetData>
    <row r="1" spans="1:23">
      <c r="A1" s="178"/>
    </row>
    <row r="2" spans="1:23" s="20" customFormat="1" ht="18">
      <c r="B2" s="20" t="s">
        <v>156</v>
      </c>
    </row>
    <row r="3" spans="1:23">
      <c r="A3" s="227"/>
    </row>
    <row r="4" spans="1:23" s="79" customFormat="1" ht="12.75" customHeight="1">
      <c r="A4" s="227"/>
      <c r="B4" s="295" t="s">
        <v>498</v>
      </c>
      <c r="C4" s="296"/>
      <c r="D4" s="296"/>
      <c r="E4" s="296"/>
      <c r="U4" s="243"/>
    </row>
    <row r="5" spans="1:23" s="79" customFormat="1">
      <c r="A5" s="227"/>
      <c r="B5" s="296"/>
      <c r="C5" s="296"/>
      <c r="D5" s="296"/>
      <c r="E5" s="296"/>
      <c r="U5" s="243"/>
    </row>
    <row r="6" spans="1:23" s="79" customFormat="1">
      <c r="A6" s="227"/>
      <c r="B6" s="296"/>
      <c r="C6" s="296"/>
      <c r="D6" s="296"/>
      <c r="E6" s="296"/>
      <c r="U6" s="243"/>
    </row>
    <row r="7" spans="1:23" s="79" customFormat="1">
      <c r="A7" s="227"/>
      <c r="B7" s="296"/>
      <c r="C7" s="296"/>
      <c r="D7" s="296"/>
      <c r="E7" s="296"/>
      <c r="U7" s="243"/>
    </row>
    <row r="8" spans="1:23">
      <c r="A8" s="227"/>
      <c r="B8" s="81"/>
      <c r="C8" s="23"/>
      <c r="D8" s="23"/>
      <c r="H8" s="21"/>
    </row>
    <row r="9" spans="1:23" s="7" customFormat="1">
      <c r="A9" s="171"/>
      <c r="B9" s="7" t="s">
        <v>43</v>
      </c>
      <c r="F9" s="7" t="s">
        <v>26</v>
      </c>
      <c r="H9" s="7" t="s">
        <v>27</v>
      </c>
      <c r="J9" s="7" t="s">
        <v>47</v>
      </c>
      <c r="L9" s="72">
        <v>2013</v>
      </c>
      <c r="M9" s="72">
        <v>2014</v>
      </c>
      <c r="N9" s="72">
        <v>2015</v>
      </c>
      <c r="O9" s="72">
        <v>2016</v>
      </c>
      <c r="P9" s="72">
        <v>2017</v>
      </c>
      <c r="Q9" s="72">
        <v>2018</v>
      </c>
      <c r="R9" s="72">
        <v>2019</v>
      </c>
      <c r="S9" s="72">
        <v>2020</v>
      </c>
      <c r="T9" s="72">
        <v>2021</v>
      </c>
      <c r="U9" s="72">
        <v>2022</v>
      </c>
      <c r="W9" s="7" t="s">
        <v>45</v>
      </c>
    </row>
    <row r="10" spans="1:23">
      <c r="A10" s="227"/>
    </row>
    <row r="11" spans="1:23" s="79" customFormat="1">
      <c r="A11" s="227"/>
      <c r="U11" s="243"/>
    </row>
    <row r="12" spans="1:23" s="7" customFormat="1">
      <c r="A12" s="171"/>
      <c r="B12" s="7" t="s">
        <v>46</v>
      </c>
      <c r="U12" s="171"/>
    </row>
    <row r="13" spans="1:23">
      <c r="A13" s="227"/>
    </row>
    <row r="14" spans="1:23">
      <c r="A14" s="227"/>
      <c r="B14" s="1" t="s">
        <v>377</v>
      </c>
    </row>
    <row r="15" spans="1:23">
      <c r="A15" s="227"/>
      <c r="B15" s="2" t="s">
        <v>111</v>
      </c>
      <c r="F15" s="2" t="s">
        <v>58</v>
      </c>
      <c r="L15" s="88">
        <f>'Tab 9_Parameters'!L16</f>
        <v>2.3E-2</v>
      </c>
      <c r="M15" s="88">
        <f>'Tab 9_Parameters'!M16</f>
        <v>2.8000000000000001E-2</v>
      </c>
      <c r="N15" s="88">
        <f>'Tab 9_Parameters'!N16</f>
        <v>0.01</v>
      </c>
      <c r="O15" s="88">
        <f>'Tab 9_Parameters'!O16</f>
        <v>8.0000000000000002E-3</v>
      </c>
      <c r="P15" s="88">
        <f>'Tab 9_Parameters'!P16</f>
        <v>2E-3</v>
      </c>
      <c r="Q15" s="88">
        <f>'Tab 9_Parameters'!Q16</f>
        <v>1.4E-2</v>
      </c>
      <c r="R15" s="88">
        <f>'Tab 9_Parameters'!R16</f>
        <v>2.1000000000000001E-2</v>
      </c>
      <c r="S15" s="88">
        <f>'Tab 9_Parameters'!S16</f>
        <v>2.8000000000000001E-2</v>
      </c>
      <c r="T15" s="88">
        <f>'Tab 9_Parameters'!T16</f>
        <v>7.0000000000000001E-3</v>
      </c>
      <c r="U15" s="88">
        <f>'Tab 9_Parameters'!U16</f>
        <v>2.4E-2</v>
      </c>
      <c r="W15" s="80"/>
    </row>
    <row r="16" spans="1:23">
      <c r="A16" s="227"/>
    </row>
    <row r="17" spans="1:23">
      <c r="A17" s="227"/>
      <c r="B17" s="1" t="s">
        <v>62</v>
      </c>
    </row>
    <row r="18" spans="1:23">
      <c r="A18" s="227"/>
      <c r="B18" s="2" t="s">
        <v>63</v>
      </c>
      <c r="F18" s="2" t="s">
        <v>58</v>
      </c>
      <c r="L18" s="99">
        <f>'Tab 9_Parameters'!L23</f>
        <v>0.03</v>
      </c>
      <c r="M18" s="99">
        <f>'Tab 9_Parameters'!M23</f>
        <v>0.03</v>
      </c>
      <c r="N18" s="99">
        <f>'Tab 9_Parameters'!N23</f>
        <v>0.02</v>
      </c>
      <c r="O18" s="99">
        <f>'Tab 9_Parameters'!O23</f>
        <v>0.02</v>
      </c>
      <c r="P18" s="99">
        <f>'Tab 9_Parameters'!P23</f>
        <v>0.02</v>
      </c>
      <c r="Q18" s="99">
        <f>'Tab 9_Parameters'!Q23</f>
        <v>0.02</v>
      </c>
      <c r="R18" s="99">
        <f>'Tab 9_Parameters'!R23</f>
        <v>0.02</v>
      </c>
      <c r="S18" s="99">
        <f>'Tab 9_Parameters'!S23</f>
        <v>0.02</v>
      </c>
      <c r="T18" s="99">
        <f>'Tab 9_Parameters'!T23</f>
        <v>0.02</v>
      </c>
      <c r="U18" s="99">
        <f>'Tab 9_Parameters'!U23</f>
        <v>0.02</v>
      </c>
      <c r="W18" s="5"/>
    </row>
    <row r="19" spans="1:23">
      <c r="A19" s="227"/>
      <c r="B19" s="2" t="s">
        <v>64</v>
      </c>
      <c r="F19" s="2" t="s">
        <v>58</v>
      </c>
      <c r="L19" s="99">
        <f>'Tab 9_Parameters'!L24</f>
        <v>0.03</v>
      </c>
      <c r="M19" s="99">
        <f>'Tab 9_Parameters'!M24</f>
        <v>0.03</v>
      </c>
      <c r="N19" s="99">
        <f>'Tab 9_Parameters'!N24</f>
        <v>0.02</v>
      </c>
      <c r="O19" s="99">
        <f>'Tab 9_Parameters'!O24</f>
        <v>0.02</v>
      </c>
      <c r="P19" s="99">
        <f>'Tab 9_Parameters'!P24</f>
        <v>0.02</v>
      </c>
      <c r="Q19" s="99">
        <f>'Tab 9_Parameters'!Q24</f>
        <v>0.02</v>
      </c>
      <c r="R19" s="99">
        <f>'Tab 9_Parameters'!R24</f>
        <v>0.02</v>
      </c>
      <c r="S19" s="99">
        <f>'Tab 9_Parameters'!S24</f>
        <v>0.02</v>
      </c>
      <c r="T19" s="99">
        <f>'Tab 9_Parameters'!T24</f>
        <v>0.02</v>
      </c>
      <c r="U19" s="99">
        <f>'Tab 9_Parameters'!U24</f>
        <v>0.02</v>
      </c>
    </row>
    <row r="20" spans="1:23">
      <c r="A20" s="227"/>
      <c r="B20" s="2" t="s">
        <v>65</v>
      </c>
      <c r="F20" s="2" t="s">
        <v>58</v>
      </c>
      <c r="L20" s="99">
        <f>'Tab 9_Parameters'!L25</f>
        <v>0.03</v>
      </c>
      <c r="M20" s="99">
        <f>'Tab 9_Parameters'!M25</f>
        <v>0.03</v>
      </c>
      <c r="N20" s="99">
        <f>'Tab 9_Parameters'!N25</f>
        <v>0.02</v>
      </c>
      <c r="O20" s="99">
        <f>'Tab 9_Parameters'!O25</f>
        <v>0.02</v>
      </c>
      <c r="P20" s="99">
        <f>'Tab 9_Parameters'!P25</f>
        <v>0.02</v>
      </c>
      <c r="Q20" s="99">
        <f>'Tab 9_Parameters'!Q25</f>
        <v>0.02</v>
      </c>
      <c r="R20" s="99">
        <f>'Tab 9_Parameters'!R25</f>
        <v>0.02</v>
      </c>
      <c r="S20" s="99">
        <f>'Tab 9_Parameters'!S25</f>
        <v>0.02</v>
      </c>
      <c r="T20" s="99">
        <f>'Tab 9_Parameters'!T25</f>
        <v>0.02</v>
      </c>
    </row>
    <row r="21" spans="1:23">
      <c r="A21" s="227"/>
      <c r="B21" s="2" t="s">
        <v>66</v>
      </c>
      <c r="F21" s="2" t="s">
        <v>58</v>
      </c>
      <c r="L21" s="99">
        <f>'Tab 9_Parameters'!L26</f>
        <v>0.03</v>
      </c>
      <c r="M21" s="99">
        <f>'Tab 9_Parameters'!M26</f>
        <v>0.03</v>
      </c>
      <c r="N21" s="99">
        <f>'Tab 9_Parameters'!N26</f>
        <v>0.02</v>
      </c>
      <c r="O21" s="99">
        <f>'Tab 9_Parameters'!O26</f>
        <v>0.02</v>
      </c>
      <c r="P21" s="99">
        <f>'Tab 9_Parameters'!P26</f>
        <v>0.02</v>
      </c>
      <c r="Q21" s="99">
        <f>'Tab 9_Parameters'!Q26</f>
        <v>0.02</v>
      </c>
      <c r="R21" s="99">
        <f>'Tab 9_Parameters'!R26</f>
        <v>0.02</v>
      </c>
      <c r="S21" s="99">
        <f>'Tab 9_Parameters'!S26</f>
        <v>0.02</v>
      </c>
      <c r="T21" s="99">
        <f>'Tab 9_Parameters'!T26</f>
        <v>0.02</v>
      </c>
    </row>
    <row r="22" spans="1:23">
      <c r="A22" s="227"/>
    </row>
    <row r="23" spans="1:23" s="7" customFormat="1">
      <c r="A23" s="171"/>
      <c r="B23" s="7" t="s">
        <v>473</v>
      </c>
      <c r="U23" s="171"/>
    </row>
    <row r="24" spans="1:23">
      <c r="A24" s="227"/>
    </row>
    <row r="25" spans="1:23">
      <c r="A25" s="227"/>
      <c r="B25" s="1" t="s">
        <v>317</v>
      </c>
    </row>
    <row r="26" spans="1:23">
      <c r="A26" s="227"/>
      <c r="H26" s="2" t="s">
        <v>318</v>
      </c>
      <c r="L26" s="74">
        <f t="shared" ref="L26:Q26" si="0">L9</f>
        <v>2013</v>
      </c>
      <c r="M26" s="74">
        <f t="shared" si="0"/>
        <v>2014</v>
      </c>
      <c r="N26" s="74">
        <f t="shared" si="0"/>
        <v>2015</v>
      </c>
      <c r="O26" s="74">
        <f t="shared" si="0"/>
        <v>2016</v>
      </c>
      <c r="P26" s="74">
        <f t="shared" si="0"/>
        <v>2017</v>
      </c>
      <c r="Q26" s="74">
        <f t="shared" si="0"/>
        <v>2018</v>
      </c>
      <c r="R26" s="32">
        <v>2019</v>
      </c>
      <c r="S26" s="32">
        <v>2020</v>
      </c>
      <c r="T26" s="32">
        <v>2021</v>
      </c>
      <c r="U26" s="32">
        <v>2022</v>
      </c>
    </row>
    <row r="27" spans="1:23">
      <c r="A27" s="227"/>
      <c r="B27" s="243">
        <v>2013</v>
      </c>
      <c r="F27" s="243" t="s">
        <v>316</v>
      </c>
      <c r="H27" s="257"/>
      <c r="L27" s="154">
        <v>1</v>
      </c>
      <c r="M27" s="247">
        <f>M28*$H28</f>
        <v>1.028</v>
      </c>
      <c r="N27" s="247">
        <f t="shared" ref="N27:T33" si="1">N28*$H28</f>
        <v>1.0382800000000001</v>
      </c>
      <c r="O27" s="247">
        <f t="shared" si="1"/>
        <v>1.0465862400000001</v>
      </c>
      <c r="P27" s="247">
        <f t="shared" si="1"/>
        <v>1.0486794124800001</v>
      </c>
      <c r="Q27" s="247">
        <f t="shared" si="1"/>
        <v>1.06336092425472</v>
      </c>
      <c r="R27" s="247">
        <f t="shared" si="1"/>
        <v>1.0856915036640691</v>
      </c>
      <c r="S27" s="247">
        <f t="shared" si="1"/>
        <v>1.1160908657666631</v>
      </c>
      <c r="T27" s="247">
        <f t="shared" si="1"/>
        <v>1.12390350182703</v>
      </c>
      <c r="U27" s="247">
        <f t="shared" ref="U27:U33" si="2">U28*$H28</f>
        <v>1.1508771858708784</v>
      </c>
    </row>
    <row r="28" spans="1:23">
      <c r="A28" s="227"/>
      <c r="B28" s="243">
        <v>2014</v>
      </c>
      <c r="F28" s="243" t="s">
        <v>316</v>
      </c>
      <c r="H28" s="247">
        <f>1+M15</f>
        <v>1.028</v>
      </c>
      <c r="L28" s="14"/>
      <c r="M28" s="154">
        <v>1</v>
      </c>
      <c r="N28" s="247">
        <f>N29*$H29</f>
        <v>1.01</v>
      </c>
      <c r="O28" s="247">
        <f t="shared" si="1"/>
        <v>1.0180800000000001</v>
      </c>
      <c r="P28" s="247">
        <f t="shared" si="1"/>
        <v>1.0201161599999999</v>
      </c>
      <c r="Q28" s="247">
        <f t="shared" si="1"/>
        <v>1.03439778624</v>
      </c>
      <c r="R28" s="247">
        <f t="shared" si="1"/>
        <v>1.05612013975104</v>
      </c>
      <c r="S28" s="247">
        <f t="shared" si="1"/>
        <v>1.0856915036640691</v>
      </c>
      <c r="T28" s="247">
        <f t="shared" si="1"/>
        <v>1.0932913441897179</v>
      </c>
      <c r="U28" s="247">
        <f t="shared" si="2"/>
        <v>1.1195303364502709</v>
      </c>
    </row>
    <row r="29" spans="1:23">
      <c r="A29" s="227"/>
      <c r="B29" s="243">
        <v>2015</v>
      </c>
      <c r="F29" s="243" t="s">
        <v>316</v>
      </c>
      <c r="H29" s="247">
        <f>1+N15</f>
        <v>1.01</v>
      </c>
      <c r="L29" s="14"/>
      <c r="M29" s="14"/>
      <c r="N29" s="154">
        <v>1</v>
      </c>
      <c r="O29" s="247">
        <f>O30*$H30</f>
        <v>1.008</v>
      </c>
      <c r="P29" s="247">
        <f t="shared" si="1"/>
        <v>1.010016</v>
      </c>
      <c r="Q29" s="247">
        <f t="shared" si="1"/>
        <v>1.0241562239999999</v>
      </c>
      <c r="R29" s="247">
        <f t="shared" si="1"/>
        <v>1.0456635047039999</v>
      </c>
      <c r="S29" s="247">
        <f t="shared" si="1"/>
        <v>1.0749420828357119</v>
      </c>
      <c r="T29" s="247">
        <f t="shared" si="1"/>
        <v>1.0824666774155622</v>
      </c>
      <c r="U29" s="247">
        <f t="shared" si="2"/>
        <v>1.1084458776735355</v>
      </c>
    </row>
    <row r="30" spans="1:23">
      <c r="A30" s="227"/>
      <c r="B30" s="243">
        <v>2016</v>
      </c>
      <c r="F30" s="243" t="s">
        <v>316</v>
      </c>
      <c r="H30" s="247">
        <f>1+O15</f>
        <v>1.008</v>
      </c>
      <c r="L30" s="14"/>
      <c r="M30" s="14"/>
      <c r="N30" s="14"/>
      <c r="O30" s="154">
        <v>1</v>
      </c>
      <c r="P30" s="247">
        <f>P31*$H31</f>
        <v>1.002</v>
      </c>
      <c r="Q30" s="247">
        <f t="shared" si="1"/>
        <v>1.0160279999999999</v>
      </c>
      <c r="R30" s="247">
        <f t="shared" si="1"/>
        <v>1.037364588</v>
      </c>
      <c r="S30" s="247">
        <f t="shared" si="1"/>
        <v>1.0664107964639999</v>
      </c>
      <c r="T30" s="247">
        <f t="shared" si="1"/>
        <v>1.0738756720392482</v>
      </c>
      <c r="U30" s="247">
        <f t="shared" si="2"/>
        <v>1.0996486881681899</v>
      </c>
    </row>
    <row r="31" spans="1:23">
      <c r="A31" s="227"/>
      <c r="B31" s="243">
        <v>2017</v>
      </c>
      <c r="F31" s="243" t="s">
        <v>316</v>
      </c>
      <c r="H31" s="247">
        <f>1+P15</f>
        <v>1.002</v>
      </c>
      <c r="L31" s="14"/>
      <c r="M31" s="14"/>
      <c r="N31" s="14"/>
      <c r="O31" s="14"/>
      <c r="P31" s="154">
        <v>1</v>
      </c>
      <c r="Q31" s="247">
        <f>Q32*$H32</f>
        <v>1.014</v>
      </c>
      <c r="R31" s="247">
        <f t="shared" si="1"/>
        <v>1.0352939999999999</v>
      </c>
      <c r="S31" s="247">
        <f t="shared" si="1"/>
        <v>1.0642822320000001</v>
      </c>
      <c r="T31" s="247">
        <f t="shared" si="1"/>
        <v>1.0717322076240001</v>
      </c>
      <c r="U31" s="247">
        <f t="shared" si="2"/>
        <v>1.097453780606976</v>
      </c>
    </row>
    <row r="32" spans="1:23">
      <c r="A32" s="227"/>
      <c r="B32" s="243">
        <v>2018</v>
      </c>
      <c r="F32" s="243" t="s">
        <v>316</v>
      </c>
      <c r="H32" s="247">
        <f>1+Q15</f>
        <v>1.014</v>
      </c>
      <c r="L32" s="14"/>
      <c r="M32" s="14"/>
      <c r="N32" s="14"/>
      <c r="O32" s="14"/>
      <c r="P32" s="14"/>
      <c r="Q32" s="154">
        <v>1</v>
      </c>
      <c r="R32" s="247">
        <f>R33*$H33</f>
        <v>1.0209999999999999</v>
      </c>
      <c r="S32" s="247">
        <f t="shared" si="1"/>
        <v>1.049588</v>
      </c>
      <c r="T32" s="247">
        <f t="shared" si="1"/>
        <v>1.056935116</v>
      </c>
      <c r="U32" s="247">
        <f t="shared" si="2"/>
        <v>1.0823015587839999</v>
      </c>
    </row>
    <row r="33" spans="1:23" s="187" customFormat="1">
      <c r="A33" s="227"/>
      <c r="B33" s="243">
        <v>2019</v>
      </c>
      <c r="F33" s="243" t="s">
        <v>316</v>
      </c>
      <c r="H33" s="247">
        <f>1+R15</f>
        <v>1.0209999999999999</v>
      </c>
      <c r="L33" s="14"/>
      <c r="M33" s="14"/>
      <c r="N33" s="14"/>
      <c r="O33" s="14"/>
      <c r="P33" s="14"/>
      <c r="Q33" s="14"/>
      <c r="R33" s="154">
        <v>1</v>
      </c>
      <c r="S33" s="247">
        <f>S34*$H34</f>
        <v>1.028</v>
      </c>
      <c r="T33" s="247">
        <f t="shared" si="1"/>
        <v>1.035196</v>
      </c>
      <c r="U33" s="247">
        <f t="shared" si="2"/>
        <v>1.0600407039999999</v>
      </c>
    </row>
    <row r="34" spans="1:23" s="226" customFormat="1">
      <c r="A34" s="227"/>
      <c r="B34" s="243">
        <v>2020</v>
      </c>
      <c r="F34" s="243" t="s">
        <v>316</v>
      </c>
      <c r="H34" s="247">
        <f>1+S15</f>
        <v>1.028</v>
      </c>
      <c r="L34" s="14"/>
      <c r="M34" s="14"/>
      <c r="N34" s="14"/>
      <c r="O34" s="14"/>
      <c r="P34" s="14"/>
      <c r="Q34" s="14"/>
      <c r="R34" s="14"/>
      <c r="S34" s="154">
        <v>1</v>
      </c>
      <c r="T34" s="247">
        <f>T35*$H35</f>
        <v>1.0069999999999999</v>
      </c>
      <c r="U34" s="247">
        <f>U35*$H35</f>
        <v>1.0311679999999999</v>
      </c>
    </row>
    <row r="35" spans="1:23" s="243" customFormat="1">
      <c r="B35" s="243">
        <v>2021</v>
      </c>
      <c r="F35" s="243" t="s">
        <v>316</v>
      </c>
      <c r="H35" s="247">
        <f>1+T15</f>
        <v>1.0069999999999999</v>
      </c>
      <c r="L35" s="14"/>
      <c r="M35" s="14"/>
      <c r="N35" s="14"/>
      <c r="O35" s="14"/>
      <c r="P35" s="14"/>
      <c r="Q35" s="14"/>
      <c r="R35" s="14"/>
      <c r="S35" s="14"/>
      <c r="T35" s="154">
        <v>1</v>
      </c>
      <c r="U35" s="247">
        <f>U36*$H36</f>
        <v>1.024</v>
      </c>
    </row>
    <row r="36" spans="1:23" s="243" customFormat="1">
      <c r="B36" s="243">
        <v>2022</v>
      </c>
      <c r="F36" s="243" t="s">
        <v>316</v>
      </c>
      <c r="H36" s="247">
        <f>1+U15</f>
        <v>1.024</v>
      </c>
      <c r="L36" s="14"/>
      <c r="M36" s="14"/>
      <c r="N36" s="14"/>
      <c r="O36" s="14"/>
      <c r="P36" s="14"/>
      <c r="Q36" s="14"/>
      <c r="R36" s="14"/>
      <c r="S36" s="14"/>
      <c r="T36" s="14"/>
      <c r="U36" s="154">
        <v>1</v>
      </c>
    </row>
    <row r="37" spans="1:23">
      <c r="A37" s="227"/>
    </row>
    <row r="38" spans="1:23" s="7" customFormat="1">
      <c r="A38" s="171"/>
      <c r="B38" s="7" t="s">
        <v>76</v>
      </c>
      <c r="U38" s="171"/>
    </row>
    <row r="39" spans="1:23">
      <c r="A39" s="227"/>
    </row>
    <row r="40" spans="1:23">
      <c r="A40" s="227"/>
      <c r="B40" s="1" t="s">
        <v>77</v>
      </c>
    </row>
    <row r="41" spans="1:23">
      <c r="A41" s="227"/>
      <c r="B41" s="2" t="s">
        <v>78</v>
      </c>
      <c r="L41" s="43">
        <f t="shared" ref="L41:R41" si="3">L9</f>
        <v>2013</v>
      </c>
      <c r="M41" s="43">
        <f t="shared" si="3"/>
        <v>2014</v>
      </c>
      <c r="N41" s="43">
        <f t="shared" si="3"/>
        <v>2015</v>
      </c>
      <c r="O41" s="43">
        <f t="shared" si="3"/>
        <v>2016</v>
      </c>
      <c r="P41" s="43">
        <f t="shared" si="3"/>
        <v>2017</v>
      </c>
      <c r="Q41" s="43">
        <f t="shared" si="3"/>
        <v>2018</v>
      </c>
      <c r="R41" s="43">
        <f t="shared" si="3"/>
        <v>2019</v>
      </c>
      <c r="S41" s="43">
        <v>2020</v>
      </c>
      <c r="T41" s="43" t="s">
        <v>268</v>
      </c>
      <c r="U41" s="249">
        <v>2022</v>
      </c>
    </row>
    <row r="42" spans="1:23">
      <c r="A42" s="227"/>
      <c r="B42" s="2" t="s">
        <v>79</v>
      </c>
      <c r="F42" s="2" t="s">
        <v>58</v>
      </c>
      <c r="L42" s="14"/>
      <c r="M42" s="138">
        <f>((1+L20)*(1+L21)*(1+M18)*(1+M19))^(1/4)-1</f>
        <v>3.0000000000000027E-2</v>
      </c>
      <c r="N42" s="138">
        <f t="shared" ref="N42:U42" si="4">((1+M20)*(1+M21)*(1+N18)*(1+N19))^(1/4)-1</f>
        <v>2.4987804805501002E-2</v>
      </c>
      <c r="O42" s="138">
        <f t="shared" si="4"/>
        <v>2.0000000000000018E-2</v>
      </c>
      <c r="P42" s="138">
        <f t="shared" si="4"/>
        <v>2.0000000000000018E-2</v>
      </c>
      <c r="Q42" s="138">
        <f t="shared" si="4"/>
        <v>2.0000000000000018E-2</v>
      </c>
      <c r="R42" s="138">
        <f t="shared" si="4"/>
        <v>2.0000000000000018E-2</v>
      </c>
      <c r="S42" s="138">
        <f t="shared" si="4"/>
        <v>2.0000000000000018E-2</v>
      </c>
      <c r="T42" s="138">
        <f t="shared" si="4"/>
        <v>2.0000000000000018E-2</v>
      </c>
      <c r="U42" s="138">
        <f t="shared" si="4"/>
        <v>2.0000000000000018E-2</v>
      </c>
      <c r="W42" s="80"/>
    </row>
    <row r="43" spans="1:23">
      <c r="A43" s="227"/>
      <c r="W43" s="26"/>
    </row>
    <row r="44" spans="1:23">
      <c r="A44" s="227"/>
      <c r="B44" s="1" t="s">
        <v>337</v>
      </c>
      <c r="H44" s="2" t="s">
        <v>474</v>
      </c>
    </row>
    <row r="45" spans="1:23">
      <c r="A45" s="227"/>
      <c r="B45" s="243">
        <v>2013</v>
      </c>
      <c r="F45" s="243" t="s">
        <v>316</v>
      </c>
      <c r="H45" s="257"/>
      <c r="L45" s="154">
        <v>1</v>
      </c>
      <c r="M45" s="247">
        <f>M46*$H46</f>
        <v>1.03</v>
      </c>
      <c r="N45" s="247">
        <f t="shared" ref="N45:U51" si="5">N46*$H46</f>
        <v>1.0557374389496661</v>
      </c>
      <c r="O45" s="247">
        <f t="shared" si="5"/>
        <v>1.0768521877286594</v>
      </c>
      <c r="P45" s="247">
        <f t="shared" si="5"/>
        <v>1.0983892314832326</v>
      </c>
      <c r="Q45" s="247">
        <f t="shared" si="5"/>
        <v>1.1203570161128971</v>
      </c>
      <c r="R45" s="247">
        <f t="shared" si="5"/>
        <v>1.1427641564351552</v>
      </c>
      <c r="S45" s="247">
        <f t="shared" si="5"/>
        <v>1.1656194395638582</v>
      </c>
      <c r="T45" s="247">
        <f t="shared" si="5"/>
        <v>1.1889318283551356</v>
      </c>
      <c r="U45" s="247">
        <f t="shared" si="5"/>
        <v>1.2127104649222382</v>
      </c>
    </row>
    <row r="46" spans="1:23">
      <c r="A46" s="227"/>
      <c r="B46" s="243">
        <v>2014</v>
      </c>
      <c r="F46" s="243" t="s">
        <v>316</v>
      </c>
      <c r="H46" s="247">
        <f>1+M42</f>
        <v>1.03</v>
      </c>
      <c r="L46" s="139"/>
      <c r="M46" s="154">
        <v>1</v>
      </c>
      <c r="N46" s="247">
        <f>N47*$H47</f>
        <v>1.024987804805501</v>
      </c>
      <c r="O46" s="247">
        <f t="shared" si="5"/>
        <v>1.045487560901611</v>
      </c>
      <c r="P46" s="247">
        <f t="shared" si="5"/>
        <v>1.0663973121196433</v>
      </c>
      <c r="Q46" s="247">
        <f t="shared" si="5"/>
        <v>1.087725258362036</v>
      </c>
      <c r="R46" s="247">
        <f t="shared" si="5"/>
        <v>1.1094797635292768</v>
      </c>
      <c r="S46" s="247">
        <f t="shared" si="5"/>
        <v>1.1316693587998623</v>
      </c>
      <c r="T46" s="247">
        <f t="shared" si="5"/>
        <v>1.1543027459758597</v>
      </c>
      <c r="U46" s="247">
        <f t="shared" si="5"/>
        <v>1.1773888008953768</v>
      </c>
    </row>
    <row r="47" spans="1:23">
      <c r="A47" s="227"/>
      <c r="B47" s="243">
        <v>2015</v>
      </c>
      <c r="F47" s="243" t="s">
        <v>316</v>
      </c>
      <c r="H47" s="247">
        <f>1+N42</f>
        <v>1.024987804805501</v>
      </c>
      <c r="L47" s="139"/>
      <c r="M47" s="139"/>
      <c r="N47" s="154">
        <v>1</v>
      </c>
      <c r="O47" s="247">
        <f>O48*$H48</f>
        <v>1.02</v>
      </c>
      <c r="P47" s="247">
        <f t="shared" si="5"/>
        <v>1.0404</v>
      </c>
      <c r="Q47" s="247">
        <f t="shared" si="5"/>
        <v>1.0612079999999999</v>
      </c>
      <c r="R47" s="247">
        <f t="shared" si="5"/>
        <v>1.08243216</v>
      </c>
      <c r="S47" s="247">
        <f t="shared" si="5"/>
        <v>1.1040808032</v>
      </c>
      <c r="T47" s="247">
        <f t="shared" si="5"/>
        <v>1.1261624192640001</v>
      </c>
      <c r="U47" s="247">
        <f t="shared" si="5"/>
        <v>1.14868566764928</v>
      </c>
    </row>
    <row r="48" spans="1:23">
      <c r="A48" s="227"/>
      <c r="B48" s="243">
        <v>2016</v>
      </c>
      <c r="F48" s="243" t="s">
        <v>316</v>
      </c>
      <c r="H48" s="247">
        <f>1+O42</f>
        <v>1.02</v>
      </c>
      <c r="L48" s="139"/>
      <c r="M48" s="139"/>
      <c r="N48" s="139"/>
      <c r="O48" s="154">
        <v>1</v>
      </c>
      <c r="P48" s="247">
        <f>P49*$H49</f>
        <v>1.02</v>
      </c>
      <c r="Q48" s="247">
        <f t="shared" si="5"/>
        <v>1.0404</v>
      </c>
      <c r="R48" s="247">
        <f t="shared" si="5"/>
        <v>1.0612079999999999</v>
      </c>
      <c r="S48" s="247">
        <f t="shared" si="5"/>
        <v>1.08243216</v>
      </c>
      <c r="T48" s="247">
        <f t="shared" si="5"/>
        <v>1.1040808032</v>
      </c>
      <c r="U48" s="247">
        <f t="shared" si="5"/>
        <v>1.1261624192640001</v>
      </c>
    </row>
    <row r="49" spans="1:21">
      <c r="A49" s="227"/>
      <c r="B49" s="243">
        <v>2017</v>
      </c>
      <c r="F49" s="243" t="s">
        <v>316</v>
      </c>
      <c r="H49" s="247">
        <f>1+P42</f>
        <v>1.02</v>
      </c>
      <c r="L49" s="139"/>
      <c r="M49" s="139"/>
      <c r="N49" s="139"/>
      <c r="O49" s="139"/>
      <c r="P49" s="154">
        <v>1</v>
      </c>
      <c r="Q49" s="247">
        <f>Q50*$H50</f>
        <v>1.02</v>
      </c>
      <c r="R49" s="247">
        <f t="shared" si="5"/>
        <v>1.0404</v>
      </c>
      <c r="S49" s="247">
        <f t="shared" si="5"/>
        <v>1.0612079999999999</v>
      </c>
      <c r="T49" s="247">
        <f t="shared" si="5"/>
        <v>1.08243216</v>
      </c>
      <c r="U49" s="247">
        <f t="shared" si="5"/>
        <v>1.1040808032</v>
      </c>
    </row>
    <row r="50" spans="1:21">
      <c r="A50" s="227"/>
      <c r="B50" s="243">
        <v>2018</v>
      </c>
      <c r="F50" s="243" t="s">
        <v>316</v>
      </c>
      <c r="H50" s="247">
        <f>1+Q42</f>
        <v>1.02</v>
      </c>
      <c r="L50" s="139"/>
      <c r="M50" s="139"/>
      <c r="N50" s="139"/>
      <c r="O50" s="139"/>
      <c r="P50" s="139"/>
      <c r="Q50" s="154">
        <v>1</v>
      </c>
      <c r="R50" s="247">
        <f>R51*$H51</f>
        <v>1.02</v>
      </c>
      <c r="S50" s="247">
        <f t="shared" si="5"/>
        <v>1.0404</v>
      </c>
      <c r="T50" s="247">
        <f t="shared" si="5"/>
        <v>1.0612079999999999</v>
      </c>
      <c r="U50" s="247">
        <f t="shared" si="5"/>
        <v>1.08243216</v>
      </c>
    </row>
    <row r="51" spans="1:21">
      <c r="A51" s="227"/>
      <c r="B51" s="243">
        <v>2019</v>
      </c>
      <c r="F51" s="243" t="s">
        <v>316</v>
      </c>
      <c r="H51" s="247">
        <f>1+R42</f>
        <v>1.02</v>
      </c>
      <c r="L51" s="139"/>
      <c r="M51" s="139"/>
      <c r="N51" s="139"/>
      <c r="O51" s="139"/>
      <c r="P51" s="139"/>
      <c r="Q51" s="139"/>
      <c r="R51" s="154">
        <v>1</v>
      </c>
      <c r="S51" s="247">
        <f>S52*$H52</f>
        <v>1.02</v>
      </c>
      <c r="T51" s="247">
        <f t="shared" si="5"/>
        <v>1.0404</v>
      </c>
      <c r="U51" s="247">
        <f t="shared" si="5"/>
        <v>1.0612079999999999</v>
      </c>
    </row>
    <row r="52" spans="1:21" s="226" customFormat="1">
      <c r="A52" s="227"/>
      <c r="B52" s="243">
        <v>2020</v>
      </c>
      <c r="F52" s="243" t="s">
        <v>316</v>
      </c>
      <c r="H52" s="247">
        <f>1+S42</f>
        <v>1.02</v>
      </c>
      <c r="L52" s="139"/>
      <c r="M52" s="139"/>
      <c r="N52" s="139"/>
      <c r="O52" s="139"/>
      <c r="P52" s="139"/>
      <c r="Q52" s="139"/>
      <c r="R52" s="139"/>
      <c r="S52" s="154">
        <v>1</v>
      </c>
      <c r="T52" s="247">
        <f>T53*$H53</f>
        <v>1.02</v>
      </c>
      <c r="U52" s="247">
        <f>U53*$H53</f>
        <v>1.0404</v>
      </c>
    </row>
    <row r="53" spans="1:21" s="243" customFormat="1">
      <c r="B53" s="243">
        <v>2021</v>
      </c>
      <c r="F53" s="243" t="s">
        <v>316</v>
      </c>
      <c r="H53" s="247">
        <f>1+T42</f>
        <v>1.02</v>
      </c>
      <c r="L53" s="139"/>
      <c r="M53" s="139"/>
      <c r="N53" s="139"/>
      <c r="O53" s="139"/>
      <c r="P53" s="139"/>
      <c r="Q53" s="139"/>
      <c r="R53" s="139"/>
      <c r="S53" s="14"/>
      <c r="T53" s="154">
        <v>1</v>
      </c>
      <c r="U53" s="247">
        <f>U54*$H54</f>
        <v>1.02</v>
      </c>
    </row>
    <row r="54" spans="1:21" s="243" customFormat="1">
      <c r="B54" s="243">
        <v>2022</v>
      </c>
      <c r="F54" s="243" t="s">
        <v>316</v>
      </c>
      <c r="H54" s="247">
        <f>1+U42</f>
        <v>1.02</v>
      </c>
      <c r="L54" s="139"/>
      <c r="M54" s="139"/>
      <c r="N54" s="139"/>
      <c r="O54" s="139"/>
      <c r="P54" s="139"/>
      <c r="Q54" s="139"/>
      <c r="R54" s="139"/>
      <c r="S54" s="14"/>
      <c r="T54" s="14"/>
      <c r="U54" s="154">
        <v>1</v>
      </c>
    </row>
    <row r="55" spans="1:21" s="187" customFormat="1">
      <c r="A55" s="227"/>
      <c r="U55" s="243"/>
    </row>
    <row r="56" spans="1:21" s="177" customFormat="1">
      <c r="A56" s="275"/>
      <c r="B56" s="177" t="s">
        <v>351</v>
      </c>
      <c r="F56" s="177" t="s">
        <v>58</v>
      </c>
      <c r="H56" s="138">
        <f>(1+T18)^(1/4)*(1+T19)^(1/4)*(1+T20)^(1/4)*(1+T21)^(1/4)*(1+U18)^(1/4)*(1+U19)^(1/4)-1</f>
        <v>3.0149503712932457E-2</v>
      </c>
      <c r="U56" s="243"/>
    </row>
    <row r="57" spans="1:21" s="177" customFormat="1">
      <c r="A57" s="227"/>
      <c r="U57" s="243"/>
    </row>
  </sheetData>
  <mergeCells count="1">
    <mergeCell ref="B4:E7"/>
  </mergeCells>
  <phoneticPr fontId="34" type="noConversion"/>
  <pageMargins left="0.7" right="0.7" top="0.75" bottom="0.75" header="0.3" footer="0.3"/>
  <pageSetup paperSize="8" scale="43" orientation="portrait" r:id="rId1"/>
  <colBreaks count="2" manualBreakCount="2">
    <brk id="7" max="70" man="1"/>
    <brk id="21" max="1048575" man="1"/>
  </colBreaks>
  <ignoredErrors>
    <ignoredError sqref="T4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FFFFCC"/>
    <pageSetUpPr autoPageBreaks="0"/>
  </sheetPr>
  <dimension ref="A2:X38"/>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outlineLevelCol="1"/>
  <cols>
    <col min="1" max="1" width="4" style="79" customWidth="1"/>
    <col min="2" max="2" width="68" style="79" customWidth="1"/>
    <col min="3" max="5" width="4.5703125" style="79" customWidth="1"/>
    <col min="6" max="6" width="11.7109375" style="79" customWidth="1"/>
    <col min="7" max="7" width="2.7109375" style="79" customWidth="1"/>
    <col min="8" max="8" width="13.7109375" style="79" customWidth="1"/>
    <col min="9" max="9" width="2.7109375" style="79" customWidth="1"/>
    <col min="10" max="10" width="13.7109375" style="79" customWidth="1"/>
    <col min="11" max="11" width="2.7109375" style="79" customWidth="1"/>
    <col min="12" max="19" width="12.5703125" style="257" hidden="1" customWidth="1" outlineLevel="1"/>
    <col min="20" max="20" width="13.7109375" style="79" customWidth="1" collapsed="1"/>
    <col min="21" max="21" width="13.7109375" style="79" customWidth="1"/>
    <col min="22" max="22" width="2.7109375" style="79" customWidth="1"/>
    <col min="23" max="34" width="13.7109375" style="79" customWidth="1"/>
    <col min="35" max="16384" width="9.140625" style="79"/>
  </cols>
  <sheetData>
    <row r="2" spans="1:24" s="20" customFormat="1" ht="18">
      <c r="A2" s="145"/>
      <c r="B2" s="71" t="s">
        <v>475</v>
      </c>
      <c r="W2" s="200"/>
    </row>
    <row r="3" spans="1:24">
      <c r="A3" s="178"/>
    </row>
    <row r="4" spans="1:24" ht="12.75" customHeight="1">
      <c r="A4" s="178"/>
      <c r="B4" s="294" t="s">
        <v>476</v>
      </c>
      <c r="C4" s="294"/>
      <c r="D4" s="294"/>
      <c r="E4" s="294"/>
      <c r="F4" s="294"/>
      <c r="G4" s="229"/>
      <c r="H4" s="229"/>
      <c r="I4" s="229"/>
      <c r="J4" s="229"/>
    </row>
    <row r="5" spans="1:24">
      <c r="A5" s="178"/>
      <c r="B5" s="294"/>
      <c r="C5" s="294"/>
      <c r="D5" s="294"/>
      <c r="E5" s="294"/>
      <c r="F5" s="294"/>
      <c r="G5" s="229"/>
      <c r="H5" s="229"/>
      <c r="I5" s="229"/>
      <c r="J5" s="229"/>
      <c r="W5" s="189"/>
    </row>
    <row r="6" spans="1:24">
      <c r="A6" s="178"/>
      <c r="B6" s="294"/>
      <c r="C6" s="294"/>
      <c r="D6" s="294"/>
      <c r="E6" s="294"/>
      <c r="F6" s="294"/>
      <c r="G6" s="229"/>
      <c r="H6" s="229"/>
      <c r="I6" s="229"/>
      <c r="J6" s="229"/>
    </row>
    <row r="7" spans="1:24">
      <c r="A7" s="178"/>
      <c r="B7" s="294"/>
      <c r="C7" s="294"/>
      <c r="D7" s="294"/>
      <c r="E7" s="294"/>
      <c r="F7" s="294"/>
      <c r="G7" s="229"/>
      <c r="H7" s="229"/>
      <c r="I7" s="229"/>
      <c r="J7" s="229"/>
    </row>
    <row r="8" spans="1:24" s="230" customFormat="1">
      <c r="A8" s="178"/>
      <c r="B8" s="232"/>
      <c r="C8" s="232"/>
      <c r="D8" s="232"/>
      <c r="E8" s="232"/>
      <c r="F8" s="232"/>
      <c r="G8" s="232"/>
      <c r="H8" s="232"/>
      <c r="I8" s="232"/>
      <c r="J8" s="232"/>
      <c r="L8" s="257"/>
      <c r="M8" s="257"/>
      <c r="N8" s="257"/>
      <c r="O8" s="257"/>
      <c r="P8" s="257"/>
      <c r="Q8" s="257"/>
      <c r="R8" s="257"/>
      <c r="S8" s="257"/>
    </row>
    <row r="9" spans="1:24" s="83" customFormat="1">
      <c r="A9" s="171"/>
      <c r="B9" s="83" t="s">
        <v>43</v>
      </c>
      <c r="F9" s="83" t="s">
        <v>26</v>
      </c>
      <c r="H9" s="83" t="s">
        <v>27</v>
      </c>
      <c r="J9" s="83" t="s">
        <v>47</v>
      </c>
      <c r="L9" s="72">
        <v>2013</v>
      </c>
      <c r="M9" s="72">
        <v>2014</v>
      </c>
      <c r="N9" s="72">
        <v>2015</v>
      </c>
      <c r="O9" s="72">
        <v>2016</v>
      </c>
      <c r="P9" s="72">
        <v>2017</v>
      </c>
      <c r="Q9" s="72">
        <v>2018</v>
      </c>
      <c r="R9" s="72">
        <v>2019</v>
      </c>
      <c r="S9" s="72">
        <v>2020</v>
      </c>
      <c r="T9" s="72">
        <v>2021</v>
      </c>
      <c r="U9" s="72">
        <v>2022</v>
      </c>
      <c r="W9" s="83" t="s">
        <v>45</v>
      </c>
      <c r="X9" s="35"/>
    </row>
    <row r="12" spans="1:24" s="83" customFormat="1">
      <c r="A12" s="171"/>
      <c r="B12" s="83" t="s">
        <v>46</v>
      </c>
      <c r="L12" s="171"/>
      <c r="M12" s="171"/>
      <c r="N12" s="171"/>
      <c r="O12" s="171"/>
      <c r="P12" s="171"/>
      <c r="Q12" s="171"/>
      <c r="R12" s="171"/>
      <c r="S12" s="171"/>
      <c r="W12" s="35"/>
    </row>
    <row r="13" spans="1:24">
      <c r="A13" s="178"/>
    </row>
    <row r="14" spans="1:24" s="243" customFormat="1">
      <c r="A14" s="178"/>
      <c r="B14" s="168" t="s">
        <v>377</v>
      </c>
      <c r="L14" s="257"/>
      <c r="M14" s="257"/>
      <c r="N14" s="257"/>
      <c r="O14" s="257"/>
      <c r="P14" s="257"/>
      <c r="Q14" s="257"/>
      <c r="R14" s="257"/>
      <c r="S14" s="257"/>
    </row>
    <row r="15" spans="1:24">
      <c r="A15" s="178"/>
      <c r="B15" s="79" t="s">
        <v>111</v>
      </c>
      <c r="F15" s="79" t="s">
        <v>58</v>
      </c>
      <c r="J15" s="8"/>
      <c r="T15" s="88">
        <f>'Tab 9_Parameters'!T16</f>
        <v>7.0000000000000001E-3</v>
      </c>
      <c r="U15" s="88">
        <f>'Tab 9_Parameters'!U16</f>
        <v>2.4E-2</v>
      </c>
    </row>
    <row r="16" spans="1:24">
      <c r="A16" s="178"/>
      <c r="J16" s="8"/>
      <c r="T16" s="87"/>
    </row>
    <row r="17" spans="1:23">
      <c r="A17" s="178"/>
      <c r="B17" s="168" t="s">
        <v>67</v>
      </c>
      <c r="H17" s="243"/>
      <c r="T17" s="90"/>
    </row>
    <row r="18" spans="1:23" s="243" customFormat="1">
      <c r="A18" s="178"/>
      <c r="B18" s="39" t="s">
        <v>289</v>
      </c>
      <c r="F18" s="243" t="s">
        <v>58</v>
      </c>
      <c r="H18" s="99">
        <f>'Tab 9_Parameters'!H32</f>
        <v>4.5600000000000002E-2</v>
      </c>
      <c r="L18" s="257"/>
      <c r="M18" s="257"/>
      <c r="N18" s="257"/>
      <c r="O18" s="257"/>
      <c r="P18" s="257"/>
      <c r="Q18" s="257"/>
      <c r="R18" s="257"/>
      <c r="S18" s="257"/>
      <c r="T18" s="90"/>
    </row>
    <row r="19" spans="1:23" s="243" customFormat="1">
      <c r="A19" s="178"/>
      <c r="L19" s="257"/>
      <c r="M19" s="257"/>
      <c r="N19" s="257"/>
      <c r="O19" s="257"/>
      <c r="P19" s="257"/>
      <c r="Q19" s="257"/>
      <c r="R19" s="257"/>
      <c r="S19" s="257"/>
      <c r="T19" s="90"/>
    </row>
    <row r="20" spans="1:23">
      <c r="A20" s="178"/>
      <c r="B20" s="168" t="s">
        <v>274</v>
      </c>
      <c r="W20" s="189"/>
    </row>
    <row r="21" spans="1:23">
      <c r="A21" s="178"/>
      <c r="B21" s="260" t="s">
        <v>427</v>
      </c>
      <c r="F21" s="79" t="s">
        <v>269</v>
      </c>
      <c r="J21" s="174"/>
      <c r="T21" s="221">
        <f>'Tab 10_Brondata'!T13</f>
        <v>330399764.3310312</v>
      </c>
    </row>
    <row r="22" spans="1:23">
      <c r="A22" s="178"/>
      <c r="B22" s="260" t="s">
        <v>428</v>
      </c>
      <c r="F22" s="230" t="s">
        <v>269</v>
      </c>
      <c r="J22" s="174"/>
      <c r="T22" s="221">
        <f>'Tab 10_Brondata'!T14</f>
        <v>357892606.11765027</v>
      </c>
    </row>
    <row r="23" spans="1:23" s="258" customFormat="1">
      <c r="A23" s="178"/>
      <c r="B23" s="258" t="s">
        <v>429</v>
      </c>
      <c r="F23" s="258" t="s">
        <v>269</v>
      </c>
      <c r="J23" s="174"/>
      <c r="T23" s="221">
        <f>'Tab 10_Brondata'!T15</f>
        <v>688292370.44868159</v>
      </c>
    </row>
    <row r="24" spans="1:23">
      <c r="A24" s="178"/>
      <c r="J24" s="33"/>
    </row>
    <row r="25" spans="1:23" s="83" customFormat="1">
      <c r="A25" s="171"/>
      <c r="B25" s="83" t="s">
        <v>276</v>
      </c>
      <c r="L25" s="171"/>
      <c r="M25" s="171"/>
      <c r="N25" s="171"/>
      <c r="O25" s="171"/>
      <c r="P25" s="171"/>
      <c r="Q25" s="171"/>
      <c r="R25" s="171"/>
      <c r="S25" s="171"/>
      <c r="W25" s="35"/>
    </row>
    <row r="27" spans="1:23" s="202" customFormat="1">
      <c r="A27" s="178"/>
      <c r="B27" s="168" t="s">
        <v>275</v>
      </c>
      <c r="L27" s="257"/>
      <c r="M27" s="257"/>
      <c r="N27" s="257"/>
      <c r="O27" s="257"/>
      <c r="P27" s="257"/>
      <c r="Q27" s="257"/>
      <c r="R27" s="257"/>
      <c r="S27" s="257"/>
    </row>
    <row r="28" spans="1:23">
      <c r="A28" s="178"/>
      <c r="B28" s="260" t="s">
        <v>427</v>
      </c>
      <c r="F28" s="243" t="s">
        <v>269</v>
      </c>
      <c r="T28" s="243"/>
      <c r="U28" s="195">
        <f>T21*(1+U$15-$H$18)</f>
        <v>323263129.42148095</v>
      </c>
    </row>
    <row r="29" spans="1:23" s="243" customFormat="1">
      <c r="A29" s="178"/>
      <c r="B29" s="260" t="s">
        <v>428</v>
      </c>
      <c r="F29" s="258" t="s">
        <v>269</v>
      </c>
      <c r="L29" s="257"/>
      <c r="M29" s="257"/>
      <c r="N29" s="257"/>
      <c r="O29" s="257"/>
      <c r="P29" s="257"/>
      <c r="Q29" s="257"/>
      <c r="R29" s="257"/>
      <c r="S29" s="257"/>
      <c r="U29" s="195">
        <f t="shared" ref="U29" si="0">T22*(1+U$15-$H$18)</f>
        <v>350162125.82550907</v>
      </c>
    </row>
    <row r="30" spans="1:23">
      <c r="A30" s="178"/>
      <c r="B30" s="258" t="s">
        <v>430</v>
      </c>
      <c r="F30" s="243" t="s">
        <v>269</v>
      </c>
      <c r="T30" s="243"/>
      <c r="U30" s="45">
        <f>T23*(1+U$15-$H$18)</f>
        <v>673425255.24699008</v>
      </c>
      <c r="W30" s="185"/>
    </row>
    <row r="31" spans="1:23">
      <c r="A31" s="178"/>
      <c r="B31" s="8"/>
      <c r="F31" s="243"/>
      <c r="T31" s="243"/>
      <c r="W31" s="185"/>
    </row>
    <row r="32" spans="1:23" s="193" customFormat="1">
      <c r="A32" s="178"/>
      <c r="B32" s="178"/>
      <c r="F32" s="243"/>
      <c r="L32" s="257"/>
      <c r="M32" s="257"/>
      <c r="N32" s="257"/>
      <c r="O32" s="257"/>
      <c r="P32" s="257"/>
      <c r="Q32" s="257"/>
      <c r="R32" s="257"/>
      <c r="S32" s="257"/>
      <c r="T32" s="243"/>
    </row>
    <row r="33" spans="12:20">
      <c r="T33" s="243"/>
    </row>
    <row r="38" spans="12:20" s="196" customFormat="1">
      <c r="L38" s="257"/>
      <c r="M38" s="257"/>
      <c r="N38" s="257"/>
      <c r="O38" s="257"/>
      <c r="P38" s="257"/>
      <c r="Q38" s="257"/>
      <c r="R38" s="257"/>
      <c r="S38" s="257"/>
    </row>
  </sheetData>
  <mergeCells count="1">
    <mergeCell ref="B4:F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4F7-B139-4A67-8F06-1A5EA74A9D3F}">
  <sheetPr codeName="Blad18">
    <tabColor rgb="FFFFFFCC"/>
    <pageSetUpPr autoPageBreaks="0"/>
  </sheetPr>
  <dimension ref="A2:AB36"/>
  <sheetViews>
    <sheetView showGridLines="0" zoomScale="85" zoomScaleNormal="85" workbookViewId="0">
      <pane xSplit="6" ySplit="10" topLeftCell="G11" activePane="bottomRight" state="frozen"/>
      <selection pane="topRight" activeCell="G1" sqref="G1"/>
      <selection pane="bottomLeft" activeCell="A14" sqref="A14"/>
      <selection pane="bottomRight"/>
    </sheetView>
  </sheetViews>
  <sheetFormatPr defaultRowHeight="12.75" outlineLevelCol="1"/>
  <cols>
    <col min="1" max="1" width="4" style="243" customWidth="1"/>
    <col min="2" max="2" width="75.5703125" style="243" customWidth="1"/>
    <col min="3" max="5" width="4.5703125" style="243" customWidth="1"/>
    <col min="6" max="6" width="15.28515625" style="243" customWidth="1"/>
    <col min="7" max="7" width="2.7109375" style="243" customWidth="1"/>
    <col min="8" max="8" width="13" style="243" bestFit="1" customWidth="1"/>
    <col min="9" max="9" width="2.7109375" style="243" customWidth="1"/>
    <col min="10" max="10" width="13" style="243" bestFit="1" customWidth="1"/>
    <col min="11" max="11" width="2.7109375" style="243" customWidth="1"/>
    <col min="12" max="19" width="12.5703125" style="257" hidden="1" customWidth="1" outlineLevel="1"/>
    <col min="20" max="20" width="13.7109375" style="243" customWidth="1" collapsed="1"/>
    <col min="21" max="21" width="13.7109375" style="243" customWidth="1"/>
    <col min="22" max="22" width="2.5703125" style="243" customWidth="1"/>
    <col min="23" max="23" width="12.7109375" style="243" customWidth="1"/>
    <col min="24" max="31" width="13.7109375" style="243" customWidth="1"/>
    <col min="32" max="16384" width="9.140625" style="243"/>
  </cols>
  <sheetData>
    <row r="2" spans="2:23" s="20" customFormat="1" ht="18">
      <c r="B2" s="20" t="s">
        <v>423</v>
      </c>
      <c r="W2" s="200"/>
    </row>
    <row r="4" spans="2:23" ht="12.75" customHeight="1">
      <c r="B4" s="294" t="s">
        <v>501</v>
      </c>
      <c r="C4" s="294"/>
      <c r="D4" s="294"/>
      <c r="E4" s="294"/>
      <c r="F4" s="242"/>
      <c r="G4" s="242"/>
      <c r="H4" s="242"/>
    </row>
    <row r="5" spans="2:23">
      <c r="B5" s="294"/>
      <c r="C5" s="294"/>
      <c r="D5" s="294"/>
      <c r="E5" s="294"/>
      <c r="F5" s="242"/>
      <c r="G5" s="242"/>
      <c r="H5" s="242"/>
      <c r="W5" s="189"/>
    </row>
    <row r="6" spans="2:23">
      <c r="B6" s="294"/>
      <c r="C6" s="294"/>
      <c r="D6" s="294"/>
      <c r="E6" s="294"/>
      <c r="F6" s="242"/>
      <c r="G6" s="242"/>
      <c r="H6" s="242"/>
    </row>
    <row r="7" spans="2:23">
      <c r="B7" s="294"/>
      <c r="C7" s="294"/>
      <c r="D7" s="294"/>
      <c r="E7" s="294"/>
      <c r="F7" s="242"/>
      <c r="G7" s="242"/>
      <c r="H7" s="242"/>
    </row>
    <row r="8" spans="2:23">
      <c r="B8" s="252"/>
      <c r="C8" s="252"/>
      <c r="D8" s="252"/>
      <c r="E8" s="252"/>
      <c r="F8" s="242"/>
      <c r="G8" s="242"/>
      <c r="H8" s="242"/>
    </row>
    <row r="9" spans="2:23" s="171" customFormat="1">
      <c r="B9" s="171" t="s">
        <v>43</v>
      </c>
      <c r="F9" s="171" t="s">
        <v>26</v>
      </c>
      <c r="H9" s="171" t="s">
        <v>27</v>
      </c>
      <c r="J9" s="171" t="s">
        <v>47</v>
      </c>
      <c r="L9" s="72">
        <v>2013</v>
      </c>
      <c r="M9" s="72">
        <v>2014</v>
      </c>
      <c r="N9" s="72">
        <v>2015</v>
      </c>
      <c r="O9" s="72">
        <v>2016</v>
      </c>
      <c r="P9" s="72">
        <v>2017</v>
      </c>
      <c r="Q9" s="72">
        <v>2018</v>
      </c>
      <c r="R9" s="72">
        <v>2019</v>
      </c>
      <c r="S9" s="72">
        <v>2020</v>
      </c>
      <c r="T9" s="72">
        <v>2021</v>
      </c>
      <c r="U9" s="72">
        <v>2022</v>
      </c>
      <c r="W9" s="171" t="s">
        <v>45</v>
      </c>
    </row>
    <row r="12" spans="2:23" s="171" customFormat="1">
      <c r="B12" s="171" t="s">
        <v>46</v>
      </c>
    </row>
    <row r="14" spans="2:23">
      <c r="B14" s="168" t="s">
        <v>377</v>
      </c>
    </row>
    <row r="15" spans="2:23">
      <c r="B15" s="243" t="s">
        <v>111</v>
      </c>
      <c r="F15" s="243" t="s">
        <v>58</v>
      </c>
      <c r="T15" s="88">
        <f>'Tab 9_Parameters'!T16</f>
        <v>7.0000000000000001E-3</v>
      </c>
      <c r="U15" s="88">
        <f>'Tab 9_Parameters'!U16</f>
        <v>2.4E-2</v>
      </c>
      <c r="V15" s="197"/>
    </row>
    <row r="16" spans="2:23" s="256" customFormat="1">
      <c r="L16" s="257"/>
      <c r="M16" s="257"/>
      <c r="N16" s="257"/>
      <c r="O16" s="257"/>
      <c r="P16" s="257"/>
      <c r="Q16" s="257"/>
      <c r="R16" s="257"/>
      <c r="S16" s="257"/>
    </row>
    <row r="17" spans="1:28" s="256" customFormat="1">
      <c r="B17" s="168" t="s">
        <v>62</v>
      </c>
      <c r="L17" s="257"/>
      <c r="M17" s="257"/>
      <c r="N17" s="257"/>
      <c r="O17" s="257"/>
      <c r="P17" s="257"/>
      <c r="Q17" s="257"/>
      <c r="R17" s="257"/>
      <c r="S17" s="257"/>
    </row>
    <row r="18" spans="1:28" s="256" customFormat="1">
      <c r="B18" s="256" t="s">
        <v>416</v>
      </c>
      <c r="F18" s="256" t="s">
        <v>316</v>
      </c>
      <c r="H18" s="248">
        <f>'Tab 12_Berekening parameters'!U53</f>
        <v>1.02</v>
      </c>
      <c r="L18" s="257"/>
      <c r="M18" s="257"/>
      <c r="N18" s="257"/>
      <c r="O18" s="257"/>
      <c r="P18" s="257"/>
      <c r="Q18" s="257"/>
      <c r="R18" s="257"/>
      <c r="S18" s="257"/>
    </row>
    <row r="19" spans="1:28">
      <c r="J19" s="256"/>
      <c r="K19" s="256"/>
      <c r="T19" s="256"/>
      <c r="U19" s="256"/>
      <c r="V19" s="256"/>
    </row>
    <row r="20" spans="1:28">
      <c r="B20" s="168" t="s">
        <v>288</v>
      </c>
    </row>
    <row r="21" spans="1:28">
      <c r="B21" s="243" t="s">
        <v>381</v>
      </c>
      <c r="F21" s="243" t="s">
        <v>58</v>
      </c>
      <c r="H21" s="99">
        <f>'Tab 9_Parameters'!H35</f>
        <v>5.7000000000000002E-3</v>
      </c>
    </row>
    <row r="23" spans="1:28">
      <c r="B23" s="168" t="s">
        <v>271</v>
      </c>
    </row>
    <row r="24" spans="1:28">
      <c r="B24" s="243" t="s">
        <v>292</v>
      </c>
      <c r="F24" s="243" t="s">
        <v>269</v>
      </c>
      <c r="T24" s="221">
        <f>'Tab 10_Brondata'!T19</f>
        <v>176854436.24609789</v>
      </c>
    </row>
    <row r="25" spans="1:28" s="256" customFormat="1">
      <c r="L25" s="257"/>
      <c r="M25" s="257"/>
      <c r="N25" s="257"/>
      <c r="O25" s="257"/>
      <c r="P25" s="257"/>
      <c r="Q25" s="257"/>
      <c r="R25" s="257"/>
      <c r="S25" s="257"/>
    </row>
    <row r="26" spans="1:28" s="256" customFormat="1">
      <c r="B26" s="168" t="s">
        <v>418</v>
      </c>
      <c r="L26" s="257"/>
      <c r="M26" s="257"/>
      <c r="N26" s="257"/>
      <c r="O26" s="257"/>
      <c r="P26" s="257"/>
      <c r="Q26" s="257"/>
      <c r="R26" s="257"/>
      <c r="S26" s="257"/>
    </row>
    <row r="27" spans="1:28" s="256" customFormat="1">
      <c r="B27" s="256" t="s">
        <v>418</v>
      </c>
      <c r="F27" s="256" t="s">
        <v>269</v>
      </c>
      <c r="L27" s="257"/>
      <c r="M27" s="257"/>
      <c r="N27" s="257"/>
      <c r="O27" s="257"/>
      <c r="P27" s="257"/>
      <c r="Q27" s="257"/>
      <c r="R27" s="257"/>
      <c r="S27" s="257"/>
      <c r="T27" s="221">
        <f>'Tab 6_Correcties en prognoses'!T36</f>
        <v>51212142</v>
      </c>
    </row>
    <row r="29" spans="1:28" s="171" customFormat="1">
      <c r="B29" s="171" t="s">
        <v>425</v>
      </c>
      <c r="AB29" s="35"/>
    </row>
    <row r="31" spans="1:28">
      <c r="B31" s="168" t="s">
        <v>426</v>
      </c>
    </row>
    <row r="32" spans="1:28">
      <c r="A32" s="283"/>
      <c r="B32" s="178" t="s">
        <v>536</v>
      </c>
      <c r="F32" s="243" t="s">
        <v>269</v>
      </c>
      <c r="U32" s="45">
        <f>(1+U15-$H$21)*T24</f>
        <v>180090872.42940149</v>
      </c>
      <c r="V32" s="197"/>
    </row>
    <row r="33" spans="1:22" s="282" customFormat="1">
      <c r="A33" s="283"/>
      <c r="B33" s="178" t="s">
        <v>538</v>
      </c>
      <c r="F33" s="282" t="s">
        <v>269</v>
      </c>
      <c r="U33" s="45">
        <f>H18*T27</f>
        <v>52236384.840000004</v>
      </c>
      <c r="V33" s="197"/>
    </row>
    <row r="34" spans="1:22">
      <c r="A34" s="283"/>
      <c r="B34" s="241" t="s">
        <v>537</v>
      </c>
      <c r="F34" s="282" t="s">
        <v>269</v>
      </c>
      <c r="U34" s="195">
        <f>U32-U33</f>
        <v>127854487.58940148</v>
      </c>
    </row>
    <row r="35" spans="1:22">
      <c r="A35" s="283"/>
    </row>
    <row r="36" spans="1:22">
      <c r="U36" s="282"/>
    </row>
  </sheetData>
  <mergeCells count="1">
    <mergeCell ref="B4:E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rgb="FFFFFFCC"/>
    <pageSetUpPr autoPageBreaks="0"/>
  </sheetPr>
  <dimension ref="A1:X156"/>
  <sheetViews>
    <sheetView showGridLines="0" zoomScale="85" zoomScaleNormal="85" workbookViewId="0">
      <pane xSplit="6" ySplit="15" topLeftCell="G16" activePane="bottomRight" state="frozen"/>
      <selection pane="topRight"/>
      <selection pane="bottomLeft"/>
      <selection pane="bottomRight"/>
    </sheetView>
  </sheetViews>
  <sheetFormatPr defaultRowHeight="12.75"/>
  <cols>
    <col min="1" max="1" width="4" style="193" customWidth="1"/>
    <col min="2" max="2" width="62.140625" style="193" customWidth="1"/>
    <col min="3" max="5" width="4.5703125" style="193" customWidth="1"/>
    <col min="6" max="6" width="16.7109375" style="193" customWidth="1"/>
    <col min="7" max="7" width="2.7109375" style="193" customWidth="1"/>
    <col min="8" max="8" width="13.7109375" style="193" customWidth="1"/>
    <col min="9" max="9" width="2.7109375" style="193" customWidth="1"/>
    <col min="10" max="10" width="12.5703125" style="193" customWidth="1"/>
    <col min="11" max="11" width="2.7109375" style="193" customWidth="1"/>
    <col min="12" max="20" width="12.5703125" style="193" customWidth="1"/>
    <col min="21" max="21" width="12.5703125" style="243" customWidth="1"/>
    <col min="22" max="22" width="2.7109375" style="193" customWidth="1"/>
    <col min="23" max="37" width="13.7109375" style="193" customWidth="1"/>
    <col min="38" max="16384" width="9.140625" style="193"/>
  </cols>
  <sheetData>
    <row r="1" spans="1:24">
      <c r="A1" s="178"/>
    </row>
    <row r="2" spans="1:24" s="20" customFormat="1" ht="18">
      <c r="B2" s="20" t="s">
        <v>431</v>
      </c>
    </row>
    <row r="3" spans="1:24">
      <c r="A3" s="178"/>
    </row>
    <row r="4" spans="1:24">
      <c r="A4" s="178"/>
      <c r="B4" s="168" t="s">
        <v>55</v>
      </c>
      <c r="C4" s="168"/>
      <c r="D4" s="168"/>
    </row>
    <row r="5" spans="1:24" ht="12.75" customHeight="1">
      <c r="A5" s="178"/>
      <c r="B5" s="297" t="s">
        <v>277</v>
      </c>
      <c r="C5" s="297"/>
      <c r="D5" s="297"/>
      <c r="E5" s="297"/>
      <c r="F5" s="297"/>
      <c r="G5" s="297"/>
      <c r="H5" s="297"/>
      <c r="I5" s="297"/>
      <c r="J5" s="297"/>
      <c r="K5" s="297"/>
      <c r="L5" s="231"/>
      <c r="M5" s="231"/>
      <c r="N5" s="231"/>
    </row>
    <row r="6" spans="1:24">
      <c r="A6" s="178"/>
      <c r="B6" s="297"/>
      <c r="C6" s="297"/>
      <c r="D6" s="297"/>
      <c r="E6" s="297"/>
      <c r="F6" s="297"/>
      <c r="G6" s="297"/>
      <c r="H6" s="297"/>
      <c r="I6" s="297"/>
      <c r="J6" s="297"/>
      <c r="K6" s="297"/>
      <c r="L6" s="231"/>
      <c r="M6" s="231"/>
      <c r="N6" s="231"/>
    </row>
    <row r="7" spans="1:24">
      <c r="A7" s="178"/>
      <c r="B7" s="297"/>
      <c r="C7" s="297"/>
      <c r="D7" s="297"/>
      <c r="E7" s="297"/>
      <c r="F7" s="297"/>
      <c r="G7" s="297"/>
      <c r="H7" s="297"/>
      <c r="I7" s="297"/>
      <c r="J7" s="297"/>
      <c r="K7" s="297"/>
      <c r="L7" s="231"/>
      <c r="M7" s="231"/>
      <c r="N7" s="231"/>
    </row>
    <row r="8" spans="1:24">
      <c r="A8" s="178"/>
      <c r="B8" s="297"/>
      <c r="C8" s="297"/>
      <c r="D8" s="297"/>
      <c r="E8" s="297"/>
      <c r="F8" s="297"/>
      <c r="G8" s="297"/>
      <c r="H8" s="297"/>
      <c r="I8" s="297"/>
      <c r="J8" s="297"/>
      <c r="K8" s="297"/>
      <c r="L8" s="231"/>
      <c r="M8" s="231"/>
      <c r="N8" s="231"/>
    </row>
    <row r="9" spans="1:24">
      <c r="A9" s="178"/>
      <c r="B9" s="297"/>
      <c r="C9" s="297"/>
      <c r="D9" s="297"/>
      <c r="E9" s="297"/>
      <c r="F9" s="297"/>
      <c r="G9" s="297"/>
      <c r="H9" s="297"/>
      <c r="I9" s="297"/>
      <c r="J9" s="297"/>
      <c r="K9" s="297"/>
      <c r="L9" s="231"/>
      <c r="M9" s="231"/>
      <c r="N9" s="231"/>
    </row>
    <row r="10" spans="1:24">
      <c r="A10" s="178"/>
      <c r="B10" s="297"/>
      <c r="C10" s="297"/>
      <c r="D10" s="297"/>
      <c r="E10" s="297"/>
      <c r="F10" s="297"/>
      <c r="G10" s="297"/>
      <c r="H10" s="297"/>
      <c r="I10" s="297"/>
      <c r="J10" s="297"/>
      <c r="K10" s="297"/>
      <c r="L10" s="231"/>
      <c r="M10" s="231"/>
      <c r="N10" s="231"/>
    </row>
    <row r="11" spans="1:24">
      <c r="A11" s="178"/>
      <c r="B11" s="297"/>
      <c r="C11" s="297"/>
      <c r="D11" s="297"/>
      <c r="E11" s="297"/>
      <c r="F11" s="297"/>
      <c r="G11" s="297"/>
      <c r="H11" s="297"/>
      <c r="I11" s="297"/>
      <c r="J11" s="297"/>
      <c r="K11" s="297"/>
      <c r="L11" s="231"/>
      <c r="M11" s="231"/>
      <c r="N11" s="231"/>
    </row>
    <row r="12" spans="1:24" s="259" customFormat="1">
      <c r="A12" s="178"/>
      <c r="B12" s="297"/>
      <c r="C12" s="297"/>
      <c r="D12" s="297"/>
      <c r="E12" s="297"/>
      <c r="F12" s="297"/>
      <c r="G12" s="297"/>
      <c r="H12" s="297"/>
      <c r="I12" s="297"/>
      <c r="J12" s="297"/>
      <c r="K12" s="297"/>
      <c r="L12" s="244"/>
      <c r="M12" s="244"/>
      <c r="N12" s="244"/>
    </row>
    <row r="14" spans="1:24" s="171" customFormat="1">
      <c r="B14" s="171" t="s">
        <v>43</v>
      </c>
      <c r="F14" s="171" t="s">
        <v>26</v>
      </c>
      <c r="H14" s="171" t="s">
        <v>27</v>
      </c>
      <c r="J14" s="171" t="s">
        <v>47</v>
      </c>
      <c r="L14" s="72">
        <v>2013</v>
      </c>
      <c r="M14" s="72">
        <v>2014</v>
      </c>
      <c r="N14" s="72">
        <v>2015</v>
      </c>
      <c r="O14" s="72">
        <v>2016</v>
      </c>
      <c r="P14" s="72">
        <v>2017</v>
      </c>
      <c r="Q14" s="72">
        <v>2018</v>
      </c>
      <c r="R14" s="72">
        <v>2019</v>
      </c>
      <c r="S14" s="72">
        <v>2020</v>
      </c>
      <c r="T14" s="72">
        <v>2021</v>
      </c>
      <c r="U14" s="72">
        <v>2022</v>
      </c>
      <c r="W14" s="171" t="s">
        <v>45</v>
      </c>
      <c r="X14" s="35"/>
    </row>
    <row r="17" spans="1:23" s="171" customFormat="1">
      <c r="B17" s="171" t="s">
        <v>46</v>
      </c>
    </row>
    <row r="18" spans="1:23">
      <c r="A18" s="178"/>
    </row>
    <row r="19" spans="1:23">
      <c r="A19" s="178"/>
      <c r="B19" s="168" t="s">
        <v>57</v>
      </c>
    </row>
    <row r="20" spans="1:23">
      <c r="A20" s="178"/>
      <c r="B20" s="193" t="s">
        <v>111</v>
      </c>
      <c r="F20" s="193" t="s">
        <v>58</v>
      </c>
      <c r="L20" s="197"/>
      <c r="M20" s="197"/>
      <c r="N20" s="197"/>
      <c r="O20" s="197"/>
      <c r="P20" s="88">
        <f>'Tab 12_Berekening parameters'!P15</f>
        <v>2E-3</v>
      </c>
      <c r="Q20" s="88">
        <f>'Tab 12_Berekening parameters'!Q15</f>
        <v>1.4E-2</v>
      </c>
      <c r="R20" s="88">
        <f>'Tab 12_Berekening parameters'!R15</f>
        <v>2.1000000000000001E-2</v>
      </c>
      <c r="S20" s="88">
        <f>'Tab 12_Berekening parameters'!S15</f>
        <v>2.8000000000000001E-2</v>
      </c>
      <c r="T20" s="243"/>
      <c r="V20" s="243"/>
      <c r="W20" s="189"/>
    </row>
    <row r="21" spans="1:23">
      <c r="A21" s="178"/>
      <c r="H21" s="243"/>
      <c r="T21" s="243"/>
    </row>
    <row r="22" spans="1:23">
      <c r="A22" s="212"/>
      <c r="B22" s="243" t="s">
        <v>378</v>
      </c>
      <c r="F22" s="193" t="s">
        <v>316</v>
      </c>
      <c r="H22" s="248">
        <f>'Tab 12_Berekening parameters'!O27</f>
        <v>1.0465862400000001</v>
      </c>
    </row>
    <row r="23" spans="1:23">
      <c r="A23" s="212"/>
      <c r="B23" s="243" t="s">
        <v>379</v>
      </c>
      <c r="F23" s="243" t="s">
        <v>316</v>
      </c>
      <c r="H23" s="248">
        <f>'Tab 12_Berekening parameters'!O28</f>
        <v>1.0180800000000001</v>
      </c>
    </row>
    <row r="24" spans="1:23">
      <c r="A24" s="212"/>
      <c r="B24" s="243" t="s">
        <v>380</v>
      </c>
      <c r="F24" s="243" t="s">
        <v>316</v>
      </c>
      <c r="H24" s="248">
        <f>'Tab 12_Berekening parameters'!O29</f>
        <v>1.008</v>
      </c>
    </row>
    <row r="25" spans="1:23">
      <c r="A25" s="178"/>
    </row>
    <row r="26" spans="1:23" s="196" customFormat="1">
      <c r="A26" s="178"/>
      <c r="B26" s="168" t="s">
        <v>62</v>
      </c>
      <c r="U26" s="243"/>
    </row>
    <row r="27" spans="1:23">
      <c r="A27" s="178"/>
      <c r="B27" s="243" t="s">
        <v>346</v>
      </c>
      <c r="F27" s="193" t="s">
        <v>316</v>
      </c>
      <c r="H27" s="248">
        <f>'Tab 12_Berekening parameters'!U52</f>
        <v>1.0404</v>
      </c>
    </row>
    <row r="28" spans="1:23" s="230" customFormat="1">
      <c r="A28" s="178"/>
      <c r="U28" s="243"/>
    </row>
    <row r="29" spans="1:23" s="196" customFormat="1">
      <c r="A29" s="178"/>
      <c r="B29" s="168" t="s">
        <v>67</v>
      </c>
      <c r="U29" s="243"/>
    </row>
    <row r="30" spans="1:23" s="196" customFormat="1">
      <c r="A30" s="178"/>
      <c r="B30" s="39" t="s">
        <v>177</v>
      </c>
      <c r="F30" s="196" t="s">
        <v>58</v>
      </c>
      <c r="H30" s="92">
        <f>'Tab 9_Parameters'!H31</f>
        <v>-0.15</v>
      </c>
      <c r="J30" s="189"/>
      <c r="U30" s="243"/>
    </row>
    <row r="31" spans="1:23" s="196" customFormat="1">
      <c r="A31" s="178"/>
      <c r="U31" s="243"/>
    </row>
    <row r="32" spans="1:23">
      <c r="A32" s="178"/>
      <c r="B32" s="168" t="s">
        <v>209</v>
      </c>
    </row>
    <row r="33" spans="1:23">
      <c r="A33" s="178"/>
      <c r="B33" s="193" t="s">
        <v>194</v>
      </c>
      <c r="F33" s="193" t="s">
        <v>269</v>
      </c>
      <c r="L33" s="290" t="s">
        <v>633</v>
      </c>
      <c r="M33" s="290" t="s">
        <v>640</v>
      </c>
      <c r="N33" s="290" t="s">
        <v>647</v>
      </c>
      <c r="P33" s="234"/>
      <c r="Q33" s="234"/>
      <c r="R33" s="243"/>
      <c r="S33" s="290" t="s">
        <v>654</v>
      </c>
    </row>
    <row r="34" spans="1:23">
      <c r="A34" s="178"/>
      <c r="B34" s="193" t="s">
        <v>195</v>
      </c>
      <c r="F34" s="230" t="s">
        <v>269</v>
      </c>
      <c r="L34" s="290" t="s">
        <v>634</v>
      </c>
      <c r="M34" s="290" t="s">
        <v>641</v>
      </c>
      <c r="N34" s="290" t="s">
        <v>648</v>
      </c>
      <c r="P34" s="234"/>
      <c r="Q34" s="234"/>
      <c r="R34" s="243"/>
      <c r="S34" s="290" t="s">
        <v>655</v>
      </c>
    </row>
    <row r="35" spans="1:23">
      <c r="A35" s="178"/>
      <c r="B35" s="193" t="s">
        <v>196</v>
      </c>
      <c r="F35" s="230" t="s">
        <v>269</v>
      </c>
      <c r="L35" s="290" t="s">
        <v>635</v>
      </c>
      <c r="M35" s="290" t="s">
        <v>642</v>
      </c>
      <c r="N35" s="290" t="s">
        <v>649</v>
      </c>
      <c r="P35" s="234"/>
      <c r="Q35" s="234"/>
      <c r="R35" s="243"/>
      <c r="S35" s="290" t="s">
        <v>656</v>
      </c>
    </row>
    <row r="36" spans="1:23">
      <c r="A36" s="178"/>
      <c r="P36" s="178"/>
      <c r="Q36" s="178"/>
      <c r="R36" s="243"/>
    </row>
    <row r="37" spans="1:23">
      <c r="A37" s="178"/>
      <c r="B37" s="168" t="s">
        <v>210</v>
      </c>
      <c r="P37" s="178"/>
      <c r="Q37" s="178"/>
      <c r="R37" s="243"/>
    </row>
    <row r="38" spans="1:23">
      <c r="A38" s="178"/>
      <c r="B38" s="193" t="s">
        <v>191</v>
      </c>
      <c r="F38" s="193" t="s">
        <v>269</v>
      </c>
      <c r="L38" s="290" t="s">
        <v>636</v>
      </c>
      <c r="M38" s="290" t="s">
        <v>643</v>
      </c>
      <c r="N38" s="290" t="s">
        <v>650</v>
      </c>
      <c r="P38" s="234"/>
      <c r="Q38" s="234"/>
      <c r="R38" s="243"/>
      <c r="S38" s="290" t="s">
        <v>657</v>
      </c>
    </row>
    <row r="39" spans="1:23">
      <c r="A39" s="178"/>
      <c r="B39" s="193" t="s">
        <v>192</v>
      </c>
      <c r="F39" s="230" t="s">
        <v>269</v>
      </c>
      <c r="L39" s="290" t="s">
        <v>637</v>
      </c>
      <c r="M39" s="290" t="s">
        <v>644</v>
      </c>
      <c r="N39" s="290" t="s">
        <v>651</v>
      </c>
      <c r="P39" s="234"/>
      <c r="Q39" s="234"/>
      <c r="R39" s="243"/>
      <c r="S39" s="290" t="s">
        <v>658</v>
      </c>
    </row>
    <row r="40" spans="1:23">
      <c r="A40" s="178"/>
      <c r="B40" s="193" t="s">
        <v>193</v>
      </c>
      <c r="F40" s="230" t="s">
        <v>269</v>
      </c>
      <c r="L40" s="290" t="s">
        <v>638</v>
      </c>
      <c r="M40" s="290" t="s">
        <v>645</v>
      </c>
      <c r="N40" s="290" t="s">
        <v>652</v>
      </c>
      <c r="P40" s="234"/>
      <c r="Q40" s="234"/>
      <c r="R40" s="243"/>
      <c r="S40" s="290" t="s">
        <v>659</v>
      </c>
    </row>
    <row r="41" spans="1:23">
      <c r="A41" s="178"/>
      <c r="B41" s="193" t="s">
        <v>225</v>
      </c>
      <c r="F41" s="230" t="s">
        <v>269</v>
      </c>
      <c r="L41" s="290" t="s">
        <v>639</v>
      </c>
      <c r="M41" s="290" t="s">
        <v>646</v>
      </c>
      <c r="N41" s="291" t="s">
        <v>653</v>
      </c>
      <c r="O41" s="189"/>
      <c r="P41" s="178"/>
      <c r="Q41" s="178"/>
      <c r="R41" s="243"/>
      <c r="W41" s="193" t="s">
        <v>226</v>
      </c>
    </row>
    <row r="42" spans="1:23" s="196" customFormat="1">
      <c r="A42" s="178"/>
      <c r="P42" s="178"/>
      <c r="Q42" s="178"/>
      <c r="R42" s="243"/>
      <c r="U42" s="243"/>
    </row>
    <row r="43" spans="1:23">
      <c r="A43" s="178"/>
      <c r="B43" s="168" t="s">
        <v>211</v>
      </c>
      <c r="P43" s="178"/>
      <c r="Q43" s="178"/>
      <c r="R43" s="230"/>
    </row>
    <row r="44" spans="1:23">
      <c r="A44" s="178"/>
      <c r="B44" s="193" t="s">
        <v>306</v>
      </c>
      <c r="F44" s="193" t="s">
        <v>269</v>
      </c>
      <c r="N44" s="202"/>
      <c r="O44" s="202"/>
      <c r="P44" s="234"/>
      <c r="Q44" s="234"/>
      <c r="R44" s="243"/>
      <c r="S44" s="290" t="s">
        <v>660</v>
      </c>
      <c r="W44" s="189"/>
    </row>
    <row r="45" spans="1:23">
      <c r="A45" s="178"/>
      <c r="B45" s="193" t="s">
        <v>307</v>
      </c>
      <c r="F45" s="230" t="s">
        <v>269</v>
      </c>
      <c r="N45" s="202"/>
      <c r="O45" s="202"/>
      <c r="P45" s="234"/>
      <c r="Q45" s="234"/>
      <c r="R45" s="243"/>
      <c r="S45" s="290" t="s">
        <v>661</v>
      </c>
    </row>
    <row r="46" spans="1:23">
      <c r="A46" s="178"/>
      <c r="B46" s="193" t="s">
        <v>308</v>
      </c>
      <c r="F46" s="230" t="s">
        <v>269</v>
      </c>
      <c r="N46" s="202"/>
      <c r="O46" s="202"/>
      <c r="P46" s="234"/>
      <c r="Q46" s="234"/>
      <c r="R46" s="243"/>
      <c r="S46" s="290" t="s">
        <v>662</v>
      </c>
    </row>
    <row r="47" spans="1:23">
      <c r="A47" s="178"/>
      <c r="B47" s="193" t="s">
        <v>309</v>
      </c>
      <c r="F47" s="230" t="s">
        <v>269</v>
      </c>
      <c r="N47" s="202"/>
      <c r="O47" s="202"/>
      <c r="P47" s="234"/>
      <c r="Q47" s="234"/>
      <c r="R47" s="243"/>
      <c r="S47" s="290" t="s">
        <v>663</v>
      </c>
    </row>
    <row r="48" spans="1:23">
      <c r="A48" s="178"/>
      <c r="P48" s="178"/>
      <c r="Q48" s="178"/>
      <c r="R48" s="243"/>
    </row>
    <row r="49" spans="1:21" s="196" customFormat="1">
      <c r="A49" s="178"/>
      <c r="B49" s="196" t="s">
        <v>296</v>
      </c>
      <c r="F49" s="196" t="s">
        <v>269</v>
      </c>
      <c r="P49" s="234"/>
      <c r="Q49" s="234"/>
      <c r="R49" s="243"/>
      <c r="S49" s="290" t="s">
        <v>664</v>
      </c>
      <c r="U49" s="243"/>
    </row>
    <row r="50" spans="1:21" s="196" customFormat="1">
      <c r="A50" s="178"/>
      <c r="B50" s="196" t="s">
        <v>297</v>
      </c>
      <c r="F50" s="230" t="s">
        <v>269</v>
      </c>
      <c r="P50" s="234"/>
      <c r="Q50" s="234"/>
      <c r="R50" s="243"/>
      <c r="S50" s="290" t="s">
        <v>665</v>
      </c>
      <c r="U50" s="243"/>
    </row>
    <row r="51" spans="1:21" s="196" customFormat="1">
      <c r="A51" s="178"/>
      <c r="B51" s="196" t="s">
        <v>298</v>
      </c>
      <c r="F51" s="230" t="s">
        <v>269</v>
      </c>
      <c r="P51" s="234"/>
      <c r="Q51" s="234"/>
      <c r="R51" s="243"/>
      <c r="S51" s="290" t="s">
        <v>666</v>
      </c>
      <c r="U51" s="243"/>
    </row>
    <row r="52" spans="1:21" s="196" customFormat="1">
      <c r="A52" s="178"/>
      <c r="B52" s="196" t="s">
        <v>299</v>
      </c>
      <c r="F52" s="230" t="s">
        <v>269</v>
      </c>
      <c r="P52" s="234"/>
      <c r="Q52" s="234"/>
      <c r="R52" s="243"/>
      <c r="S52" s="290" t="s">
        <v>667</v>
      </c>
      <c r="U52" s="243"/>
    </row>
    <row r="53" spans="1:21" s="196" customFormat="1">
      <c r="U53" s="243"/>
    </row>
    <row r="54" spans="1:21" s="171" customFormat="1">
      <c r="B54" s="171" t="s">
        <v>278</v>
      </c>
    </row>
    <row r="56" spans="1:21" s="196" customFormat="1">
      <c r="A56" s="178"/>
      <c r="B56" s="168" t="s">
        <v>219</v>
      </c>
      <c r="U56" s="243"/>
    </row>
    <row r="57" spans="1:21" s="196" customFormat="1">
      <c r="A57" s="178"/>
      <c r="B57" s="196" t="s">
        <v>212</v>
      </c>
      <c r="F57" s="196" t="s">
        <v>269</v>
      </c>
      <c r="O57" s="289" t="s">
        <v>627</v>
      </c>
      <c r="U57" s="243"/>
    </row>
    <row r="58" spans="1:21" s="196" customFormat="1">
      <c r="A58" s="178"/>
      <c r="B58" s="196" t="s">
        <v>213</v>
      </c>
      <c r="F58" s="230" t="s">
        <v>269</v>
      </c>
      <c r="O58" s="289" t="s">
        <v>628</v>
      </c>
      <c r="U58" s="243"/>
    </row>
    <row r="59" spans="1:21" s="196" customFormat="1">
      <c r="A59" s="178"/>
      <c r="B59" s="196" t="s">
        <v>214</v>
      </c>
      <c r="F59" s="230" t="s">
        <v>269</v>
      </c>
      <c r="O59" s="289" t="s">
        <v>629</v>
      </c>
      <c r="U59" s="243"/>
    </row>
    <row r="60" spans="1:21" s="196" customFormat="1">
      <c r="A60" s="178"/>
      <c r="U60" s="243"/>
    </row>
    <row r="61" spans="1:21" s="196" customFormat="1">
      <c r="A61" s="178"/>
      <c r="B61" s="168" t="s">
        <v>220</v>
      </c>
      <c r="U61" s="243"/>
    </row>
    <row r="62" spans="1:21" s="196" customFormat="1">
      <c r="A62" s="178"/>
      <c r="B62" s="196" t="s">
        <v>215</v>
      </c>
      <c r="F62" s="196" t="s">
        <v>269</v>
      </c>
      <c r="O62" s="289" t="s">
        <v>630</v>
      </c>
      <c r="U62" s="243"/>
    </row>
    <row r="63" spans="1:21" s="196" customFormat="1">
      <c r="A63" s="178"/>
      <c r="B63" s="196" t="s">
        <v>216</v>
      </c>
      <c r="F63" s="230" t="s">
        <v>269</v>
      </c>
      <c r="O63" s="289" t="s">
        <v>631</v>
      </c>
      <c r="U63" s="243"/>
    </row>
    <row r="64" spans="1:21" s="196" customFormat="1">
      <c r="A64" s="178"/>
      <c r="B64" s="196" t="s">
        <v>217</v>
      </c>
      <c r="F64" s="230" t="s">
        <v>269</v>
      </c>
      <c r="O64" s="289" t="s">
        <v>632</v>
      </c>
      <c r="U64" s="243"/>
    </row>
    <row r="65" spans="1:23" s="196" customFormat="1">
      <c r="A65" s="178"/>
      <c r="U65" s="243"/>
    </row>
    <row r="66" spans="1:23">
      <c r="A66" s="178"/>
      <c r="B66" s="194" t="s">
        <v>218</v>
      </c>
    </row>
    <row r="67" spans="1:23">
      <c r="A67" s="178"/>
      <c r="B67" s="193" t="s">
        <v>197</v>
      </c>
      <c r="F67" s="193" t="s">
        <v>269</v>
      </c>
      <c r="O67" s="196"/>
      <c r="P67" s="289" t="s">
        <v>621</v>
      </c>
      <c r="Q67" s="289" t="s">
        <v>674</v>
      </c>
      <c r="R67" s="289" t="s">
        <v>677</v>
      </c>
      <c r="S67" s="289" t="s">
        <v>683</v>
      </c>
      <c r="W67" s="193" t="s">
        <v>227</v>
      </c>
    </row>
    <row r="68" spans="1:23">
      <c r="A68" s="178"/>
      <c r="B68" s="193" t="s">
        <v>198</v>
      </c>
      <c r="F68" s="230" t="s">
        <v>269</v>
      </c>
      <c r="O68" s="196"/>
      <c r="P68" s="289" t="s">
        <v>622</v>
      </c>
      <c r="Q68" s="289" t="s">
        <v>675</v>
      </c>
      <c r="R68" s="289" t="s">
        <v>678</v>
      </c>
      <c r="S68" s="289" t="s">
        <v>684</v>
      </c>
      <c r="W68" s="196" t="s">
        <v>227</v>
      </c>
    </row>
    <row r="69" spans="1:23">
      <c r="A69" s="178"/>
      <c r="B69" s="193" t="s">
        <v>206</v>
      </c>
      <c r="F69" s="230" t="s">
        <v>269</v>
      </c>
      <c r="O69" s="196"/>
      <c r="P69" s="289" t="s">
        <v>623</v>
      </c>
      <c r="Q69" s="289" t="s">
        <v>676</v>
      </c>
      <c r="R69" s="289" t="s">
        <v>679</v>
      </c>
      <c r="S69" s="289" t="s">
        <v>685</v>
      </c>
      <c r="W69" s="196" t="s">
        <v>227</v>
      </c>
    </row>
    <row r="70" spans="1:23">
      <c r="A70" s="178"/>
      <c r="O70" s="196"/>
      <c r="P70" s="196"/>
      <c r="Q70" s="196"/>
      <c r="R70" s="230"/>
      <c r="S70" s="178"/>
    </row>
    <row r="71" spans="1:23">
      <c r="A71" s="178"/>
      <c r="B71" s="168" t="s">
        <v>221</v>
      </c>
      <c r="O71" s="196"/>
      <c r="P71" s="196"/>
      <c r="Q71" s="196"/>
      <c r="R71" s="230"/>
      <c r="S71" s="178"/>
    </row>
    <row r="72" spans="1:23">
      <c r="A72" s="178"/>
      <c r="B72" s="193" t="s">
        <v>199</v>
      </c>
      <c r="F72" s="193" t="s">
        <v>269</v>
      </c>
      <c r="O72" s="196"/>
      <c r="P72" s="289" t="s">
        <v>624</v>
      </c>
      <c r="Q72" s="289" t="s">
        <v>671</v>
      </c>
      <c r="R72" s="289" t="s">
        <v>680</v>
      </c>
      <c r="S72" s="289" t="s">
        <v>686</v>
      </c>
      <c r="W72" s="193" t="s">
        <v>227</v>
      </c>
    </row>
    <row r="73" spans="1:23">
      <c r="A73" s="178"/>
      <c r="B73" s="193" t="s">
        <v>200</v>
      </c>
      <c r="F73" s="193" t="s">
        <v>269</v>
      </c>
      <c r="O73" s="196"/>
      <c r="P73" s="289" t="s">
        <v>625</v>
      </c>
      <c r="Q73" s="289" t="s">
        <v>672</v>
      </c>
      <c r="R73" s="289" t="s">
        <v>681</v>
      </c>
      <c r="S73" s="289" t="s">
        <v>687</v>
      </c>
      <c r="W73" s="196" t="s">
        <v>227</v>
      </c>
    </row>
    <row r="74" spans="1:23">
      <c r="A74" s="178"/>
      <c r="B74" s="193" t="s">
        <v>207</v>
      </c>
      <c r="F74" s="193" t="s">
        <v>269</v>
      </c>
      <c r="O74" s="196"/>
      <c r="P74" s="289" t="s">
        <v>626</v>
      </c>
      <c r="Q74" s="289" t="s">
        <v>673</v>
      </c>
      <c r="R74" s="289" t="s">
        <v>682</v>
      </c>
      <c r="S74" s="289" t="s">
        <v>688</v>
      </c>
      <c r="W74" s="196" t="s">
        <v>227</v>
      </c>
    </row>
    <row r="75" spans="1:23">
      <c r="A75" s="178"/>
    </row>
    <row r="76" spans="1:23" s="171" customFormat="1">
      <c r="B76" s="171" t="s">
        <v>208</v>
      </c>
    </row>
    <row r="77" spans="1:23">
      <c r="A77" s="178"/>
    </row>
    <row r="78" spans="1:23">
      <c r="A78" s="178"/>
      <c r="B78" s="168" t="s">
        <v>238</v>
      </c>
    </row>
    <row r="79" spans="1:23">
      <c r="A79" s="178"/>
      <c r="B79" s="188" t="s">
        <v>201</v>
      </c>
      <c r="F79" s="193" t="s">
        <v>269</v>
      </c>
      <c r="P79" s="233"/>
      <c r="Q79" s="233"/>
      <c r="R79" s="243"/>
      <c r="S79" s="289" t="s">
        <v>606</v>
      </c>
    </row>
    <row r="80" spans="1:23">
      <c r="A80" s="178"/>
      <c r="B80" s="188" t="s">
        <v>202</v>
      </c>
      <c r="F80" s="230" t="s">
        <v>269</v>
      </c>
      <c r="P80" s="233"/>
      <c r="Q80" s="233"/>
      <c r="R80" s="243"/>
      <c r="S80" s="289" t="s">
        <v>607</v>
      </c>
    </row>
    <row r="81" spans="1:19">
      <c r="A81" s="178"/>
      <c r="B81" s="188" t="s">
        <v>203</v>
      </c>
      <c r="F81" s="230" t="s">
        <v>269</v>
      </c>
      <c r="P81" s="233"/>
      <c r="Q81" s="233"/>
      <c r="R81" s="243"/>
      <c r="S81" s="289" t="s">
        <v>608</v>
      </c>
    </row>
    <row r="82" spans="1:19">
      <c r="A82" s="178"/>
      <c r="B82" s="188" t="s">
        <v>204</v>
      </c>
      <c r="F82" s="230" t="s">
        <v>269</v>
      </c>
      <c r="P82" s="233"/>
      <c r="Q82" s="233"/>
      <c r="R82" s="243"/>
      <c r="S82" s="289" t="s">
        <v>609</v>
      </c>
    </row>
    <row r="83" spans="1:19">
      <c r="A83" s="178"/>
      <c r="B83" s="188" t="s">
        <v>205</v>
      </c>
      <c r="F83" s="230" t="s">
        <v>269</v>
      </c>
      <c r="P83" s="233"/>
      <c r="Q83" s="233"/>
      <c r="R83" s="243"/>
      <c r="S83" s="289" t="s">
        <v>610</v>
      </c>
    </row>
    <row r="84" spans="1:19">
      <c r="A84" s="178"/>
      <c r="B84" s="188"/>
      <c r="P84" s="178"/>
      <c r="Q84" s="178"/>
      <c r="R84" s="243"/>
    </row>
    <row r="85" spans="1:19">
      <c r="A85" s="178"/>
      <c r="B85" s="168" t="s">
        <v>239</v>
      </c>
      <c r="P85" s="178"/>
      <c r="Q85" s="178"/>
      <c r="R85" s="230"/>
    </row>
    <row r="86" spans="1:19">
      <c r="A86" s="178"/>
      <c r="B86" s="188" t="s">
        <v>201</v>
      </c>
      <c r="F86" s="193" t="s">
        <v>269</v>
      </c>
      <c r="P86" s="233"/>
      <c r="Q86" s="233"/>
      <c r="R86" s="243"/>
      <c r="S86" s="289" t="s">
        <v>611</v>
      </c>
    </row>
    <row r="87" spans="1:19">
      <c r="A87" s="178"/>
      <c r="B87" s="188" t="s">
        <v>202</v>
      </c>
      <c r="F87" s="193" t="s">
        <v>269</v>
      </c>
      <c r="P87" s="233"/>
      <c r="Q87" s="233"/>
      <c r="R87" s="243"/>
      <c r="S87" s="289" t="s">
        <v>612</v>
      </c>
    </row>
    <row r="88" spans="1:19">
      <c r="A88" s="178"/>
      <c r="B88" s="188" t="s">
        <v>203</v>
      </c>
      <c r="F88" s="193" t="s">
        <v>269</v>
      </c>
      <c r="P88" s="233"/>
      <c r="Q88" s="233"/>
      <c r="R88" s="243"/>
      <c r="S88" s="289" t="s">
        <v>613</v>
      </c>
    </row>
    <row r="89" spans="1:19">
      <c r="A89" s="178"/>
      <c r="B89" s="188" t="s">
        <v>204</v>
      </c>
      <c r="F89" s="193" t="s">
        <v>269</v>
      </c>
      <c r="P89" s="233"/>
      <c r="Q89" s="233"/>
      <c r="R89" s="243"/>
      <c r="S89" s="289" t="s">
        <v>614</v>
      </c>
    </row>
    <row r="90" spans="1:19">
      <c r="A90" s="178"/>
      <c r="B90" s="188" t="s">
        <v>205</v>
      </c>
      <c r="F90" s="193" t="s">
        <v>269</v>
      </c>
      <c r="P90" s="233"/>
      <c r="Q90" s="233"/>
      <c r="R90" s="243"/>
      <c r="S90" s="289" t="s">
        <v>615</v>
      </c>
    </row>
    <row r="91" spans="1:19">
      <c r="A91" s="178"/>
      <c r="B91" s="188"/>
      <c r="P91" s="178"/>
      <c r="Q91" s="178"/>
      <c r="R91" s="243"/>
    </row>
    <row r="92" spans="1:19">
      <c r="A92" s="178"/>
      <c r="B92" s="168" t="s">
        <v>240</v>
      </c>
      <c r="P92" s="178"/>
      <c r="Q92" s="178"/>
      <c r="R92" s="230"/>
    </row>
    <row r="93" spans="1:19">
      <c r="A93" s="178"/>
      <c r="B93" s="188" t="s">
        <v>201</v>
      </c>
      <c r="F93" s="193" t="s">
        <v>269</v>
      </c>
      <c r="P93" s="233"/>
      <c r="Q93" s="233"/>
      <c r="R93" s="243"/>
      <c r="S93" s="289" t="s">
        <v>616</v>
      </c>
    </row>
    <row r="94" spans="1:19">
      <c r="A94" s="178"/>
      <c r="B94" s="188" t="s">
        <v>202</v>
      </c>
      <c r="F94" s="193" t="s">
        <v>269</v>
      </c>
      <c r="P94" s="233"/>
      <c r="Q94" s="233"/>
      <c r="R94" s="243"/>
      <c r="S94" s="289" t="s">
        <v>617</v>
      </c>
    </row>
    <row r="95" spans="1:19">
      <c r="A95" s="178"/>
      <c r="B95" s="188" t="s">
        <v>203</v>
      </c>
      <c r="F95" s="193" t="s">
        <v>269</v>
      </c>
      <c r="P95" s="233"/>
      <c r="Q95" s="233"/>
      <c r="R95" s="243"/>
      <c r="S95" s="289" t="s">
        <v>618</v>
      </c>
    </row>
    <row r="96" spans="1:19">
      <c r="A96" s="178"/>
      <c r="B96" s="188" t="s">
        <v>204</v>
      </c>
      <c r="F96" s="193" t="s">
        <v>269</v>
      </c>
      <c r="P96" s="233"/>
      <c r="Q96" s="233"/>
      <c r="R96" s="243"/>
      <c r="S96" s="289" t="s">
        <v>619</v>
      </c>
    </row>
    <row r="97" spans="1:23">
      <c r="A97" s="178"/>
      <c r="B97" s="188" t="s">
        <v>205</v>
      </c>
      <c r="F97" s="193" t="s">
        <v>269</v>
      </c>
      <c r="P97" s="233"/>
      <c r="Q97" s="233"/>
      <c r="R97" s="243"/>
      <c r="S97" s="289" t="s">
        <v>620</v>
      </c>
    </row>
    <row r="98" spans="1:23">
      <c r="A98" s="178"/>
      <c r="B98" s="188"/>
      <c r="P98" s="178"/>
      <c r="Q98" s="178"/>
      <c r="R98" s="230"/>
    </row>
    <row r="99" spans="1:23">
      <c r="A99" s="178"/>
      <c r="B99" s="168" t="s">
        <v>241</v>
      </c>
      <c r="F99" s="193" t="s">
        <v>269</v>
      </c>
      <c r="P99" s="233"/>
      <c r="Q99" s="233"/>
      <c r="R99" s="243"/>
      <c r="S99" s="45">
        <v>21371074.770735536</v>
      </c>
    </row>
    <row r="100" spans="1:23">
      <c r="A100" s="178"/>
      <c r="B100" s="168" t="s">
        <v>310</v>
      </c>
      <c r="F100" s="193" t="s">
        <v>269</v>
      </c>
      <c r="P100" s="178"/>
      <c r="Q100" s="178"/>
      <c r="S100" s="198"/>
      <c r="T100" s="243"/>
      <c r="U100" s="195">
        <f>S99*$H$27</f>
        <v>22234466.191473253</v>
      </c>
      <c r="W100" s="189"/>
    </row>
    <row r="101" spans="1:23">
      <c r="A101" s="178"/>
      <c r="B101" s="188"/>
      <c r="P101" s="178"/>
      <c r="Q101" s="178"/>
    </row>
    <row r="102" spans="1:23">
      <c r="A102" s="178"/>
      <c r="B102" s="168" t="s">
        <v>242</v>
      </c>
      <c r="P102" s="178"/>
      <c r="Q102" s="178"/>
    </row>
    <row r="103" spans="1:23">
      <c r="A103" s="178"/>
      <c r="B103" s="188" t="s">
        <v>201</v>
      </c>
      <c r="F103" s="193" t="s">
        <v>269</v>
      </c>
      <c r="P103" s="233"/>
      <c r="Q103" s="233"/>
      <c r="R103" s="243"/>
      <c r="S103" s="289" t="s">
        <v>591</v>
      </c>
      <c r="W103" s="189"/>
    </row>
    <row r="104" spans="1:23">
      <c r="A104" s="178"/>
      <c r="B104" s="188" t="s">
        <v>202</v>
      </c>
      <c r="F104" s="193" t="s">
        <v>269</v>
      </c>
      <c r="P104" s="233"/>
      <c r="Q104" s="233"/>
      <c r="R104" s="243"/>
      <c r="S104" s="289" t="s">
        <v>592</v>
      </c>
    </row>
    <row r="105" spans="1:23">
      <c r="A105" s="178"/>
      <c r="B105" s="188" t="s">
        <v>203</v>
      </c>
      <c r="F105" s="193" t="s">
        <v>269</v>
      </c>
      <c r="P105" s="233"/>
      <c r="Q105" s="233"/>
      <c r="R105" s="243"/>
      <c r="S105" s="289" t="s">
        <v>593</v>
      </c>
    </row>
    <row r="106" spans="1:23">
      <c r="A106" s="178"/>
      <c r="B106" s="188" t="s">
        <v>204</v>
      </c>
      <c r="F106" s="193" t="s">
        <v>269</v>
      </c>
      <c r="P106" s="233"/>
      <c r="Q106" s="233"/>
      <c r="R106" s="243"/>
      <c r="S106" s="289" t="s">
        <v>594</v>
      </c>
    </row>
    <row r="107" spans="1:23">
      <c r="A107" s="178"/>
      <c r="B107" s="188" t="s">
        <v>205</v>
      </c>
      <c r="F107" s="193" t="s">
        <v>269</v>
      </c>
      <c r="P107" s="233"/>
      <c r="Q107" s="233"/>
      <c r="R107" s="243"/>
      <c r="S107" s="289" t="s">
        <v>595</v>
      </c>
    </row>
    <row r="108" spans="1:23">
      <c r="A108" s="178"/>
      <c r="B108" s="188"/>
      <c r="P108" s="178"/>
      <c r="Q108" s="178"/>
      <c r="R108" s="243"/>
      <c r="S108" s="243"/>
    </row>
    <row r="109" spans="1:23">
      <c r="A109" s="178"/>
      <c r="B109" s="168" t="s">
        <v>243</v>
      </c>
      <c r="P109" s="178"/>
      <c r="Q109" s="178"/>
      <c r="R109" s="243"/>
      <c r="S109" s="243"/>
    </row>
    <row r="110" spans="1:23">
      <c r="A110" s="178"/>
      <c r="B110" s="188" t="s">
        <v>201</v>
      </c>
      <c r="F110" s="193" t="s">
        <v>269</v>
      </c>
      <c r="P110" s="233"/>
      <c r="Q110" s="233"/>
      <c r="R110" s="243"/>
      <c r="S110" s="289" t="s">
        <v>596</v>
      </c>
    </row>
    <row r="111" spans="1:23">
      <c r="A111" s="178"/>
      <c r="B111" s="188" t="s">
        <v>202</v>
      </c>
      <c r="F111" s="193" t="s">
        <v>269</v>
      </c>
      <c r="P111" s="233"/>
      <c r="Q111" s="233"/>
      <c r="R111" s="243"/>
      <c r="S111" s="289" t="s">
        <v>597</v>
      </c>
    </row>
    <row r="112" spans="1:23">
      <c r="A112" s="178"/>
      <c r="B112" s="188" t="s">
        <v>203</v>
      </c>
      <c r="F112" s="193" t="s">
        <v>269</v>
      </c>
      <c r="P112" s="233"/>
      <c r="Q112" s="233"/>
      <c r="R112" s="243"/>
      <c r="S112" s="289" t="s">
        <v>598</v>
      </c>
    </row>
    <row r="113" spans="1:23">
      <c r="A113" s="178"/>
      <c r="B113" s="188" t="s">
        <v>204</v>
      </c>
      <c r="F113" s="193" t="s">
        <v>269</v>
      </c>
      <c r="P113" s="233"/>
      <c r="Q113" s="233"/>
      <c r="R113" s="243"/>
      <c r="S113" s="289" t="s">
        <v>599</v>
      </c>
    </row>
    <row r="114" spans="1:23">
      <c r="A114" s="178"/>
      <c r="B114" s="188" t="s">
        <v>205</v>
      </c>
      <c r="F114" s="193" t="s">
        <v>269</v>
      </c>
      <c r="P114" s="233"/>
      <c r="Q114" s="233"/>
      <c r="R114" s="243"/>
      <c r="S114" s="289" t="s">
        <v>600</v>
      </c>
    </row>
    <row r="115" spans="1:23">
      <c r="A115" s="178"/>
      <c r="B115" s="188"/>
      <c r="P115" s="178"/>
      <c r="Q115" s="178"/>
      <c r="R115" s="243"/>
      <c r="S115" s="243"/>
    </row>
    <row r="116" spans="1:23">
      <c r="A116" s="178"/>
      <c r="B116" s="168" t="s">
        <v>244</v>
      </c>
      <c r="P116" s="178"/>
      <c r="Q116" s="178"/>
      <c r="R116" s="243"/>
      <c r="S116" s="243"/>
    </row>
    <row r="117" spans="1:23">
      <c r="A117" s="178"/>
      <c r="B117" s="188" t="s">
        <v>201</v>
      </c>
      <c r="F117" s="193" t="s">
        <v>269</v>
      </c>
      <c r="P117" s="233"/>
      <c r="Q117" s="233"/>
      <c r="R117" s="243"/>
      <c r="S117" s="289" t="s">
        <v>601</v>
      </c>
    </row>
    <row r="118" spans="1:23">
      <c r="A118" s="178"/>
      <c r="B118" s="188" t="s">
        <v>202</v>
      </c>
      <c r="F118" s="193" t="s">
        <v>269</v>
      </c>
      <c r="P118" s="233"/>
      <c r="Q118" s="233"/>
      <c r="R118" s="243"/>
      <c r="S118" s="289" t="s">
        <v>602</v>
      </c>
    </row>
    <row r="119" spans="1:23">
      <c r="A119" s="178"/>
      <c r="B119" s="188" t="s">
        <v>203</v>
      </c>
      <c r="F119" s="193" t="s">
        <v>269</v>
      </c>
      <c r="P119" s="233"/>
      <c r="Q119" s="233"/>
      <c r="R119" s="243"/>
      <c r="S119" s="289" t="s">
        <v>603</v>
      </c>
    </row>
    <row r="120" spans="1:23">
      <c r="A120" s="178"/>
      <c r="B120" s="188" t="s">
        <v>204</v>
      </c>
      <c r="F120" s="193" t="s">
        <v>269</v>
      </c>
      <c r="P120" s="233"/>
      <c r="Q120" s="233"/>
      <c r="R120" s="243"/>
      <c r="S120" s="289" t="s">
        <v>604</v>
      </c>
    </row>
    <row r="121" spans="1:23">
      <c r="A121" s="178"/>
      <c r="B121" s="188" t="s">
        <v>205</v>
      </c>
      <c r="F121" s="193" t="s">
        <v>269</v>
      </c>
      <c r="P121" s="233"/>
      <c r="Q121" s="233"/>
      <c r="R121" s="243"/>
      <c r="S121" s="289" t="s">
        <v>605</v>
      </c>
    </row>
    <row r="122" spans="1:23">
      <c r="A122" s="178"/>
      <c r="B122" s="188"/>
      <c r="P122" s="178"/>
      <c r="Q122" s="178"/>
      <c r="R122" s="243"/>
      <c r="S122" s="243"/>
    </row>
    <row r="123" spans="1:23">
      <c r="A123" s="178"/>
      <c r="B123" s="168" t="s">
        <v>245</v>
      </c>
      <c r="F123" s="193" t="s">
        <v>269</v>
      </c>
      <c r="P123" s="233"/>
      <c r="Q123" s="233"/>
      <c r="R123" s="243"/>
      <c r="S123" s="45">
        <v>-2737359.6852068328</v>
      </c>
    </row>
    <row r="124" spans="1:23">
      <c r="A124" s="178"/>
      <c r="B124" s="168" t="s">
        <v>311</v>
      </c>
      <c r="F124" s="193" t="s">
        <v>269</v>
      </c>
      <c r="P124" s="178"/>
      <c r="Q124" s="178"/>
      <c r="R124" s="243"/>
      <c r="S124" s="198"/>
      <c r="T124" s="243"/>
      <c r="U124" s="195">
        <f>S123*$H$27</f>
        <v>-2847949.0164891887</v>
      </c>
      <c r="W124" s="189"/>
    </row>
    <row r="125" spans="1:23">
      <c r="A125" s="178"/>
      <c r="B125" s="188"/>
      <c r="P125" s="178"/>
      <c r="Q125" s="178"/>
      <c r="R125" s="243"/>
    </row>
    <row r="126" spans="1:23">
      <c r="A126" s="178"/>
      <c r="B126" s="168" t="s">
        <v>246</v>
      </c>
      <c r="P126" s="178"/>
      <c r="Q126" s="178"/>
      <c r="W126" s="189"/>
    </row>
    <row r="127" spans="1:23">
      <c r="A127" s="178"/>
      <c r="B127" s="188" t="s">
        <v>201</v>
      </c>
      <c r="F127" s="193" t="s">
        <v>269</v>
      </c>
      <c r="P127" s="233"/>
      <c r="Q127" s="233"/>
      <c r="R127" s="243"/>
      <c r="S127" s="289" t="s">
        <v>572</v>
      </c>
    </row>
    <row r="128" spans="1:23">
      <c r="A128" s="178"/>
      <c r="B128" s="188" t="s">
        <v>202</v>
      </c>
      <c r="F128" s="193" t="s">
        <v>269</v>
      </c>
      <c r="P128" s="233"/>
      <c r="Q128" s="233"/>
      <c r="R128" s="243"/>
      <c r="S128" s="289" t="s">
        <v>573</v>
      </c>
    </row>
    <row r="129" spans="1:19">
      <c r="A129" s="178"/>
      <c r="B129" s="188" t="s">
        <v>203</v>
      </c>
      <c r="F129" s="193" t="s">
        <v>269</v>
      </c>
      <c r="P129" s="233"/>
      <c r="Q129" s="233"/>
      <c r="R129" s="243"/>
      <c r="S129" s="289" t="s">
        <v>574</v>
      </c>
    </row>
    <row r="130" spans="1:19">
      <c r="A130" s="178"/>
      <c r="B130" s="188" t="s">
        <v>204</v>
      </c>
      <c r="F130" s="193" t="s">
        <v>269</v>
      </c>
      <c r="P130" s="233"/>
      <c r="Q130" s="233"/>
      <c r="R130" s="243"/>
      <c r="S130" s="289" t="s">
        <v>575</v>
      </c>
    </row>
    <row r="131" spans="1:19">
      <c r="A131" s="178"/>
      <c r="B131" s="188" t="s">
        <v>205</v>
      </c>
      <c r="F131" s="193" t="s">
        <v>269</v>
      </c>
      <c r="P131" s="233"/>
      <c r="Q131" s="233"/>
      <c r="R131" s="243"/>
      <c r="S131" s="289" t="s">
        <v>576</v>
      </c>
    </row>
    <row r="132" spans="1:19">
      <c r="A132" s="178"/>
      <c r="B132" s="188"/>
      <c r="P132" s="178"/>
      <c r="Q132" s="178"/>
      <c r="R132" s="243"/>
      <c r="S132" s="243"/>
    </row>
    <row r="133" spans="1:19">
      <c r="A133" s="178"/>
      <c r="B133" s="168" t="s">
        <v>247</v>
      </c>
      <c r="P133" s="178"/>
      <c r="Q133" s="178"/>
      <c r="R133" s="243"/>
      <c r="S133" s="243"/>
    </row>
    <row r="134" spans="1:19">
      <c r="A134" s="178"/>
      <c r="B134" s="188" t="s">
        <v>201</v>
      </c>
      <c r="F134" s="193" t="s">
        <v>269</v>
      </c>
      <c r="P134" s="233"/>
      <c r="Q134" s="233"/>
      <c r="R134" s="243"/>
      <c r="S134" s="289" t="s">
        <v>577</v>
      </c>
    </row>
    <row r="135" spans="1:19">
      <c r="A135" s="178"/>
      <c r="B135" s="188" t="s">
        <v>202</v>
      </c>
      <c r="F135" s="193" t="s">
        <v>269</v>
      </c>
      <c r="P135" s="233"/>
      <c r="Q135" s="233"/>
      <c r="R135" s="243"/>
      <c r="S135" s="289" t="s">
        <v>578</v>
      </c>
    </row>
    <row r="136" spans="1:19">
      <c r="A136" s="178"/>
      <c r="B136" s="188" t="s">
        <v>203</v>
      </c>
      <c r="F136" s="193" t="s">
        <v>269</v>
      </c>
      <c r="P136" s="233"/>
      <c r="Q136" s="233"/>
      <c r="R136" s="243"/>
      <c r="S136" s="289" t="s">
        <v>579</v>
      </c>
    </row>
    <row r="137" spans="1:19">
      <c r="A137" s="178"/>
      <c r="B137" s="188" t="s">
        <v>204</v>
      </c>
      <c r="F137" s="193" t="s">
        <v>269</v>
      </c>
      <c r="P137" s="233"/>
      <c r="Q137" s="233"/>
      <c r="R137" s="243"/>
      <c r="S137" s="289" t="s">
        <v>580</v>
      </c>
    </row>
    <row r="138" spans="1:19">
      <c r="A138" s="178"/>
      <c r="B138" s="188" t="s">
        <v>205</v>
      </c>
      <c r="F138" s="193" t="s">
        <v>269</v>
      </c>
      <c r="P138" s="233"/>
      <c r="Q138" s="233"/>
      <c r="R138" s="243"/>
      <c r="S138" s="289" t="s">
        <v>581</v>
      </c>
    </row>
    <row r="139" spans="1:19">
      <c r="A139" s="178"/>
      <c r="B139" s="188"/>
      <c r="P139" s="178"/>
      <c r="Q139" s="178"/>
      <c r="R139" s="243"/>
      <c r="S139" s="243"/>
    </row>
    <row r="140" spans="1:19">
      <c r="A140" s="178"/>
      <c r="B140" s="168" t="s">
        <v>248</v>
      </c>
      <c r="P140" s="178"/>
      <c r="Q140" s="178"/>
      <c r="R140" s="243"/>
      <c r="S140" s="243"/>
    </row>
    <row r="141" spans="1:19">
      <c r="A141" s="178"/>
      <c r="B141" s="188" t="s">
        <v>201</v>
      </c>
      <c r="F141" s="193" t="s">
        <v>269</v>
      </c>
      <c r="P141" s="233"/>
      <c r="Q141" s="233"/>
      <c r="R141" s="243"/>
      <c r="S141" s="289" t="s">
        <v>582</v>
      </c>
    </row>
    <row r="142" spans="1:19">
      <c r="A142" s="178"/>
      <c r="B142" s="188" t="s">
        <v>202</v>
      </c>
      <c r="F142" s="193" t="s">
        <v>269</v>
      </c>
      <c r="P142" s="233"/>
      <c r="Q142" s="233"/>
      <c r="R142" s="243"/>
      <c r="S142" s="289" t="s">
        <v>583</v>
      </c>
    </row>
    <row r="143" spans="1:19">
      <c r="A143" s="178"/>
      <c r="B143" s="188" t="s">
        <v>203</v>
      </c>
      <c r="F143" s="193" t="s">
        <v>269</v>
      </c>
      <c r="P143" s="233"/>
      <c r="Q143" s="233"/>
      <c r="R143" s="243"/>
      <c r="S143" s="289" t="s">
        <v>584</v>
      </c>
    </row>
    <row r="144" spans="1:19">
      <c r="A144" s="178"/>
      <c r="B144" s="188" t="s">
        <v>204</v>
      </c>
      <c r="F144" s="193" t="s">
        <v>269</v>
      </c>
      <c r="P144" s="233"/>
      <c r="Q144" s="233"/>
      <c r="R144" s="243"/>
      <c r="S144" s="289" t="s">
        <v>585</v>
      </c>
    </row>
    <row r="145" spans="1:23">
      <c r="A145" s="178"/>
      <c r="B145" s="188" t="s">
        <v>205</v>
      </c>
      <c r="F145" s="193" t="s">
        <v>269</v>
      </c>
      <c r="P145" s="233"/>
      <c r="Q145" s="233"/>
      <c r="R145" s="243"/>
      <c r="S145" s="289" t="s">
        <v>586</v>
      </c>
    </row>
    <row r="146" spans="1:23">
      <c r="A146" s="178"/>
      <c r="B146" s="188"/>
      <c r="P146" s="178"/>
      <c r="Q146" s="178"/>
      <c r="R146" s="243"/>
      <c r="S146" s="243"/>
    </row>
    <row r="147" spans="1:23">
      <c r="A147" s="178"/>
      <c r="B147" s="168" t="s">
        <v>249</v>
      </c>
      <c r="P147" s="178"/>
      <c r="Q147" s="178"/>
      <c r="R147" s="243"/>
      <c r="S147" s="243"/>
    </row>
    <row r="148" spans="1:23">
      <c r="A148" s="178"/>
      <c r="B148" s="188" t="s">
        <v>201</v>
      </c>
      <c r="F148" s="193" t="s">
        <v>269</v>
      </c>
      <c r="P148" s="233"/>
      <c r="Q148" s="233"/>
      <c r="R148" s="243"/>
      <c r="S148" s="289" t="s">
        <v>587</v>
      </c>
    </row>
    <row r="149" spans="1:23">
      <c r="A149" s="178"/>
      <c r="B149" s="188" t="s">
        <v>202</v>
      </c>
      <c r="F149" s="193" t="s">
        <v>269</v>
      </c>
      <c r="P149" s="233"/>
      <c r="Q149" s="233"/>
      <c r="R149" s="243"/>
      <c r="S149" s="289" t="s">
        <v>588</v>
      </c>
    </row>
    <row r="150" spans="1:23">
      <c r="A150" s="178"/>
      <c r="B150" s="188" t="s">
        <v>203</v>
      </c>
      <c r="F150" s="193" t="s">
        <v>269</v>
      </c>
      <c r="P150" s="233"/>
      <c r="Q150" s="233"/>
      <c r="R150" s="243"/>
      <c r="S150" s="289" t="s">
        <v>589</v>
      </c>
    </row>
    <row r="151" spans="1:23">
      <c r="A151" s="178"/>
      <c r="B151" s="188" t="s">
        <v>204</v>
      </c>
      <c r="F151" s="193" t="s">
        <v>269</v>
      </c>
      <c r="P151" s="233"/>
      <c r="Q151" s="233"/>
      <c r="R151" s="243"/>
      <c r="S151" s="289" t="s">
        <v>590</v>
      </c>
    </row>
    <row r="152" spans="1:23">
      <c r="A152" s="178"/>
      <c r="B152" s="188" t="s">
        <v>205</v>
      </c>
      <c r="F152" s="193" t="s">
        <v>269</v>
      </c>
      <c r="P152" s="233"/>
      <c r="Q152" s="233"/>
      <c r="R152" s="243"/>
      <c r="S152" s="289" t="s">
        <v>571</v>
      </c>
    </row>
    <row r="153" spans="1:23">
      <c r="A153" s="178"/>
      <c r="B153" s="188"/>
      <c r="P153" s="178"/>
      <c r="Q153" s="178"/>
      <c r="R153" s="243"/>
      <c r="S153" s="243"/>
    </row>
    <row r="154" spans="1:23">
      <c r="A154" s="178"/>
      <c r="B154" s="168" t="s">
        <v>250</v>
      </c>
      <c r="F154" s="193" t="s">
        <v>269</v>
      </c>
      <c r="P154" s="233"/>
      <c r="Q154" s="233"/>
      <c r="R154" s="243"/>
      <c r="S154" s="45">
        <v>-46542209.776677281</v>
      </c>
      <c r="T154" s="243"/>
    </row>
    <row r="155" spans="1:23">
      <c r="A155" s="178"/>
      <c r="B155" s="168" t="s">
        <v>312</v>
      </c>
      <c r="F155" s="193" t="s">
        <v>269</v>
      </c>
      <c r="P155" s="178"/>
      <c r="Q155" s="178"/>
      <c r="S155" s="198"/>
      <c r="T155" s="243"/>
      <c r="U155" s="195">
        <f>S154*$H$27</f>
        <v>-48422515.051655039</v>
      </c>
      <c r="W155" s="189"/>
    </row>
    <row r="156" spans="1:23">
      <c r="A156" s="178"/>
      <c r="T156" s="243"/>
    </row>
  </sheetData>
  <mergeCells count="1">
    <mergeCell ref="B5:K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CCC8D9"/>
    <pageSetUpPr autoPageBreaks="0"/>
  </sheetPr>
  <dimension ref="A2:Z90"/>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20.7109375" style="2" customWidth="1"/>
    <col min="3" max="3" width="6.5703125" style="2" customWidth="1"/>
    <col min="4" max="4" width="24.7109375" style="2" customWidth="1"/>
    <col min="5" max="7" width="6.7109375" style="2" customWidth="1"/>
    <col min="8" max="8" width="24.7109375" style="2" customWidth="1"/>
    <col min="9" max="9" width="6.7109375" style="2" customWidth="1"/>
    <col min="10" max="10" width="6.7109375" style="79" customWidth="1"/>
    <col min="11" max="12" width="6.7109375" style="2" customWidth="1"/>
    <col min="13" max="13" width="24.7109375" style="2" customWidth="1"/>
    <col min="14" max="16" width="9.140625" style="2"/>
    <col min="17" max="17" width="24.7109375" style="2" customWidth="1"/>
    <col min="18" max="16384" width="9.140625" style="2"/>
  </cols>
  <sheetData>
    <row r="2" spans="2:21" s="12" customFormat="1" ht="18">
      <c r="B2" s="11" t="s">
        <v>152</v>
      </c>
    </row>
    <row r="4" spans="2:21" s="7" customFormat="1">
      <c r="B4" s="7" t="s">
        <v>15</v>
      </c>
      <c r="J4" s="83"/>
    </row>
    <row r="6" spans="2:21">
      <c r="B6" s="23" t="s">
        <v>419</v>
      </c>
    </row>
    <row r="7" spans="2:21">
      <c r="B7" s="2" t="s">
        <v>420</v>
      </c>
    </row>
    <row r="8" spans="2:21" s="79" customFormat="1"/>
    <row r="9" spans="2:21" s="79" customFormat="1"/>
    <row r="10" spans="2:21" s="7" customFormat="1">
      <c r="B10" s="7" t="s">
        <v>56</v>
      </c>
      <c r="J10" s="83"/>
    </row>
    <row r="12" spans="2:21" s="103" customFormat="1">
      <c r="B12" s="104"/>
      <c r="C12" s="105"/>
      <c r="D12" s="105" t="s">
        <v>147</v>
      </c>
      <c r="E12" s="105"/>
      <c r="F12" s="105"/>
      <c r="G12" s="105"/>
      <c r="H12" s="105" t="s">
        <v>150</v>
      </c>
      <c r="I12" s="105"/>
      <c r="J12" s="105"/>
      <c r="K12" s="105"/>
      <c r="L12" s="105"/>
      <c r="M12" s="105" t="s">
        <v>148</v>
      </c>
      <c r="N12" s="105"/>
      <c r="O12" s="105"/>
      <c r="P12" s="105"/>
      <c r="Q12" s="105" t="s">
        <v>149</v>
      </c>
      <c r="R12" s="105"/>
      <c r="S12" s="128"/>
    </row>
    <row r="13" spans="2:21" s="103" customFormat="1" ht="14.25" customHeight="1">
      <c r="B13" s="106"/>
      <c r="C13" s="107"/>
      <c r="D13" s="107"/>
      <c r="E13" s="107"/>
      <c r="F13" s="107"/>
      <c r="G13" s="107"/>
      <c r="H13" s="107"/>
      <c r="I13" s="107"/>
      <c r="J13" s="107"/>
      <c r="K13" s="107"/>
      <c r="L13" s="107"/>
      <c r="M13" s="107"/>
      <c r="N13" s="107"/>
      <c r="O13" s="107"/>
      <c r="P13" s="108"/>
      <c r="Q13" s="107"/>
      <c r="R13" s="123"/>
      <c r="S13" s="109"/>
      <c r="U13" s="121"/>
    </row>
    <row r="14" spans="2:21" s="103" customFormat="1" ht="14.25" customHeight="1">
      <c r="B14" s="110"/>
      <c r="C14" s="111"/>
      <c r="D14" s="112"/>
      <c r="E14" s="113"/>
      <c r="F14" s="114"/>
      <c r="L14" s="111"/>
      <c r="M14" s="112"/>
      <c r="N14" s="113"/>
      <c r="O14" s="114"/>
      <c r="P14" s="108"/>
      <c r="R14" s="123"/>
      <c r="S14" s="109"/>
    </row>
    <row r="15" spans="2:21" s="103" customFormat="1" ht="14.25" customHeight="1">
      <c r="B15" s="110"/>
      <c r="C15" s="115"/>
      <c r="D15" s="116" t="s">
        <v>162</v>
      </c>
      <c r="E15" s="117"/>
      <c r="F15" s="114"/>
      <c r="L15" s="115"/>
      <c r="M15" s="122" t="s">
        <v>477</v>
      </c>
      <c r="N15" s="117"/>
      <c r="O15" s="114"/>
      <c r="P15" s="108"/>
      <c r="R15" s="123"/>
      <c r="S15" s="109"/>
    </row>
    <row r="16" spans="2:21" s="103" customFormat="1" ht="14.25" customHeight="1">
      <c r="B16" s="110"/>
      <c r="C16" s="118"/>
      <c r="D16" s="119"/>
      <c r="E16" s="120"/>
      <c r="F16" s="114"/>
      <c r="L16" s="118"/>
      <c r="M16" s="119"/>
      <c r="N16" s="120"/>
      <c r="O16" s="114"/>
      <c r="P16" s="108"/>
      <c r="R16" s="123"/>
      <c r="S16" s="109"/>
      <c r="U16" s="121"/>
    </row>
    <row r="17" spans="2:26" s="103" customFormat="1" ht="14.25" customHeight="1">
      <c r="B17" s="110"/>
      <c r="F17" s="114"/>
      <c r="P17" s="108"/>
      <c r="R17" s="123"/>
      <c r="S17" s="109"/>
    </row>
    <row r="18" spans="2:26" s="103" customFormat="1" ht="14.25" customHeight="1">
      <c r="B18" s="110"/>
      <c r="F18" s="114"/>
      <c r="G18" s="111"/>
      <c r="H18" s="112"/>
      <c r="I18" s="113"/>
      <c r="L18" s="111"/>
      <c r="M18" s="112"/>
      <c r="N18" s="113"/>
      <c r="P18" s="108"/>
      <c r="R18" s="123"/>
      <c r="S18" s="109"/>
    </row>
    <row r="19" spans="2:26" s="103" customFormat="1" ht="14.25" customHeight="1">
      <c r="B19" s="110"/>
      <c r="F19" s="114"/>
      <c r="G19" s="115"/>
      <c r="H19" s="122" t="s">
        <v>161</v>
      </c>
      <c r="I19" s="117"/>
      <c r="L19" s="115"/>
      <c r="M19" s="122" t="s">
        <v>424</v>
      </c>
      <c r="N19" s="117"/>
      <c r="P19" s="108"/>
      <c r="R19" s="123"/>
      <c r="S19" s="109"/>
      <c r="U19" s="26"/>
    </row>
    <row r="20" spans="2:26" s="103" customFormat="1" ht="14.25" customHeight="1">
      <c r="B20" s="110"/>
      <c r="F20" s="114"/>
      <c r="G20" s="118"/>
      <c r="H20" s="119"/>
      <c r="I20" s="120"/>
      <c r="L20" s="118"/>
      <c r="M20" s="119"/>
      <c r="N20" s="120"/>
      <c r="P20" s="108"/>
      <c r="R20" s="123"/>
      <c r="S20" s="109"/>
    </row>
    <row r="21" spans="2:26" s="103" customFormat="1" ht="14.25" customHeight="1">
      <c r="B21" s="110"/>
      <c r="F21" s="114"/>
      <c r="P21" s="108"/>
      <c r="R21" s="123"/>
      <c r="S21" s="109"/>
    </row>
    <row r="22" spans="2:26" s="103" customFormat="1" ht="14.25" customHeight="1">
      <c r="B22" s="110"/>
      <c r="C22" s="111"/>
      <c r="D22" s="112"/>
      <c r="E22" s="113"/>
      <c r="F22" s="114"/>
      <c r="L22" s="111"/>
      <c r="M22" s="112"/>
      <c r="N22" s="113"/>
      <c r="P22" s="108"/>
      <c r="R22" s="123"/>
      <c r="S22" s="109"/>
    </row>
    <row r="23" spans="2:26" s="103" customFormat="1" ht="14.25" customHeight="1">
      <c r="B23" s="110"/>
      <c r="C23" s="115"/>
      <c r="D23" s="116" t="s">
        <v>163</v>
      </c>
      <c r="E23" s="117"/>
      <c r="L23" s="115"/>
      <c r="M23" s="122" t="s">
        <v>251</v>
      </c>
      <c r="N23" s="117"/>
      <c r="P23" s="108"/>
      <c r="R23" s="123"/>
      <c r="S23" s="109"/>
    </row>
    <row r="24" spans="2:26" s="103" customFormat="1" ht="14.25" customHeight="1">
      <c r="B24" s="110"/>
      <c r="C24" s="118"/>
      <c r="D24" s="119"/>
      <c r="E24" s="120"/>
      <c r="L24" s="118"/>
      <c r="M24" s="119"/>
      <c r="N24" s="120"/>
      <c r="P24" s="108"/>
      <c r="R24" s="123"/>
      <c r="S24" s="109"/>
    </row>
    <row r="25" spans="2:26" s="103" customFormat="1" ht="14.25" customHeight="1">
      <c r="B25" s="110"/>
      <c r="P25" s="123"/>
      <c r="R25" s="123"/>
      <c r="S25" s="109"/>
    </row>
    <row r="26" spans="2:26" s="79" customFormat="1" ht="14.25" customHeight="1">
      <c r="B26" s="110"/>
      <c r="F26" s="124"/>
      <c r="G26" s="123"/>
      <c r="H26" s="103"/>
      <c r="I26" s="103"/>
      <c r="J26" s="103"/>
      <c r="K26" s="103"/>
      <c r="L26" s="111"/>
      <c r="M26" s="112"/>
      <c r="N26" s="113"/>
      <c r="O26" s="103"/>
      <c r="S26" s="109"/>
      <c r="T26" s="103"/>
      <c r="U26" s="103"/>
      <c r="V26" s="103"/>
      <c r="W26" s="103"/>
      <c r="X26" s="103"/>
      <c r="Y26" s="103"/>
      <c r="Z26" s="103"/>
    </row>
    <row r="27" spans="2:26" s="103" customFormat="1" ht="14.25" customHeight="1">
      <c r="B27" s="110"/>
      <c r="F27" s="114"/>
      <c r="G27" s="123"/>
      <c r="L27" s="115"/>
      <c r="M27" s="122" t="s">
        <v>252</v>
      </c>
      <c r="N27" s="117"/>
      <c r="S27" s="109"/>
    </row>
    <row r="28" spans="2:26" s="103" customFormat="1" ht="14.25" customHeight="1">
      <c r="B28" s="110"/>
      <c r="F28" s="114"/>
      <c r="L28" s="118"/>
      <c r="M28" s="119"/>
      <c r="N28" s="120"/>
      <c r="S28" s="109"/>
    </row>
    <row r="29" spans="2:26" s="103" customFormat="1" ht="14.25" customHeight="1">
      <c r="B29" s="110"/>
      <c r="F29" s="114"/>
      <c r="P29" s="108"/>
      <c r="R29" s="123"/>
      <c r="S29" s="109"/>
    </row>
    <row r="30" spans="2:26" s="103" customFormat="1" ht="14.25" customHeight="1">
      <c r="B30" s="110"/>
      <c r="F30" s="114"/>
      <c r="L30" s="111"/>
      <c r="M30" s="112"/>
      <c r="N30" s="113"/>
      <c r="P30" s="108"/>
      <c r="R30" s="123"/>
      <c r="S30" s="109"/>
    </row>
    <row r="31" spans="2:26" s="103" customFormat="1" ht="14.25" customHeight="1">
      <c r="B31" s="110"/>
      <c r="C31" s="114"/>
      <c r="D31" s="114"/>
      <c r="E31" s="114"/>
      <c r="F31" s="114"/>
      <c r="L31" s="115"/>
      <c r="M31" s="122" t="s">
        <v>253</v>
      </c>
      <c r="N31" s="117"/>
      <c r="P31" s="108"/>
      <c r="R31" s="123"/>
      <c r="S31" s="109"/>
    </row>
    <row r="32" spans="2:26" s="103" customFormat="1" ht="14.25" customHeight="1">
      <c r="B32" s="110"/>
      <c r="C32" s="111"/>
      <c r="D32" s="112"/>
      <c r="E32" s="113"/>
      <c r="L32" s="118"/>
      <c r="M32" s="119"/>
      <c r="N32" s="120"/>
      <c r="P32" s="123"/>
      <c r="R32" s="123"/>
      <c r="S32" s="109"/>
    </row>
    <row r="33" spans="1:26" s="103" customFormat="1" ht="14.25" customHeight="1">
      <c r="B33" s="110"/>
      <c r="C33" s="115"/>
      <c r="D33" s="116" t="s">
        <v>164</v>
      </c>
      <c r="E33" s="117"/>
      <c r="P33" s="123"/>
      <c r="R33" s="123"/>
      <c r="S33" s="109"/>
    </row>
    <row r="34" spans="1:26" s="103" customFormat="1" ht="14.25" customHeight="1">
      <c r="B34" s="110"/>
      <c r="C34" s="118"/>
      <c r="D34" s="119"/>
      <c r="E34" s="120"/>
      <c r="L34" s="111"/>
      <c r="M34" s="112"/>
      <c r="N34" s="113"/>
      <c r="S34" s="109"/>
    </row>
    <row r="35" spans="1:26" s="79" customFormat="1" ht="14.25" customHeight="1">
      <c r="B35" s="110"/>
      <c r="C35" s="114"/>
      <c r="D35" s="114"/>
      <c r="E35" s="114"/>
      <c r="F35" s="124"/>
      <c r="J35" s="103"/>
      <c r="K35" s="103"/>
      <c r="L35" s="115"/>
      <c r="M35" s="122" t="s">
        <v>254</v>
      </c>
      <c r="N35" s="117"/>
      <c r="O35" s="103"/>
      <c r="S35" s="109"/>
      <c r="T35" s="103"/>
      <c r="U35" s="103"/>
      <c r="V35" s="103"/>
      <c r="W35" s="103"/>
      <c r="X35" s="103"/>
      <c r="Y35" s="103"/>
      <c r="Z35" s="103"/>
    </row>
    <row r="36" spans="1:26" s="103" customFormat="1" ht="14.25" customHeight="1">
      <c r="B36" s="110"/>
      <c r="F36" s="114"/>
      <c r="L36" s="118"/>
      <c r="M36" s="119"/>
      <c r="N36" s="120"/>
      <c r="S36" s="109"/>
    </row>
    <row r="37" spans="1:26" s="103" customFormat="1" ht="14.25" customHeight="1">
      <c r="B37" s="110"/>
      <c r="F37" s="114"/>
      <c r="P37" s="123"/>
      <c r="R37" s="123"/>
      <c r="S37" s="109"/>
    </row>
    <row r="38" spans="1:26" s="103" customFormat="1" ht="14.25" customHeight="1">
      <c r="B38" s="110"/>
      <c r="F38" s="114"/>
      <c r="L38" s="111"/>
      <c r="M38" s="112"/>
      <c r="N38" s="113"/>
      <c r="P38" s="123"/>
      <c r="R38" s="123"/>
      <c r="S38" s="109"/>
    </row>
    <row r="39" spans="1:26" s="103" customFormat="1" ht="14.25" customHeight="1">
      <c r="B39" s="110"/>
      <c r="F39" s="114"/>
      <c r="L39" s="115"/>
      <c r="M39" s="122" t="s">
        <v>255</v>
      </c>
      <c r="N39" s="117"/>
      <c r="P39" s="123"/>
      <c r="R39" s="123"/>
      <c r="S39" s="109"/>
    </row>
    <row r="40" spans="1:26" s="103" customFormat="1" ht="14.25" customHeight="1">
      <c r="B40" s="110"/>
      <c r="F40" s="114"/>
      <c r="L40" s="118"/>
      <c r="M40" s="119"/>
      <c r="N40" s="120"/>
      <c r="P40" s="123"/>
      <c r="R40" s="123"/>
      <c r="S40" s="109"/>
    </row>
    <row r="41" spans="1:26" s="103" customFormat="1" ht="14.25" customHeight="1">
      <c r="B41" s="110"/>
      <c r="F41" s="114"/>
      <c r="P41" s="123"/>
      <c r="R41" s="123"/>
      <c r="S41" s="109"/>
    </row>
    <row r="42" spans="1:26" s="103" customFormat="1" ht="14.25" customHeight="1">
      <c r="B42" s="110"/>
      <c r="C42" s="111"/>
      <c r="D42" s="112"/>
      <c r="E42" s="113"/>
      <c r="F42" s="114"/>
      <c r="L42" s="111"/>
      <c r="M42" s="112"/>
      <c r="N42" s="113"/>
      <c r="P42" s="108"/>
      <c r="R42" s="123"/>
      <c r="S42" s="109"/>
    </row>
    <row r="43" spans="1:26" s="103" customFormat="1" ht="14.25" customHeight="1">
      <c r="B43" s="110"/>
      <c r="C43" s="115"/>
      <c r="D43" s="213" t="s">
        <v>159</v>
      </c>
      <c r="E43" s="117"/>
      <c r="F43" s="114"/>
      <c r="L43" s="115"/>
      <c r="M43" s="122" t="s">
        <v>546</v>
      </c>
      <c r="N43" s="117"/>
      <c r="P43" s="108"/>
      <c r="R43" s="123"/>
      <c r="S43" s="109"/>
    </row>
    <row r="44" spans="1:26" s="103" customFormat="1" ht="14.25" customHeight="1">
      <c r="B44" s="110"/>
      <c r="C44" s="118"/>
      <c r="D44" s="119"/>
      <c r="E44" s="120"/>
      <c r="F44" s="124"/>
      <c r="L44" s="118"/>
      <c r="M44" s="119"/>
      <c r="N44" s="120"/>
      <c r="S44" s="109"/>
    </row>
    <row r="45" spans="1:26" s="103" customFormat="1" ht="14.25" customHeight="1">
      <c r="B45" s="110"/>
      <c r="C45" s="2"/>
      <c r="D45" s="2"/>
      <c r="E45" s="2"/>
      <c r="F45" s="124"/>
      <c r="S45" s="109"/>
    </row>
    <row r="46" spans="1:26" s="103" customFormat="1" ht="14.25" customHeight="1">
      <c r="A46" s="109"/>
      <c r="B46" s="110"/>
      <c r="C46" s="111"/>
      <c r="D46" s="112"/>
      <c r="E46" s="113"/>
      <c r="P46" s="111"/>
      <c r="Q46" s="112"/>
      <c r="R46" s="113"/>
      <c r="S46" s="109"/>
    </row>
    <row r="47" spans="1:26" ht="14.25" customHeight="1">
      <c r="A47" s="109"/>
      <c r="C47" s="115"/>
      <c r="D47" s="213" t="s">
        <v>160</v>
      </c>
      <c r="E47" s="117"/>
      <c r="P47" s="115"/>
      <c r="Q47" s="125" t="s">
        <v>437</v>
      </c>
      <c r="R47" s="117"/>
      <c r="S47" s="129"/>
    </row>
    <row r="48" spans="1:26" s="79" customFormat="1" ht="14.25" customHeight="1">
      <c r="A48" s="109"/>
      <c r="C48" s="118"/>
      <c r="D48" s="119"/>
      <c r="E48" s="120"/>
      <c r="P48" s="118"/>
      <c r="Q48" s="119"/>
      <c r="R48" s="120"/>
      <c r="S48" s="129"/>
    </row>
    <row r="49" spans="1:20" s="79" customFormat="1" ht="14.25" customHeight="1">
      <c r="A49" s="109"/>
      <c r="S49" s="129"/>
    </row>
    <row r="50" spans="1:20" s="79" customFormat="1" ht="14.25" customHeight="1">
      <c r="A50" s="109"/>
      <c r="C50" s="111"/>
      <c r="D50" s="112"/>
      <c r="E50" s="113"/>
      <c r="L50" s="111"/>
      <c r="M50" s="112"/>
      <c r="N50" s="113"/>
      <c r="P50" s="111"/>
      <c r="Q50" s="112"/>
      <c r="R50" s="113"/>
      <c r="S50" s="129"/>
    </row>
    <row r="51" spans="1:20" s="79" customFormat="1" ht="14.25" customHeight="1">
      <c r="A51" s="109"/>
      <c r="C51" s="115"/>
      <c r="D51" s="213" t="s">
        <v>513</v>
      </c>
      <c r="E51" s="117"/>
      <c r="L51" s="115"/>
      <c r="M51" s="122" t="s">
        <v>514</v>
      </c>
      <c r="N51" s="117"/>
      <c r="P51" s="115"/>
      <c r="Q51" s="125" t="s">
        <v>438</v>
      </c>
      <c r="R51" s="117"/>
      <c r="S51" s="129"/>
    </row>
    <row r="52" spans="1:20" s="79" customFormat="1" ht="14.25" customHeight="1">
      <c r="A52" s="109"/>
      <c r="C52" s="118"/>
      <c r="D52" s="119"/>
      <c r="E52" s="120"/>
      <c r="L52" s="118"/>
      <c r="M52" s="119"/>
      <c r="N52" s="120"/>
      <c r="P52" s="118"/>
      <c r="Q52" s="119"/>
      <c r="R52" s="120"/>
      <c r="S52" s="129"/>
    </row>
    <row r="53" spans="1:20" s="79" customFormat="1" ht="14.25" customHeight="1">
      <c r="A53" s="109"/>
      <c r="C53" s="2"/>
      <c r="D53" s="2"/>
      <c r="E53" s="2"/>
      <c r="L53" s="103"/>
      <c r="M53" s="103"/>
      <c r="N53" s="103"/>
      <c r="S53" s="129"/>
    </row>
    <row r="54" spans="1:20" s="79" customFormat="1" ht="14.25" customHeight="1">
      <c r="A54" s="109"/>
      <c r="L54" s="272"/>
      <c r="M54" s="272"/>
      <c r="N54" s="272"/>
      <c r="S54" s="129"/>
    </row>
    <row r="55" spans="1:20" s="79" customFormat="1" ht="14.25" customHeight="1">
      <c r="A55" s="109"/>
      <c r="K55" s="272"/>
      <c r="L55" s="272"/>
      <c r="M55" s="272"/>
      <c r="N55" s="272"/>
      <c r="S55" s="129"/>
    </row>
    <row r="56" spans="1:20" s="79" customFormat="1" ht="14.25" customHeight="1">
      <c r="A56" s="109"/>
      <c r="K56" s="272"/>
      <c r="L56" s="272"/>
      <c r="M56" s="272"/>
      <c r="N56" s="272"/>
      <c r="S56" s="129"/>
    </row>
    <row r="57" spans="1:20" s="79" customFormat="1" ht="14.25" customHeight="1">
      <c r="A57" s="109"/>
      <c r="S57" s="129"/>
    </row>
    <row r="58" spans="1:20" s="79" customFormat="1" ht="14.25" customHeight="1">
      <c r="A58" s="109"/>
      <c r="B58" s="126"/>
      <c r="C58" s="127"/>
      <c r="D58" s="127"/>
      <c r="E58" s="127"/>
      <c r="F58" s="127"/>
      <c r="G58" s="127"/>
      <c r="H58" s="127"/>
      <c r="I58" s="127"/>
      <c r="J58" s="127"/>
      <c r="K58" s="127"/>
      <c r="L58" s="127"/>
      <c r="M58" s="127"/>
      <c r="N58" s="127"/>
      <c r="O58" s="127"/>
      <c r="P58" s="127"/>
      <c r="Q58" s="127"/>
      <c r="R58" s="127"/>
      <c r="S58" s="130"/>
      <c r="T58" s="131"/>
    </row>
    <row r="59" spans="1:20" s="79" customFormat="1" ht="14.25" customHeight="1"/>
    <row r="60" spans="1:20" s="7" customFormat="1">
      <c r="B60" s="7" t="s">
        <v>16</v>
      </c>
      <c r="J60" s="83"/>
    </row>
    <row r="61" spans="1:20">
      <c r="C61" s="8"/>
    </row>
    <row r="62" spans="1:20">
      <c r="B62" s="194" t="s">
        <v>37</v>
      </c>
      <c r="C62" s="178"/>
      <c r="D62" s="194" t="s">
        <v>17</v>
      </c>
      <c r="F62" s="13"/>
    </row>
    <row r="63" spans="1:20">
      <c r="B63" s="202"/>
      <c r="C63" s="178"/>
      <c r="D63" s="202"/>
    </row>
    <row r="64" spans="1:20">
      <c r="B64" s="40">
        <v>123</v>
      </c>
      <c r="C64" s="178"/>
      <c r="D64" s="188" t="s">
        <v>231</v>
      </c>
    </row>
    <row r="65" spans="2:7">
      <c r="B65" s="92">
        <f>B64</f>
        <v>123</v>
      </c>
      <c r="C65" s="178"/>
      <c r="D65" s="202" t="s">
        <v>18</v>
      </c>
    </row>
    <row r="66" spans="2:7">
      <c r="B66" s="93">
        <f>B65+B64</f>
        <v>246</v>
      </c>
      <c r="C66" s="178"/>
      <c r="D66" s="202" t="s">
        <v>19</v>
      </c>
    </row>
    <row r="67" spans="2:7">
      <c r="B67" s="203">
        <f>B65+B66</f>
        <v>369</v>
      </c>
      <c r="C67" s="178"/>
      <c r="D67" s="188" t="s">
        <v>232</v>
      </c>
      <c r="E67" s="13"/>
      <c r="F67" s="5"/>
    </row>
    <row r="68" spans="2:7">
      <c r="B68" s="14"/>
      <c r="C68" s="178"/>
      <c r="D68" s="188" t="s">
        <v>20</v>
      </c>
      <c r="E68" s="13"/>
    </row>
    <row r="69" spans="2:7">
      <c r="B69" s="178"/>
      <c r="C69" s="178"/>
      <c r="D69" s="202"/>
    </row>
    <row r="70" spans="2:7">
      <c r="B70" s="204" t="s">
        <v>21</v>
      </c>
      <c r="C70" s="178"/>
      <c r="D70" s="202"/>
    </row>
    <row r="71" spans="2:7">
      <c r="B71" s="136">
        <f>B67+16</f>
        <v>385</v>
      </c>
      <c r="C71" s="178"/>
      <c r="D71" s="202" t="s">
        <v>233</v>
      </c>
    </row>
    <row r="72" spans="2:7">
      <c r="B72" s="205">
        <f>B65*PI()</f>
        <v>386.41589639154455</v>
      </c>
      <c r="C72" s="16"/>
      <c r="D72" s="202" t="s">
        <v>22</v>
      </c>
    </row>
    <row r="73" spans="2:7">
      <c r="B73" s="16"/>
      <c r="C73" s="16"/>
      <c r="D73" s="202"/>
    </row>
    <row r="74" spans="2:7">
      <c r="B74" s="204" t="s">
        <v>23</v>
      </c>
      <c r="C74" s="17"/>
      <c r="D74" s="202"/>
    </row>
    <row r="75" spans="2:7">
      <c r="B75" s="206">
        <v>123</v>
      </c>
      <c r="C75" s="17"/>
      <c r="D75" s="188" t="s">
        <v>234</v>
      </c>
      <c r="G75" s="13"/>
    </row>
    <row r="76" spans="2:7">
      <c r="B76" s="207">
        <v>124</v>
      </c>
      <c r="C76" s="17"/>
      <c r="D76" s="188" t="s">
        <v>235</v>
      </c>
    </row>
    <row r="77" spans="2:7">
      <c r="B77" s="208">
        <f>B75-B76</f>
        <v>-1</v>
      </c>
      <c r="C77" s="18"/>
      <c r="D77" s="202" t="s">
        <v>236</v>
      </c>
    </row>
    <row r="78" spans="2:7">
      <c r="B78" s="202"/>
      <c r="C78" s="202"/>
      <c r="D78" s="202"/>
    </row>
    <row r="79" spans="2:7">
      <c r="B79" s="202"/>
      <c r="C79" s="202"/>
      <c r="D79" s="202"/>
    </row>
    <row r="80" spans="2:7">
      <c r="B80" s="194" t="s">
        <v>32</v>
      </c>
      <c r="C80" s="202"/>
      <c r="D80" s="202"/>
    </row>
    <row r="81" spans="2:4">
      <c r="B81" s="168"/>
      <c r="C81" s="202"/>
      <c r="D81" s="202"/>
    </row>
    <row r="82" spans="2:4">
      <c r="B82" s="204" t="s">
        <v>38</v>
      </c>
      <c r="C82" s="202"/>
      <c r="D82" s="202"/>
    </row>
    <row r="83" spans="2:4">
      <c r="B83" s="209" t="s">
        <v>31</v>
      </c>
      <c r="C83" s="178"/>
      <c r="D83" s="188" t="s">
        <v>41</v>
      </c>
    </row>
    <row r="84" spans="2:4">
      <c r="B84" s="40" t="s">
        <v>29</v>
      </c>
      <c r="C84" s="178"/>
      <c r="D84" s="188" t="s">
        <v>33</v>
      </c>
    </row>
    <row r="85" spans="2:4">
      <c r="B85" s="210" t="s">
        <v>30</v>
      </c>
      <c r="C85" s="178"/>
      <c r="D85" s="188" t="s">
        <v>34</v>
      </c>
    </row>
    <row r="86" spans="2:4">
      <c r="B86" s="15" t="s">
        <v>30</v>
      </c>
      <c r="C86" s="178"/>
      <c r="D86" s="188" t="s">
        <v>36</v>
      </c>
    </row>
    <row r="87" spans="2:4">
      <c r="B87" s="202"/>
      <c r="C87" s="178"/>
      <c r="D87" s="188"/>
    </row>
    <row r="88" spans="2:4">
      <c r="B88" s="204" t="s">
        <v>40</v>
      </c>
      <c r="C88" s="178"/>
      <c r="D88" s="188"/>
    </row>
    <row r="89" spans="2:4">
      <c r="B89" s="22" t="s">
        <v>35</v>
      </c>
      <c r="C89" s="178"/>
      <c r="D89" s="188" t="s">
        <v>42</v>
      </c>
    </row>
    <row r="90" spans="2:4">
      <c r="B90" s="211" t="s">
        <v>39</v>
      </c>
      <c r="C90" s="202"/>
      <c r="D90" s="188" t="s">
        <v>237</v>
      </c>
    </row>
  </sheetData>
  <pageMargins left="0.75" right="0.75" top="1" bottom="1" header="0.5" footer="0.5"/>
  <pageSetup paperSize="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rgb="FFFFFFCC"/>
    <pageSetUpPr autoPageBreaks="0"/>
  </sheetPr>
  <dimension ref="A2:P35"/>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79" customWidth="1"/>
    <col min="2" max="2" width="60.42578125" style="79" customWidth="1"/>
    <col min="3" max="5" width="4.5703125" style="79" customWidth="1"/>
    <col min="6" max="6" width="13.7109375" style="79" customWidth="1"/>
    <col min="7" max="7" width="2.7109375" style="79" customWidth="1"/>
    <col min="8" max="8" width="13.7109375" style="79" customWidth="1"/>
    <col min="9" max="9" width="2.7109375" style="79" customWidth="1"/>
    <col min="10" max="10" width="12.5703125" style="79" customWidth="1"/>
    <col min="11" max="11" width="2.7109375" style="79" customWidth="1"/>
    <col min="12" max="13" width="12.5703125" style="79" customWidth="1"/>
    <col min="14" max="14" width="2.7109375" style="79" customWidth="1"/>
    <col min="15" max="29" width="13.7109375" style="79" customWidth="1"/>
    <col min="30" max="16384" width="9.140625" style="79"/>
  </cols>
  <sheetData>
    <row r="2" spans="1:16" s="20" customFormat="1" ht="18">
      <c r="B2" s="71" t="s">
        <v>432</v>
      </c>
    </row>
    <row r="4" spans="1:16">
      <c r="B4" s="295" t="s">
        <v>532</v>
      </c>
      <c r="C4" s="296"/>
      <c r="D4" s="296"/>
      <c r="E4" s="296"/>
    </row>
    <row r="5" spans="1:16">
      <c r="B5" s="296"/>
      <c r="C5" s="296"/>
      <c r="D5" s="296"/>
      <c r="E5" s="296"/>
    </row>
    <row r="6" spans="1:16">
      <c r="B6" s="296"/>
      <c r="C6" s="296"/>
      <c r="D6" s="296"/>
      <c r="E6" s="296"/>
    </row>
    <row r="7" spans="1:16">
      <c r="B7" s="296"/>
      <c r="C7" s="296"/>
      <c r="D7" s="296"/>
      <c r="E7" s="296"/>
    </row>
    <row r="8" spans="1:16">
      <c r="B8" s="296"/>
      <c r="C8" s="296"/>
      <c r="D8" s="296"/>
      <c r="E8" s="296"/>
    </row>
    <row r="9" spans="1:16">
      <c r="A9" s="281"/>
      <c r="B9" s="296"/>
      <c r="C9" s="296"/>
      <c r="D9" s="296"/>
      <c r="E9" s="296"/>
    </row>
    <row r="11" spans="1:16" s="83" customFormat="1">
      <c r="B11" s="83" t="s">
        <v>43</v>
      </c>
      <c r="F11" s="83" t="s">
        <v>26</v>
      </c>
      <c r="H11" s="83" t="s">
        <v>27</v>
      </c>
      <c r="J11" s="83" t="s">
        <v>47</v>
      </c>
      <c r="L11" s="83" t="s">
        <v>73</v>
      </c>
      <c r="M11" s="83" t="s">
        <v>75</v>
      </c>
      <c r="O11" s="83" t="s">
        <v>45</v>
      </c>
      <c r="P11" s="35"/>
    </row>
    <row r="14" spans="1:16" s="83" customFormat="1">
      <c r="B14" s="83" t="s">
        <v>46</v>
      </c>
    </row>
    <row r="15" spans="1:16">
      <c r="A15" s="178"/>
    </row>
    <row r="16" spans="1:16">
      <c r="A16" s="178"/>
      <c r="B16" s="168" t="s">
        <v>57</v>
      </c>
    </row>
    <row r="17" spans="1:15">
      <c r="A17" s="178"/>
      <c r="B17" s="243" t="s">
        <v>313</v>
      </c>
      <c r="F17" s="79" t="s">
        <v>316</v>
      </c>
      <c r="H17" s="248">
        <f>'Tab 12_Berekening parameters'!U32</f>
        <v>1.0823015587839999</v>
      </c>
      <c r="O17" s="5"/>
    </row>
    <row r="18" spans="1:15">
      <c r="A18" s="178"/>
      <c r="B18" s="243" t="s">
        <v>314</v>
      </c>
      <c r="F18" s="79" t="s">
        <v>316</v>
      </c>
      <c r="H18" s="248">
        <f>'Tab 12_Berekening parameters'!U33</f>
        <v>1.0600407039999999</v>
      </c>
      <c r="O18" s="5"/>
    </row>
    <row r="19" spans="1:15">
      <c r="A19" s="178"/>
      <c r="B19" s="243" t="s">
        <v>315</v>
      </c>
      <c r="F19" s="79" t="s">
        <v>316</v>
      </c>
      <c r="H19" s="248">
        <f>'Tab 12_Berekening parameters'!U34</f>
        <v>1.0311679999999999</v>
      </c>
      <c r="O19" s="5"/>
    </row>
    <row r="20" spans="1:15">
      <c r="A20" s="178"/>
    </row>
    <row r="21" spans="1:15">
      <c r="A21" s="178"/>
      <c r="B21" s="78" t="s">
        <v>120</v>
      </c>
    </row>
    <row r="22" spans="1:15">
      <c r="A22" s="178"/>
      <c r="B22" s="79" t="s">
        <v>319</v>
      </c>
      <c r="F22" s="79" t="s">
        <v>90</v>
      </c>
      <c r="M22" s="36">
        <f>'Tab 10_Brondata'!Q65</f>
        <v>21124302.600000001</v>
      </c>
    </row>
    <row r="23" spans="1:15">
      <c r="A23" s="178"/>
      <c r="B23" s="79" t="s">
        <v>279</v>
      </c>
      <c r="F23" s="243" t="s">
        <v>91</v>
      </c>
      <c r="M23" s="36">
        <f>'Tab 10_Brondata'!R65</f>
        <v>20364643.440000001</v>
      </c>
    </row>
    <row r="24" spans="1:15">
      <c r="A24" s="178"/>
      <c r="B24" s="79" t="s">
        <v>320</v>
      </c>
      <c r="F24" s="243" t="s">
        <v>130</v>
      </c>
      <c r="M24" s="36">
        <f>'Tab 10_Brondata'!S65</f>
        <v>20963010.800000001</v>
      </c>
    </row>
    <row r="25" spans="1:15">
      <c r="A25" s="178"/>
    </row>
    <row r="26" spans="1:15">
      <c r="A26" s="178"/>
      <c r="B26" s="78" t="s">
        <v>464</v>
      </c>
    </row>
    <row r="27" spans="1:15">
      <c r="A27" s="178"/>
      <c r="B27" s="79" t="s">
        <v>479</v>
      </c>
      <c r="F27" s="79" t="s">
        <v>90</v>
      </c>
      <c r="L27" s="36">
        <f>'Tab 10_Brondata'!Q69</f>
        <v>-10082448.097243795</v>
      </c>
    </row>
    <row r="28" spans="1:15">
      <c r="A28" s="178"/>
      <c r="B28" s="243" t="s">
        <v>480</v>
      </c>
      <c r="F28" s="243" t="s">
        <v>91</v>
      </c>
      <c r="L28" s="36">
        <f>'Tab 10_Brondata'!R69</f>
        <v>-8352546.3211448845</v>
      </c>
    </row>
    <row r="29" spans="1:15">
      <c r="A29" s="178"/>
      <c r="B29" s="243" t="s">
        <v>481</v>
      </c>
      <c r="F29" s="243" t="s">
        <v>130</v>
      </c>
      <c r="L29" s="36">
        <f>'Tab 10_Brondata'!S69</f>
        <v>-10170981.465065157</v>
      </c>
    </row>
    <row r="31" spans="1:15" s="83" customFormat="1">
      <c r="B31" s="83" t="s">
        <v>119</v>
      </c>
    </row>
    <row r="32" spans="1:15">
      <c r="A32" s="178"/>
    </row>
    <row r="33" spans="1:15">
      <c r="A33" s="178"/>
      <c r="B33" s="79" t="s">
        <v>322</v>
      </c>
      <c r="F33" s="79" t="s">
        <v>323</v>
      </c>
      <c r="J33" s="218"/>
      <c r="L33" s="86"/>
      <c r="M33" s="73">
        <f>(1/3)*(M22*$H$17+M23*$H$18+M24*$H$19)</f>
        <v>22022200.840555295</v>
      </c>
      <c r="O33" s="81"/>
    </row>
    <row r="34" spans="1:15">
      <c r="A34" s="178"/>
      <c r="J34" s="178"/>
    </row>
    <row r="35" spans="1:15">
      <c r="A35" s="178"/>
      <c r="B35" s="79" t="s">
        <v>478</v>
      </c>
      <c r="F35" s="79" t="s">
        <v>323</v>
      </c>
      <c r="J35" s="218"/>
      <c r="L35" s="73">
        <f>(1/3)*(L27*$H$17+L28*$H$18+L29*$H$19)</f>
        <v>-10084759.663277689</v>
      </c>
      <c r="M35" s="14"/>
      <c r="O35" s="81"/>
    </row>
  </sheetData>
  <mergeCells count="1">
    <mergeCell ref="B4:E9"/>
  </mergeCells>
  <phoneticPr fontId="34"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rgb="FFFFFFCC"/>
    <pageSetUpPr autoPageBreaks="0"/>
  </sheetPr>
  <dimension ref="A1:P43"/>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67.1406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2.5703125" style="2" customWidth="1"/>
    <col min="11" max="11" width="2.7109375" style="2" customWidth="1"/>
    <col min="12" max="13" width="12.5703125" style="2" customWidth="1"/>
    <col min="14" max="14" width="2.7109375" style="2" customWidth="1"/>
    <col min="15" max="29" width="13.7109375" style="2" customWidth="1"/>
    <col min="30" max="16384" width="9.140625" style="2"/>
  </cols>
  <sheetData>
    <row r="1" spans="1:16">
      <c r="A1" s="8"/>
    </row>
    <row r="2" spans="1:16" s="20" customFormat="1" ht="18">
      <c r="B2" s="20" t="s">
        <v>433</v>
      </c>
    </row>
    <row r="4" spans="1:16" s="79" customFormat="1" ht="12.75" customHeight="1">
      <c r="B4" s="294" t="s">
        <v>486</v>
      </c>
      <c r="C4" s="294"/>
      <c r="D4" s="294"/>
      <c r="E4" s="294"/>
      <c r="F4" s="229"/>
      <c r="G4" s="229"/>
      <c r="H4" s="229"/>
      <c r="I4" s="229"/>
      <c r="J4" s="229"/>
    </row>
    <row r="5" spans="1:16" s="79" customFormat="1">
      <c r="B5" s="294"/>
      <c r="C5" s="294"/>
      <c r="D5" s="294"/>
      <c r="E5" s="294"/>
      <c r="F5" s="229"/>
      <c r="G5" s="229"/>
      <c r="H5" s="229"/>
      <c r="I5" s="229"/>
      <c r="J5" s="229"/>
    </row>
    <row r="6" spans="1:16" s="79" customFormat="1">
      <c r="B6" s="294"/>
      <c r="C6" s="294"/>
      <c r="D6" s="294"/>
      <c r="E6" s="294"/>
      <c r="F6" s="229"/>
      <c r="G6" s="229"/>
      <c r="H6" s="229"/>
      <c r="I6" s="229"/>
      <c r="J6" s="229"/>
    </row>
    <row r="7" spans="1:16" s="79" customFormat="1">
      <c r="B7" s="294"/>
      <c r="C7" s="294"/>
      <c r="D7" s="294"/>
      <c r="E7" s="294"/>
      <c r="F7" s="229"/>
      <c r="G7" s="229"/>
      <c r="H7" s="229"/>
      <c r="I7" s="229"/>
      <c r="J7" s="229"/>
    </row>
    <row r="8" spans="1:16" s="79" customFormat="1">
      <c r="B8" s="294"/>
      <c r="C8" s="294"/>
      <c r="D8" s="294"/>
      <c r="E8" s="294"/>
      <c r="F8" s="229"/>
      <c r="G8" s="229"/>
      <c r="H8" s="229"/>
      <c r="I8" s="229"/>
      <c r="J8" s="229"/>
    </row>
    <row r="9" spans="1:16" s="79" customFormat="1">
      <c r="B9" s="294"/>
      <c r="C9" s="294"/>
      <c r="D9" s="294"/>
      <c r="E9" s="294"/>
      <c r="F9" s="229"/>
      <c r="G9" s="229"/>
      <c r="H9" s="229"/>
      <c r="I9" s="229"/>
      <c r="J9" s="229"/>
    </row>
    <row r="10" spans="1:16" s="79" customFormat="1">
      <c r="B10" s="235"/>
      <c r="C10" s="235"/>
      <c r="D10" s="235"/>
      <c r="E10" s="235"/>
    </row>
    <row r="11" spans="1:16" s="7" customFormat="1">
      <c r="B11" s="7" t="s">
        <v>43</v>
      </c>
      <c r="F11" s="7" t="s">
        <v>26</v>
      </c>
      <c r="H11" s="7" t="s">
        <v>27</v>
      </c>
      <c r="J11" s="7" t="s">
        <v>47</v>
      </c>
      <c r="L11" s="7" t="s">
        <v>73</v>
      </c>
      <c r="M11" s="7" t="s">
        <v>75</v>
      </c>
      <c r="O11" s="7" t="s">
        <v>45</v>
      </c>
      <c r="P11" s="35"/>
    </row>
    <row r="14" spans="1:16" s="7" customFormat="1">
      <c r="B14" s="7" t="s">
        <v>46</v>
      </c>
    </row>
    <row r="15" spans="1:16">
      <c r="A15" s="178"/>
    </row>
    <row r="16" spans="1:16" s="243" customFormat="1">
      <c r="A16" s="178"/>
      <c r="B16" s="168" t="s">
        <v>338</v>
      </c>
    </row>
    <row r="17" spans="1:15">
      <c r="A17" s="178"/>
      <c r="B17" s="2" t="s">
        <v>346</v>
      </c>
      <c r="F17" s="2" t="s">
        <v>316</v>
      </c>
      <c r="H17" s="248">
        <f>'Tab 12_Berekening parameters'!U52</f>
        <v>1.0404</v>
      </c>
      <c r="O17" s="5"/>
    </row>
    <row r="18" spans="1:15">
      <c r="A18" s="178"/>
    </row>
    <row r="19" spans="1:15">
      <c r="A19" s="178"/>
      <c r="B19" s="1" t="s">
        <v>103</v>
      </c>
    </row>
    <row r="20" spans="1:15">
      <c r="A20" s="178"/>
      <c r="B20" s="2" t="s">
        <v>324</v>
      </c>
      <c r="F20" s="2" t="s">
        <v>325</v>
      </c>
      <c r="L20" s="36">
        <f>'Tab 6_Correcties en prognoses'!S15</f>
        <v>-185628</v>
      </c>
      <c r="M20" s="36">
        <f>'Tab 6_Correcties en prognoses'!S25</f>
        <v>-1368603</v>
      </c>
    </row>
    <row r="21" spans="1:15">
      <c r="A21" s="178"/>
    </row>
    <row r="22" spans="1:15">
      <c r="A22" s="178"/>
      <c r="B22" s="1" t="s">
        <v>106</v>
      </c>
    </row>
    <row r="23" spans="1:15">
      <c r="A23" s="178"/>
      <c r="B23" s="2" t="s">
        <v>300</v>
      </c>
      <c r="F23" s="185" t="s">
        <v>325</v>
      </c>
      <c r="M23" s="36">
        <f>'Tab 10_Brondata'!S64</f>
        <v>15859078.617973084</v>
      </c>
      <c r="O23" s="26"/>
    </row>
    <row r="24" spans="1:15">
      <c r="A24" s="178"/>
      <c r="B24" s="2" t="s">
        <v>320</v>
      </c>
      <c r="F24" s="185" t="s">
        <v>325</v>
      </c>
      <c r="M24" s="175">
        <f>'Tab 10_Brondata'!S65</f>
        <v>20963010.800000001</v>
      </c>
    </row>
    <row r="25" spans="1:15">
      <c r="A25" s="178"/>
    </row>
    <row r="26" spans="1:15">
      <c r="A26" s="178"/>
      <c r="B26" s="1" t="s">
        <v>483</v>
      </c>
    </row>
    <row r="27" spans="1:15">
      <c r="A27" s="178"/>
      <c r="B27" s="2" t="s">
        <v>463</v>
      </c>
      <c r="F27" s="185" t="s">
        <v>325</v>
      </c>
      <c r="L27" s="36">
        <f>'Tab 10_Brondata'!S68</f>
        <v>-4998942.8428196041</v>
      </c>
      <c r="O27" s="26"/>
    </row>
    <row r="28" spans="1:15">
      <c r="A28" s="178"/>
      <c r="B28" s="2" t="s">
        <v>481</v>
      </c>
      <c r="F28" s="185" t="s">
        <v>325</v>
      </c>
      <c r="L28" s="36">
        <f>'Tab 10_Brondata'!S69</f>
        <v>-10170981.465065157</v>
      </c>
    </row>
    <row r="29" spans="1:15">
      <c r="A29" s="178"/>
    </row>
    <row r="30" spans="1:15" s="7" customFormat="1">
      <c r="B30" s="7" t="s">
        <v>105</v>
      </c>
    </row>
    <row r="32" spans="1:15">
      <c r="A32" s="178"/>
      <c r="B32" s="1" t="s">
        <v>92</v>
      </c>
    </row>
    <row r="33" spans="1:16">
      <c r="A33" s="178"/>
      <c r="B33" s="2" t="s">
        <v>332</v>
      </c>
      <c r="F33" s="2" t="s">
        <v>333</v>
      </c>
      <c r="J33" s="97"/>
      <c r="L33" s="38">
        <f>L20*$H$17</f>
        <v>-193127.37119999999</v>
      </c>
      <c r="M33" s="38">
        <f>M20*$H$17</f>
        <v>-1423894.5611999999</v>
      </c>
      <c r="O33" s="155"/>
    </row>
    <row r="34" spans="1:16">
      <c r="A34" s="178"/>
      <c r="J34" s="218"/>
    </row>
    <row r="35" spans="1:16">
      <c r="A35" s="178"/>
      <c r="B35" s="1" t="s">
        <v>107</v>
      </c>
      <c r="J35" s="218"/>
    </row>
    <row r="36" spans="1:16">
      <c r="A36" s="178"/>
      <c r="B36" s="2" t="s">
        <v>334</v>
      </c>
      <c r="F36" s="2" t="s">
        <v>325</v>
      </c>
      <c r="J36" s="97"/>
      <c r="L36" s="14"/>
      <c r="M36" s="37">
        <f>M24-M23</f>
        <v>5103932.1820269171</v>
      </c>
    </row>
    <row r="37" spans="1:16">
      <c r="A37" s="178"/>
      <c r="B37" s="2" t="s">
        <v>335</v>
      </c>
      <c r="F37" s="2" t="s">
        <v>333</v>
      </c>
      <c r="J37" s="97"/>
      <c r="L37" s="14"/>
      <c r="M37" s="38">
        <f>M36*$H$17</f>
        <v>5310131.0421808045</v>
      </c>
    </row>
    <row r="38" spans="1:16">
      <c r="A38" s="178"/>
      <c r="J38" s="218"/>
    </row>
    <row r="39" spans="1:16">
      <c r="A39" s="178"/>
      <c r="B39" s="1" t="s">
        <v>484</v>
      </c>
      <c r="J39" s="218"/>
      <c r="O39" s="80"/>
    </row>
    <row r="40" spans="1:16">
      <c r="A40" s="178"/>
      <c r="B40" s="2" t="s">
        <v>334</v>
      </c>
      <c r="F40" s="2" t="s">
        <v>325</v>
      </c>
      <c r="J40" s="97"/>
      <c r="L40" s="37">
        <f>L28-L27</f>
        <v>-5172038.6222455529</v>
      </c>
      <c r="M40" s="14"/>
      <c r="O40" s="80"/>
    </row>
    <row r="41" spans="1:16">
      <c r="A41" s="178"/>
      <c r="B41" s="23" t="s">
        <v>336</v>
      </c>
      <c r="F41" s="2" t="s">
        <v>333</v>
      </c>
      <c r="J41" s="97"/>
      <c r="L41" s="38">
        <f>L40*$H$17</f>
        <v>-5380988.9825842734</v>
      </c>
      <c r="M41" s="14"/>
      <c r="O41" s="148"/>
      <c r="P41" s="5"/>
    </row>
    <row r="42" spans="1:16">
      <c r="A42" s="178"/>
      <c r="O42" s="80"/>
    </row>
    <row r="43" spans="1:16">
      <c r="A43" s="178"/>
      <c r="O43" s="80"/>
    </row>
  </sheetData>
  <mergeCells count="1">
    <mergeCell ref="B4:E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rgb="FFFFFFCC"/>
    <pageSetUpPr autoPageBreaks="0"/>
  </sheetPr>
  <dimension ref="A1:X57"/>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75.57031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2.5703125" style="2" customWidth="1"/>
    <col min="11" max="11" width="2.7109375" style="2" customWidth="1"/>
    <col min="12" max="12" width="12.5703125" style="257" customWidth="1"/>
    <col min="13" max="16" width="12.5703125" style="2" customWidth="1"/>
    <col min="17" max="17" width="12.5703125" style="146" customWidth="1"/>
    <col min="18" max="18" width="12.5703125" style="185" customWidth="1"/>
    <col min="19" max="19" width="12.5703125" style="196" customWidth="1"/>
    <col min="20" max="20" width="12.5703125" style="230" customWidth="1"/>
    <col min="21" max="21" width="12.5703125" style="243" customWidth="1"/>
    <col min="22" max="22" width="2.7109375" style="2" customWidth="1"/>
    <col min="23" max="37" width="13.7109375" style="2" customWidth="1"/>
    <col min="38" max="16384" width="9.140625" style="2"/>
  </cols>
  <sheetData>
    <row r="1" spans="1:24">
      <c r="A1" s="8"/>
    </row>
    <row r="2" spans="1:24" s="20" customFormat="1" ht="18">
      <c r="B2" s="20" t="s">
        <v>434</v>
      </c>
    </row>
    <row r="4" spans="1:24">
      <c r="B4" s="1" t="s">
        <v>55</v>
      </c>
      <c r="C4" s="1"/>
      <c r="D4" s="1"/>
    </row>
    <row r="5" spans="1:24" ht="12.75" customHeight="1">
      <c r="B5" s="297" t="s">
        <v>485</v>
      </c>
      <c r="C5" s="297"/>
      <c r="D5" s="297"/>
      <c r="E5" s="297"/>
      <c r="H5" s="21"/>
    </row>
    <row r="6" spans="1:24">
      <c r="B6" s="297"/>
      <c r="C6" s="297"/>
      <c r="D6" s="297"/>
      <c r="E6" s="297"/>
      <c r="F6" s="5"/>
      <c r="H6" s="21"/>
    </row>
    <row r="7" spans="1:24">
      <c r="B7" s="297"/>
      <c r="C7" s="297"/>
      <c r="D7" s="297"/>
      <c r="E7" s="297"/>
      <c r="H7" s="21"/>
    </row>
    <row r="8" spans="1:24" s="263" customFormat="1">
      <c r="B8" s="297"/>
      <c r="C8" s="297"/>
      <c r="D8" s="297"/>
      <c r="E8" s="297"/>
      <c r="H8" s="147"/>
    </row>
    <row r="9" spans="1:24" s="263" customFormat="1">
      <c r="B9" s="264"/>
      <c r="C9" s="264"/>
      <c r="D9" s="264"/>
      <c r="E9" s="264"/>
      <c r="H9" s="147"/>
    </row>
    <row r="10" spans="1:24" s="7" customFormat="1">
      <c r="B10" s="7" t="s">
        <v>43</v>
      </c>
      <c r="F10" s="7" t="s">
        <v>26</v>
      </c>
      <c r="H10" s="7" t="s">
        <v>27</v>
      </c>
      <c r="J10" s="7" t="s">
        <v>47</v>
      </c>
      <c r="L10" s="171" t="s">
        <v>421</v>
      </c>
      <c r="M10" s="72">
        <v>2014</v>
      </c>
      <c r="N10" s="72">
        <v>2015</v>
      </c>
      <c r="O10" s="72">
        <v>2016</v>
      </c>
      <c r="P10" s="72">
        <v>2017</v>
      </c>
      <c r="Q10" s="72">
        <v>2018</v>
      </c>
      <c r="R10" s="72">
        <v>2019</v>
      </c>
      <c r="S10" s="72">
        <v>2020</v>
      </c>
      <c r="T10" s="72">
        <v>2021</v>
      </c>
      <c r="U10" s="72">
        <v>2022</v>
      </c>
      <c r="W10" s="7" t="s">
        <v>45</v>
      </c>
      <c r="X10" s="35"/>
    </row>
    <row r="13" spans="1:24" s="7" customFormat="1">
      <c r="B13" s="7" t="s">
        <v>46</v>
      </c>
      <c r="L13" s="171"/>
      <c r="Q13" s="83"/>
      <c r="R13" s="171"/>
      <c r="S13" s="171"/>
      <c r="T13" s="171"/>
      <c r="U13" s="171"/>
    </row>
    <row r="15" spans="1:24">
      <c r="A15" s="178"/>
      <c r="B15" s="1" t="s">
        <v>62</v>
      </c>
    </row>
    <row r="16" spans="1:24" s="257" customFormat="1">
      <c r="A16" s="178"/>
      <c r="B16" s="257" t="s">
        <v>339</v>
      </c>
      <c r="F16" s="257" t="s">
        <v>316</v>
      </c>
      <c r="H16" s="248">
        <f>'Tab 12_Berekening parameters'!U45</f>
        <v>1.2127104649222382</v>
      </c>
    </row>
    <row r="17" spans="1:23">
      <c r="A17" s="178"/>
      <c r="B17" s="243" t="s">
        <v>340</v>
      </c>
      <c r="F17" s="243" t="s">
        <v>316</v>
      </c>
      <c r="H17" s="248">
        <f>'Tab 12_Berekening parameters'!U46</f>
        <v>1.1773888008953768</v>
      </c>
      <c r="W17" s="5"/>
    </row>
    <row r="18" spans="1:23">
      <c r="A18" s="178"/>
      <c r="B18" s="243" t="s">
        <v>341</v>
      </c>
      <c r="F18" s="243" t="s">
        <v>316</v>
      </c>
      <c r="H18" s="248">
        <f>'Tab 12_Berekening parameters'!U47</f>
        <v>1.14868566764928</v>
      </c>
      <c r="W18" s="5"/>
    </row>
    <row r="19" spans="1:23">
      <c r="A19" s="178"/>
      <c r="B19" s="243" t="s">
        <v>342</v>
      </c>
      <c r="F19" s="243" t="s">
        <v>316</v>
      </c>
      <c r="H19" s="248">
        <f>'Tab 12_Berekening parameters'!U48</f>
        <v>1.1261624192640001</v>
      </c>
      <c r="W19" s="5"/>
    </row>
    <row r="20" spans="1:23">
      <c r="A20" s="178"/>
      <c r="B20" s="243" t="s">
        <v>343</v>
      </c>
      <c r="F20" s="243" t="s">
        <v>316</v>
      </c>
      <c r="H20" s="248">
        <f>'Tab 12_Berekening parameters'!U49</f>
        <v>1.1040808032</v>
      </c>
      <c r="W20" s="5"/>
    </row>
    <row r="21" spans="1:23" s="146" customFormat="1">
      <c r="A21" s="178"/>
      <c r="B21" s="243" t="s">
        <v>344</v>
      </c>
      <c r="F21" s="243" t="s">
        <v>316</v>
      </c>
      <c r="H21" s="248">
        <f>'Tab 12_Berekening parameters'!U50</f>
        <v>1.08243216</v>
      </c>
      <c r="L21" s="257"/>
      <c r="R21" s="185"/>
      <c r="S21" s="196"/>
      <c r="T21" s="230"/>
      <c r="U21" s="243"/>
      <c r="W21" s="5"/>
    </row>
    <row r="22" spans="1:23" s="185" customFormat="1">
      <c r="A22" s="178"/>
      <c r="B22" s="243" t="s">
        <v>345</v>
      </c>
      <c r="F22" s="243" t="s">
        <v>316</v>
      </c>
      <c r="H22" s="248">
        <f>'Tab 12_Berekening parameters'!U51</f>
        <v>1.0612079999999999</v>
      </c>
      <c r="L22" s="257"/>
      <c r="S22" s="196"/>
      <c r="T22" s="230"/>
      <c r="U22" s="243"/>
      <c r="W22" s="5"/>
    </row>
    <row r="23" spans="1:23" s="230" customFormat="1">
      <c r="A23" s="178"/>
      <c r="B23" s="243" t="s">
        <v>346</v>
      </c>
      <c r="F23" s="243" t="s">
        <v>316</v>
      </c>
      <c r="H23" s="248">
        <f>'Tab 12_Berekening parameters'!U52</f>
        <v>1.0404</v>
      </c>
      <c r="L23" s="257"/>
      <c r="U23" s="243"/>
    </row>
    <row r="24" spans="1:23" s="272" customFormat="1">
      <c r="A24" s="178"/>
      <c r="B24" s="272" t="s">
        <v>416</v>
      </c>
      <c r="F24" s="272" t="s">
        <v>316</v>
      </c>
      <c r="H24" s="248">
        <f>'Tab 12_Berekening parameters'!U53</f>
        <v>1.02</v>
      </c>
    </row>
    <row r="25" spans="1:23" s="230" customFormat="1">
      <c r="A25" s="178"/>
      <c r="L25" s="257"/>
      <c r="U25" s="243"/>
    </row>
    <row r="26" spans="1:23" s="79" customFormat="1">
      <c r="A26" s="178"/>
      <c r="B26" s="78" t="s">
        <v>222</v>
      </c>
      <c r="L26" s="257"/>
      <c r="Q26" s="146"/>
      <c r="R26" s="185"/>
      <c r="S26" s="196"/>
      <c r="T26" s="230"/>
      <c r="U26" s="243"/>
    </row>
    <row r="27" spans="1:23">
      <c r="A27" s="178"/>
      <c r="B27" s="2" t="s">
        <v>101</v>
      </c>
      <c r="F27" s="2" t="s">
        <v>269</v>
      </c>
      <c r="L27" s="175">
        <f>'Tab 6_Correcties en prognoses'!L18</f>
        <v>0</v>
      </c>
      <c r="M27" s="36">
        <f>'Tab 6_Correcties en prognoses'!M18</f>
        <v>0</v>
      </c>
      <c r="N27" s="36">
        <f>'Tab 6_Correcties en prognoses'!N18</f>
        <v>0</v>
      </c>
      <c r="O27" s="36">
        <f>'Tab 6_Correcties en prognoses'!O18</f>
        <v>0</v>
      </c>
      <c r="P27" s="36">
        <f>'Tab 6_Correcties en prognoses'!P18</f>
        <v>-8779</v>
      </c>
      <c r="Q27" s="175">
        <f>'Tab 6_Correcties en prognoses'!Q18</f>
        <v>-100156</v>
      </c>
      <c r="R27" s="175">
        <f>'Tab 6_Correcties en prognoses'!R18</f>
        <v>-37966</v>
      </c>
      <c r="S27" s="175">
        <f>'Tab 6_Correcties en prognoses'!S18</f>
        <v>0</v>
      </c>
      <c r="W27" s="21"/>
    </row>
    <row r="28" spans="1:23" s="178" customFormat="1">
      <c r="L28" s="44"/>
      <c r="M28" s="44"/>
      <c r="N28" s="44"/>
      <c r="O28" s="44"/>
      <c r="P28" s="44"/>
      <c r="Q28" s="44"/>
      <c r="R28" s="44"/>
      <c r="S28" s="44"/>
      <c r="W28" s="212"/>
    </row>
    <row r="29" spans="1:23" s="270" customFormat="1">
      <c r="B29" s="270" t="s">
        <v>502</v>
      </c>
      <c r="F29" s="270" t="s">
        <v>269</v>
      </c>
      <c r="L29" s="175">
        <f>'Tab 6_Correcties en prognoses'!L20</f>
        <v>0</v>
      </c>
      <c r="M29" s="175">
        <f>'Tab 6_Correcties en prognoses'!M20</f>
        <v>0</v>
      </c>
      <c r="N29" s="175">
        <f>'Tab 6_Correcties en prognoses'!N20</f>
        <v>0</v>
      </c>
      <c r="O29" s="175">
        <f>'Tab 6_Correcties en prognoses'!O20</f>
        <v>0</v>
      </c>
      <c r="P29" s="175">
        <f>'Tab 6_Correcties en prognoses'!P20</f>
        <v>0</v>
      </c>
      <c r="Q29" s="175">
        <f>'Tab 6_Correcties en prognoses'!Q20</f>
        <v>0</v>
      </c>
      <c r="R29" s="175">
        <f>'Tab 6_Correcties en prognoses'!R20</f>
        <v>78111.19</v>
      </c>
      <c r="S29" s="175">
        <f>'Tab 6_Correcties en prognoses'!S20</f>
        <v>0</v>
      </c>
    </row>
    <row r="30" spans="1:23" s="272" customFormat="1"/>
    <row r="31" spans="1:23" s="272" customFormat="1">
      <c r="B31" s="272" t="s">
        <v>508</v>
      </c>
      <c r="F31" s="272" t="s">
        <v>269</v>
      </c>
      <c r="T31" s="175">
        <f>'Tab 6_Correcties en prognoses'!T22</f>
        <v>9396296.8708292246</v>
      </c>
      <c r="U31" s="175">
        <f>'Tab 6_Correcties en prognoses'!U22</f>
        <v>34585099.427926056</v>
      </c>
    </row>
    <row r="32" spans="1:23" s="79" customFormat="1">
      <c r="A32" s="178"/>
      <c r="B32" s="8"/>
      <c r="L32" s="257"/>
      <c r="M32" s="44"/>
      <c r="N32" s="44"/>
      <c r="O32" s="44"/>
      <c r="P32" s="44"/>
      <c r="Q32" s="44"/>
      <c r="R32" s="185"/>
      <c r="S32" s="196"/>
      <c r="T32" s="230"/>
      <c r="U32" s="243"/>
    </row>
    <row r="33" spans="1:21" s="196" customFormat="1">
      <c r="A33" s="178"/>
      <c r="B33" s="168" t="s">
        <v>223</v>
      </c>
      <c r="L33" s="257"/>
      <c r="M33" s="44"/>
      <c r="N33" s="44"/>
      <c r="O33" s="44"/>
      <c r="P33" s="44"/>
      <c r="Q33" s="44"/>
      <c r="T33" s="230"/>
      <c r="U33" s="243"/>
    </row>
    <row r="34" spans="1:21">
      <c r="A34" s="178"/>
      <c r="B34" s="8" t="s">
        <v>102</v>
      </c>
      <c r="F34" s="2" t="s">
        <v>269</v>
      </c>
      <c r="L34" s="175">
        <f>'Tab 6_Correcties en prognoses'!L28</f>
        <v>0</v>
      </c>
      <c r="M34" s="36">
        <f>'Tab 6_Correcties en prognoses'!M28</f>
        <v>0</v>
      </c>
      <c r="N34" s="36">
        <f>'Tab 6_Correcties en prognoses'!N28</f>
        <v>0</v>
      </c>
      <c r="O34" s="36">
        <f>'Tab 6_Correcties en prognoses'!O28</f>
        <v>291930</v>
      </c>
      <c r="P34" s="36">
        <f>'Tab 6_Correcties en prognoses'!P28</f>
        <v>0</v>
      </c>
      <c r="Q34" s="175">
        <f>'Tab 6_Correcties en prognoses'!Q28</f>
        <v>0</v>
      </c>
      <c r="R34" s="175">
        <f>'Tab 6_Correcties en prognoses'!R28</f>
        <v>150462</v>
      </c>
      <c r="S34" s="175">
        <f>'Tab 6_Correcties en prognoses'!S28</f>
        <v>0</v>
      </c>
    </row>
    <row r="35" spans="1:21" s="272" customFormat="1">
      <c r="A35" s="178"/>
      <c r="B35" s="178"/>
    </row>
    <row r="36" spans="1:21" s="270" customFormat="1">
      <c r="A36" s="178"/>
      <c r="B36" s="178" t="s">
        <v>505</v>
      </c>
      <c r="F36" s="270" t="s">
        <v>269</v>
      </c>
      <c r="L36" s="175">
        <f>'Tab 6_Correcties en prognoses'!L30</f>
        <v>0</v>
      </c>
      <c r="M36" s="175">
        <f>'Tab 6_Correcties en prognoses'!M30</f>
        <v>0</v>
      </c>
      <c r="N36" s="175">
        <f>'Tab 6_Correcties en prognoses'!N30</f>
        <v>0</v>
      </c>
      <c r="O36" s="175">
        <f>'Tab 6_Correcties en prognoses'!O30</f>
        <v>878436</v>
      </c>
      <c r="P36" s="175">
        <f>'Tab 6_Correcties en prognoses'!P30</f>
        <v>0</v>
      </c>
      <c r="Q36" s="175">
        <f>'Tab 6_Correcties en prognoses'!Q30</f>
        <v>-194468</v>
      </c>
      <c r="R36" s="175">
        <f>'Tab 6_Correcties en prognoses'!R30</f>
        <v>-258210</v>
      </c>
      <c r="S36" s="175">
        <f>'Tab 6_Correcties en prognoses'!S30</f>
        <v>0</v>
      </c>
    </row>
    <row r="37" spans="1:21" s="8" customFormat="1">
      <c r="A37" s="178"/>
      <c r="L37" s="178"/>
      <c r="M37" s="44"/>
      <c r="N37" s="44"/>
      <c r="O37" s="44"/>
      <c r="P37" s="44"/>
      <c r="Q37" s="44"/>
      <c r="R37" s="44"/>
      <c r="S37" s="196"/>
      <c r="T37" s="230"/>
      <c r="U37" s="243"/>
    </row>
    <row r="38" spans="1:21" s="178" customFormat="1">
      <c r="B38" s="178" t="s">
        <v>331</v>
      </c>
      <c r="F38" s="178" t="s">
        <v>269</v>
      </c>
      <c r="M38" s="44"/>
      <c r="N38" s="44"/>
      <c r="O38" s="44"/>
      <c r="P38" s="44"/>
      <c r="Q38" s="44"/>
      <c r="S38" s="175">
        <f>'Tab 6_Correcties en prognoses'!S32</f>
        <v>472149</v>
      </c>
      <c r="T38" s="230"/>
      <c r="U38" s="243"/>
    </row>
    <row r="39" spans="1:21" s="79" customFormat="1">
      <c r="A39" s="178"/>
      <c r="B39" s="8"/>
      <c r="L39" s="257"/>
      <c r="Q39" s="146"/>
      <c r="R39" s="185"/>
      <c r="S39" s="196"/>
      <c r="T39" s="230"/>
      <c r="U39" s="243"/>
    </row>
    <row r="40" spans="1:21" s="7" customFormat="1">
      <c r="B40" s="7" t="s">
        <v>105</v>
      </c>
      <c r="L40" s="171"/>
      <c r="Q40" s="83"/>
      <c r="R40" s="171"/>
      <c r="S40" s="171"/>
      <c r="T40" s="171"/>
      <c r="U40" s="171"/>
    </row>
    <row r="42" spans="1:21" s="79" customFormat="1">
      <c r="A42" s="178"/>
      <c r="B42" s="78" t="s">
        <v>222</v>
      </c>
      <c r="L42" s="257"/>
      <c r="Q42" s="146"/>
      <c r="R42" s="185"/>
      <c r="S42" s="196"/>
      <c r="T42" s="230"/>
      <c r="U42" s="243"/>
    </row>
    <row r="43" spans="1:21">
      <c r="A43" s="178"/>
      <c r="B43" s="8" t="s">
        <v>347</v>
      </c>
      <c r="F43" s="2" t="s">
        <v>269</v>
      </c>
      <c r="J43" s="196"/>
      <c r="M43" s="196"/>
      <c r="N43" s="196"/>
      <c r="O43" s="196"/>
      <c r="P43" s="196"/>
      <c r="Q43" s="196"/>
      <c r="R43" s="196"/>
      <c r="S43" s="2"/>
      <c r="T43" s="243"/>
      <c r="U43" s="38">
        <f>L27*$H$16+M27*$H$17+N27*$H$18+O27*$H$19+P27*$H$20+Q27*$H$21+R27*$H$22+S27*$H$23</f>
        <v>-158394.6237162528</v>
      </c>
    </row>
    <row r="44" spans="1:21" s="270" customFormat="1">
      <c r="A44" s="178"/>
      <c r="B44" s="178"/>
      <c r="U44" s="219"/>
    </row>
    <row r="45" spans="1:21" s="270" customFormat="1">
      <c r="A45" s="178"/>
      <c r="B45" s="270" t="s">
        <v>503</v>
      </c>
      <c r="F45" s="270" t="s">
        <v>269</v>
      </c>
      <c r="U45" s="38">
        <f>L29*$H$16+M29*$H$17+N29*$H$18+O29*$H$19+P29*$H$20+Q29*$H$21+R29*$H$22+S29*$H$23</f>
        <v>82892.219717519998</v>
      </c>
    </row>
    <row r="46" spans="1:21" s="272" customFormat="1">
      <c r="A46" s="178"/>
    </row>
    <row r="47" spans="1:21" s="272" customFormat="1">
      <c r="A47" s="178"/>
      <c r="B47" s="272" t="s">
        <v>509</v>
      </c>
      <c r="F47" s="272" t="s">
        <v>269</v>
      </c>
      <c r="U47" s="38">
        <f>H24*T31+U31</f>
        <v>44169322.236171864</v>
      </c>
    </row>
    <row r="48" spans="1:21">
      <c r="A48" s="178"/>
      <c r="B48" s="8"/>
      <c r="J48" s="196"/>
      <c r="M48" s="196"/>
      <c r="N48" s="196"/>
      <c r="O48" s="196"/>
      <c r="P48" s="196"/>
      <c r="Q48" s="196"/>
      <c r="R48" s="196"/>
      <c r="S48" s="2"/>
      <c r="T48" s="219"/>
      <c r="U48" s="219"/>
    </row>
    <row r="49" spans="1:22" s="79" customFormat="1">
      <c r="A49" s="178"/>
      <c r="B49" s="91" t="s">
        <v>223</v>
      </c>
      <c r="J49" s="196"/>
      <c r="L49" s="257"/>
      <c r="M49" s="196"/>
      <c r="N49" s="196"/>
      <c r="O49" s="196"/>
      <c r="P49" s="196"/>
      <c r="Q49" s="196"/>
      <c r="R49" s="196"/>
      <c r="T49" s="219"/>
      <c r="U49" s="219"/>
    </row>
    <row r="50" spans="1:22">
      <c r="A50" s="178"/>
      <c r="B50" s="8" t="s">
        <v>348</v>
      </c>
      <c r="F50" s="185" t="s">
        <v>269</v>
      </c>
      <c r="J50" s="196"/>
      <c r="M50" s="196"/>
      <c r="N50" s="196"/>
      <c r="O50" s="196"/>
      <c r="P50" s="196"/>
      <c r="Q50" s="196"/>
      <c r="R50" s="196"/>
      <c r="S50" s="2"/>
      <c r="T50" s="219"/>
      <c r="U50" s="38">
        <f>L34*$H$16+M34*$H$17+N34*$H$18+O34*$H$19+P34*$H$20+Q34*$H$21+R34*$H$22+S34*$H$23</f>
        <v>488432.07315173949</v>
      </c>
    </row>
    <row r="51" spans="1:22" s="272" customFormat="1">
      <c r="A51" s="178"/>
      <c r="B51" s="178"/>
      <c r="T51" s="219"/>
      <c r="U51" s="219"/>
      <c r="V51" s="219"/>
    </row>
    <row r="52" spans="1:22" s="270" customFormat="1">
      <c r="A52" s="178"/>
      <c r="B52" s="178" t="s">
        <v>506</v>
      </c>
      <c r="F52" s="270" t="s">
        <v>269</v>
      </c>
      <c r="T52" s="219"/>
      <c r="U52" s="38">
        <f>L36*$H$16+M36*$H$17+N36*$H$18+O36*$H$19+P36*$H$20+Q36*$H$21+R36*$H$22+S36*$H$23</f>
        <v>504748.67595771112</v>
      </c>
    </row>
    <row r="53" spans="1:22">
      <c r="A53" s="178"/>
      <c r="J53" s="46"/>
      <c r="S53" s="2"/>
      <c r="T53" s="219"/>
      <c r="U53" s="219"/>
    </row>
    <row r="54" spans="1:22" s="230" customFormat="1">
      <c r="A54" s="178"/>
      <c r="B54" s="230" t="s">
        <v>349</v>
      </c>
      <c r="F54" s="230" t="s">
        <v>269</v>
      </c>
      <c r="J54" s="46"/>
      <c r="L54" s="257"/>
      <c r="T54" s="219"/>
      <c r="U54" s="38">
        <f>S38*$H$23</f>
        <v>491223.81959999999</v>
      </c>
    </row>
    <row r="55" spans="1:22" s="230" customFormat="1">
      <c r="A55" s="178"/>
      <c r="J55" s="46"/>
      <c r="L55" s="257"/>
      <c r="T55" s="219"/>
      <c r="U55" s="219"/>
    </row>
    <row r="56" spans="1:22">
      <c r="A56" s="178"/>
      <c r="S56" s="202"/>
      <c r="T56" s="219"/>
      <c r="U56" s="219"/>
    </row>
    <row r="57" spans="1:22">
      <c r="T57" s="219"/>
      <c r="U57" s="219"/>
    </row>
  </sheetData>
  <mergeCells count="1">
    <mergeCell ref="B5:E8"/>
  </mergeCells>
  <phoneticPr fontId="34" type="noConversion"/>
  <pageMargins left="0.7" right="0.7" top="0.75" bottom="0.75" header="0.3" footer="0.3"/>
  <pageSetup paperSize="9" orientation="portrait" r:id="rId1"/>
  <ignoredErrors>
    <ignoredError sqref="L1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tabColor rgb="FFFFFFCC"/>
    <pageSetUpPr autoPageBreaks="0"/>
  </sheetPr>
  <dimension ref="A1:R51"/>
  <sheetViews>
    <sheetView showGridLines="0" zoomScale="85" zoomScaleNormal="85" workbookViewId="0">
      <pane xSplit="6" ySplit="13" topLeftCell="G14" activePane="bottomRight" state="frozen"/>
      <selection pane="topRight"/>
      <selection pane="bottomLeft"/>
      <selection pane="bottomRight"/>
    </sheetView>
  </sheetViews>
  <sheetFormatPr defaultRowHeight="12.75"/>
  <cols>
    <col min="1" max="1" width="4" style="2" customWidth="1"/>
    <col min="2" max="2" width="55" style="2" customWidth="1"/>
    <col min="3" max="5" width="4.5703125" style="2" customWidth="1"/>
    <col min="6" max="6" width="13.7109375" style="2" customWidth="1"/>
    <col min="7" max="7" width="2.7109375" style="2" customWidth="1"/>
    <col min="8" max="8" width="15.28515625" style="2" customWidth="1"/>
    <col min="9" max="9" width="2.7109375" style="2" customWidth="1"/>
    <col min="10" max="10" width="15.28515625" style="2" customWidth="1"/>
    <col min="11" max="11" width="2.7109375" style="2" customWidth="1"/>
    <col min="12" max="16" width="15.28515625" style="2" customWidth="1"/>
    <col min="17" max="17" width="2.7109375" style="2" customWidth="1"/>
    <col min="18" max="32" width="13.7109375" style="2" customWidth="1"/>
    <col min="33" max="16384" width="9.140625" style="2"/>
  </cols>
  <sheetData>
    <row r="1" spans="1:18">
      <c r="A1" s="8"/>
    </row>
    <row r="2" spans="1:18" s="20" customFormat="1" ht="18">
      <c r="B2" s="20" t="s">
        <v>435</v>
      </c>
    </row>
    <row r="4" spans="1:18" s="140" customFormat="1">
      <c r="B4" s="295" t="s">
        <v>350</v>
      </c>
      <c r="C4" s="295"/>
      <c r="D4" s="295"/>
      <c r="E4" s="295"/>
      <c r="H4" s="80"/>
    </row>
    <row r="5" spans="1:18" s="140" customFormat="1">
      <c r="B5" s="295"/>
      <c r="C5" s="295"/>
      <c r="D5" s="295"/>
      <c r="E5" s="295"/>
      <c r="H5" s="80"/>
    </row>
    <row r="6" spans="1:18" s="140" customFormat="1">
      <c r="B6" s="295"/>
      <c r="C6" s="295"/>
      <c r="D6" s="295"/>
      <c r="E6" s="295"/>
    </row>
    <row r="7" spans="1:18" s="140" customFormat="1">
      <c r="B7" s="295"/>
      <c r="C7" s="295"/>
      <c r="D7" s="295"/>
      <c r="E7" s="295"/>
    </row>
    <row r="8" spans="1:18" s="140" customFormat="1">
      <c r="B8" s="295"/>
      <c r="C8" s="295"/>
      <c r="D8" s="295"/>
      <c r="E8" s="295"/>
    </row>
    <row r="9" spans="1:18" s="140" customFormat="1">
      <c r="B9" s="295"/>
      <c r="C9" s="295"/>
      <c r="D9" s="295"/>
      <c r="E9" s="295"/>
    </row>
    <row r="10" spans="1:18" s="140" customFormat="1">
      <c r="B10" s="295"/>
      <c r="C10" s="295"/>
      <c r="D10" s="295"/>
      <c r="E10" s="295"/>
    </row>
    <row r="11" spans="1:18">
      <c r="B11" s="295"/>
      <c r="C11" s="295"/>
      <c r="D11" s="295"/>
      <c r="E11" s="295"/>
    </row>
    <row r="12" spans="1:18" s="7" customFormat="1" ht="51">
      <c r="B12" s="7" t="s">
        <v>43</v>
      </c>
      <c r="F12" s="7" t="s">
        <v>26</v>
      </c>
      <c r="H12" s="7" t="s">
        <v>27</v>
      </c>
      <c r="J12" s="7" t="s">
        <v>47</v>
      </c>
      <c r="L12" s="41" t="s">
        <v>69</v>
      </c>
      <c r="M12" s="31" t="s">
        <v>70</v>
      </c>
      <c r="N12" s="31" t="s">
        <v>71</v>
      </c>
      <c r="O12" s="31" t="s">
        <v>72</v>
      </c>
      <c r="P12" s="31" t="s">
        <v>116</v>
      </c>
      <c r="R12" s="7" t="s">
        <v>45</v>
      </c>
    </row>
    <row r="15" spans="1:18" s="7" customFormat="1">
      <c r="B15" s="7" t="s">
        <v>46</v>
      </c>
    </row>
    <row r="16" spans="1:18">
      <c r="A16" s="178"/>
    </row>
    <row r="17" spans="1:18">
      <c r="A17" s="178"/>
      <c r="B17" s="188" t="s">
        <v>351</v>
      </c>
      <c r="F17" s="2" t="s">
        <v>58</v>
      </c>
      <c r="H17" s="99">
        <f>'Tab 12_Berekening parameters'!H56</f>
        <v>3.0149503712932457E-2</v>
      </c>
      <c r="J17" s="189"/>
    </row>
    <row r="18" spans="1:18">
      <c r="A18" s="178"/>
    </row>
    <row r="19" spans="1:18">
      <c r="A19" s="178"/>
      <c r="B19" s="1" t="s">
        <v>73</v>
      </c>
    </row>
    <row r="20" spans="1:18">
      <c r="A20" s="178"/>
      <c r="B20" s="23" t="s">
        <v>301</v>
      </c>
      <c r="F20" s="2" t="s">
        <v>130</v>
      </c>
      <c r="L20" s="92">
        <f>'Tab 11_Tarieven en omzet'!L16</f>
        <v>12478.96</v>
      </c>
      <c r="M20" s="92">
        <f>'Tab 11_Tarieven en omzet'!M16</f>
        <v>13.29</v>
      </c>
      <c r="N20" s="92">
        <f>'Tab 11_Tarieven en omzet'!N16</f>
        <v>1.35</v>
      </c>
      <c r="O20" s="92">
        <f>'Tab 11_Tarieven en omzet'!O16</f>
        <v>6.65</v>
      </c>
      <c r="P20" s="92">
        <f>'Tab 11_Tarieven en omzet'!P16</f>
        <v>0.47</v>
      </c>
    </row>
    <row r="21" spans="1:18">
      <c r="A21" s="178"/>
      <c r="B21" s="23" t="s">
        <v>352</v>
      </c>
      <c r="F21" s="2" t="s">
        <v>74</v>
      </c>
      <c r="L21" s="181">
        <f>'Tab 10_Brondata'!H82</f>
        <v>21.83</v>
      </c>
      <c r="M21" s="159">
        <f>'Tab 10_Brondata'!H83</f>
        <v>1178290</v>
      </c>
      <c r="N21" s="159">
        <f>'Tab 10_Brondata'!H84</f>
        <v>10813574</v>
      </c>
      <c r="O21" s="159">
        <f>'Tab 10_Brondata'!H85</f>
        <v>163453</v>
      </c>
      <c r="P21" s="159">
        <f>'Tab 10_Brondata'!H86</f>
        <v>2393696</v>
      </c>
      <c r="R21" s="21"/>
    </row>
    <row r="22" spans="1:18">
      <c r="A22" s="178"/>
      <c r="B22" s="1"/>
    </row>
    <row r="23" spans="1:18" s="79" customFormat="1">
      <c r="A23" s="178"/>
      <c r="B23" s="89" t="s">
        <v>303</v>
      </c>
      <c r="C23" s="89"/>
      <c r="F23" s="187" t="s">
        <v>130</v>
      </c>
      <c r="H23" s="36">
        <f>'Tab 11_Tarieven en omzet'!H18</f>
        <v>281400.54800000001</v>
      </c>
    </row>
    <row r="24" spans="1:18" s="79" customFormat="1">
      <c r="A24" s="178"/>
      <c r="B24" s="246" t="s">
        <v>302</v>
      </c>
      <c r="C24" s="89"/>
      <c r="F24" s="187" t="s">
        <v>130</v>
      </c>
      <c r="H24" s="36">
        <f>'Tab 11_Tarieven en omzet'!H19</f>
        <v>35372750.360434361</v>
      </c>
    </row>
    <row r="25" spans="1:18">
      <c r="A25" s="178"/>
      <c r="B25" s="47"/>
      <c r="C25" s="47"/>
    </row>
    <row r="26" spans="1:18">
      <c r="A26" s="178"/>
      <c r="B26" s="48" t="s">
        <v>75</v>
      </c>
      <c r="C26" s="47"/>
    </row>
    <row r="27" spans="1:18">
      <c r="A27" s="178"/>
      <c r="B27" s="23" t="s">
        <v>301</v>
      </c>
      <c r="F27" s="187" t="s">
        <v>130</v>
      </c>
      <c r="L27" s="92">
        <f>'Tab 11_Tarieven en omzet'!L22</f>
        <v>2760</v>
      </c>
      <c r="M27" s="92">
        <f>'Tab 11_Tarieven en omzet'!M22</f>
        <v>23.58</v>
      </c>
      <c r="N27" s="92">
        <f>'Tab 11_Tarieven en omzet'!N22</f>
        <v>2.29</v>
      </c>
      <c r="O27" s="92">
        <f>'Tab 11_Tarieven en omzet'!O22</f>
        <v>11.79</v>
      </c>
      <c r="P27" s="92">
        <f>'Tab 11_Tarieven en omzet'!P22</f>
        <v>0.79</v>
      </c>
    </row>
    <row r="28" spans="1:18">
      <c r="A28" s="178"/>
      <c r="B28" s="23" t="s">
        <v>352</v>
      </c>
      <c r="F28" s="2" t="s">
        <v>74</v>
      </c>
      <c r="L28" s="92">
        <f>'Tab 10_Brondata'!H89</f>
        <v>93.92</v>
      </c>
      <c r="M28" s="36">
        <f>'Tab 10_Brondata'!H90</f>
        <v>14701067</v>
      </c>
      <c r="N28" s="36">
        <f>'Tab 10_Brondata'!H91</f>
        <v>144038838</v>
      </c>
      <c r="O28" s="36">
        <f>'Tab 10_Brondata'!H92</f>
        <v>355537</v>
      </c>
      <c r="P28" s="36">
        <f>'Tab 10_Brondata'!H93</f>
        <v>2930912</v>
      </c>
    </row>
    <row r="29" spans="1:18">
      <c r="A29" s="178"/>
      <c r="B29" s="1"/>
    </row>
    <row r="30" spans="1:18" s="79" customFormat="1">
      <c r="A30" s="178"/>
      <c r="B30" s="89" t="s">
        <v>304</v>
      </c>
      <c r="C30" s="89"/>
      <c r="F30" s="187" t="s">
        <v>130</v>
      </c>
      <c r="H30" s="36">
        <f>'Tab 11_Tarieven en omzet'!H24</f>
        <v>252705.6</v>
      </c>
    </row>
    <row r="31" spans="1:18" s="79" customFormat="1">
      <c r="A31" s="178"/>
      <c r="B31" s="89" t="s">
        <v>305</v>
      </c>
      <c r="C31" s="89"/>
      <c r="F31" s="187" t="s">
        <v>130</v>
      </c>
      <c r="H31" s="36">
        <f>'Tab 11_Tarieven en omzet'!H25</f>
        <v>709398315.7332623</v>
      </c>
    </row>
    <row r="32" spans="1:18">
      <c r="B32" s="47"/>
      <c r="C32" s="47"/>
    </row>
    <row r="33" spans="1:16" s="7" customFormat="1">
      <c r="B33" s="7" t="s">
        <v>108</v>
      </c>
    </row>
    <row r="35" spans="1:16" s="79" customFormat="1">
      <c r="A35" s="178"/>
      <c r="B35" s="79" t="s">
        <v>353</v>
      </c>
      <c r="F35" s="187" t="s">
        <v>130</v>
      </c>
      <c r="H35" s="37">
        <f>H23+H24</f>
        <v>35654150.908434361</v>
      </c>
    </row>
    <row r="36" spans="1:16" s="79" customFormat="1">
      <c r="A36" s="178"/>
      <c r="B36" s="79" t="s">
        <v>354</v>
      </c>
      <c r="F36" s="187" t="s">
        <v>130</v>
      </c>
      <c r="H36" s="37">
        <f>H30+H31</f>
        <v>709651021.33326232</v>
      </c>
    </row>
    <row r="37" spans="1:16" s="79" customFormat="1">
      <c r="A37" s="178"/>
    </row>
    <row r="38" spans="1:16">
      <c r="A38" s="178"/>
      <c r="B38" s="1" t="s">
        <v>126</v>
      </c>
    </row>
    <row r="39" spans="1:16">
      <c r="A39" s="178"/>
      <c r="B39" s="2" t="s">
        <v>355</v>
      </c>
      <c r="F39" s="187" t="s">
        <v>130</v>
      </c>
      <c r="J39" s="37">
        <f>SUM(L39:P39)</f>
        <v>32742214.266800001</v>
      </c>
      <c r="L39" s="37">
        <f t="shared" ref="L39:P39" si="0">L20*L21</f>
        <v>272415.69679999998</v>
      </c>
      <c r="M39" s="37">
        <f t="shared" si="0"/>
        <v>15659474.1</v>
      </c>
      <c r="N39" s="37">
        <f t="shared" si="0"/>
        <v>14598324.9</v>
      </c>
      <c r="O39" s="37">
        <f t="shared" si="0"/>
        <v>1086962.45</v>
      </c>
      <c r="P39" s="37">
        <f t="shared" si="0"/>
        <v>1125037.1199999999</v>
      </c>
    </row>
    <row r="40" spans="1:16">
      <c r="A40" s="178"/>
      <c r="B40" s="49" t="s">
        <v>121</v>
      </c>
      <c r="F40" s="187" t="s">
        <v>130</v>
      </c>
      <c r="H40" s="37">
        <f>H35-J39</f>
        <v>2911936.64163436</v>
      </c>
    </row>
    <row r="41" spans="1:16">
      <c r="A41" s="178"/>
      <c r="B41" s="49" t="s">
        <v>357</v>
      </c>
      <c r="F41" s="2" t="s">
        <v>323</v>
      </c>
      <c r="H41" s="38">
        <f>H40*(1+H17)</f>
        <v>2999730.086223139</v>
      </c>
    </row>
    <row r="42" spans="1:16">
      <c r="A42" s="178"/>
    </row>
    <row r="43" spans="1:16">
      <c r="A43" s="178"/>
      <c r="B43" s="1" t="s">
        <v>127</v>
      </c>
    </row>
    <row r="44" spans="1:16">
      <c r="A44" s="178"/>
      <c r="B44" s="2" t="s">
        <v>356</v>
      </c>
      <c r="F44" s="187" t="s">
        <v>130</v>
      </c>
      <c r="J44" s="37">
        <f>SUM(L44:P44)</f>
        <v>683266519.78999996</v>
      </c>
      <c r="L44" s="37">
        <f>L27*L28</f>
        <v>259219.20000000001</v>
      </c>
      <c r="M44" s="37">
        <f>M27*M28</f>
        <v>346651159.85999995</v>
      </c>
      <c r="N44" s="37">
        <f>N27*N28</f>
        <v>329848939.01999998</v>
      </c>
      <c r="O44" s="37">
        <f>O27*O28</f>
        <v>4191781.2299999995</v>
      </c>
      <c r="P44" s="37">
        <f>P27*P28</f>
        <v>2315420.48</v>
      </c>
    </row>
    <row r="45" spans="1:16">
      <c r="A45" s="178"/>
      <c r="B45" s="85" t="s">
        <v>121</v>
      </c>
      <c r="F45" s="187" t="s">
        <v>130</v>
      </c>
      <c r="H45" s="37">
        <f>H36-J44</f>
        <v>26384501.543262362</v>
      </c>
    </row>
    <row r="46" spans="1:16">
      <c r="A46" s="178"/>
      <c r="B46" s="49" t="s">
        <v>358</v>
      </c>
      <c r="F46" s="2" t="s">
        <v>323</v>
      </c>
      <c r="H46" s="38">
        <f>H45*(1+H17)</f>
        <v>27179981.170504823</v>
      </c>
    </row>
    <row r="49" spans="2:8">
      <c r="H49" s="34"/>
    </row>
    <row r="50" spans="2:8">
      <c r="B50" s="49"/>
      <c r="H50" s="28"/>
    </row>
    <row r="51" spans="2:8">
      <c r="H51" s="34"/>
    </row>
  </sheetData>
  <mergeCells count="1">
    <mergeCell ref="B4:E1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rgb="FFFFFFCC"/>
    <pageSetUpPr autoPageBreaks="0"/>
  </sheetPr>
  <dimension ref="B2:W31"/>
  <sheetViews>
    <sheetView showGridLines="0" zoomScale="85" zoomScaleNormal="85" workbookViewId="0">
      <pane xSplit="6" ySplit="17" topLeftCell="G18" activePane="bottomRight" state="frozen"/>
      <selection pane="topRight"/>
      <selection pane="bottomLeft"/>
      <selection pane="bottomRight"/>
    </sheetView>
  </sheetViews>
  <sheetFormatPr defaultRowHeight="12.75"/>
  <cols>
    <col min="1" max="1" width="4" style="2" customWidth="1"/>
    <col min="2" max="2" width="55.710937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4.7109375" style="2" bestFit="1" customWidth="1"/>
    <col min="15" max="20" width="12.5703125" style="2" customWidth="1"/>
    <col min="21" max="21" width="12.5703125" style="243" customWidth="1"/>
    <col min="22" max="22" width="2.7109375" style="2" customWidth="1"/>
    <col min="23" max="34" width="13.7109375" style="2" customWidth="1"/>
    <col min="35" max="16384" width="9.140625" style="2"/>
  </cols>
  <sheetData>
    <row r="2" spans="2:23" s="20" customFormat="1" ht="18">
      <c r="B2" s="20" t="s">
        <v>543</v>
      </c>
    </row>
    <row r="4" spans="2:23" ht="12.75" customHeight="1">
      <c r="B4" s="299" t="s">
        <v>569</v>
      </c>
      <c r="C4" s="299"/>
      <c r="D4" s="299"/>
      <c r="E4" s="299"/>
      <c r="F4" s="299"/>
      <c r="G4" s="299"/>
      <c r="H4" s="299"/>
    </row>
    <row r="5" spans="2:23" ht="12.75" customHeight="1">
      <c r="B5" s="299"/>
      <c r="C5" s="299"/>
      <c r="D5" s="299"/>
      <c r="E5" s="299"/>
      <c r="F5" s="299"/>
      <c r="G5" s="299"/>
      <c r="H5" s="299"/>
    </row>
    <row r="6" spans="2:23">
      <c r="B6" s="299"/>
      <c r="C6" s="299"/>
      <c r="D6" s="299"/>
      <c r="E6" s="299"/>
      <c r="F6" s="299"/>
      <c r="G6" s="299"/>
      <c r="H6" s="299"/>
    </row>
    <row r="7" spans="2:23" s="146" customFormat="1">
      <c r="B7" s="299"/>
      <c r="C7" s="299"/>
      <c r="D7" s="299"/>
      <c r="E7" s="299"/>
      <c r="F7" s="299"/>
      <c r="G7" s="299"/>
      <c r="H7" s="299"/>
      <c r="U7" s="243"/>
    </row>
    <row r="8" spans="2:23" s="146" customFormat="1">
      <c r="B8" s="299"/>
      <c r="C8" s="299"/>
      <c r="D8" s="299"/>
      <c r="E8" s="299"/>
      <c r="F8" s="299"/>
      <c r="G8" s="299"/>
      <c r="H8" s="299"/>
      <c r="U8" s="243"/>
    </row>
    <row r="9" spans="2:23" s="146" customFormat="1">
      <c r="B9" s="299"/>
      <c r="C9" s="299"/>
      <c r="D9" s="299"/>
      <c r="E9" s="299"/>
      <c r="F9" s="299"/>
      <c r="G9" s="299"/>
      <c r="H9" s="299"/>
      <c r="U9" s="243"/>
    </row>
    <row r="10" spans="2:23" s="146" customFormat="1">
      <c r="B10" s="299"/>
      <c r="C10" s="299"/>
      <c r="D10" s="299"/>
      <c r="E10" s="299"/>
      <c r="F10" s="299"/>
      <c r="G10" s="299"/>
      <c r="H10" s="299"/>
      <c r="U10" s="243"/>
    </row>
    <row r="11" spans="2:23" s="146" customFormat="1" ht="13.5" customHeight="1">
      <c r="B11" s="299"/>
      <c r="C11" s="299"/>
      <c r="D11" s="299"/>
      <c r="E11" s="299"/>
      <c r="F11" s="299"/>
      <c r="G11" s="299"/>
      <c r="H11" s="299"/>
      <c r="U11" s="243"/>
    </row>
    <row r="12" spans="2:23" s="283" customFormat="1" ht="13.5" customHeight="1">
      <c r="B12" s="299"/>
      <c r="C12" s="299"/>
      <c r="D12" s="299"/>
      <c r="E12" s="299"/>
      <c r="F12" s="299"/>
      <c r="G12" s="299"/>
      <c r="H12" s="299"/>
    </row>
    <row r="13" spans="2:23" s="283" customFormat="1" ht="13.5" customHeight="1">
      <c r="B13" s="299"/>
      <c r="C13" s="299"/>
      <c r="D13" s="299"/>
      <c r="E13" s="299"/>
      <c r="F13" s="299"/>
      <c r="G13" s="299"/>
      <c r="H13" s="299"/>
    </row>
    <row r="14" spans="2:23" s="283" customFormat="1" ht="13.5" customHeight="1">
      <c r="B14" s="299"/>
      <c r="C14" s="299"/>
      <c r="D14" s="299"/>
      <c r="E14" s="299"/>
      <c r="F14" s="299"/>
      <c r="G14" s="299"/>
      <c r="H14" s="299"/>
    </row>
    <row r="15" spans="2:23" s="151" customFormat="1">
      <c r="B15" s="236"/>
      <c r="C15" s="236"/>
      <c r="D15" s="236"/>
      <c r="E15" s="236"/>
      <c r="H15" s="147"/>
      <c r="U15" s="243"/>
    </row>
    <row r="16" spans="2:23" s="7" customFormat="1">
      <c r="B16" s="7" t="s">
        <v>43</v>
      </c>
      <c r="F16" s="7" t="s">
        <v>26</v>
      </c>
      <c r="H16" s="7" t="s">
        <v>27</v>
      </c>
      <c r="J16" s="7" t="s">
        <v>47</v>
      </c>
      <c r="L16" s="27">
        <v>2013</v>
      </c>
      <c r="M16" s="27">
        <v>2014</v>
      </c>
      <c r="N16" s="27">
        <v>2015</v>
      </c>
      <c r="O16" s="27">
        <v>2016</v>
      </c>
      <c r="P16" s="27">
        <v>2017</v>
      </c>
      <c r="Q16" s="27">
        <v>2018</v>
      </c>
      <c r="R16" s="27">
        <v>2019</v>
      </c>
      <c r="S16" s="27">
        <v>2020</v>
      </c>
      <c r="T16" s="27">
        <v>2021</v>
      </c>
      <c r="U16" s="27">
        <v>2022</v>
      </c>
      <c r="W16" s="7" t="s">
        <v>45</v>
      </c>
    </row>
    <row r="19" spans="2:23" s="7" customFormat="1">
      <c r="B19" s="7" t="s">
        <v>46</v>
      </c>
      <c r="U19" s="171"/>
    </row>
    <row r="21" spans="2:23">
      <c r="B21" s="241" t="s">
        <v>359</v>
      </c>
      <c r="F21" s="2" t="s">
        <v>269</v>
      </c>
      <c r="L21" s="243"/>
      <c r="M21" s="243"/>
      <c r="N21" s="243"/>
      <c r="O21" s="243"/>
      <c r="P21" s="243"/>
      <c r="S21" s="243"/>
      <c r="T21" s="243"/>
      <c r="U21" s="175">
        <f>'Tab 10_Brondata'!U73</f>
        <v>75000000</v>
      </c>
    </row>
    <row r="22" spans="2:23">
      <c r="J22" s="8"/>
      <c r="K22" s="8"/>
      <c r="L22" s="243"/>
      <c r="M22" s="243"/>
      <c r="N22" s="243"/>
      <c r="O22" s="243"/>
      <c r="P22" s="243"/>
      <c r="Q22" s="8"/>
      <c r="R22" s="8"/>
      <c r="S22" s="8"/>
      <c r="T22" s="8"/>
      <c r="U22" s="178"/>
    </row>
    <row r="23" spans="2:23">
      <c r="B23" s="2" t="s">
        <v>544</v>
      </c>
      <c r="F23" s="2" t="s">
        <v>269</v>
      </c>
      <c r="H23" s="28"/>
      <c r="J23" s="28"/>
      <c r="K23" s="8"/>
      <c r="L23" s="243"/>
      <c r="M23" s="243"/>
      <c r="N23" s="243"/>
      <c r="O23" s="243"/>
      <c r="P23" s="243"/>
      <c r="Q23" s="175">
        <f>'Tab 10_Brondata'!Q75</f>
        <v>54737415.890000001</v>
      </c>
      <c r="R23" s="175">
        <f>'Tab 10_Brondata'!R75</f>
        <v>31996981.02</v>
      </c>
      <c r="S23" s="175">
        <f>'Tab 10_Brondata'!S75</f>
        <v>36719457</v>
      </c>
      <c r="T23" s="28"/>
      <c r="U23" s="28"/>
    </row>
    <row r="24" spans="2:23">
      <c r="L24" s="243"/>
      <c r="M24" s="243"/>
      <c r="N24" s="243"/>
      <c r="O24" s="243"/>
    </row>
    <row r="25" spans="2:23" s="79" customFormat="1">
      <c r="B25" s="79" t="s">
        <v>541</v>
      </c>
      <c r="F25" s="79" t="s">
        <v>74</v>
      </c>
      <c r="H25" s="135">
        <f>'Tab 9_Parameters'!H48</f>
        <v>3</v>
      </c>
      <c r="U25" s="243"/>
    </row>
    <row r="26" spans="2:23" s="79" customFormat="1">
      <c r="U26" s="243"/>
    </row>
    <row r="27" spans="2:23" s="7" customFormat="1">
      <c r="B27" s="7" t="s">
        <v>545</v>
      </c>
      <c r="U27" s="171"/>
    </row>
    <row r="29" spans="2:23">
      <c r="B29" s="2" t="s">
        <v>566</v>
      </c>
      <c r="F29" s="2" t="s">
        <v>323</v>
      </c>
      <c r="J29" s="284">
        <f>SUM(Q29:U29)</f>
        <v>116151284.63666667</v>
      </c>
      <c r="L29" s="243"/>
      <c r="M29" s="243"/>
      <c r="N29" s="243"/>
      <c r="O29" s="243"/>
      <c r="P29" s="243"/>
      <c r="Q29" s="37">
        <f>Q23/$H$25</f>
        <v>18245805.296666667</v>
      </c>
      <c r="R29" s="37">
        <f t="shared" ref="R29:S29" si="0">R23/$H$25</f>
        <v>10665660.34</v>
      </c>
      <c r="S29" s="37">
        <f t="shared" si="0"/>
        <v>12239819</v>
      </c>
      <c r="T29" s="139"/>
      <c r="U29" s="175">
        <f>U21</f>
        <v>75000000</v>
      </c>
      <c r="W29" s="2" t="s">
        <v>565</v>
      </c>
    </row>
    <row r="31" spans="2:23">
      <c r="B31" s="241"/>
    </row>
  </sheetData>
  <mergeCells count="1">
    <mergeCell ref="B4:H1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rgb="FFFFFFCC"/>
    <pageSetUpPr autoPageBreaks="0"/>
  </sheetPr>
  <dimension ref="A1:U91"/>
  <sheetViews>
    <sheetView showGridLines="0" zoomScale="85" zoomScaleNormal="85" workbookViewId="0">
      <pane xSplit="6" ySplit="8" topLeftCell="G9" activePane="bottomRight" state="frozen"/>
      <selection pane="topRight"/>
      <selection pane="bottomLeft"/>
      <selection pane="bottomRight"/>
    </sheetView>
  </sheetViews>
  <sheetFormatPr defaultRowHeight="12.75"/>
  <cols>
    <col min="1" max="1" width="4" style="2" customWidth="1"/>
    <col min="2" max="2" width="62.570312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32" width="13.7109375" style="2" customWidth="1"/>
    <col min="33" max="16384" width="9.140625" style="2"/>
  </cols>
  <sheetData>
    <row r="1" spans="1:18">
      <c r="A1" s="8"/>
    </row>
    <row r="2" spans="1:18" s="20" customFormat="1" ht="18">
      <c r="B2" s="20" t="s">
        <v>512</v>
      </c>
    </row>
    <row r="4" spans="1:18">
      <c r="B4" s="1" t="s">
        <v>55</v>
      </c>
      <c r="C4" s="1"/>
      <c r="D4" s="1"/>
      <c r="H4" s="81"/>
    </row>
    <row r="5" spans="1:18" ht="63" customHeight="1">
      <c r="B5" s="297" t="s">
        <v>362</v>
      </c>
      <c r="C5" s="297"/>
      <c r="D5" s="297"/>
      <c r="E5" s="297"/>
      <c r="H5" s="21"/>
    </row>
    <row r="6" spans="1:18">
      <c r="C6" s="23"/>
      <c r="D6" s="23"/>
      <c r="H6" s="21"/>
    </row>
    <row r="7" spans="1:18" s="7" customFormat="1" ht="38.25">
      <c r="B7" s="7" t="s">
        <v>43</v>
      </c>
      <c r="F7" s="7" t="s">
        <v>26</v>
      </c>
      <c r="H7" s="7" t="s">
        <v>27</v>
      </c>
      <c r="J7" s="7" t="s">
        <v>47</v>
      </c>
      <c r="L7" s="84" t="s">
        <v>69</v>
      </c>
      <c r="M7" s="31" t="s">
        <v>171</v>
      </c>
      <c r="N7" s="31" t="s">
        <v>71</v>
      </c>
      <c r="O7" s="31" t="s">
        <v>170</v>
      </c>
      <c r="P7" s="31" t="s">
        <v>116</v>
      </c>
      <c r="R7" s="7" t="s">
        <v>45</v>
      </c>
    </row>
    <row r="10" spans="1:18" s="7" customFormat="1">
      <c r="B10" s="7" t="s">
        <v>46</v>
      </c>
    </row>
    <row r="12" spans="1:18">
      <c r="B12" s="1" t="s">
        <v>73</v>
      </c>
    </row>
    <row r="13" spans="1:18">
      <c r="B13" s="23" t="s">
        <v>361</v>
      </c>
      <c r="F13" s="2" t="s">
        <v>323</v>
      </c>
      <c r="L13" s="92">
        <f>'Tab 8_Voorstel tarieven'!L19</f>
        <v>12478.96</v>
      </c>
      <c r="M13" s="92">
        <f>'Tab 8_Voorstel tarieven'!M19</f>
        <v>15.21</v>
      </c>
      <c r="N13" s="92">
        <f>'Tab 8_Voorstel tarieven'!N19</f>
        <v>1.65</v>
      </c>
      <c r="O13" s="92">
        <f>'Tab 8_Voorstel tarieven'!O19</f>
        <v>7.61</v>
      </c>
      <c r="P13" s="92">
        <f>'Tab 8_Voorstel tarieven'!P19</f>
        <v>0.56999999999999995</v>
      </c>
    </row>
    <row r="14" spans="1:18">
      <c r="B14" s="23" t="s">
        <v>363</v>
      </c>
      <c r="F14" s="2" t="s">
        <v>74</v>
      </c>
      <c r="L14" s="182">
        <f>'Tab 10_Brondata'!H82</f>
        <v>21.83</v>
      </c>
      <c r="M14" s="135">
        <f>'Tab 10_Brondata'!H83</f>
        <v>1178290</v>
      </c>
      <c r="N14" s="135">
        <f>'Tab 10_Brondata'!H84</f>
        <v>10813574</v>
      </c>
      <c r="O14" s="135">
        <f>'Tab 10_Brondata'!H85</f>
        <v>163453</v>
      </c>
      <c r="P14" s="135">
        <f>'Tab 10_Brondata'!H86</f>
        <v>2393696</v>
      </c>
      <c r="R14" s="5"/>
    </row>
    <row r="15" spans="1:18">
      <c r="B15" s="23"/>
    </row>
    <row r="16" spans="1:18">
      <c r="B16" s="1" t="s">
        <v>75</v>
      </c>
    </row>
    <row r="17" spans="2:18">
      <c r="B17" s="23" t="s">
        <v>361</v>
      </c>
      <c r="F17" s="2" t="s">
        <v>323</v>
      </c>
      <c r="L17" s="92">
        <f>'Tab 8_Voorstel tarieven'!L22</f>
        <v>2760</v>
      </c>
      <c r="M17" s="92">
        <f>'Tab 8_Voorstel tarieven'!M22</f>
        <v>27.24</v>
      </c>
      <c r="N17" s="92">
        <f>'Tab 8_Voorstel tarieven'!N22</f>
        <v>2.79</v>
      </c>
      <c r="O17" s="92">
        <f>'Tab 8_Voorstel tarieven'!O22</f>
        <v>13.62</v>
      </c>
      <c r="P17" s="92">
        <f>'Tab 8_Voorstel tarieven'!P22</f>
        <v>0.97</v>
      </c>
    </row>
    <row r="18" spans="2:18">
      <c r="B18" s="23" t="s">
        <v>363</v>
      </c>
      <c r="F18" s="2" t="s">
        <v>74</v>
      </c>
      <c r="L18" s="182">
        <f>'Tab 10_Brondata'!H89</f>
        <v>93.92</v>
      </c>
      <c r="M18" s="135">
        <f>'Tab 10_Brondata'!H90</f>
        <v>14701067</v>
      </c>
      <c r="N18" s="135">
        <f>'Tab 10_Brondata'!H91</f>
        <v>144038838</v>
      </c>
      <c r="O18" s="135">
        <f>'Tab 10_Brondata'!H92</f>
        <v>355537</v>
      </c>
      <c r="P18" s="135">
        <f>'Tab 10_Brondata'!H93</f>
        <v>2930912</v>
      </c>
      <c r="R18" s="5"/>
    </row>
    <row r="20" spans="2:18">
      <c r="B20" s="50" t="s">
        <v>364</v>
      </c>
      <c r="F20" s="2" t="s">
        <v>323</v>
      </c>
      <c r="H20" s="36">
        <f>'Tab 4_Totale inkomsten 2022'!J58</f>
        <v>468780720.83308828</v>
      </c>
    </row>
    <row r="21" spans="2:18">
      <c r="B21" s="50" t="s">
        <v>365</v>
      </c>
      <c r="F21" s="2" t="s">
        <v>323</v>
      </c>
      <c r="H21" s="36">
        <f>'Tab 4_Totale inkomsten 2022'!K58</f>
        <v>380710045.52004707</v>
      </c>
    </row>
    <row r="23" spans="2:18">
      <c r="B23" s="51" t="s">
        <v>80</v>
      </c>
      <c r="C23" s="52"/>
    </row>
    <row r="24" spans="2:18">
      <c r="B24" s="53" t="s">
        <v>135</v>
      </c>
      <c r="C24" s="52"/>
      <c r="F24" s="2" t="s">
        <v>58</v>
      </c>
      <c r="H24" s="98">
        <f>'Tab 9_Parameters'!H40</f>
        <v>0.5</v>
      </c>
      <c r="J24" s="21"/>
      <c r="R24" s="54"/>
    </row>
    <row r="25" spans="2:18">
      <c r="B25" s="53" t="s">
        <v>82</v>
      </c>
      <c r="C25" s="52"/>
      <c r="F25" s="2" t="s">
        <v>58</v>
      </c>
      <c r="H25" s="98">
        <f>'Tab 9_Parameters'!H41</f>
        <v>0.5</v>
      </c>
      <c r="J25" s="21"/>
      <c r="R25" s="54"/>
    </row>
    <row r="26" spans="2:18">
      <c r="B26" s="53"/>
      <c r="C26" s="52"/>
      <c r="H26" s="55"/>
      <c r="R26" s="54"/>
    </row>
    <row r="27" spans="2:18">
      <c r="B27" s="51" t="s">
        <v>83</v>
      </c>
      <c r="C27" s="52"/>
      <c r="H27" s="54"/>
      <c r="R27" s="54"/>
    </row>
    <row r="28" spans="2:18">
      <c r="B28" s="52" t="s">
        <v>136</v>
      </c>
      <c r="C28" s="52"/>
      <c r="F28" s="2" t="s">
        <v>58</v>
      </c>
      <c r="H28" s="98">
        <f>'Tab 9_Parameters'!H44</f>
        <v>0.5</v>
      </c>
      <c r="J28" s="21"/>
      <c r="R28" s="54"/>
    </row>
    <row r="29" spans="2:18">
      <c r="B29" s="52" t="s">
        <v>84</v>
      </c>
      <c r="C29" s="52"/>
      <c r="F29" s="2" t="s">
        <v>58</v>
      </c>
      <c r="H29" s="98">
        <f>'Tab 9_Parameters'!H45</f>
        <v>0.34615384615384615</v>
      </c>
      <c r="J29" s="21"/>
      <c r="R29" s="54"/>
    </row>
    <row r="31" spans="2:18" s="7" customFormat="1">
      <c r="B31" s="7" t="s">
        <v>104</v>
      </c>
    </row>
    <row r="33" spans="2:21">
      <c r="B33" s="56" t="s">
        <v>85</v>
      </c>
      <c r="C33" s="54"/>
      <c r="E33" s="57"/>
      <c r="F33" s="54" t="s">
        <v>58</v>
      </c>
      <c r="G33" s="58"/>
      <c r="H33" s="59">
        <f>((M18+O18)/((M14+O14)+(M18+O18)))</f>
        <v>0.91817815539578473</v>
      </c>
      <c r="R33" s="58" t="s">
        <v>487</v>
      </c>
      <c r="U33" s="60"/>
    </row>
    <row r="34" spans="2:21">
      <c r="H34" s="61"/>
    </row>
    <row r="35" spans="2:21">
      <c r="B35" s="51" t="s">
        <v>185</v>
      </c>
      <c r="C35" s="51"/>
      <c r="D35" s="57"/>
      <c r="E35" s="57"/>
      <c r="F35" s="58"/>
      <c r="H35" s="61"/>
    </row>
    <row r="36" spans="2:21">
      <c r="B36" s="62" t="s">
        <v>366</v>
      </c>
      <c r="C36" s="57"/>
      <c r="F36" s="79" t="s">
        <v>323</v>
      </c>
      <c r="H36" s="45">
        <f>SUMPRODUCT(L13:P13,L14:P14)+SUMPRODUCT(L17:P17,L18:P18)</f>
        <v>848914928.62679994</v>
      </c>
      <c r="I36" s="57"/>
      <c r="J36" s="58"/>
    </row>
    <row r="37" spans="2:21">
      <c r="B37" s="50" t="s">
        <v>367</v>
      </c>
      <c r="C37" s="57"/>
      <c r="F37" s="230" t="s">
        <v>323</v>
      </c>
      <c r="H37" s="45">
        <f>H20+H21</f>
        <v>849490766.35313535</v>
      </c>
      <c r="I37" s="57"/>
      <c r="J37" s="58"/>
    </row>
    <row r="38" spans="2:21">
      <c r="B38" s="62" t="s">
        <v>86</v>
      </c>
      <c r="C38" s="57"/>
      <c r="F38" s="230" t="s">
        <v>323</v>
      </c>
      <c r="H38" s="45">
        <f>H36-H37</f>
        <v>-575837.7263354063</v>
      </c>
      <c r="I38" s="57"/>
    </row>
    <row r="39" spans="2:21">
      <c r="B39" s="2" t="s">
        <v>173</v>
      </c>
      <c r="F39" s="2" t="s">
        <v>169</v>
      </c>
      <c r="H39" s="94" t="str">
        <f>IF(H38&gt;0,"nee","ja")</f>
        <v>ja</v>
      </c>
      <c r="J39" s="58"/>
      <c r="O39" s="52"/>
      <c r="P39" s="54"/>
      <c r="R39" s="80" t="s">
        <v>183</v>
      </c>
    </row>
    <row r="40" spans="2:21">
      <c r="O40" s="52"/>
      <c r="P40" s="54"/>
    </row>
    <row r="41" spans="2:21">
      <c r="O41" s="52"/>
      <c r="P41" s="54"/>
    </row>
    <row r="42" spans="2:21">
      <c r="B42" s="51" t="s">
        <v>488</v>
      </c>
      <c r="C42" s="51"/>
      <c r="N42" s="55"/>
      <c r="O42" s="52"/>
      <c r="P42" s="54"/>
    </row>
    <row r="43" spans="2:21">
      <c r="B43" s="52" t="s">
        <v>139</v>
      </c>
      <c r="F43" s="2" t="s">
        <v>323</v>
      </c>
      <c r="H43" s="45">
        <f>L14*L13</f>
        <v>272415.69679999998</v>
      </c>
      <c r="O43" s="52"/>
      <c r="P43" s="54"/>
    </row>
    <row r="44" spans="2:21">
      <c r="B44" s="52" t="s">
        <v>140</v>
      </c>
      <c r="F44" s="230" t="s">
        <v>323</v>
      </c>
      <c r="H44" s="45">
        <f>H20-H43</f>
        <v>468508305.13628829</v>
      </c>
      <c r="O44" s="52"/>
      <c r="P44" s="54"/>
    </row>
    <row r="45" spans="2:21">
      <c r="B45" s="54"/>
      <c r="F45" s="230"/>
      <c r="H45" s="54"/>
      <c r="O45" s="54"/>
      <c r="P45" s="54"/>
    </row>
    <row r="46" spans="2:21">
      <c r="B46" s="52" t="s">
        <v>141</v>
      </c>
      <c r="F46" s="230" t="s">
        <v>323</v>
      </c>
      <c r="H46" s="45">
        <f>(1-H33)*H44</f>
        <v>38334213.73864565</v>
      </c>
      <c r="O46" s="52"/>
      <c r="P46" s="52"/>
    </row>
    <row r="47" spans="2:21">
      <c r="B47" s="63"/>
      <c r="F47" s="230"/>
      <c r="H47" s="64"/>
      <c r="O47" s="52"/>
      <c r="P47" s="52"/>
    </row>
    <row r="48" spans="2:21">
      <c r="B48" s="52" t="s">
        <v>137</v>
      </c>
      <c r="F48" s="230" t="s">
        <v>323</v>
      </c>
      <c r="H48" s="45">
        <f>H46*H24</f>
        <v>19167106.869322825</v>
      </c>
    </row>
    <row r="49" spans="2:18">
      <c r="B49" s="52" t="s">
        <v>138</v>
      </c>
      <c r="F49" s="230" t="s">
        <v>323</v>
      </c>
      <c r="H49" s="45">
        <f>H46*H25</f>
        <v>19167106.869322825</v>
      </c>
    </row>
    <row r="50" spans="2:18">
      <c r="F50" s="230"/>
      <c r="N50" s="57"/>
      <c r="O50" s="57"/>
      <c r="P50" s="58"/>
    </row>
    <row r="51" spans="2:18">
      <c r="B51" s="152" t="s">
        <v>489</v>
      </c>
      <c r="F51" s="230" t="s">
        <v>323</v>
      </c>
      <c r="J51" s="61"/>
      <c r="K51" s="61"/>
      <c r="L51" s="136">
        <f>L13</f>
        <v>12478.96</v>
      </c>
      <c r="M51" s="156">
        <f>H48/(M14+H28*O14)</f>
        <v>15.2117903768108</v>
      </c>
      <c r="N51" s="156">
        <f>H49/(N14+P14*H29)</f>
        <v>1.6463530046251971</v>
      </c>
      <c r="O51" s="156">
        <f>H28*M51</f>
        <v>7.6058951884054</v>
      </c>
      <c r="P51" s="156">
        <f>H29*N51</f>
        <v>0.56989142467795284</v>
      </c>
      <c r="R51" s="80" t="s">
        <v>184</v>
      </c>
    </row>
    <row r="52" spans="2:18">
      <c r="B52" s="152" t="s">
        <v>490</v>
      </c>
      <c r="F52" s="230" t="s">
        <v>323</v>
      </c>
      <c r="J52" s="45">
        <f>SUM(L52:P52)</f>
        <v>38606629.435445651</v>
      </c>
      <c r="K52" s="61"/>
      <c r="L52" s="45">
        <f>L51*L14</f>
        <v>272415.69679999998</v>
      </c>
      <c r="M52" s="45">
        <f>M51*M14</f>
        <v>17923900.483092397</v>
      </c>
      <c r="N52" s="45">
        <f>N51*N14</f>
        <v>17802960.045636911</v>
      </c>
      <c r="O52" s="45">
        <f>O51*O14</f>
        <v>1243206.3862304278</v>
      </c>
      <c r="P52" s="45">
        <f>P51*P14</f>
        <v>1364146.8236859171</v>
      </c>
    </row>
    <row r="53" spans="2:18">
      <c r="B53" s="153"/>
      <c r="F53" s="230"/>
      <c r="J53" s="61"/>
      <c r="K53" s="61"/>
      <c r="L53" s="61"/>
      <c r="M53" s="61"/>
      <c r="N53" s="63"/>
      <c r="O53" s="63"/>
      <c r="P53" s="55"/>
    </row>
    <row r="54" spans="2:18">
      <c r="B54" s="152" t="s">
        <v>491</v>
      </c>
      <c r="F54" s="230" t="s">
        <v>323</v>
      </c>
      <c r="J54" s="61"/>
      <c r="K54" s="61"/>
      <c r="L54" s="65">
        <f>ROUND(L51,2)</f>
        <v>12478.96</v>
      </c>
      <c r="M54" s="65">
        <f t="shared" ref="M54:P54" si="0">ROUND(M51,2)</f>
        <v>15.21</v>
      </c>
      <c r="N54" s="65">
        <f t="shared" si="0"/>
        <v>1.65</v>
      </c>
      <c r="O54" s="65">
        <f t="shared" si="0"/>
        <v>7.61</v>
      </c>
      <c r="P54" s="65">
        <f t="shared" si="0"/>
        <v>0.56999999999999995</v>
      </c>
    </row>
    <row r="55" spans="2:18">
      <c r="B55" s="63" t="s">
        <v>490</v>
      </c>
      <c r="F55" s="230" t="s">
        <v>323</v>
      </c>
      <c r="J55" s="66">
        <f>SUM(L55:P55)</f>
        <v>38644887.746799998</v>
      </c>
      <c r="L55" s="66">
        <f>L54*L14</f>
        <v>272415.69679999998</v>
      </c>
      <c r="M55" s="45">
        <f>M54*M14</f>
        <v>17921790.900000002</v>
      </c>
      <c r="N55" s="45">
        <f>N54*N14</f>
        <v>17842397.099999998</v>
      </c>
      <c r="O55" s="45">
        <f>O54*O14</f>
        <v>1243877.33</v>
      </c>
      <c r="P55" s="45">
        <f>P54*P14</f>
        <v>1364406.72</v>
      </c>
    </row>
    <row r="56" spans="2:18" s="8" customFormat="1">
      <c r="B56" s="8" t="s">
        <v>87</v>
      </c>
      <c r="F56" s="230" t="s">
        <v>323</v>
      </c>
      <c r="H56" s="66">
        <f>J55-J52</f>
        <v>38258.311354346573</v>
      </c>
      <c r="M56" s="54"/>
      <c r="O56" s="52"/>
      <c r="P56" s="52"/>
      <c r="R56" s="158"/>
    </row>
    <row r="57" spans="2:18">
      <c r="M57" s="54"/>
      <c r="O57" s="63"/>
      <c r="P57" s="63"/>
    </row>
    <row r="58" spans="2:18">
      <c r="M58" s="54"/>
      <c r="O58" s="63"/>
      <c r="P58" s="63"/>
    </row>
    <row r="59" spans="2:18">
      <c r="B59" s="51" t="s">
        <v>492</v>
      </c>
      <c r="M59" s="54"/>
      <c r="O59" s="63"/>
      <c r="P59" s="63"/>
    </row>
    <row r="60" spans="2:18">
      <c r="B60" s="52" t="s">
        <v>142</v>
      </c>
      <c r="F60" s="2" t="s">
        <v>323</v>
      </c>
      <c r="H60" s="45">
        <f>L18*L17</f>
        <v>259219.20000000001</v>
      </c>
      <c r="J60" s="154"/>
      <c r="L60" s="54"/>
      <c r="M60" s="54"/>
      <c r="N60" s="54"/>
      <c r="O60" s="54"/>
      <c r="P60" s="54"/>
    </row>
    <row r="61" spans="2:18">
      <c r="B61" s="52" t="s">
        <v>143</v>
      </c>
      <c r="F61" s="230" t="s">
        <v>323</v>
      </c>
      <c r="H61" s="45">
        <f>H21-H60</f>
        <v>380450826.32004708</v>
      </c>
      <c r="L61" s="54"/>
      <c r="M61" s="54"/>
      <c r="N61" s="54"/>
      <c r="O61" s="54"/>
      <c r="P61" s="54"/>
    </row>
    <row r="62" spans="2:18">
      <c r="B62" s="54"/>
      <c r="F62" s="230"/>
      <c r="H62" s="54"/>
      <c r="M62" s="54"/>
      <c r="N62" s="54"/>
      <c r="O62" s="64"/>
      <c r="P62" s="54"/>
    </row>
    <row r="63" spans="2:18">
      <c r="B63" s="56" t="s">
        <v>85</v>
      </c>
      <c r="F63" s="230" t="s">
        <v>323</v>
      </c>
      <c r="H63" s="45">
        <f>H33*H44</f>
        <v>430174091.39764261</v>
      </c>
      <c r="M63" s="54"/>
      <c r="N63" s="54"/>
      <c r="O63" s="63"/>
      <c r="P63" s="54"/>
    </row>
    <row r="64" spans="2:18">
      <c r="B64" s="52" t="s">
        <v>144</v>
      </c>
      <c r="F64" s="230" t="s">
        <v>323</v>
      </c>
      <c r="H64" s="45">
        <f>H63+H61</f>
        <v>810624917.71768975</v>
      </c>
      <c r="M64" s="54"/>
      <c r="N64" s="54"/>
      <c r="O64" s="63"/>
      <c r="P64" s="54"/>
    </row>
    <row r="65" spans="2:18">
      <c r="B65" s="54"/>
      <c r="F65" s="230"/>
      <c r="H65" s="54"/>
      <c r="M65" s="54"/>
      <c r="N65" s="54"/>
      <c r="O65" s="63"/>
      <c r="P65" s="54"/>
    </row>
    <row r="66" spans="2:18">
      <c r="B66" s="53" t="s">
        <v>137</v>
      </c>
      <c r="F66" s="230" t="s">
        <v>323</v>
      </c>
      <c r="H66" s="45">
        <f>H64*H24</f>
        <v>405312458.85884488</v>
      </c>
      <c r="M66" s="54"/>
      <c r="N66" s="54"/>
      <c r="O66" s="64"/>
      <c r="P66" s="54"/>
    </row>
    <row r="67" spans="2:18">
      <c r="B67" s="53" t="s">
        <v>88</v>
      </c>
      <c r="F67" s="230" t="s">
        <v>323</v>
      </c>
      <c r="H67" s="45">
        <f>H64*H25</f>
        <v>405312458.85884488</v>
      </c>
      <c r="M67" s="54"/>
      <c r="N67" s="54"/>
      <c r="O67" s="63"/>
      <c r="P67" s="67"/>
    </row>
    <row r="68" spans="2:18">
      <c r="F68" s="230"/>
      <c r="M68" s="54"/>
      <c r="N68" s="54"/>
      <c r="O68" s="63"/>
      <c r="P68" s="63"/>
    </row>
    <row r="69" spans="2:18">
      <c r="B69" s="63" t="s">
        <v>493</v>
      </c>
      <c r="F69" s="230" t="s">
        <v>323</v>
      </c>
      <c r="J69" s="61"/>
      <c r="K69" s="61"/>
      <c r="L69" s="157">
        <f>L17</f>
        <v>2760</v>
      </c>
      <c r="M69" s="156">
        <f>H66/(M18+H28*O18)</f>
        <v>27.240872369268743</v>
      </c>
      <c r="N69" s="156">
        <f>H67/(N18+P18*H29)</f>
        <v>2.7942295890814961</v>
      </c>
      <c r="O69" s="156">
        <f>H28*M69</f>
        <v>13.620436184634372</v>
      </c>
      <c r="P69" s="156">
        <f>H29*N69</f>
        <v>0.96723331929744094</v>
      </c>
      <c r="R69" s="80" t="s">
        <v>184</v>
      </c>
    </row>
    <row r="70" spans="2:18">
      <c r="B70" s="63" t="s">
        <v>494</v>
      </c>
      <c r="F70" s="230" t="s">
        <v>323</v>
      </c>
      <c r="J70" s="45">
        <f>SUM(L70:P70)</f>
        <v>810884136.91768968</v>
      </c>
      <c r="K70" s="61"/>
      <c r="L70" s="45">
        <f>L69*L18</f>
        <v>259219.20000000001</v>
      </c>
      <c r="M70" s="45">
        <f>M69*M18</f>
        <v>400469889.83906853</v>
      </c>
      <c r="N70" s="45">
        <f>N69*N18</f>
        <v>402477583.11651617</v>
      </c>
      <c r="O70" s="45">
        <f>O69*O18</f>
        <v>4842569.0197763508</v>
      </c>
      <c r="P70" s="45">
        <f>P69*P18</f>
        <v>2834875.7423287011</v>
      </c>
    </row>
    <row r="71" spans="2:18">
      <c r="F71" s="230"/>
      <c r="J71" s="61"/>
      <c r="K71" s="61"/>
      <c r="L71" s="61"/>
      <c r="M71" s="61"/>
      <c r="N71" s="63"/>
      <c r="O71" s="63"/>
      <c r="P71" s="55"/>
    </row>
    <row r="72" spans="2:18">
      <c r="B72" s="63" t="s">
        <v>495</v>
      </c>
      <c r="F72" s="230" t="s">
        <v>323</v>
      </c>
      <c r="J72" s="61"/>
      <c r="K72" s="61"/>
      <c r="L72" s="65">
        <f>ROUND(L69,2)</f>
        <v>2760</v>
      </c>
      <c r="M72" s="65">
        <f>ROUND(M69,2)</f>
        <v>27.24</v>
      </c>
      <c r="N72" s="65">
        <f>ROUND(N69,2)</f>
        <v>2.79</v>
      </c>
      <c r="O72" s="65">
        <f>ROUND(O69,2)</f>
        <v>13.62</v>
      </c>
      <c r="P72" s="65">
        <f>ROUND(P69,2)</f>
        <v>0.97</v>
      </c>
    </row>
    <row r="73" spans="2:18">
      <c r="B73" s="63" t="s">
        <v>494</v>
      </c>
      <c r="F73" s="230" t="s">
        <v>323</v>
      </c>
      <c r="J73" s="45">
        <f>SUM(L73:P73)</f>
        <v>810270040.88</v>
      </c>
      <c r="L73" s="45">
        <f>L72*L18</f>
        <v>259219.20000000001</v>
      </c>
      <c r="M73" s="45">
        <f>M72*M18</f>
        <v>400457065.07999998</v>
      </c>
      <c r="N73" s="45">
        <f>N72*N18</f>
        <v>401868358.01999998</v>
      </c>
      <c r="O73" s="45">
        <f>O72*O18</f>
        <v>4842413.9399999995</v>
      </c>
      <c r="P73" s="45">
        <f>P72*P18</f>
        <v>2842984.64</v>
      </c>
    </row>
    <row r="74" spans="2:18" s="8" customFormat="1">
      <c r="B74" s="8" t="s">
        <v>87</v>
      </c>
      <c r="F74" s="230" t="s">
        <v>323</v>
      </c>
      <c r="H74" s="66">
        <f>J73-J70</f>
        <v>-614096.03768968582</v>
      </c>
      <c r="M74" s="54"/>
      <c r="O74" s="52"/>
      <c r="P74" s="52"/>
    </row>
    <row r="75" spans="2:18">
      <c r="B75" s="29"/>
    </row>
    <row r="76" spans="2:18">
      <c r="B76" s="91" t="s">
        <v>496</v>
      </c>
      <c r="C76" s="79"/>
      <c r="D76" s="79"/>
      <c r="E76" s="79"/>
      <c r="F76" s="79"/>
      <c r="G76" s="79"/>
      <c r="H76" s="79"/>
    </row>
    <row r="77" spans="2:18" s="149" customFormat="1">
      <c r="B77" s="91" t="s">
        <v>174</v>
      </c>
    </row>
    <row r="78" spans="2:18">
      <c r="B78" s="52" t="s">
        <v>175</v>
      </c>
      <c r="C78" s="68"/>
      <c r="D78" s="79"/>
      <c r="E78" s="79"/>
      <c r="F78" s="79" t="s">
        <v>323</v>
      </c>
      <c r="G78" s="79"/>
      <c r="H78" s="37">
        <f>J52+J70</f>
        <v>849490766.35313535</v>
      </c>
      <c r="M78" s="63"/>
      <c r="N78" s="64"/>
      <c r="O78" s="63"/>
      <c r="P78" s="63"/>
      <c r="R78" s="80"/>
    </row>
    <row r="79" spans="2:18">
      <c r="B79" s="52" t="s">
        <v>176</v>
      </c>
      <c r="C79" s="68"/>
      <c r="D79" s="79"/>
      <c r="E79" s="79"/>
      <c r="F79" s="79" t="s">
        <v>323</v>
      </c>
      <c r="G79" s="79"/>
      <c r="H79" s="37">
        <f>J55+J73</f>
        <v>848914928.62679994</v>
      </c>
    </row>
    <row r="80" spans="2:18">
      <c r="B80" s="54" t="s">
        <v>89</v>
      </c>
      <c r="C80" s="68"/>
      <c r="D80" s="79"/>
      <c r="E80" s="79"/>
      <c r="F80" s="79" t="s">
        <v>323</v>
      </c>
      <c r="G80" s="79"/>
      <c r="H80" s="37">
        <f>H79-H78</f>
        <v>-575837.7263354063</v>
      </c>
      <c r="R80" s="158" t="s">
        <v>280</v>
      </c>
    </row>
    <row r="81" spans="2:18" s="79" customFormat="1">
      <c r="B81" s="54"/>
      <c r="C81" s="68"/>
      <c r="H81" s="97"/>
    </row>
    <row r="82" spans="2:18" s="79" customFormat="1">
      <c r="B82" s="91" t="s">
        <v>118</v>
      </c>
      <c r="H82" s="96"/>
    </row>
    <row r="83" spans="2:18">
      <c r="B83" s="29" t="s">
        <v>145</v>
      </c>
      <c r="C83" s="79"/>
      <c r="D83" s="79"/>
      <c r="E83" s="79"/>
      <c r="F83" s="79" t="s">
        <v>169</v>
      </c>
      <c r="G83" s="79"/>
      <c r="H83" s="93" t="str">
        <f>H39</f>
        <v>ja</v>
      </c>
      <c r="R83" s="155"/>
    </row>
    <row r="84" spans="2:18" s="79" customFormat="1">
      <c r="B84" s="29"/>
    </row>
    <row r="85" spans="2:18">
      <c r="B85" s="29" t="s">
        <v>368</v>
      </c>
      <c r="F85" s="2" t="s">
        <v>323</v>
      </c>
      <c r="L85" s="95">
        <f>IF($H$83="ja",L13,L54)</f>
        <v>12478.96</v>
      </c>
      <c r="M85" s="95">
        <f>IF($H$83="ja",M13,M54)</f>
        <v>15.21</v>
      </c>
      <c r="N85" s="95">
        <f>IF($H$83="ja",N13,N54)</f>
        <v>1.65</v>
      </c>
      <c r="O85" s="95">
        <f>IF($H$83="ja",O13,O54)</f>
        <v>7.61</v>
      </c>
      <c r="P85" s="95">
        <f>IF($H$83="ja",P13,P54)</f>
        <v>0.56999999999999995</v>
      </c>
    </row>
    <row r="86" spans="2:18">
      <c r="B86" s="29" t="s">
        <v>369</v>
      </c>
      <c r="F86" s="2" t="s">
        <v>323</v>
      </c>
      <c r="L86" s="95">
        <f>IF($H$83="ja",L17,L72)</f>
        <v>2760</v>
      </c>
      <c r="M86" s="95">
        <f>IF($H$83="ja",M17,M72)</f>
        <v>27.24</v>
      </c>
      <c r="N86" s="95">
        <f>IF($H$83="ja",N17,N72)</f>
        <v>2.79</v>
      </c>
      <c r="O86" s="95">
        <f>IF($H$83="ja",O17,O72)</f>
        <v>13.62</v>
      </c>
      <c r="P86" s="95">
        <f>IF($H$83="ja",P17,P72)</f>
        <v>0.97</v>
      </c>
    </row>
    <row r="90" spans="2:18">
      <c r="N90" s="54"/>
      <c r="O90" s="63"/>
      <c r="P90" s="63"/>
    </row>
    <row r="91" spans="2:18">
      <c r="N91" s="54"/>
      <c r="O91" s="63"/>
      <c r="P91" s="63"/>
    </row>
  </sheetData>
  <mergeCells count="1">
    <mergeCell ref="B5: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CCC8D9"/>
    <pageSetUpPr autoPageBreaks="0" fitToPage="1"/>
  </sheetPr>
  <dimension ref="A1:I40"/>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7.5703125" style="2" customWidth="1"/>
    <col min="3" max="3" width="80.5703125" style="2" bestFit="1" customWidth="1"/>
    <col min="4" max="4" width="9.85546875" style="79" bestFit="1" customWidth="1"/>
    <col min="5" max="5" width="78.7109375" style="2" customWidth="1"/>
    <col min="6" max="6" width="4.5703125" style="2" customWidth="1"/>
    <col min="7" max="7" width="96.85546875" style="2" bestFit="1" customWidth="1"/>
    <col min="8" max="8" width="28.7109375" style="2" customWidth="1"/>
    <col min="9" max="9" width="22" style="2" customWidth="1"/>
    <col min="10" max="16384" width="9.140625" style="2"/>
  </cols>
  <sheetData>
    <row r="1" spans="1:9">
      <c r="A1" s="8"/>
    </row>
    <row r="2" spans="1:9" s="12" customFormat="1" ht="18">
      <c r="B2" s="11" t="s">
        <v>153</v>
      </c>
    </row>
    <row r="4" spans="1:9" s="7" customFormat="1">
      <c r="B4" s="7" t="s">
        <v>24</v>
      </c>
      <c r="D4" s="83"/>
    </row>
    <row r="5" spans="1:9">
      <c r="C5" s="26"/>
    </row>
    <row r="6" spans="1:9">
      <c r="B6" s="133" t="s">
        <v>51</v>
      </c>
      <c r="C6" s="133" t="s">
        <v>52</v>
      </c>
      <c r="D6" s="133" t="s">
        <v>123</v>
      </c>
      <c r="E6" s="133" t="s">
        <v>54</v>
      </c>
      <c r="G6" s="288"/>
      <c r="H6" s="288"/>
    </row>
    <row r="7" spans="1:9">
      <c r="B7" s="19"/>
      <c r="C7" s="24" t="s">
        <v>53</v>
      </c>
      <c r="D7" s="24"/>
      <c r="E7" s="24" t="s">
        <v>25</v>
      </c>
      <c r="G7" s="288"/>
      <c r="H7" s="288"/>
    </row>
    <row r="8" spans="1:9" s="214" customFormat="1">
      <c r="B8" s="6">
        <v>1</v>
      </c>
      <c r="C8" s="25" t="s">
        <v>122</v>
      </c>
      <c r="D8" s="216" t="s">
        <v>256</v>
      </c>
      <c r="E8" s="6"/>
      <c r="G8" s="288"/>
      <c r="H8" s="288"/>
      <c r="I8" s="26"/>
    </row>
    <row r="9" spans="1:9" s="261" customFormat="1">
      <c r="B9" s="6">
        <v>2</v>
      </c>
      <c r="C9" s="25" t="s">
        <v>441</v>
      </c>
      <c r="D9" s="265" t="s">
        <v>256</v>
      </c>
      <c r="E9" s="6"/>
      <c r="G9" s="288"/>
      <c r="H9" s="288"/>
      <c r="I9" s="26"/>
    </row>
    <row r="10" spans="1:9" s="261" customFormat="1">
      <c r="B10" s="6">
        <v>3</v>
      </c>
      <c r="C10" s="25" t="s">
        <v>124</v>
      </c>
      <c r="D10" s="265" t="s">
        <v>256</v>
      </c>
      <c r="E10" s="6"/>
      <c r="G10" s="288"/>
      <c r="H10" s="288"/>
      <c r="I10" s="26"/>
    </row>
    <row r="11" spans="1:9" s="261" customFormat="1">
      <c r="B11" s="6">
        <v>4</v>
      </c>
      <c r="C11" s="25" t="s">
        <v>129</v>
      </c>
      <c r="D11" s="216" t="s">
        <v>256</v>
      </c>
      <c r="E11" s="6" t="s">
        <v>128</v>
      </c>
      <c r="G11" s="288"/>
      <c r="H11" s="288"/>
      <c r="I11" s="26"/>
    </row>
    <row r="12" spans="1:9" s="261" customFormat="1">
      <c r="B12" s="6">
        <v>5</v>
      </c>
      <c r="C12" s="25" t="s">
        <v>265</v>
      </c>
      <c r="D12" s="216" t="s">
        <v>256</v>
      </c>
      <c r="E12" s="6" t="s">
        <v>446</v>
      </c>
      <c r="G12" s="288"/>
      <c r="H12" s="288"/>
      <c r="I12" s="26"/>
    </row>
    <row r="13" spans="1:9" s="261" customFormat="1">
      <c r="B13" s="6">
        <v>6</v>
      </c>
      <c r="C13" s="25" t="s">
        <v>260</v>
      </c>
      <c r="D13" s="6"/>
      <c r="E13" s="6"/>
      <c r="F13" s="79"/>
      <c r="G13" s="288"/>
      <c r="H13" s="288"/>
      <c r="I13" s="26"/>
    </row>
    <row r="14" spans="1:9" s="261" customFormat="1">
      <c r="B14" s="6">
        <v>7</v>
      </c>
      <c r="C14" s="25" t="s">
        <v>261</v>
      </c>
      <c r="D14" s="6"/>
      <c r="E14" s="6"/>
      <c r="F14" s="79"/>
      <c r="G14" s="288"/>
      <c r="H14" s="288"/>
      <c r="I14" s="26"/>
    </row>
    <row r="15" spans="1:9" s="261" customFormat="1">
      <c r="B15" s="6">
        <v>8</v>
      </c>
      <c r="C15" s="25" t="s">
        <v>259</v>
      </c>
      <c r="D15" s="6"/>
      <c r="E15" s="6"/>
      <c r="F15" s="79"/>
      <c r="G15" s="288"/>
      <c r="H15" s="288"/>
      <c r="I15" s="26"/>
    </row>
    <row r="16" spans="1:9" s="261" customFormat="1">
      <c r="B16" s="6">
        <v>9</v>
      </c>
      <c r="C16" s="25" t="s">
        <v>258</v>
      </c>
      <c r="D16" s="6"/>
      <c r="E16" s="6"/>
      <c r="F16" s="214"/>
      <c r="G16" s="288"/>
      <c r="H16" s="288"/>
      <c r="I16" s="26"/>
    </row>
    <row r="17" spans="1:9" s="261" customFormat="1">
      <c r="B17" s="6">
        <v>10</v>
      </c>
      <c r="C17" s="25" t="s">
        <v>282</v>
      </c>
      <c r="D17" s="6"/>
      <c r="E17" s="6"/>
      <c r="F17" s="230"/>
      <c r="G17" s="288"/>
      <c r="H17" s="288"/>
      <c r="I17" s="26"/>
    </row>
    <row r="18" spans="1:9" s="261" customFormat="1">
      <c r="B18" s="6">
        <v>11</v>
      </c>
      <c r="C18" s="25" t="s">
        <v>442</v>
      </c>
      <c r="D18" s="216"/>
      <c r="E18" s="6"/>
      <c r="G18" s="288"/>
      <c r="H18" s="288"/>
      <c r="I18" s="26"/>
    </row>
    <row r="19" spans="1:9" s="230" customFormat="1">
      <c r="B19" s="6">
        <v>12</v>
      </c>
      <c r="C19" s="25" t="s">
        <v>281</v>
      </c>
      <c r="D19" s="216" t="s">
        <v>256</v>
      </c>
      <c r="E19" s="6" t="s">
        <v>281</v>
      </c>
      <c r="G19" s="288"/>
      <c r="H19" s="288"/>
    </row>
    <row r="20" spans="1:9" s="263" customFormat="1">
      <c r="B20" s="6">
        <v>13</v>
      </c>
      <c r="C20" s="241" t="s">
        <v>472</v>
      </c>
      <c r="D20" s="216" t="s">
        <v>256</v>
      </c>
      <c r="E20" s="6" t="s">
        <v>472</v>
      </c>
      <c r="G20" s="288"/>
      <c r="H20" s="288"/>
    </row>
    <row r="21" spans="1:9" s="261" customFormat="1">
      <c r="B21" s="6">
        <v>14</v>
      </c>
      <c r="C21" s="25" t="s">
        <v>262</v>
      </c>
      <c r="D21" s="216" t="s">
        <v>256</v>
      </c>
      <c r="E21" s="6" t="s">
        <v>257</v>
      </c>
      <c r="G21" s="288"/>
      <c r="H21" s="288"/>
    </row>
    <row r="22" spans="1:9" s="261" customFormat="1">
      <c r="B22" s="6">
        <v>15</v>
      </c>
      <c r="C22" s="25" t="s">
        <v>266</v>
      </c>
      <c r="D22" s="216" t="s">
        <v>256</v>
      </c>
      <c r="E22" s="6" t="s">
        <v>454</v>
      </c>
      <c r="G22" s="288"/>
      <c r="H22" s="288"/>
    </row>
    <row r="23" spans="1:9" s="261" customFormat="1">
      <c r="B23" s="6">
        <v>16</v>
      </c>
      <c r="C23" s="25" t="s">
        <v>267</v>
      </c>
      <c r="D23" s="216" t="s">
        <v>256</v>
      </c>
      <c r="E23" s="6"/>
      <c r="G23" s="288"/>
      <c r="H23" s="288"/>
    </row>
    <row r="24" spans="1:9" s="261" customFormat="1">
      <c r="B24" s="6">
        <v>17</v>
      </c>
      <c r="C24" s="162" t="s">
        <v>465</v>
      </c>
      <c r="D24" s="216" t="s">
        <v>256</v>
      </c>
      <c r="E24" s="162" t="s">
        <v>466</v>
      </c>
      <c r="G24" s="288"/>
      <c r="H24" s="288"/>
    </row>
    <row r="25" spans="1:9" s="261" customFormat="1">
      <c r="B25" s="6">
        <v>18</v>
      </c>
      <c r="C25" s="162" t="s">
        <v>467</v>
      </c>
      <c r="D25" s="216" t="s">
        <v>256</v>
      </c>
      <c r="E25" s="162" t="s">
        <v>468</v>
      </c>
      <c r="G25" s="288"/>
      <c r="H25" s="288"/>
    </row>
    <row r="26" spans="1:9" s="261" customFormat="1">
      <c r="B26" s="6">
        <v>19</v>
      </c>
      <c r="C26" s="25" t="s">
        <v>470</v>
      </c>
      <c r="D26" s="216" t="s">
        <v>256</v>
      </c>
      <c r="E26" s="6" t="s">
        <v>471</v>
      </c>
      <c r="G26" s="288"/>
      <c r="H26" s="288"/>
    </row>
    <row r="27" spans="1:9" s="261" customFormat="1">
      <c r="B27" s="6">
        <v>20</v>
      </c>
      <c r="C27" s="25" t="s">
        <v>125</v>
      </c>
      <c r="D27" s="216"/>
      <c r="E27" s="6" t="s">
        <v>443</v>
      </c>
      <c r="G27" s="288"/>
      <c r="H27" s="288"/>
    </row>
    <row r="28" spans="1:9" s="261" customFormat="1">
      <c r="B28" s="6">
        <v>21</v>
      </c>
      <c r="C28" s="25" t="s">
        <v>283</v>
      </c>
      <c r="D28" s="216"/>
      <c r="E28" s="6" t="s">
        <v>444</v>
      </c>
      <c r="G28" s="288"/>
      <c r="H28" s="288"/>
    </row>
    <row r="29" spans="1:9" s="261" customFormat="1" ht="12.75" customHeight="1">
      <c r="A29" s="281"/>
      <c r="B29" s="6">
        <v>22</v>
      </c>
      <c r="C29" s="6" t="s">
        <v>455</v>
      </c>
      <c r="D29" s="216" t="s">
        <v>256</v>
      </c>
      <c r="E29" s="6" t="s">
        <v>523</v>
      </c>
      <c r="G29" s="288"/>
      <c r="H29" s="288"/>
    </row>
    <row r="30" spans="1:9" s="261" customFormat="1" ht="12.75" customHeight="1">
      <c r="A30" s="281"/>
      <c r="B30" s="6">
        <v>23</v>
      </c>
      <c r="C30" s="25" t="s">
        <v>456</v>
      </c>
      <c r="D30" s="216" t="s">
        <v>256</v>
      </c>
      <c r="E30" s="6" t="s">
        <v>524</v>
      </c>
      <c r="G30" s="288"/>
      <c r="H30" s="288"/>
    </row>
    <row r="31" spans="1:9" s="261" customFormat="1" ht="12.75" customHeight="1">
      <c r="A31" s="281"/>
      <c r="B31" s="6">
        <v>24</v>
      </c>
      <c r="C31" s="25" t="s">
        <v>530</v>
      </c>
      <c r="D31" s="216" t="s">
        <v>256</v>
      </c>
      <c r="E31" s="6" t="s">
        <v>531</v>
      </c>
      <c r="G31" s="288"/>
      <c r="H31" s="288"/>
    </row>
    <row r="32" spans="1:9" s="261" customFormat="1" ht="12.75" customHeight="1">
      <c r="A32" s="281"/>
      <c r="B32" s="6">
        <v>25</v>
      </c>
      <c r="C32" s="25" t="s">
        <v>522</v>
      </c>
      <c r="D32" s="216" t="s">
        <v>256</v>
      </c>
      <c r="E32" s="6" t="s">
        <v>533</v>
      </c>
      <c r="G32" s="288"/>
      <c r="H32" s="288"/>
    </row>
    <row r="33" spans="1:8" s="276" customFormat="1" ht="12.75" customHeight="1">
      <c r="A33" s="281"/>
      <c r="B33" s="6">
        <v>26</v>
      </c>
      <c r="C33" s="25" t="s">
        <v>445</v>
      </c>
      <c r="D33" s="216" t="s">
        <v>256</v>
      </c>
      <c r="E33" s="6" t="s">
        <v>534</v>
      </c>
      <c r="F33" s="261"/>
      <c r="G33" s="288"/>
      <c r="H33" s="288"/>
    </row>
    <row r="34" spans="1:8" s="283" customFormat="1" ht="12.75" customHeight="1">
      <c r="B34" s="6">
        <v>27</v>
      </c>
      <c r="C34" s="25" t="s">
        <v>549</v>
      </c>
      <c r="D34" s="216" t="s">
        <v>256</v>
      </c>
      <c r="E34" s="6"/>
      <c r="G34" s="288"/>
      <c r="H34" s="288"/>
    </row>
    <row r="35" spans="1:8" s="285" customFormat="1" ht="12.75" customHeight="1">
      <c r="B35" s="6">
        <v>28</v>
      </c>
      <c r="C35" s="25" t="s">
        <v>568</v>
      </c>
      <c r="D35" s="216"/>
      <c r="E35" s="6" t="s">
        <v>568</v>
      </c>
      <c r="G35" s="288"/>
      <c r="H35" s="288"/>
    </row>
    <row r="37" spans="1:8" s="7" customFormat="1">
      <c r="B37" s="7" t="s">
        <v>50</v>
      </c>
      <c r="D37" s="83"/>
    </row>
    <row r="39" spans="1:8">
      <c r="B39" s="4" t="s">
        <v>48</v>
      </c>
    </row>
    <row r="40" spans="1:8">
      <c r="B40" s="4" t="s">
        <v>49</v>
      </c>
    </row>
  </sheetData>
  <phoneticPr fontId="34" type="noConversion"/>
  <hyperlinks>
    <hyperlink ref="D21" r:id="rId1" xr:uid="{00000000-0004-0000-0200-000001000000}"/>
    <hyperlink ref="D8" r:id="rId2" location="/CBS/nl/dataset/70936ned/table?ts=1532343719053." xr:uid="{00000000-0004-0000-0200-000002000000}"/>
    <hyperlink ref="D10" r:id="rId3" xr:uid="{00000000-0004-0000-0200-000005000000}"/>
    <hyperlink ref="D11" r:id="rId4" xr:uid="{00000000-0004-0000-0200-000006000000}"/>
    <hyperlink ref="D24" r:id="rId5" xr:uid="{00000000-0004-0000-0200-00000B000000}"/>
    <hyperlink ref="D23" r:id="rId6" xr:uid="{00000000-0004-0000-0200-00000C000000}"/>
    <hyperlink ref="D19" r:id="rId7" xr:uid="{00000000-0004-0000-0200-00000D000000}"/>
    <hyperlink ref="D12" r:id="rId8" xr:uid="{00000000-0004-0000-0200-00000F000000}"/>
    <hyperlink ref="D22" r:id="rId9" xr:uid="{00000000-0004-0000-0200-000010000000}"/>
    <hyperlink ref="D25" r:id="rId10" xr:uid="{00000000-0004-0000-0200-000011000000}"/>
    <hyperlink ref="D9" r:id="rId11" location="/details/wettelijke-rente/dataset/2ed0b77d-72c5-47e8-8a3d-0c213048e11d/resource/b363a333-1ce1-4ba0-83b9-80bdf6f78fa0" xr:uid="{55FEE0FB-2C12-40A3-A670-E1AD99287068}"/>
    <hyperlink ref="D26" r:id="rId12" xr:uid="{32AC3C10-A88D-4B0A-BB5D-211A159B62C8}"/>
    <hyperlink ref="D20" r:id="rId13" location=":~:text=Met%20dit%20besluit%20stelt%20de,6%25%20meer%20dan%20in%202020." xr:uid="{2BD23BE3-7856-44EA-861C-BE45AA54A16E}"/>
    <hyperlink ref="D30" r:id="rId14" xr:uid="{71DD641E-04E7-4D3B-8AB3-5AD5223EC7CA}"/>
    <hyperlink ref="D29" r:id="rId15" xr:uid="{4F124B2D-1082-4EBC-A1DD-F3A7AD7120AB}"/>
    <hyperlink ref="D31" r:id="rId16" xr:uid="{405EFDC1-01C1-419E-9A6B-78890F9B1BE1}"/>
    <hyperlink ref="D32" r:id="rId17" xr:uid="{96A56619-20E2-42CF-91BB-FCE4B866ED74}"/>
    <hyperlink ref="D33" r:id="rId18" xr:uid="{36999AE4-FA22-49E5-8FA9-8CC1C9C26C0D}"/>
    <hyperlink ref="D34" r:id="rId19" xr:uid="{3C25E1D5-F368-4E5B-898B-C5D0D72AE62D}"/>
  </hyperlinks>
  <pageMargins left="0.75" right="0.75" top="1" bottom="1" header="0.5" footer="0.5"/>
  <pageSetup paperSize="9" scale="87" orientation="landscape" r:id="rId2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0" tint="-4.9989318521683403E-2"/>
    <pageSetUpPr autoPageBreaks="0"/>
  </sheetPr>
  <dimension ref="A1"/>
  <sheetViews>
    <sheetView showGridLines="0" topLeftCell="A2" zoomScale="90" zoomScaleNormal="90" workbookViewId="0">
      <selection activeCell="A2" sqref="A2"/>
    </sheetView>
  </sheetViews>
  <sheetFormatPr defaultRowHeight="12.75"/>
  <cols>
    <col min="1" max="16384" width="9.140625" style="2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FFFF"/>
    <pageSetUpPr autoPageBreaks="0"/>
  </sheetPr>
  <dimension ref="A2:N69"/>
  <sheetViews>
    <sheetView showGridLines="0" zoomScale="85" zoomScaleNormal="85" workbookViewId="0">
      <pane xSplit="6" ySplit="16" topLeftCell="G17" activePane="bottomRight" state="frozen"/>
      <selection pane="topRight"/>
      <selection pane="bottomLeft"/>
      <selection pane="bottomRight"/>
    </sheetView>
  </sheetViews>
  <sheetFormatPr defaultRowHeight="12.75"/>
  <cols>
    <col min="1" max="1" width="4" style="2" customWidth="1"/>
    <col min="2" max="2" width="79" style="2" customWidth="1"/>
    <col min="3" max="4" width="4.5703125" style="2" customWidth="1"/>
    <col min="5" max="5" width="4.140625" style="2" customWidth="1"/>
    <col min="6" max="6" width="13.7109375" style="2" customWidth="1"/>
    <col min="7" max="7" width="2.7109375" style="2" customWidth="1"/>
    <col min="8" max="8" width="13.7109375" style="2" customWidth="1"/>
    <col min="9" max="9" width="2.7109375" style="2" customWidth="1"/>
    <col min="10" max="10" width="16.42578125" style="2" bestFit="1" customWidth="1"/>
    <col min="11" max="11" width="15.85546875" style="2" bestFit="1" customWidth="1"/>
    <col min="12" max="12" width="2.7109375" style="2" customWidth="1"/>
    <col min="13" max="27" width="13.7109375" style="2" customWidth="1"/>
    <col min="28" max="16384" width="9.140625" style="2"/>
  </cols>
  <sheetData>
    <row r="2" spans="2:13" s="20" customFormat="1" ht="18">
      <c r="B2" s="20" t="s">
        <v>382</v>
      </c>
    </row>
    <row r="4" spans="2:13" s="79" customFormat="1" ht="12.75" customHeight="1">
      <c r="B4" s="294" t="s">
        <v>457</v>
      </c>
      <c r="C4" s="294"/>
      <c r="D4" s="294"/>
      <c r="E4" s="294"/>
    </row>
    <row r="5" spans="2:13" s="79" customFormat="1">
      <c r="B5" s="294"/>
      <c r="C5" s="294"/>
      <c r="D5" s="294"/>
      <c r="E5" s="294"/>
    </row>
    <row r="6" spans="2:13" s="79" customFormat="1">
      <c r="B6" s="294"/>
      <c r="C6" s="294"/>
      <c r="D6" s="294"/>
      <c r="E6" s="294"/>
    </row>
    <row r="7" spans="2:13" s="79" customFormat="1">
      <c r="B7" s="294"/>
      <c r="C7" s="294"/>
      <c r="D7" s="294"/>
      <c r="E7" s="294"/>
    </row>
    <row r="8" spans="2:13" s="79" customFormat="1">
      <c r="B8" s="294"/>
      <c r="C8" s="294"/>
      <c r="D8" s="294"/>
      <c r="E8" s="294"/>
    </row>
    <row r="9" spans="2:13" s="79" customFormat="1">
      <c r="B9" s="294"/>
      <c r="C9" s="294"/>
      <c r="D9" s="294"/>
      <c r="E9" s="294"/>
    </row>
    <row r="10" spans="2:13" s="79" customFormat="1">
      <c r="B10" s="294"/>
      <c r="C10" s="294"/>
      <c r="D10" s="294"/>
      <c r="E10" s="294"/>
    </row>
    <row r="11" spans="2:13" s="79" customFormat="1">
      <c r="B11" s="294"/>
      <c r="C11" s="294"/>
      <c r="D11" s="294"/>
      <c r="E11" s="294"/>
    </row>
    <row r="12" spans="2:13" s="79" customFormat="1">
      <c r="B12" s="294"/>
      <c r="C12" s="294"/>
      <c r="D12" s="294"/>
      <c r="E12" s="294"/>
    </row>
    <row r="13" spans="2:13" s="79" customFormat="1">
      <c r="B13" s="294"/>
      <c r="C13" s="294"/>
      <c r="D13" s="294"/>
      <c r="E13" s="294"/>
    </row>
    <row r="14" spans="2:13" s="79" customFormat="1"/>
    <row r="15" spans="2:13" s="7" customFormat="1">
      <c r="B15" s="7" t="s">
        <v>43</v>
      </c>
      <c r="F15" s="7" t="s">
        <v>26</v>
      </c>
      <c r="H15" s="7" t="s">
        <v>47</v>
      </c>
      <c r="J15" s="7" t="s">
        <v>73</v>
      </c>
      <c r="K15" s="7" t="s">
        <v>75</v>
      </c>
      <c r="M15" s="7" t="s">
        <v>45</v>
      </c>
    </row>
    <row r="18" spans="2:14" s="7" customFormat="1">
      <c r="B18" s="7" t="s">
        <v>95</v>
      </c>
    </row>
    <row r="20" spans="2:14" s="7" customFormat="1">
      <c r="B20" s="7" t="s">
        <v>96</v>
      </c>
    </row>
    <row r="21" spans="2:14">
      <c r="B21" s="1"/>
    </row>
    <row r="22" spans="2:14">
      <c r="B22" s="2" t="s">
        <v>383</v>
      </c>
      <c r="F22" s="2" t="s">
        <v>323</v>
      </c>
      <c r="H22" s="38">
        <f>SUM(J22:K22)</f>
        <v>673425255.24698997</v>
      </c>
      <c r="I22" s="34"/>
      <c r="J22" s="38">
        <f>'Tab 13_TI transporttaken'!U28</f>
        <v>323263129.42148095</v>
      </c>
      <c r="K22" s="38">
        <f>'Tab 13_TI transporttaken'!U29</f>
        <v>350162125.82550907</v>
      </c>
    </row>
    <row r="23" spans="2:14">
      <c r="B23" s="2" t="s">
        <v>371</v>
      </c>
      <c r="F23" s="227" t="s">
        <v>323</v>
      </c>
      <c r="H23" s="38">
        <f t="shared" ref="H23:H29" si="0">SUM(J23:K23)</f>
        <v>26227233.080839045</v>
      </c>
      <c r="I23" s="34"/>
      <c r="J23" s="38">
        <f>'Tab 7_Toevoeging kosten RCR'!L15</f>
        <v>26227233.080839045</v>
      </c>
      <c r="K23" s="38">
        <f>'Tab 7_Toevoeging kosten RCR'!M15</f>
        <v>0</v>
      </c>
    </row>
    <row r="24" spans="2:14">
      <c r="B24" s="2" t="s">
        <v>372</v>
      </c>
      <c r="F24" s="227" t="s">
        <v>323</v>
      </c>
      <c r="H24" s="38">
        <f t="shared" si="0"/>
        <v>6952843.755075641</v>
      </c>
      <c r="I24" s="34"/>
      <c r="J24" s="38">
        <f>'Tab 7_Toevoeging kosten RCR'!L16</f>
        <v>3668320.5285817767</v>
      </c>
      <c r="K24" s="38">
        <f>'Tab 7_Toevoeging kosten RCR'!M16</f>
        <v>3284523.2264938643</v>
      </c>
      <c r="M24" s="46"/>
    </row>
    <row r="25" spans="2:14">
      <c r="B25" s="2" t="s">
        <v>439</v>
      </c>
      <c r="F25" s="227" t="s">
        <v>323</v>
      </c>
      <c r="H25" s="38">
        <f t="shared" si="0"/>
        <v>127854487.58940148</v>
      </c>
      <c r="I25" s="34"/>
      <c r="J25" s="38">
        <f>'Tab 14_TI systeemtaken'!U34</f>
        <v>127854487.58940148</v>
      </c>
      <c r="K25" s="86"/>
      <c r="N25" s="46"/>
    </row>
    <row r="26" spans="2:14">
      <c r="B26" s="2" t="s">
        <v>384</v>
      </c>
      <c r="F26" s="227" t="s">
        <v>323</v>
      </c>
      <c r="H26" s="38">
        <f t="shared" si="0"/>
        <v>22022200.840555295</v>
      </c>
      <c r="I26" s="34"/>
      <c r="J26" s="30"/>
      <c r="K26" s="38">
        <f>'Tab 16_Prognoses IKTNN'!M33</f>
        <v>22022200.840555295</v>
      </c>
    </row>
    <row r="27" spans="2:14">
      <c r="B27" s="2" t="s">
        <v>385</v>
      </c>
      <c r="F27" s="227" t="s">
        <v>323</v>
      </c>
      <c r="H27" s="38">
        <f t="shared" si="0"/>
        <v>-10084759.663277689</v>
      </c>
      <c r="I27" s="34"/>
      <c r="J27" s="38">
        <f>'Tab 16_Prognoses IKTNN'!L35</f>
        <v>-10084759.663277689</v>
      </c>
      <c r="K27" s="86"/>
    </row>
    <row r="28" spans="2:14">
      <c r="H28" s="34"/>
      <c r="I28" s="34"/>
      <c r="J28" s="34"/>
      <c r="K28" s="46"/>
    </row>
    <row r="29" spans="2:14">
      <c r="B29" s="2" t="s">
        <v>394</v>
      </c>
      <c r="F29" s="184" t="s">
        <v>323</v>
      </c>
      <c r="H29" s="38">
        <f t="shared" si="0"/>
        <v>846397260.84958386</v>
      </c>
      <c r="I29" s="34"/>
      <c r="J29" s="38">
        <f>SUM(J22:J27)</f>
        <v>470928410.95702559</v>
      </c>
      <c r="K29" s="38">
        <f>SUM(K22:K27)</f>
        <v>375468849.89255822</v>
      </c>
      <c r="M29" s="258"/>
    </row>
    <row r="31" spans="2:14" s="7" customFormat="1">
      <c r="B31" s="7" t="s">
        <v>97</v>
      </c>
    </row>
    <row r="33" spans="1:13">
      <c r="B33" s="168" t="s">
        <v>99</v>
      </c>
      <c r="H33" s="34"/>
      <c r="I33" s="34"/>
      <c r="J33" s="34"/>
      <c r="K33" s="34"/>
    </row>
    <row r="34" spans="1:13">
      <c r="B34" s="241" t="s">
        <v>386</v>
      </c>
      <c r="F34" s="184" t="s">
        <v>323</v>
      </c>
      <c r="H34" s="38">
        <f>SUM(J34:K34)</f>
        <v>626489.32955721521</v>
      </c>
      <c r="I34" s="34"/>
      <c r="J34" s="38">
        <f>'Tab 10_Brondata'!U28</f>
        <v>572602.25188050536</v>
      </c>
      <c r="K34" s="38">
        <f>'Tab 10_Brondata'!U29</f>
        <v>53887.077676709901</v>
      </c>
    </row>
    <row r="35" spans="1:13" s="230" customFormat="1">
      <c r="B35" s="241" t="s">
        <v>412</v>
      </c>
      <c r="F35" s="230" t="s">
        <v>323</v>
      </c>
      <c r="H35" s="38">
        <f t="shared" ref="H35:H45" si="1">SUM(J35:K35)</f>
        <v>142708.74536704682</v>
      </c>
      <c r="I35" s="174"/>
      <c r="J35" s="38">
        <f>'Tab 10_Brondata'!U32</f>
        <v>107174.71942895197</v>
      </c>
      <c r="K35" s="38">
        <f>'Tab 10_Brondata'!U33</f>
        <v>35534.025938094856</v>
      </c>
    </row>
    <row r="36" spans="1:13" s="253" customFormat="1">
      <c r="A36" s="283"/>
      <c r="B36" s="241" t="s">
        <v>561</v>
      </c>
      <c r="F36" s="253" t="s">
        <v>323</v>
      </c>
      <c r="H36" s="38">
        <f t="shared" si="1"/>
        <v>-10880024.559214722</v>
      </c>
      <c r="I36" s="174"/>
      <c r="J36" s="38">
        <f>'Tab 10_Brondata'!U34</f>
        <v>-15889742.799676977</v>
      </c>
      <c r="K36" s="38">
        <f>'Tab 10_Brondata'!U35</f>
        <v>5009718.2404622538</v>
      </c>
    </row>
    <row r="37" spans="1:13">
      <c r="B37" s="241" t="s">
        <v>332</v>
      </c>
      <c r="F37" s="230" t="s">
        <v>323</v>
      </c>
      <c r="H37" s="38">
        <f>SUM(J37:K37)</f>
        <v>-1617021.9323999998</v>
      </c>
      <c r="I37" s="34"/>
      <c r="J37" s="38">
        <f>'Tab 17_Correcties OA&amp;M en IKTNN'!L33</f>
        <v>-193127.37119999999</v>
      </c>
      <c r="K37" s="38">
        <f>'Tab 17_Correcties OA&amp;M en IKTNN'!M33</f>
        <v>-1423894.5611999999</v>
      </c>
    </row>
    <row r="38" spans="1:13">
      <c r="B38" s="241" t="s">
        <v>387</v>
      </c>
      <c r="F38" s="230" t="s">
        <v>323</v>
      </c>
      <c r="H38" s="38">
        <f t="shared" si="1"/>
        <v>-32680931</v>
      </c>
      <c r="I38" s="34"/>
      <c r="J38" s="38">
        <f>'Tab 6_Correcties en prognoses'!U16</f>
        <v>-2269109</v>
      </c>
      <c r="K38" s="38">
        <f>'Tab 6_Correcties en prognoses'!U26</f>
        <v>-30411822</v>
      </c>
    </row>
    <row r="39" spans="1:13" s="193" customFormat="1">
      <c r="B39" s="241" t="s">
        <v>388</v>
      </c>
      <c r="F39" s="230" t="s">
        <v>323</v>
      </c>
      <c r="H39" s="38">
        <f t="shared" ref="H39:H40" si="2">SUM(J39:K39)</f>
        <v>19386517.174984064</v>
      </c>
      <c r="I39" s="174"/>
      <c r="J39" s="38">
        <f>'Tab 15_Nacalculatie IKE&amp;V'!U100</f>
        <v>22234466.191473253</v>
      </c>
      <c r="K39" s="38">
        <f>'Tab 15_Nacalculatie IKE&amp;V'!U124</f>
        <v>-2847949.0164891887</v>
      </c>
    </row>
    <row r="40" spans="1:13" s="193" customFormat="1">
      <c r="B40" s="193" t="s">
        <v>389</v>
      </c>
      <c r="F40" s="230" t="s">
        <v>323</v>
      </c>
      <c r="H40" s="38">
        <f t="shared" si="2"/>
        <v>-48422515.051655039</v>
      </c>
      <c r="I40" s="174"/>
      <c r="J40" s="38">
        <f>'Tab 15_Nacalculatie IKE&amp;V'!U155</f>
        <v>-48422515.051655039</v>
      </c>
      <c r="K40" s="30"/>
    </row>
    <row r="41" spans="1:13">
      <c r="B41" s="188" t="s">
        <v>390</v>
      </c>
      <c r="F41" s="230" t="s">
        <v>323</v>
      </c>
      <c r="H41" s="38">
        <f t="shared" si="1"/>
        <v>330037.44943548669</v>
      </c>
      <c r="I41" s="34"/>
      <c r="J41" s="38">
        <f>'Tab 18_Overige correcties'!U43</f>
        <v>-158394.6237162528</v>
      </c>
      <c r="K41" s="38">
        <f>'Tab 18_Overige correcties'!U50</f>
        <v>488432.07315173949</v>
      </c>
      <c r="M41" s="176" t="s">
        <v>263</v>
      </c>
    </row>
    <row r="42" spans="1:13" s="270" customFormat="1">
      <c r="B42" s="241" t="s">
        <v>507</v>
      </c>
      <c r="F42" s="270" t="s">
        <v>323</v>
      </c>
      <c r="H42" s="38">
        <f t="shared" si="1"/>
        <v>504748.67595771112</v>
      </c>
      <c r="I42" s="174"/>
      <c r="J42" s="30"/>
      <c r="K42" s="38">
        <f>'Tab 18_Overige correcties'!U52</f>
        <v>504748.67595771112</v>
      </c>
      <c r="M42" s="176"/>
    </row>
    <row r="43" spans="1:13" s="270" customFormat="1">
      <c r="B43" s="270" t="s">
        <v>503</v>
      </c>
      <c r="F43" s="270" t="s">
        <v>323</v>
      </c>
      <c r="H43" s="38">
        <f t="shared" si="1"/>
        <v>82892.219717519998</v>
      </c>
      <c r="I43" s="174"/>
      <c r="J43" s="38">
        <f>'Tab 18_Overige correcties'!U45</f>
        <v>82892.219717519998</v>
      </c>
      <c r="K43" s="30"/>
      <c r="M43" s="176"/>
    </row>
    <row r="44" spans="1:13" s="237" customFormat="1">
      <c r="B44" s="237" t="s">
        <v>293</v>
      </c>
      <c r="F44" s="237" t="s">
        <v>323</v>
      </c>
      <c r="H44" s="38">
        <f>SUM(J44:K44)</f>
        <v>851205.079705877</v>
      </c>
      <c r="I44" s="174"/>
      <c r="J44" s="30"/>
      <c r="K44" s="38">
        <f>'Tab 10_Brondata'!U23</f>
        <v>851205.079705877</v>
      </c>
      <c r="M44" s="176" t="s">
        <v>284</v>
      </c>
    </row>
    <row r="45" spans="1:13" s="230" customFormat="1">
      <c r="B45" s="188" t="s">
        <v>349</v>
      </c>
      <c r="F45" s="230" t="s">
        <v>323</v>
      </c>
      <c r="H45" s="38">
        <f t="shared" si="1"/>
        <v>491223.81959999999</v>
      </c>
      <c r="I45" s="174"/>
      <c r="J45" s="30"/>
      <c r="K45" s="38">
        <f>'Tab 18_Overige correcties'!U54</f>
        <v>491223.81959999999</v>
      </c>
      <c r="M45" s="176"/>
    </row>
    <row r="46" spans="1:13" s="230" customFormat="1">
      <c r="H46" s="174"/>
      <c r="I46" s="174"/>
      <c r="J46" s="174"/>
      <c r="K46" s="174"/>
    </row>
    <row r="47" spans="1:13">
      <c r="B47" s="1" t="s">
        <v>100</v>
      </c>
      <c r="F47" s="230"/>
      <c r="H47" s="34"/>
      <c r="I47" s="34"/>
      <c r="J47" s="34"/>
      <c r="K47" s="34"/>
    </row>
    <row r="48" spans="1:13">
      <c r="B48" s="2" t="s">
        <v>335</v>
      </c>
      <c r="F48" s="230" t="s">
        <v>323</v>
      </c>
      <c r="H48" s="38">
        <f>SUM(J48:K48)</f>
        <v>5310131.0421808045</v>
      </c>
      <c r="I48" s="34"/>
      <c r="J48" s="30"/>
      <c r="K48" s="38">
        <f>'Tab 17_Correcties OA&amp;M en IKTNN'!M37</f>
        <v>5310131.0421808045</v>
      </c>
    </row>
    <row r="49" spans="1:13">
      <c r="B49" s="23" t="s">
        <v>482</v>
      </c>
      <c r="F49" s="230" t="s">
        <v>323</v>
      </c>
      <c r="H49" s="38">
        <f t="shared" ref="H49:H50" si="3">SUM(J49:K49)</f>
        <v>-5380988.9825842734</v>
      </c>
      <c r="I49" s="34"/>
      <c r="J49" s="38">
        <f>'Tab 17_Correcties OA&amp;M en IKTNN'!L41</f>
        <v>-5380988.9825842734</v>
      </c>
      <c r="K49" s="30"/>
    </row>
    <row r="50" spans="1:13">
      <c r="B50" s="2" t="s">
        <v>391</v>
      </c>
      <c r="F50" s="230" t="s">
        <v>323</v>
      </c>
      <c r="H50" s="38">
        <f t="shared" si="3"/>
        <v>30179711.256727964</v>
      </c>
      <c r="I50" s="34"/>
      <c r="J50" s="38">
        <f>'Tab 19_Omzetcorrectie'!H41</f>
        <v>2999730.086223139</v>
      </c>
      <c r="K50" s="38">
        <f>'Tab 19_Omzetcorrectie'!H46</f>
        <v>27179981.170504823</v>
      </c>
    </row>
    <row r="51" spans="1:13">
      <c r="A51" s="283"/>
      <c r="B51" s="2" t="s">
        <v>539</v>
      </c>
      <c r="F51" s="230" t="s">
        <v>323</v>
      </c>
      <c r="H51" s="30"/>
      <c r="I51" s="34"/>
      <c r="J51" s="286">
        <f>'Tab 10_Brondata'!U77</f>
        <v>0</v>
      </c>
      <c r="K51" s="30"/>
      <c r="M51" s="283" t="s">
        <v>570</v>
      </c>
    </row>
    <row r="52" spans="1:13" s="272" customFormat="1">
      <c r="A52" s="281"/>
      <c r="B52" s="272" t="s">
        <v>508</v>
      </c>
      <c r="F52" s="272" t="s">
        <v>323</v>
      </c>
      <c r="H52" s="38">
        <f>SUM(J52:K52)</f>
        <v>44169322.236171864</v>
      </c>
      <c r="I52" s="174"/>
      <c r="J52" s="38">
        <f>'Tab 18_Overige correcties'!U47</f>
        <v>44169322.236171864</v>
      </c>
      <c r="K52" s="30"/>
    </row>
    <row r="53" spans="1:13">
      <c r="A53" s="281"/>
      <c r="F53" s="230"/>
      <c r="H53" s="46"/>
      <c r="I53" s="34"/>
      <c r="J53" s="34"/>
      <c r="K53" s="34"/>
    </row>
    <row r="54" spans="1:13">
      <c r="A54" s="281"/>
      <c r="B54" s="2" t="s">
        <v>392</v>
      </c>
      <c r="F54" s="230" t="s">
        <v>323</v>
      </c>
      <c r="H54" s="38">
        <f>SUM(J54:K54)</f>
        <v>3093505.503551513</v>
      </c>
      <c r="I54" s="28"/>
      <c r="J54" s="38">
        <f>SUM(J34:J52)</f>
        <v>-2147690.1239373088</v>
      </c>
      <c r="K54" s="38">
        <f>SUM(K34:K52)</f>
        <v>5241195.6274888217</v>
      </c>
    </row>
    <row r="56" spans="1:13" s="7" customFormat="1">
      <c r="B56" s="7" t="s">
        <v>98</v>
      </c>
    </row>
    <row r="58" spans="1:13">
      <c r="B58" s="2" t="s">
        <v>393</v>
      </c>
      <c r="F58" s="184" t="s">
        <v>323</v>
      </c>
      <c r="H58" s="38">
        <f>SUM(J58:K58)</f>
        <v>849490766.35313535</v>
      </c>
      <c r="I58" s="46"/>
      <c r="J58" s="38">
        <f>J29+J54</f>
        <v>468780720.83308828</v>
      </c>
      <c r="K58" s="38">
        <f>K29+K54</f>
        <v>380710045.52004707</v>
      </c>
    </row>
    <row r="59" spans="1:13" s="225" customFormat="1"/>
    <row r="60" spans="1:13" s="171" customFormat="1">
      <c r="B60" s="171" t="s">
        <v>559</v>
      </c>
    </row>
    <row r="61" spans="1:13">
      <c r="B61" s="168"/>
    </row>
    <row r="62" spans="1:13">
      <c r="B62" s="241" t="s">
        <v>555</v>
      </c>
      <c r="F62" s="2" t="s">
        <v>323</v>
      </c>
      <c r="H62" s="135">
        <f>'Tab 10_Brondata'!U97</f>
        <v>1372717.680010404</v>
      </c>
      <c r="J62" s="30"/>
      <c r="K62" s="30"/>
    </row>
    <row r="63" spans="1:13" ht="12" customHeight="1">
      <c r="B63" s="241" t="s">
        <v>562</v>
      </c>
      <c r="F63" s="2" t="s">
        <v>323</v>
      </c>
      <c r="H63" s="135">
        <f>'Tab 10_Brondata'!U98</f>
        <v>-10690533.487846825</v>
      </c>
      <c r="I63" s="283"/>
      <c r="J63" s="30"/>
      <c r="K63" s="30"/>
    </row>
    <row r="64" spans="1:13">
      <c r="B64" s="2" t="s">
        <v>547</v>
      </c>
      <c r="F64" s="2" t="s">
        <v>323</v>
      </c>
      <c r="H64" s="135">
        <f>'Tab 10_Brondata'!U99</f>
        <v>734758981.72247994</v>
      </c>
      <c r="J64" s="30"/>
      <c r="K64" s="30"/>
    </row>
    <row r="65" spans="2:13">
      <c r="B65" s="240" t="s">
        <v>551</v>
      </c>
      <c r="F65" s="283" t="s">
        <v>323</v>
      </c>
      <c r="H65" s="135">
        <f>'Tab 20_ Inzet congestie-ontv.'!J29</f>
        <v>116151284.63666667</v>
      </c>
      <c r="J65" s="30"/>
      <c r="K65" s="30"/>
      <c r="M65" s="2" t="s">
        <v>552</v>
      </c>
    </row>
    <row r="66" spans="2:13">
      <c r="B66" s="2" t="s">
        <v>553</v>
      </c>
      <c r="F66" s="283" t="s">
        <v>323</v>
      </c>
      <c r="H66" s="45">
        <f>H35+H36-H62-H63</f>
        <v>-1419500.0060112551</v>
      </c>
      <c r="J66" s="30"/>
      <c r="K66" s="30"/>
    </row>
    <row r="67" spans="2:13" s="283" customFormat="1"/>
    <row r="68" spans="2:13">
      <c r="B68" s="2" t="s">
        <v>558</v>
      </c>
      <c r="F68" s="283" t="s">
        <v>323</v>
      </c>
      <c r="H68" s="45">
        <f>H65+H66</f>
        <v>114731784.63065541</v>
      </c>
      <c r="J68" s="30"/>
      <c r="K68" s="30"/>
      <c r="M68" s="2" t="s">
        <v>560</v>
      </c>
    </row>
    <row r="69" spans="2:13">
      <c r="H69" s="46"/>
    </row>
  </sheetData>
  <mergeCells count="1">
    <mergeCell ref="B4:E13"/>
  </mergeCells>
  <phoneticPr fontId="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CCFFFF"/>
    <pageSetUpPr autoPageBreaks="0"/>
  </sheetPr>
  <dimension ref="A1:Z38"/>
  <sheetViews>
    <sheetView showGridLines="0" zoomScale="85" zoomScaleNormal="85" workbookViewId="0">
      <pane xSplit="6" ySplit="16" topLeftCell="G17" activePane="bottomRight" state="frozen"/>
      <selection pane="topRight"/>
      <selection pane="bottomLeft"/>
      <selection pane="bottomRight"/>
    </sheetView>
  </sheetViews>
  <sheetFormatPr defaultRowHeight="12.75"/>
  <cols>
    <col min="1" max="1" width="4" style="2" customWidth="1"/>
    <col min="2" max="2" width="46.855468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8.7109375" style="2" customWidth="1"/>
    <col min="17" max="19" width="2.7109375" style="2" customWidth="1"/>
    <col min="20" max="34" width="13.7109375" style="2" customWidth="1"/>
    <col min="35" max="16384" width="9.140625" style="2"/>
  </cols>
  <sheetData>
    <row r="1" spans="1:20">
      <c r="A1" s="8"/>
    </row>
    <row r="2" spans="1:20" s="20" customFormat="1" ht="18">
      <c r="B2" s="20" t="s">
        <v>413</v>
      </c>
    </row>
    <row r="4" spans="1:20" s="79" customFormat="1" ht="12.75" customHeight="1">
      <c r="B4" s="295" t="s">
        <v>515</v>
      </c>
      <c r="C4" s="295"/>
      <c r="D4" s="295"/>
      <c r="E4" s="295"/>
    </row>
    <row r="5" spans="1:20" s="79" customFormat="1" ht="12.75" customHeight="1">
      <c r="B5" s="295"/>
      <c r="C5" s="295"/>
      <c r="D5" s="295"/>
      <c r="E5" s="295"/>
    </row>
    <row r="6" spans="1:20" s="79" customFormat="1" ht="12.75" customHeight="1">
      <c r="B6" s="295"/>
      <c r="C6" s="295"/>
      <c r="D6" s="295"/>
      <c r="E6" s="295"/>
    </row>
    <row r="7" spans="1:20" s="79" customFormat="1" ht="12.75" customHeight="1">
      <c r="B7" s="295"/>
      <c r="C7" s="295"/>
      <c r="D7" s="295"/>
      <c r="E7" s="295"/>
    </row>
    <row r="8" spans="1:20" s="79" customFormat="1" ht="12.75" customHeight="1">
      <c r="B8" s="295"/>
      <c r="C8" s="295"/>
      <c r="D8" s="295"/>
      <c r="E8" s="295"/>
    </row>
    <row r="9" spans="1:20" s="79" customFormat="1" ht="12.75" customHeight="1">
      <c r="B9" s="295"/>
      <c r="C9" s="295"/>
      <c r="D9" s="295"/>
      <c r="E9" s="295"/>
    </row>
    <row r="10" spans="1:20" s="79" customFormat="1" ht="12.75" customHeight="1">
      <c r="B10" s="295"/>
      <c r="C10" s="295"/>
      <c r="D10" s="295"/>
      <c r="E10" s="295"/>
    </row>
    <row r="11" spans="1:20">
      <c r="B11" s="23"/>
      <c r="C11" s="3"/>
      <c r="D11" s="3"/>
      <c r="H11" s="21"/>
    </row>
    <row r="12" spans="1:20">
      <c r="B12" s="78" t="s">
        <v>172</v>
      </c>
      <c r="C12" s="3"/>
      <c r="D12" s="3"/>
      <c r="H12" s="21"/>
    </row>
    <row r="13" spans="1:20" s="79" customFormat="1">
      <c r="A13" s="178"/>
      <c r="B13" s="80" t="s">
        <v>167</v>
      </c>
      <c r="C13" s="3"/>
      <c r="D13" s="3"/>
      <c r="F13" s="92" t="str">
        <f>'Tab 21_Controle tarieven'!H83</f>
        <v>ja</v>
      </c>
    </row>
    <row r="15" spans="1:20" s="7" customFormat="1" ht="38.25">
      <c r="B15" s="7" t="s">
        <v>43</v>
      </c>
      <c r="F15" s="7" t="s">
        <v>26</v>
      </c>
      <c r="H15" s="7" t="s">
        <v>27</v>
      </c>
      <c r="J15" s="7" t="s">
        <v>47</v>
      </c>
      <c r="L15" s="31" t="s">
        <v>69</v>
      </c>
      <c r="M15" s="31" t="s">
        <v>131</v>
      </c>
      <c r="N15" s="31" t="s">
        <v>93</v>
      </c>
      <c r="O15" s="31" t="s">
        <v>94</v>
      </c>
      <c r="P15" s="31" t="s">
        <v>117</v>
      </c>
      <c r="T15" s="7" t="s">
        <v>45</v>
      </c>
    </row>
    <row r="18" spans="1:20" s="7" customFormat="1">
      <c r="B18" s="7" t="s">
        <v>414</v>
      </c>
    </row>
    <row r="20" spans="1:20">
      <c r="B20" s="1" t="s">
        <v>73</v>
      </c>
    </row>
    <row r="21" spans="1:20">
      <c r="A21" s="178"/>
      <c r="B21" s="23" t="s">
        <v>415</v>
      </c>
      <c r="F21" s="2" t="s">
        <v>323</v>
      </c>
      <c r="L21" s="190">
        <f>'Tab 21_Controle tarieven'!L85</f>
        <v>12478.96</v>
      </c>
      <c r="M21" s="190">
        <f>'Tab 21_Controle tarieven'!M85</f>
        <v>15.21</v>
      </c>
      <c r="N21" s="190">
        <f>'Tab 21_Controle tarieven'!N85</f>
        <v>1.65</v>
      </c>
      <c r="O21" s="190">
        <f>'Tab 21_Controle tarieven'!O85</f>
        <v>7.61</v>
      </c>
      <c r="P21" s="190">
        <f>'Tab 21_Controle tarieven'!P85</f>
        <v>0.56999999999999995</v>
      </c>
      <c r="T21" s="189"/>
    </row>
    <row r="22" spans="1:20">
      <c r="A22" s="178"/>
      <c r="B22" s="23" t="s">
        <v>363</v>
      </c>
      <c r="F22" s="2" t="s">
        <v>74</v>
      </c>
      <c r="L22" s="191">
        <f>'Tab 10_Brondata'!H82</f>
        <v>21.83</v>
      </c>
      <c r="M22" s="192">
        <f>'Tab 10_Brondata'!H83</f>
        <v>1178290</v>
      </c>
      <c r="N22" s="192">
        <f>'Tab 10_Brondata'!H84</f>
        <v>10813574</v>
      </c>
      <c r="O22" s="192">
        <f>'Tab 10_Brondata'!H85</f>
        <v>163453</v>
      </c>
      <c r="P22" s="192">
        <f>'Tab 10_Brondata'!H86</f>
        <v>2393696</v>
      </c>
      <c r="T22" s="189"/>
    </row>
    <row r="23" spans="1:20">
      <c r="A23" s="178"/>
      <c r="B23" s="23"/>
      <c r="L23" s="188"/>
      <c r="M23" s="188"/>
      <c r="N23" s="188"/>
      <c r="O23" s="188"/>
      <c r="P23" s="188"/>
    </row>
    <row r="24" spans="1:20">
      <c r="A24" s="178"/>
      <c r="B24" s="1" t="s">
        <v>75</v>
      </c>
      <c r="L24" s="188"/>
      <c r="M24" s="188"/>
      <c r="N24" s="188"/>
      <c r="O24" s="188"/>
      <c r="P24" s="188"/>
    </row>
    <row r="25" spans="1:20">
      <c r="A25" s="178"/>
      <c r="B25" s="23" t="s">
        <v>415</v>
      </c>
      <c r="F25" s="2" t="s">
        <v>323</v>
      </c>
      <c r="L25" s="190">
        <f>'Tab 21_Controle tarieven'!L86</f>
        <v>2760</v>
      </c>
      <c r="M25" s="190">
        <f>'Tab 21_Controle tarieven'!M86</f>
        <v>27.24</v>
      </c>
      <c r="N25" s="190">
        <f>'Tab 21_Controle tarieven'!N86</f>
        <v>2.79</v>
      </c>
      <c r="O25" s="190">
        <f>'Tab 21_Controle tarieven'!O86</f>
        <v>13.62</v>
      </c>
      <c r="P25" s="190">
        <f>'Tab 21_Controle tarieven'!P86</f>
        <v>0.97</v>
      </c>
      <c r="T25" s="189"/>
    </row>
    <row r="26" spans="1:20">
      <c r="A26" s="178"/>
      <c r="B26" s="23" t="s">
        <v>363</v>
      </c>
      <c r="F26" s="2" t="s">
        <v>74</v>
      </c>
      <c r="L26" s="191">
        <f>'Tab 10_Brondata'!H89</f>
        <v>93.92</v>
      </c>
      <c r="M26" s="192">
        <f>'Tab 10_Brondata'!H90</f>
        <v>14701067</v>
      </c>
      <c r="N26" s="192">
        <f>'Tab 10_Brondata'!H91</f>
        <v>144038838</v>
      </c>
      <c r="O26" s="192">
        <f>'Tab 10_Brondata'!H92</f>
        <v>355537</v>
      </c>
      <c r="P26" s="192">
        <f>'Tab 10_Brondata'!H93</f>
        <v>2930912</v>
      </c>
      <c r="T26" s="5"/>
    </row>
    <row r="32" spans="1:20">
      <c r="B32" s="5"/>
    </row>
    <row r="33" spans="13:26">
      <c r="U33" s="183"/>
      <c r="V33" s="183"/>
      <c r="W33" s="183"/>
      <c r="X33" s="183"/>
      <c r="Y33" s="183"/>
      <c r="Z33" s="183"/>
    </row>
    <row r="34" spans="13:26">
      <c r="M34" s="174"/>
      <c r="N34" s="174"/>
      <c r="O34" s="174"/>
      <c r="P34" s="174"/>
      <c r="U34" s="183"/>
      <c r="V34" s="174"/>
      <c r="W34" s="183"/>
      <c r="X34" s="183"/>
      <c r="Y34" s="183"/>
      <c r="Z34" s="174"/>
    </row>
    <row r="35" spans="13:26">
      <c r="U35" s="183"/>
      <c r="V35" s="174"/>
      <c r="W35" s="183"/>
      <c r="X35" s="183"/>
      <c r="Y35" s="183"/>
      <c r="Z35" s="174"/>
    </row>
    <row r="36" spans="13:26">
      <c r="U36" s="183"/>
      <c r="V36" s="174"/>
      <c r="W36" s="183"/>
      <c r="X36" s="183"/>
      <c r="Y36" s="183"/>
      <c r="Z36" s="174"/>
    </row>
    <row r="37" spans="13:26">
      <c r="U37" s="183"/>
      <c r="V37" s="174"/>
      <c r="W37" s="183"/>
      <c r="X37" s="183"/>
      <c r="Y37" s="183"/>
      <c r="Z37" s="174"/>
    </row>
    <row r="38" spans="13:26">
      <c r="M38" s="174"/>
      <c r="N38" s="174"/>
      <c r="O38" s="174"/>
      <c r="P38" s="174"/>
    </row>
  </sheetData>
  <mergeCells count="1">
    <mergeCell ref="B4:E10"/>
  </mergeCells>
  <pageMargins left="0.7" right="0.7" top="0.75" bottom="0.75" header="0.3" footer="0.3"/>
  <pageSetup paperSize="9" scale="45" orientation="portrait" r:id="rId1"/>
  <colBreaks count="1" manualBreakCount="1">
    <brk id="7" max="2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0" tint="-4.9989318521683403E-2"/>
    <pageSetUpPr autoPageBreaks="0"/>
  </sheetPr>
  <dimension ref="A1"/>
  <sheetViews>
    <sheetView showGridLines="0" topLeftCell="A2" zoomScale="90" zoomScaleNormal="90" workbookViewId="0">
      <selection activeCell="A2" sqref="A2"/>
    </sheetView>
  </sheetViews>
  <sheetFormatPr defaultRowHeight="12.75"/>
  <cols>
    <col min="1" max="16384" width="9.140625" style="22"/>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rgb="FFCCFFCC"/>
    <pageSetUpPr autoPageBreaks="0"/>
  </sheetPr>
  <dimension ref="A1:W38"/>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cols>
    <col min="1" max="1" width="4" style="2" customWidth="1"/>
    <col min="2" max="2" width="77.28515625" style="2" customWidth="1"/>
    <col min="3" max="5" width="4.5703125" style="2" customWidth="1"/>
    <col min="6" max="6" width="11.855468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57" customWidth="1"/>
    <col min="13" max="18" width="12.5703125" style="2" customWidth="1"/>
    <col min="19" max="19" width="12.5703125" style="185" customWidth="1"/>
    <col min="20" max="20" width="12.5703125" style="226" customWidth="1"/>
    <col min="21" max="21" width="12.5703125" style="243" customWidth="1"/>
    <col min="22" max="22" width="2.7109375" style="2" customWidth="1"/>
    <col min="23" max="23" width="13.7109375" style="2" customWidth="1"/>
    <col min="24" max="24" width="2.7109375" style="2" customWidth="1"/>
    <col min="25" max="39" width="13.7109375" style="2" customWidth="1"/>
    <col min="40" max="16384" width="9.140625" style="2"/>
  </cols>
  <sheetData>
    <row r="1" spans="1:23">
      <c r="A1" s="178"/>
    </row>
    <row r="2" spans="1:23" s="20" customFormat="1" ht="18">
      <c r="B2" s="20" t="s">
        <v>154</v>
      </c>
    </row>
    <row r="3" spans="1:23">
      <c r="A3" s="178"/>
    </row>
    <row r="4" spans="1:23" s="79" customFormat="1">
      <c r="A4" s="178"/>
      <c r="B4" s="295" t="s">
        <v>326</v>
      </c>
      <c r="C4" s="295"/>
      <c r="D4" s="295"/>
      <c r="E4" s="295"/>
      <c r="L4" s="257"/>
      <c r="S4" s="185"/>
      <c r="T4" s="226"/>
      <c r="U4" s="243"/>
    </row>
    <row r="5" spans="1:23" s="79" customFormat="1">
      <c r="A5" s="178"/>
      <c r="B5" s="295"/>
      <c r="C5" s="295"/>
      <c r="D5" s="295"/>
      <c r="E5" s="295"/>
      <c r="L5" s="257"/>
      <c r="S5" s="185"/>
      <c r="T5" s="226"/>
      <c r="U5" s="243"/>
    </row>
    <row r="6" spans="1:23" s="79" customFormat="1">
      <c r="A6" s="178"/>
      <c r="B6" s="295"/>
      <c r="C6" s="295"/>
      <c r="D6" s="295"/>
      <c r="E6" s="295"/>
      <c r="L6" s="257"/>
      <c r="S6" s="185"/>
      <c r="T6" s="226"/>
      <c r="U6" s="243"/>
    </row>
    <row r="7" spans="1:23" s="79" customFormat="1">
      <c r="A7" s="178"/>
      <c r="B7" s="295"/>
      <c r="C7" s="295"/>
      <c r="D7" s="295"/>
      <c r="E7" s="295"/>
      <c r="L7" s="257"/>
      <c r="S7" s="185"/>
      <c r="T7" s="226"/>
      <c r="U7" s="243"/>
    </row>
    <row r="8" spans="1:23">
      <c r="A8" s="178"/>
    </row>
    <row r="9" spans="1:23" s="7" customFormat="1">
      <c r="A9" s="171"/>
      <c r="B9" s="7" t="s">
        <v>43</v>
      </c>
      <c r="F9" s="7" t="s">
        <v>26</v>
      </c>
      <c r="H9" s="7" t="s">
        <v>27</v>
      </c>
      <c r="J9" s="7" t="s">
        <v>47</v>
      </c>
      <c r="L9" s="72">
        <v>2013</v>
      </c>
      <c r="M9" s="72">
        <v>2014</v>
      </c>
      <c r="N9" s="72">
        <v>2015</v>
      </c>
      <c r="O9" s="72">
        <v>2016</v>
      </c>
      <c r="P9" s="72">
        <v>2017</v>
      </c>
      <c r="Q9" s="72">
        <v>2018</v>
      </c>
      <c r="R9" s="72">
        <v>2019</v>
      </c>
      <c r="S9" s="72">
        <v>2020</v>
      </c>
      <c r="T9" s="72">
        <v>2021</v>
      </c>
      <c r="U9" s="72">
        <v>2022</v>
      </c>
      <c r="W9" s="7" t="s">
        <v>45</v>
      </c>
    </row>
    <row r="10" spans="1:23">
      <c r="A10" s="178"/>
    </row>
    <row r="11" spans="1:23">
      <c r="A11" s="178"/>
    </row>
    <row r="12" spans="1:23" s="7" customFormat="1">
      <c r="A12" s="171"/>
      <c r="B12" s="7" t="s">
        <v>133</v>
      </c>
      <c r="L12" s="171"/>
      <c r="S12" s="171"/>
      <c r="T12" s="171"/>
      <c r="U12" s="171"/>
    </row>
    <row r="13" spans="1:23">
      <c r="A13" s="178"/>
    </row>
    <row r="14" spans="1:23" s="79" customFormat="1">
      <c r="A14" s="178"/>
      <c r="B14" s="168" t="s">
        <v>73</v>
      </c>
      <c r="C14" s="169"/>
      <c r="D14" s="169"/>
      <c r="E14" s="169"/>
      <c r="F14" s="169"/>
      <c r="G14" s="169"/>
      <c r="H14" s="169"/>
      <c r="I14" s="169"/>
      <c r="J14" s="169"/>
      <c r="K14" s="169"/>
      <c r="L14" s="257"/>
      <c r="M14" s="169"/>
      <c r="N14" s="169"/>
      <c r="O14" s="169"/>
      <c r="P14" s="169"/>
      <c r="Q14" s="169"/>
      <c r="R14" s="169"/>
      <c r="S14" s="185"/>
      <c r="T14" s="226"/>
      <c r="U14" s="243"/>
      <c r="W14" s="5"/>
    </row>
    <row r="15" spans="1:23">
      <c r="A15" s="178"/>
      <c r="B15" s="170" t="s">
        <v>327</v>
      </c>
      <c r="C15" s="169"/>
      <c r="D15" s="169"/>
      <c r="E15" s="169"/>
      <c r="F15" s="169" t="s">
        <v>269</v>
      </c>
      <c r="G15" s="169"/>
      <c r="H15" s="169"/>
      <c r="I15" s="169"/>
      <c r="J15" s="173"/>
      <c r="K15" s="169"/>
      <c r="M15" s="178"/>
      <c r="N15" s="178"/>
      <c r="O15" s="179"/>
      <c r="P15" s="217"/>
      <c r="Q15" s="226"/>
      <c r="S15" s="279">
        <v>-185628</v>
      </c>
      <c r="T15" s="178"/>
      <c r="U15" s="178"/>
      <c r="W15" s="141" t="s">
        <v>459</v>
      </c>
    </row>
    <row r="16" spans="1:23">
      <c r="A16" s="178"/>
      <c r="B16" s="169" t="s">
        <v>328</v>
      </c>
      <c r="C16" s="169"/>
      <c r="D16" s="169"/>
      <c r="E16" s="169"/>
      <c r="F16" s="169" t="s">
        <v>269</v>
      </c>
      <c r="G16" s="169"/>
      <c r="H16" s="169"/>
      <c r="I16" s="169"/>
      <c r="J16" s="173"/>
      <c r="K16" s="169"/>
      <c r="M16" s="178"/>
      <c r="N16" s="178"/>
      <c r="O16" s="178"/>
      <c r="P16" s="178"/>
      <c r="Q16" s="178"/>
      <c r="R16" s="217"/>
      <c r="S16" s="226"/>
      <c r="U16" s="279">
        <v>-2269109</v>
      </c>
    </row>
    <row r="17" spans="1:23" s="8" customFormat="1">
      <c r="A17" s="178"/>
      <c r="B17" s="172"/>
      <c r="C17" s="172"/>
      <c r="D17" s="172"/>
      <c r="E17" s="172"/>
      <c r="F17" s="172"/>
      <c r="G17" s="172"/>
      <c r="H17" s="172"/>
      <c r="I17" s="172"/>
      <c r="J17" s="173"/>
      <c r="K17" s="172"/>
      <c r="L17" s="178"/>
      <c r="M17" s="178"/>
      <c r="N17" s="178"/>
      <c r="O17" s="178"/>
      <c r="P17" s="178"/>
      <c r="Q17" s="178"/>
      <c r="R17" s="179"/>
      <c r="S17" s="179"/>
      <c r="T17" s="179"/>
      <c r="U17" s="179"/>
    </row>
    <row r="18" spans="1:23">
      <c r="A18" s="178"/>
      <c r="B18" s="169" t="s">
        <v>101</v>
      </c>
      <c r="C18" s="169"/>
      <c r="D18" s="169"/>
      <c r="E18" s="169"/>
      <c r="F18" s="169" t="s">
        <v>269</v>
      </c>
      <c r="G18" s="169"/>
      <c r="H18" s="169"/>
      <c r="I18" s="169"/>
      <c r="J18" s="173"/>
      <c r="K18" s="169"/>
      <c r="L18" s="279"/>
      <c r="M18" s="279"/>
      <c r="N18" s="279"/>
      <c r="O18" s="279"/>
      <c r="P18" s="279">
        <v>-8779</v>
      </c>
      <c r="Q18" s="279">
        <v>-100156</v>
      </c>
      <c r="R18" s="279">
        <v>-37966</v>
      </c>
      <c r="S18" s="279"/>
      <c r="T18" s="178"/>
      <c r="U18" s="178"/>
      <c r="W18" s="142" t="s">
        <v>229</v>
      </c>
    </row>
    <row r="19" spans="1:23" s="178" customFormat="1">
      <c r="J19" s="173"/>
      <c r="L19" s="273"/>
      <c r="M19" s="273"/>
      <c r="N19" s="273"/>
      <c r="O19" s="273"/>
      <c r="P19" s="273"/>
      <c r="Q19" s="273"/>
      <c r="R19" s="274"/>
      <c r="S19" s="274"/>
      <c r="W19" s="158"/>
    </row>
    <row r="20" spans="1:23" s="270" customFormat="1">
      <c r="A20" s="178"/>
      <c r="B20" s="270" t="s">
        <v>502</v>
      </c>
      <c r="F20" s="270" t="s">
        <v>269</v>
      </c>
      <c r="J20" s="173"/>
      <c r="L20" s="279"/>
      <c r="M20" s="279"/>
      <c r="N20" s="279"/>
      <c r="O20" s="279"/>
      <c r="P20" s="279"/>
      <c r="Q20" s="279"/>
      <c r="R20" s="279">
        <v>78111.19</v>
      </c>
      <c r="S20" s="279"/>
      <c r="T20" s="178"/>
      <c r="U20" s="178"/>
      <c r="W20" s="176" t="s">
        <v>504</v>
      </c>
    </row>
    <row r="21" spans="1:23" s="272" customFormat="1">
      <c r="A21" s="178"/>
      <c r="J21" s="173"/>
      <c r="K21" s="173"/>
      <c r="L21" s="173"/>
      <c r="M21" s="173"/>
      <c r="N21" s="173"/>
      <c r="O21" s="173"/>
      <c r="P21" s="173"/>
      <c r="Q21" s="173"/>
      <c r="R21" s="173"/>
      <c r="S21" s="173"/>
      <c r="T21" s="178"/>
      <c r="U21" s="178"/>
      <c r="W21" s="176"/>
    </row>
    <row r="22" spans="1:23" s="272" customFormat="1">
      <c r="A22" s="178"/>
      <c r="B22" s="272" t="s">
        <v>508</v>
      </c>
      <c r="F22" s="272" t="s">
        <v>269</v>
      </c>
      <c r="J22" s="173"/>
      <c r="T22" s="279">
        <v>9396296.8708292246</v>
      </c>
      <c r="U22" s="279">
        <v>34585099.427926056</v>
      </c>
      <c r="W22" s="176" t="s">
        <v>508</v>
      </c>
    </row>
    <row r="23" spans="1:23">
      <c r="A23" s="178"/>
      <c r="B23" s="169"/>
      <c r="C23" s="169"/>
      <c r="D23" s="169"/>
      <c r="E23" s="169"/>
      <c r="F23" s="169"/>
      <c r="G23" s="169"/>
      <c r="H23" s="169"/>
      <c r="I23" s="169"/>
      <c r="J23" s="172"/>
      <c r="K23" s="169"/>
      <c r="M23" s="217"/>
      <c r="N23" s="217"/>
      <c r="O23" s="217"/>
      <c r="P23" s="217"/>
      <c r="Q23" s="217"/>
      <c r="R23" s="217"/>
      <c r="S23" s="217"/>
    </row>
    <row r="24" spans="1:23" s="79" customFormat="1">
      <c r="A24" s="178"/>
      <c r="B24" s="168" t="s">
        <v>75</v>
      </c>
      <c r="C24" s="169"/>
      <c r="D24" s="169"/>
      <c r="E24" s="169"/>
      <c r="F24" s="169"/>
      <c r="G24" s="169"/>
      <c r="H24" s="169"/>
      <c r="I24" s="169"/>
      <c r="J24" s="172"/>
      <c r="K24" s="169"/>
      <c r="L24" s="257"/>
      <c r="M24" s="217"/>
      <c r="N24" s="217"/>
      <c r="O24" s="217"/>
      <c r="P24" s="217"/>
      <c r="Q24" s="217"/>
      <c r="R24" s="217"/>
      <c r="S24" s="217"/>
      <c r="T24" s="226"/>
      <c r="U24" s="243"/>
    </row>
    <row r="25" spans="1:23">
      <c r="A25" s="178"/>
      <c r="B25" s="170" t="s">
        <v>329</v>
      </c>
      <c r="C25" s="169"/>
      <c r="D25" s="169"/>
      <c r="E25" s="169"/>
      <c r="F25" s="169" t="s">
        <v>269</v>
      </c>
      <c r="G25" s="169"/>
      <c r="H25" s="169"/>
      <c r="I25" s="169"/>
      <c r="J25" s="173"/>
      <c r="K25" s="169"/>
      <c r="M25" s="178"/>
      <c r="N25" s="178"/>
      <c r="O25" s="178"/>
      <c r="P25" s="217"/>
      <c r="Q25" s="226"/>
      <c r="S25" s="279">
        <v>-1368603</v>
      </c>
      <c r="T25" s="178"/>
      <c r="U25" s="178"/>
      <c r="W25" s="143" t="s">
        <v>458</v>
      </c>
    </row>
    <row r="26" spans="1:23">
      <c r="A26" s="178"/>
      <c r="B26" s="169" t="s">
        <v>330</v>
      </c>
      <c r="C26" s="169"/>
      <c r="D26" s="169"/>
      <c r="E26" s="169"/>
      <c r="F26" s="169" t="s">
        <v>269</v>
      </c>
      <c r="G26" s="169"/>
      <c r="H26" s="169"/>
      <c r="I26" s="169"/>
      <c r="J26" s="173"/>
      <c r="K26" s="169"/>
      <c r="M26" s="178"/>
      <c r="N26" s="178"/>
      <c r="O26" s="178"/>
      <c r="P26" s="178"/>
      <c r="Q26" s="178"/>
      <c r="R26" s="217"/>
      <c r="S26" s="226"/>
      <c r="U26" s="279">
        <v>-30411822</v>
      </c>
    </row>
    <row r="27" spans="1:23" s="8" customFormat="1">
      <c r="A27" s="178"/>
      <c r="B27" s="172"/>
      <c r="C27" s="172"/>
      <c r="D27" s="172"/>
      <c r="E27" s="172"/>
      <c r="F27" s="172"/>
      <c r="G27" s="172"/>
      <c r="H27" s="172"/>
      <c r="I27" s="172"/>
      <c r="J27" s="173"/>
      <c r="K27" s="172"/>
      <c r="L27" s="178"/>
      <c r="M27" s="178"/>
      <c r="N27" s="178"/>
      <c r="O27" s="178"/>
      <c r="P27" s="178"/>
      <c r="Q27" s="178"/>
      <c r="R27" s="179"/>
      <c r="S27" s="179"/>
      <c r="T27" s="179"/>
      <c r="U27" s="179"/>
    </row>
    <row r="28" spans="1:23">
      <c r="A28" s="178"/>
      <c r="B28" s="169" t="s">
        <v>102</v>
      </c>
      <c r="C28" s="169"/>
      <c r="D28" s="169"/>
      <c r="E28" s="169"/>
      <c r="F28" s="169" t="s">
        <v>269</v>
      </c>
      <c r="G28" s="169"/>
      <c r="H28" s="169"/>
      <c r="I28" s="169"/>
      <c r="J28" s="173"/>
      <c r="K28" s="169"/>
      <c r="L28" s="279"/>
      <c r="M28" s="279"/>
      <c r="N28" s="279"/>
      <c r="O28" s="279">
        <v>291930</v>
      </c>
      <c r="P28" s="279"/>
      <c r="Q28" s="279"/>
      <c r="R28" s="279">
        <v>150462</v>
      </c>
      <c r="S28" s="279"/>
      <c r="T28" s="178"/>
      <c r="U28" s="178"/>
      <c r="W28" s="144" t="s">
        <v>230</v>
      </c>
    </row>
    <row r="29" spans="1:23" s="272" customFormat="1">
      <c r="A29" s="178"/>
      <c r="J29" s="173"/>
      <c r="U29" s="178"/>
      <c r="W29" s="176"/>
    </row>
    <row r="30" spans="1:23" s="270" customFormat="1">
      <c r="A30" s="178"/>
      <c r="B30" s="270" t="s">
        <v>505</v>
      </c>
      <c r="F30" s="270" t="s">
        <v>269</v>
      </c>
      <c r="J30" s="173"/>
      <c r="L30" s="279"/>
      <c r="M30" s="279"/>
      <c r="N30" s="279"/>
      <c r="O30" s="279">
        <v>878436</v>
      </c>
      <c r="P30" s="279"/>
      <c r="Q30" s="279">
        <v>-194468</v>
      </c>
      <c r="R30" s="279">
        <v>-258210</v>
      </c>
      <c r="S30" s="279"/>
      <c r="T30" s="178"/>
      <c r="U30" s="178"/>
      <c r="W30" s="176"/>
    </row>
    <row r="31" spans="1:23">
      <c r="A31" s="178"/>
      <c r="B31" s="169"/>
      <c r="C31" s="169"/>
      <c r="D31" s="169"/>
      <c r="E31" s="169"/>
      <c r="F31" s="169"/>
      <c r="G31" s="169"/>
      <c r="H31" s="169"/>
      <c r="I31" s="169"/>
      <c r="J31" s="169"/>
      <c r="K31" s="169"/>
      <c r="M31" s="217"/>
      <c r="N31" s="217"/>
      <c r="O31" s="217"/>
      <c r="P31" s="217"/>
      <c r="Q31" s="217"/>
      <c r="R31" s="217"/>
      <c r="S31" s="217"/>
    </row>
    <row r="32" spans="1:23" s="230" customFormat="1">
      <c r="A32" s="178"/>
      <c r="B32" s="230" t="s">
        <v>331</v>
      </c>
      <c r="F32" s="230" t="s">
        <v>269</v>
      </c>
      <c r="L32" s="257"/>
      <c r="S32" s="279">
        <v>472149</v>
      </c>
      <c r="U32" s="243"/>
      <c r="W32" s="230" t="s">
        <v>285</v>
      </c>
    </row>
    <row r="33" spans="1:21" s="230" customFormat="1">
      <c r="A33" s="178"/>
      <c r="L33" s="257"/>
      <c r="U33" s="243"/>
    </row>
    <row r="34" spans="1:21" s="83" customFormat="1">
      <c r="A34" s="171"/>
      <c r="B34" s="171" t="s">
        <v>134</v>
      </c>
      <c r="C34" s="171"/>
      <c r="D34" s="171"/>
      <c r="E34" s="171"/>
      <c r="F34" s="171"/>
      <c r="G34" s="171"/>
      <c r="H34" s="171"/>
      <c r="I34" s="171"/>
      <c r="J34" s="171"/>
      <c r="K34" s="171"/>
      <c r="L34" s="171"/>
      <c r="M34" s="171"/>
      <c r="N34" s="171"/>
      <c r="O34" s="171"/>
      <c r="P34" s="171"/>
      <c r="Q34" s="171"/>
      <c r="R34" s="171"/>
      <c r="S34" s="171"/>
      <c r="T34" s="171"/>
      <c r="U34" s="171"/>
    </row>
    <row r="35" spans="1:21">
      <c r="A35" s="178"/>
      <c r="B35" s="169"/>
      <c r="C35" s="169"/>
      <c r="D35" s="169"/>
      <c r="E35" s="169"/>
      <c r="F35" s="169"/>
      <c r="G35" s="169"/>
      <c r="H35" s="169"/>
      <c r="I35" s="169"/>
      <c r="J35" s="169"/>
      <c r="K35" s="169"/>
      <c r="M35" s="217"/>
      <c r="N35" s="217"/>
      <c r="O35" s="217"/>
      <c r="P35" s="217"/>
      <c r="Q35" s="217"/>
      <c r="R35" s="217"/>
      <c r="S35" s="217"/>
    </row>
    <row r="36" spans="1:21">
      <c r="A36" s="178"/>
      <c r="B36" s="241" t="s">
        <v>417</v>
      </c>
      <c r="C36" s="169"/>
      <c r="D36" s="169"/>
      <c r="E36" s="169"/>
      <c r="F36" s="169" t="s">
        <v>269</v>
      </c>
      <c r="G36" s="169"/>
      <c r="H36" s="169"/>
      <c r="I36" s="169"/>
      <c r="J36" s="169"/>
      <c r="K36" s="169"/>
      <c r="M36" s="178"/>
      <c r="N36" s="178"/>
      <c r="O36" s="178"/>
      <c r="P36" s="178"/>
      <c r="Q36" s="217"/>
      <c r="R36" s="226"/>
      <c r="T36" s="279">
        <v>51212142</v>
      </c>
    </row>
    <row r="37" spans="1:21" s="79" customFormat="1">
      <c r="A37" s="178"/>
      <c r="B37" s="169"/>
      <c r="C37" s="169"/>
      <c r="D37" s="169"/>
      <c r="E37" s="169"/>
      <c r="F37" s="169"/>
      <c r="G37" s="169"/>
      <c r="H37" s="169"/>
      <c r="I37" s="169"/>
      <c r="J37" s="169"/>
      <c r="K37" s="169"/>
      <c r="L37" s="257"/>
      <c r="M37" s="217"/>
      <c r="N37" s="217"/>
      <c r="O37" s="217"/>
      <c r="P37" s="217"/>
      <c r="Q37" s="217"/>
      <c r="R37" s="217"/>
      <c r="S37" s="217"/>
      <c r="T37" s="226"/>
      <c r="U37" s="243"/>
    </row>
    <row r="38" spans="1:21">
      <c r="A38" s="178"/>
      <c r="Q38" s="5"/>
    </row>
  </sheetData>
  <mergeCells count="1">
    <mergeCell ref="B4: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CCFFCC"/>
    <pageSetUpPr autoPageBreaks="0"/>
  </sheetPr>
  <dimension ref="A1:Q18"/>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55.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4" width="2.7109375" style="2" customWidth="1"/>
    <col min="15" max="15" width="31.28515625" style="2" bestFit="1" customWidth="1"/>
    <col min="16" max="16" width="2.7109375" style="2" customWidth="1"/>
    <col min="17" max="31" width="13.7109375" style="2" customWidth="1"/>
    <col min="32" max="16384" width="9.140625" style="2"/>
  </cols>
  <sheetData>
    <row r="1" spans="1:17">
      <c r="A1" s="227"/>
    </row>
    <row r="2" spans="1:17" s="20" customFormat="1" ht="18">
      <c r="B2" s="20" t="s">
        <v>155</v>
      </c>
    </row>
    <row r="3" spans="1:17">
      <c r="A3" s="227"/>
    </row>
    <row r="4" spans="1:17" s="79" customFormat="1">
      <c r="A4" s="227"/>
      <c r="B4" s="295" t="s">
        <v>370</v>
      </c>
      <c r="C4" s="296"/>
      <c r="D4" s="296"/>
      <c r="E4" s="296"/>
    </row>
    <row r="5" spans="1:17" s="79" customFormat="1">
      <c r="A5" s="227"/>
      <c r="B5" s="296"/>
      <c r="C5" s="296"/>
      <c r="D5" s="296"/>
      <c r="E5" s="296"/>
    </row>
    <row r="6" spans="1:17" s="79" customFormat="1">
      <c r="A6" s="227"/>
      <c r="B6" s="296"/>
      <c r="C6" s="296"/>
      <c r="D6" s="296"/>
      <c r="E6" s="296"/>
    </row>
    <row r="7" spans="1:17" s="79" customFormat="1">
      <c r="A7" s="227"/>
      <c r="B7" s="296"/>
      <c r="C7" s="296"/>
      <c r="D7" s="296"/>
      <c r="E7" s="296"/>
    </row>
    <row r="8" spans="1:17" s="79" customFormat="1">
      <c r="A8" s="227"/>
      <c r="B8" s="296"/>
      <c r="C8" s="296"/>
      <c r="D8" s="296"/>
      <c r="E8" s="296"/>
    </row>
    <row r="9" spans="1:17" s="79" customFormat="1">
      <c r="A9" s="227"/>
      <c r="B9" s="82"/>
      <c r="C9" s="80"/>
      <c r="D9" s="80"/>
    </row>
    <row r="10" spans="1:17" s="7" customFormat="1">
      <c r="A10" s="171"/>
      <c r="B10" s="7" t="s">
        <v>43</v>
      </c>
      <c r="F10" s="7" t="s">
        <v>26</v>
      </c>
      <c r="H10" s="7" t="s">
        <v>27</v>
      </c>
      <c r="J10" s="7" t="s">
        <v>47</v>
      </c>
      <c r="L10" s="7" t="s">
        <v>73</v>
      </c>
      <c r="M10" s="7" t="s">
        <v>75</v>
      </c>
      <c r="O10" s="7" t="s">
        <v>44</v>
      </c>
      <c r="Q10" s="7" t="s">
        <v>45</v>
      </c>
    </row>
    <row r="11" spans="1:17" s="79" customFormat="1">
      <c r="A11" s="227"/>
    </row>
    <row r="12" spans="1:17" s="79" customFormat="1">
      <c r="A12" s="227"/>
    </row>
    <row r="13" spans="1:17" s="70" customFormat="1">
      <c r="A13" s="171"/>
      <c r="B13" s="69" t="s">
        <v>109</v>
      </c>
      <c r="C13" s="69"/>
      <c r="D13" s="69"/>
    </row>
    <row r="14" spans="1:17">
      <c r="A14" s="227"/>
    </row>
    <row r="15" spans="1:17">
      <c r="A15" s="227"/>
      <c r="B15" s="2" t="s">
        <v>371</v>
      </c>
      <c r="F15" s="2" t="s">
        <v>323</v>
      </c>
      <c r="J15" s="79"/>
      <c r="K15" s="8"/>
      <c r="L15" s="280">
        <v>26227233.080839045</v>
      </c>
      <c r="M15" s="280">
        <v>0</v>
      </c>
      <c r="O15" s="241" t="s">
        <v>499</v>
      </c>
      <c r="Q15" s="5"/>
    </row>
    <row r="16" spans="1:17">
      <c r="A16" s="227"/>
      <c r="B16" s="2" t="s">
        <v>372</v>
      </c>
      <c r="F16" s="184" t="s">
        <v>323</v>
      </c>
      <c r="J16" s="79"/>
      <c r="K16" s="8"/>
      <c r="L16" s="280">
        <v>3668320.5285817767</v>
      </c>
      <c r="M16" s="280">
        <v>3284523.2264938643</v>
      </c>
      <c r="O16" s="241" t="s">
        <v>500</v>
      </c>
    </row>
    <row r="17" spans="1:13">
      <c r="A17" s="178"/>
      <c r="J17" s="28"/>
      <c r="K17" s="8"/>
      <c r="L17" s="8"/>
      <c r="M17" s="8"/>
    </row>
    <row r="18" spans="1:13">
      <c r="A18" s="178"/>
    </row>
  </sheetData>
  <mergeCells count="1">
    <mergeCell ref="B4: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E878650FBD2D4392CD8EF4C647E9D5" ma:contentTypeVersion="0" ma:contentTypeDescription="Een nieuw document maken." ma:contentTypeScope="" ma:versionID="403b60cfd241343d50cd2dbad1bbbcf9">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23967-7DE6-499B-A489-7CBF2DE6D59F}">
  <ds:schemaRef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0B2746E-DB0F-499C-B59A-0A8E858D8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0941D22-A657-4695-A560-BC2A67E906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1</vt:i4>
      </vt:variant>
    </vt:vector>
  </HeadingPairs>
  <TitlesOfParts>
    <vt:vector size="26" baseType="lpstr">
      <vt:lpstr>Tab 1_Titelblad</vt:lpstr>
      <vt:lpstr>Tab 2_Toelichting</vt:lpstr>
      <vt:lpstr>Tab 3_Bronnen en toepassingen</vt:lpstr>
      <vt:lpstr>Resultaat --&gt;</vt:lpstr>
      <vt:lpstr>Tab 4_Totale inkomsten 2022</vt:lpstr>
      <vt:lpstr>Tab 5_Tarieven en RV 2022</vt:lpstr>
      <vt:lpstr>Input (Dataverzoek TenneT) --&gt;</vt:lpstr>
      <vt:lpstr>Tab 6_Correcties en prognoses</vt:lpstr>
      <vt:lpstr>Tab 7_Toevoeging kosten RCR</vt:lpstr>
      <vt:lpstr>Tab 8_Voorstel tarieven</vt:lpstr>
      <vt:lpstr>Input (Data door ACM) --&gt;</vt:lpstr>
      <vt:lpstr>Tab 9_Parameters</vt:lpstr>
      <vt:lpstr>Tab 10_Brondata</vt:lpstr>
      <vt:lpstr>Tab 11_Tarieven en omzet</vt:lpstr>
      <vt:lpstr>Berekeningen --&gt;</vt:lpstr>
      <vt:lpstr>Tab 12_Berekening parameters</vt:lpstr>
      <vt:lpstr>Tab 13_TI transporttaken</vt:lpstr>
      <vt:lpstr>Tab 14_TI systeemtaken</vt:lpstr>
      <vt:lpstr>Tab 15_Nacalculatie IKE&amp;V</vt:lpstr>
      <vt:lpstr>Tab 16_Prognoses IKTNN</vt:lpstr>
      <vt:lpstr>Tab 17_Correcties OA&amp;M en IKTNN</vt:lpstr>
      <vt:lpstr>Tab 18_Overige correcties</vt:lpstr>
      <vt:lpstr>Tab 19_Omzetcorrectie</vt:lpstr>
      <vt:lpstr>Tab 20_ Inzet congestie-ontv.</vt:lpstr>
      <vt:lpstr>Tab 21_Controle tarieven</vt:lpstr>
      <vt:lpstr>'Tab 12_Berekening parameters'!Afdrukbereik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Peek, Roy</cp:lastModifiedBy>
  <cp:lastPrinted>2018-08-30T08:18:37Z</cp:lastPrinted>
  <dcterms:created xsi:type="dcterms:W3CDTF">2017-12-20T09:39:51Z</dcterms:created>
  <dcterms:modified xsi:type="dcterms:W3CDTF">2021-11-25T10:06:39Z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