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N:\07 RN\Caribisch Nederland\Regulering\Tarieven\Bezwaren\CGB 2018 en 2019\Rekenmodel CGB 2018\"/>
    </mc:Choice>
  </mc:AlternateContent>
  <xr:revisionPtr revIDLastSave="0" documentId="13_ncr:1_{B03F58A8-618D-40A2-A9D1-2B7797413483}" xr6:coauthVersionLast="45" xr6:coauthVersionMax="45" xr10:uidLastSave="{00000000-0000-0000-0000-000000000000}"/>
  <bookViews>
    <workbookView xWindow="-120" yWindow="-120" windowWidth="29040" windowHeight="17640" activeTab="1" xr2:uid="{00000000-000D-0000-FFFF-FFFF00000000}"/>
  </bookViews>
  <sheets>
    <sheet name="Explanation " sheetId="2" r:id="rId1"/>
    <sheet name="Effects of BoB Tariff 2018" sheetId="7" r:id="rId2"/>
    <sheet name="Calculation WACC 6,40% --&gt;" sheetId="11" r:id="rId3"/>
    <sheet name="Input (adjusted original)" sheetId="3" r:id="rId4"/>
    <sheet name="Costs (adjusted original)" sheetId="1" r:id="rId5"/>
    <sheet name="Prod. Price (adj. original)" sheetId="4" r:id="rId6"/>
    <sheet name="Calculation WACC 9,17% --&gt;" sheetId="12" r:id="rId7"/>
    <sheet name="Input (BoB 2018)" sheetId="8" r:id="rId8"/>
    <sheet name="Costs (BoB 2018)" sheetId="9" r:id="rId9"/>
    <sheet name="Production Price (BoB 2018)" sheetId="10" r:id="rId10"/>
    <sheet name="CPI CN" sheetId="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7" l="1"/>
  <c r="H39" i="7"/>
  <c r="E50" i="1"/>
  <c r="C4" i="3" l="1"/>
  <c r="E19" i="10"/>
  <c r="E16" i="10"/>
  <c r="E10" i="10"/>
  <c r="E8" i="10"/>
  <c r="E7" i="10"/>
  <c r="E5" i="10"/>
  <c r="E9" i="10" s="1"/>
  <c r="E11" i="10" s="1"/>
  <c r="E17" i="10" s="1"/>
  <c r="E20" i="10" s="1"/>
  <c r="E62" i="9"/>
  <c r="E65" i="9" s="1"/>
  <c r="I39" i="9"/>
  <c r="I40" i="9" s="1"/>
  <c r="H39" i="9"/>
  <c r="H40" i="9" s="1"/>
  <c r="G39" i="9"/>
  <c r="E39" i="9" s="1"/>
  <c r="E37" i="9"/>
  <c r="E36" i="9"/>
  <c r="E28" i="9"/>
  <c r="E30" i="9" s="1"/>
  <c r="E32" i="9" s="1"/>
  <c r="E22" i="9"/>
  <c r="E54" i="9" s="1"/>
  <c r="E12" i="9"/>
  <c r="E6" i="9"/>
  <c r="C22" i="8"/>
  <c r="C15" i="8"/>
  <c r="C16" i="8" s="1"/>
  <c r="C9" i="8"/>
  <c r="C25" i="8" s="1"/>
  <c r="C6" i="8"/>
  <c r="C5" i="8"/>
  <c r="C4" i="8"/>
  <c r="E43" i="9" l="1"/>
  <c r="E51" i="9" s="1"/>
  <c r="E33" i="9"/>
  <c r="G40" i="9"/>
  <c r="E40" i="9" s="1"/>
  <c r="C24" i="8"/>
  <c r="C26" i="8" s="1"/>
  <c r="H42" i="7"/>
  <c r="E44" i="9" l="1"/>
  <c r="E49" i="9" s="1"/>
  <c r="E52" i="9" s="1"/>
  <c r="E56" i="9" s="1"/>
  <c r="E37" i="1" l="1"/>
  <c r="E36" i="1"/>
  <c r="C22" i="3"/>
  <c r="E62" i="1"/>
  <c r="E65" i="1" s="1"/>
  <c r="E10" i="4" s="1"/>
  <c r="I39" i="1"/>
  <c r="I40" i="1" s="1"/>
  <c r="E12" i="1"/>
  <c r="C15" i="3"/>
  <c r="C24" i="3" s="1"/>
  <c r="C16" i="3"/>
  <c r="E6" i="1"/>
  <c r="E22" i="1" s="1"/>
  <c r="E54" i="1" s="1"/>
  <c r="H39" i="1"/>
  <c r="H40" i="1" s="1"/>
  <c r="G39" i="1"/>
  <c r="G40" i="1"/>
  <c r="E40" i="1" s="1"/>
  <c r="F26" i="6"/>
  <c r="F31" i="6"/>
  <c r="E26" i="6"/>
  <c r="E31" i="6" s="1"/>
  <c r="D26" i="6"/>
  <c r="D31" i="6"/>
  <c r="C6" i="3"/>
  <c r="E8" i="4" s="1"/>
  <c r="F25" i="6"/>
  <c r="F30" i="6"/>
  <c r="E25" i="6"/>
  <c r="E30" i="6" s="1"/>
  <c r="D25" i="6"/>
  <c r="D30" i="6"/>
  <c r="C5" i="3"/>
  <c r="E7" i="4" s="1"/>
  <c r="C9" i="3"/>
  <c r="C25" i="3" s="1"/>
  <c r="C26" i="3" s="1"/>
  <c r="E19" i="4" s="1"/>
  <c r="E28" i="1"/>
  <c r="E30" i="1"/>
  <c r="E32" i="1" s="1"/>
  <c r="E16" i="4"/>
  <c r="E33" i="1" l="1"/>
  <c r="E44" i="1" s="1"/>
  <c r="E49" i="1" s="1"/>
  <c r="E39" i="1"/>
  <c r="E43" i="1" s="1"/>
  <c r="E51" i="1" s="1"/>
  <c r="E52" i="1" l="1"/>
  <c r="E56" i="1" s="1"/>
  <c r="E5" i="4" s="1"/>
  <c r="E9" i="4" s="1"/>
  <c r="E11" i="4" s="1"/>
  <c r="E17" i="4" s="1"/>
  <c r="E20" i="4" l="1"/>
  <c r="H41" i="7"/>
  <c r="H4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Adriaansen, Paul</author>
  </authors>
  <commentList>
    <comment ref="H19" authorId="0" shapeId="0" xr:uid="{F994BDC4-84E5-4684-88B1-2CBE413391E4}">
      <text>
        <r>
          <rPr>
            <sz val="9"/>
            <color indexed="81"/>
            <rFont val="Tahoma"/>
            <family val="2"/>
          </rPr>
          <t xml:space="preserve">Additional explanation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Adriaansen, Paul</author>
  </authors>
  <commentList>
    <comment ref="C4" authorId="0" shapeId="0" xr:uid="{F0F900D2-C4E7-4D35-8E09-71EE09AFBB9A}">
      <text>
        <r>
          <rPr>
            <sz val="9"/>
            <color indexed="81"/>
            <rFont val="Tahoma"/>
            <family val="2"/>
          </rPr>
          <t>Adjusted original value, taken from sheet 'Effects of Bob Tariff 2018'</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Adriaansen, Paul</author>
  </authors>
  <commentList>
    <comment ref="B50" authorId="0" shapeId="0" xr:uid="{AB67E4FC-07B1-41F4-B2D2-9446580DDEA6}">
      <text>
        <r>
          <rPr>
            <sz val="9"/>
            <color indexed="81"/>
            <rFont val="Tahoma"/>
            <family val="2"/>
          </rPr>
          <t>Description has been changed to WACC2018 (in the original sheet this cell was called 'WACC 2017' by accident)</t>
        </r>
      </text>
    </comment>
    <comment ref="E50" authorId="0" shapeId="0" xr:uid="{47F1CF11-360A-4E98-87FD-D26737056D35}">
      <text>
        <r>
          <rPr>
            <sz val="9"/>
            <color indexed="81"/>
            <rFont val="Tahoma"/>
            <family val="2"/>
          </rPr>
          <t>Adjusted original value, taken from sheet 'Effects of Bob Tariff 2018'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Adriaansen, Paul</author>
  </authors>
  <commentList>
    <comment ref="C4" authorId="0" shapeId="0" xr:uid="{B229B735-2C76-4B08-BE79-E430628A6849}">
      <text>
        <r>
          <rPr>
            <sz val="9"/>
            <color indexed="81"/>
            <rFont val="Tahoma"/>
            <family val="2"/>
          </rPr>
          <t>New value, taken from sheet 'Effects of Bob Tariff 2018'</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Adriaansen, Paul</author>
  </authors>
  <commentList>
    <comment ref="B50" authorId="0" shapeId="0" xr:uid="{39E00B8B-3CDB-48D8-A374-0E79AF8A3032}">
      <text>
        <r>
          <rPr>
            <sz val="9"/>
            <color indexed="81"/>
            <rFont val="Tahoma"/>
            <family val="2"/>
          </rPr>
          <t>Description has been changed to WACC2018 (in the original sheet this cell was called 'WACC 2017' by accident)</t>
        </r>
      </text>
    </comment>
    <comment ref="E50" authorId="0" shapeId="0" xr:uid="{416377B5-FB1F-48FC-AEDB-27D80B272E6F}">
      <text>
        <r>
          <rPr>
            <sz val="9"/>
            <color indexed="81"/>
            <rFont val="Tahoma"/>
            <family val="2"/>
          </rPr>
          <t>New value, taken from sheet 'Effects of Bob Tariff 2018'</t>
        </r>
      </text>
    </comment>
  </commentList>
</comments>
</file>

<file path=xl/sharedStrings.xml><?xml version="1.0" encoding="utf-8"?>
<sst xmlns="http://schemas.openxmlformats.org/spreadsheetml/2006/main" count="447" uniqueCount="193">
  <si>
    <t>Information costs production Contour Global</t>
  </si>
  <si>
    <t>Operational costs</t>
  </si>
  <si>
    <t>Source</t>
  </si>
  <si>
    <t>Total operational costs</t>
  </si>
  <si>
    <t>Initial costs power plant (value 20 Aug 2010)</t>
  </si>
  <si>
    <t>USD</t>
  </si>
  <si>
    <t>Mazars-report 30 Nov 2015, appendix A</t>
  </si>
  <si>
    <t>Transaction costs financing</t>
  </si>
  <si>
    <t>Residual value power plant (value 20 Aug 2025)</t>
  </si>
  <si>
    <t>Decrease in value during PPA-period</t>
  </si>
  <si>
    <t>PPA period in years</t>
  </si>
  <si>
    <t>years</t>
  </si>
  <si>
    <t>Power Purchase Agreement</t>
  </si>
  <si>
    <t>Yearly depreciation during PPA period</t>
  </si>
  <si>
    <t>Total capital costs</t>
  </si>
  <si>
    <t>Total operational costs (excl fuel oil)</t>
  </si>
  <si>
    <t>Personnel expenses (annual report 2016)</t>
  </si>
  <si>
    <t>Other operating expenses (annual report 2016)</t>
  </si>
  <si>
    <t>Annual accounts 2016</t>
  </si>
  <si>
    <t>USD, price level 2016</t>
  </si>
  <si>
    <t>Data on developments after 2016 / not stated in annual report</t>
  </si>
  <si>
    <t>Total asset value 1-1-2017</t>
  </si>
  <si>
    <t>Total costs 2016</t>
  </si>
  <si>
    <t>Notes</t>
  </si>
  <si>
    <t xml:space="preserve">This file contains the computational model used by the Authority for Consumers and Markets to calculate the production price. </t>
  </si>
  <si>
    <t>Explanation per worksheet:</t>
  </si>
  <si>
    <r>
      <t xml:space="preserve">Input </t>
    </r>
    <r>
      <rPr>
        <sz val="10"/>
        <rFont val="Arial"/>
        <family val="2"/>
      </rPr>
      <t>contains data on the WACC, inflation, production and fuel</t>
    </r>
  </si>
  <si>
    <r>
      <rPr>
        <b/>
        <sz val="10"/>
        <rFont val="Arial"/>
        <family val="2"/>
      </rPr>
      <t>Costs</t>
    </r>
    <r>
      <rPr>
        <sz val="10"/>
        <rFont val="Arial"/>
        <family val="2"/>
      </rPr>
      <t xml:space="preserve"> contains data  on operational costs, capital costs and total cost</t>
    </r>
  </si>
  <si>
    <r>
      <rPr>
        <b/>
        <sz val="10"/>
        <rFont val="Arial"/>
        <family val="2"/>
      </rPr>
      <t>CPI CN</t>
    </r>
    <r>
      <rPr>
        <sz val="10"/>
        <rFont val="Arial"/>
        <family val="2"/>
      </rPr>
      <t xml:space="preserve"> calculates the consumer price index</t>
    </r>
  </si>
  <si>
    <t>Cell colours</t>
  </si>
  <si>
    <t>Data and input</t>
  </si>
  <si>
    <t>Calculated value</t>
  </si>
  <si>
    <t>Value from another cell, without calculation</t>
  </si>
  <si>
    <t>Result</t>
  </si>
  <si>
    <t>Attention needed</t>
  </si>
  <si>
    <t>This worksheet sets several input variables</t>
  </si>
  <si>
    <t>Estimated inflation Bonaire 2016</t>
  </si>
  <si>
    <t>CBS CB</t>
  </si>
  <si>
    <t>Estimated inflation Bonaire 2017</t>
  </si>
  <si>
    <t>Total production volume</t>
  </si>
  <si>
    <t>kWh</t>
  </si>
  <si>
    <t>production by wind</t>
  </si>
  <si>
    <t>production by HFO and LFO</t>
  </si>
  <si>
    <t>Required amount of fuel</t>
  </si>
  <si>
    <t>barrels/mWh</t>
  </si>
  <si>
    <t>barrels/kWh</t>
  </si>
  <si>
    <t>liters/kWh</t>
  </si>
  <si>
    <t>%HFO</t>
  </si>
  <si>
    <t>%LFO</t>
  </si>
  <si>
    <t>Price HFO</t>
  </si>
  <si>
    <t>USD/barrel</t>
  </si>
  <si>
    <t>Price LFO</t>
  </si>
  <si>
    <t>Fuel costs production:</t>
  </si>
  <si>
    <t>USD/kWh</t>
  </si>
  <si>
    <t>% production by HFO and LFO</t>
  </si>
  <si>
    <t>Fuel costs total production</t>
  </si>
  <si>
    <t>In this sheet the price for electricity is calculated</t>
  </si>
  <si>
    <t>Estimated income level</t>
  </si>
  <si>
    <t>Other costs to be included</t>
  </si>
  <si>
    <t>%</t>
  </si>
  <si>
    <t>Production price per kWh</t>
  </si>
  <si>
    <t>Production volume</t>
  </si>
  <si>
    <t>Production costs excl fuel</t>
  </si>
  <si>
    <t>Fuel costs</t>
  </si>
  <si>
    <t>Production price (incl. fuel)</t>
  </si>
  <si>
    <t>Calculation Consumer Price Index - Caribisch Nederland</t>
  </si>
  <si>
    <t>For the calculation of electricity and water tariffs consumer price index (CPI) figures are used to compensate for price fluctuations.</t>
  </si>
  <si>
    <t>These figures are calculated by Centraal Bureau voor de Statistiek, separately for Bonaire, St. Eustatius and Saba.</t>
  </si>
  <si>
    <t>In our method we estimate the inflation for year T (the year for which we set tariffs), by looking at the most recent number on inflation between year T-1 and year T-2.</t>
  </si>
  <si>
    <t>CBS calculates the CPI quarterly, which means we can use the CPI figures of the 'derde kwartaal' (Q3) of each year.</t>
  </si>
  <si>
    <t>This closely resembles the method used in the Netherlands, where we use the CPI figures of August of each year.</t>
  </si>
  <si>
    <t>CPI Data</t>
  </si>
  <si>
    <t xml:space="preserve">Consumer Price Index levels </t>
  </si>
  <si>
    <t>(2010 = 100%)</t>
  </si>
  <si>
    <t>Bonaire</t>
  </si>
  <si>
    <t>St. Eustatius</t>
  </si>
  <si>
    <t>Saba</t>
  </si>
  <si>
    <t>CPI</t>
  </si>
  <si>
    <t xml:space="preserve">source CBS: </t>
  </si>
  <si>
    <t>http://statline.cbs.nl/Statweb/publication/?DM=SLNL&amp;PA=81122NED&amp;D1=0-2&amp;D2=0&amp;D3=a&amp;D4=a&amp;VW=T</t>
  </si>
  <si>
    <t>Estimated inflation</t>
  </si>
  <si>
    <t>Estimated inflation levels used in tariff calculations (rounded at 1 decimal)</t>
  </si>
  <si>
    <t>Estimated inflation 2017</t>
  </si>
  <si>
    <t>Estimated inflation 2018</t>
  </si>
  <si>
    <t xml:space="preserve">- Operating and maintenance expenses </t>
  </si>
  <si>
    <t xml:space="preserve">- Office expenses </t>
  </si>
  <si>
    <t xml:space="preserve">- Professional fees </t>
  </si>
  <si>
    <t xml:space="preserve">- Other operating expenses </t>
  </si>
  <si>
    <t>- Post employment benefits</t>
  </si>
  <si>
    <t xml:space="preserve">- gross wages </t>
  </si>
  <si>
    <t xml:space="preserve">- social premium charges </t>
  </si>
  <si>
    <t>- Other employee benefits</t>
  </si>
  <si>
    <t xml:space="preserve"> </t>
  </si>
  <si>
    <t>Yearly depreciation Powerplant during PPA period</t>
  </si>
  <si>
    <t>Total asset value  Powerplant 1-1-2017</t>
  </si>
  <si>
    <t xml:space="preserve">RAB power plant </t>
  </si>
  <si>
    <t>Total Depreciation 2016</t>
  </si>
  <si>
    <t>Total RAB</t>
  </si>
  <si>
    <t xml:space="preserve">Office </t>
  </si>
  <si>
    <t xml:space="preserve">Software </t>
  </si>
  <si>
    <t>Computer equipment</t>
  </si>
  <si>
    <t>RAB and Depreciation</t>
  </si>
  <si>
    <t>Non-variabel fuel costs (transport, Enercon, annual report 2016)</t>
  </si>
  <si>
    <t>Maintenance Reserve Account Fundings</t>
  </si>
  <si>
    <t xml:space="preserve">Addition Employee costs as per CLA </t>
  </si>
  <si>
    <t>Total extra costs expected for 2018</t>
  </si>
  <si>
    <t>- Management fees (part 2016)</t>
  </si>
  <si>
    <t>- Management fees (part 2015)</t>
  </si>
  <si>
    <t>Information request August 10th and additional information October 2017</t>
  </si>
  <si>
    <t>Data provided by ContourGlobal</t>
  </si>
  <si>
    <t>USD, price level 2018</t>
  </si>
  <si>
    <t>Estimated inflation Bonaire 2018</t>
  </si>
  <si>
    <t>Estimated cost level 2018</t>
  </si>
  <si>
    <t>Total cost level 2018</t>
  </si>
  <si>
    <t>Notes to the calculation of the production price 2018 for ContourGlobal Bonaire B.V., dated November 2017</t>
  </si>
  <si>
    <r>
      <rPr>
        <b/>
        <sz val="10"/>
        <rFont val="Arial"/>
        <family val="2"/>
      </rPr>
      <t>Calculation production price</t>
    </r>
    <r>
      <rPr>
        <sz val="10"/>
        <rFont val="Arial"/>
        <family val="2"/>
      </rPr>
      <t xml:space="preserve"> calculates total cost at the 2018 pricelevel and calculates the production price</t>
    </r>
  </si>
  <si>
    <t>In this sheet the costs of 2016 and the developments for 2018 are calculated</t>
  </si>
  <si>
    <t>Mail ContourGlobal 16 Sep 2016, Power Purchase Agreement</t>
  </si>
  <si>
    <t>Note: the Third quarter figures are best estimates to date</t>
  </si>
  <si>
    <t>RAB investments 2016</t>
  </si>
  <si>
    <t>Other costs to be included in estimation of costs 2018</t>
  </si>
  <si>
    <t>2015 Third quarter</t>
  </si>
  <si>
    <t>2016 Third quarter</t>
  </si>
  <si>
    <t>2017 Third quarter</t>
  </si>
  <si>
    <t>October 2017 - Based on invoice Curoil</t>
  </si>
  <si>
    <t>Total</t>
  </si>
  <si>
    <t>Estimation production volume 2018</t>
  </si>
  <si>
    <t>Based on information CG, email 9 oct 2017 (forecasted production 2017)</t>
  </si>
  <si>
    <t>Fuel prices and costs</t>
  </si>
  <si>
    <t>Fuel use and yield</t>
  </si>
  <si>
    <t>Financial parameters</t>
  </si>
  <si>
    <t>Based on US Barrel standard</t>
  </si>
  <si>
    <t>Based on information CG, email 20 oct 2017 (data production 2016)</t>
  </si>
  <si>
    <t>Annual accounts 2016, note: exceptional treatment of management fee costs</t>
  </si>
  <si>
    <t>Data provided by ContourGlobal, email 9 oct 2017</t>
  </si>
  <si>
    <t>Initial costs power plant excluding transaction costs (value 20 Aug 2010)</t>
  </si>
  <si>
    <t>Last update: November 22, 2017</t>
  </si>
  <si>
    <t>Calculated year-on-year inflation 2015 Q3</t>
  </si>
  <si>
    <t>Calculated year-on-year inflation 2016 Q3</t>
  </si>
  <si>
    <t>Investment</t>
  </si>
  <si>
    <t>Depreciation period</t>
  </si>
  <si>
    <t xml:space="preserve">Investment date </t>
  </si>
  <si>
    <t>Depreciation in 2016 (based on active period since investment)</t>
  </si>
  <si>
    <t>USD, pp 2016</t>
  </si>
  <si>
    <t>date</t>
  </si>
  <si>
    <t>RAB investments 2016 (per 1-1-2017)</t>
  </si>
  <si>
    <t>mid june</t>
  </si>
  <si>
    <t>begin of june</t>
  </si>
  <si>
    <t>begin of may</t>
  </si>
  <si>
    <t>This calculation is part of the production price decision with reference: ACM/UIT/361336</t>
  </si>
  <si>
    <t>The production price descion is the result of the method descision with reference ACM/DE/2016/205454 and the WACC-annex with refeference ACM/DE/2016/206939</t>
  </si>
  <si>
    <t>Nominal WACC 2018</t>
  </si>
  <si>
    <t>WACC calculation ACM</t>
  </si>
  <si>
    <t>Changes have been included in this file based on the ruling by the Court of Justice of Aruba, Curaçao, Sint Maarten and of Bonaire, Sint Eustatius and Saba (ECLI:NL:OGHACMB:2020:197)</t>
  </si>
  <si>
    <t>This file is part of the production price decision with reference: ACM/18/027776, reference number ACM/UIT/549978</t>
  </si>
  <si>
    <t>Description on this sheet</t>
  </si>
  <si>
    <t>Explanation on the alterations in this file</t>
  </si>
  <si>
    <t>Case number: ACM/18/027776</t>
  </si>
  <si>
    <t>On the sheet "Effects of Bob Tariff 2018", ACM explains the changes that have been made to this calculation</t>
  </si>
  <si>
    <t>Date: July 2021</t>
  </si>
  <si>
    <t>DISCLAIMER</t>
  </si>
  <si>
    <t>This file contains a DRAFT calculation of the alterations to the tariff calculation for 2018. This draft is shared with CGB for the purpose of checking the inputs, calculation and result of the new tariff calculation, based on the effect of the Beslissing op Bezwaar for 2018.</t>
  </si>
  <si>
    <t>Description</t>
  </si>
  <si>
    <t>Unit</t>
  </si>
  <si>
    <t>Constant</t>
  </si>
  <si>
    <t>Comment</t>
  </si>
  <si>
    <t>WACC2018</t>
  </si>
  <si>
    <t>All changed made to the original calculation are indicated with a pink cell colouring, and have additional explanation, like this:</t>
  </si>
  <si>
    <t>Tariff and income effect of the new calculation</t>
  </si>
  <si>
    <t>Calculation of tariff difference</t>
  </si>
  <si>
    <t>New production price for 2018, excluding fuel component</t>
  </si>
  <si>
    <t>Difference in production price</t>
  </si>
  <si>
    <t>USD/kWh, pl2018</t>
  </si>
  <si>
    <t>Corresponding volume (estimated volume for 2018)</t>
  </si>
  <si>
    <t>USD, pl 2018</t>
  </si>
  <si>
    <t>As this income is related to capital costs, there is no effect of 'variable costs' in the volume correction.</t>
  </si>
  <si>
    <t>New WACC for 2018</t>
  </si>
  <si>
    <t>New WACC  for 'Electricity, production only' for 2018, based on the ruling by the Court of Justice of Aruba, Curaçao, Sint Maarten and of Bonaire, Sint Eustatius and Saba (ECLI:NL:OGHACMB:2020:197)</t>
  </si>
  <si>
    <t xml:space="preserve">[END OF SHEET] </t>
  </si>
  <si>
    <t>Effective income difference (in price level 2018)</t>
  </si>
  <si>
    <t>Source: decision Beslissing op Bezwaar 2018</t>
  </si>
  <si>
    <t>Effects of 'Beslissing op Bezwaar' on the Tariff decision for 2018</t>
  </si>
  <si>
    <t>The product of the difference in tariffs and the estimated volume determines the ultimate financial result for CGB, which will be taken into account in the tariff decision of some later year.</t>
  </si>
  <si>
    <t xml:space="preserve">First we introduce new values for the input parameters that were changed. Then we show the result of the calculation in terms of differences in the tariff, accompanied by the relevant estimted volume. </t>
  </si>
  <si>
    <t xml:space="preserve">Nominal WACC (pre tax) for 2018, according to original WACC decision for 2017-2019 </t>
  </si>
  <si>
    <t>On this sheet ACM explains the alterations on the tariff calculation, made as the result of the 'beslissing op bezwaar' (decision on objection) by ACM on the Tariff decision for 2018.</t>
  </si>
  <si>
    <t>On this sheet, ACM introduces two new figures for the WACC for 2018. Ths fiorst is based on the original WACC decision for 2018 (6,40%) the second is based on a new calculation of the WACC (9,17%), which is part of the new tariff decision for 2019 (Bijlage 1).</t>
  </si>
  <si>
    <t xml:space="preserve">One important notion is that according to paragraphs 24 and 25 of the Beslissing op Bezwaar, ACM also changes the original calculation, because in the original 2018 tariff decision a wrong WACC level was used. </t>
  </si>
  <si>
    <t>This error is now taken into account as part of the correction calculated for the Bob 2018. For this reason this file contains two equal calculations, based on different WACC levels, see explanation below</t>
  </si>
  <si>
    <t>Nominal WACC (pre tax)</t>
  </si>
  <si>
    <t>WACC as it should have been used in december 2017 when setting the tariff for 2018</t>
  </si>
  <si>
    <t>The original tariff calculation lead to a production price of 0,1300 USD/kWh. This production price was based on a wrong WACC level, and therefore is no longer used as the 'base line' for calculating the effective income correction for 2018.</t>
  </si>
  <si>
    <t>Adjusted original production price for 2018, excluding fuel component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</si>
</sst>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_ * #,##0_ ;_ * \-#,##0_ ;_ * &quot;-&quot;??_ ;_ @_ "/>
    <numFmt numFmtId="165" formatCode="#,##0.000000"/>
    <numFmt numFmtId="166" formatCode="0.0000"/>
    <numFmt numFmtId="167" formatCode="0.0%"/>
    <numFmt numFmtId="168" formatCode="_-* #,##0.00_-;_-* #,##0.00\-;_-* &quot;-&quot;??_-;_-@_-"/>
    <numFmt numFmtId="169" formatCode="_([$€]* #,##0.00_);_([$€]* \(#,##0.00\);_([$€]* &quot;-&quot;??_);_(@_)"/>
    <numFmt numFmtId="170" formatCode="_(* #,##0.00_);_(* \(#,##0.00\);_(* &quot;-&quot;??_);_(@_)"/>
    <numFmt numFmtId="171" formatCode="#,##0.0000"/>
    <numFmt numFmtId="172" formatCode="_ * #,##0.0000_ ;_ * \-#,##0.0000_ ;_ * &quot;-&quot;??_ ;_ @_ "/>
    <numFmt numFmtId="173" formatCode="_ * #,##0.0000_ ;_ * \-#,##0.0000_ ;_ * &quot;-&quot;????_ ;_ @_ "/>
  </numFmts>
  <fonts count="57">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sz val="10"/>
      <color rgb="FF000000"/>
      <name val="Arial"/>
      <family val="2"/>
    </font>
    <font>
      <b/>
      <sz val="12"/>
      <color theme="1"/>
      <name val="Calibri"/>
      <family val="2"/>
      <scheme val="minor"/>
    </font>
    <font>
      <b/>
      <sz val="11"/>
      <color rgb="FFFF0000"/>
      <name val="Calibri"/>
      <family val="2"/>
      <scheme val="minor"/>
    </font>
    <font>
      <i/>
      <sz val="11"/>
      <color theme="1"/>
      <name val="Calibri"/>
      <family val="2"/>
      <scheme val="minor"/>
    </font>
    <font>
      <sz val="10"/>
      <name val="Arial"/>
      <family val="2"/>
    </font>
    <font>
      <sz val="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sz val="10"/>
      <color indexed="8"/>
      <name val="MS Sans Serif"/>
      <family val="2"/>
    </font>
    <font>
      <sz val="10"/>
      <name val="Comic Sans MS"/>
      <family val="4"/>
    </font>
    <font>
      <sz val="12"/>
      <name val="Times New Roman"/>
      <family val="1"/>
    </font>
    <font>
      <sz val="10"/>
      <color indexed="8"/>
      <name val="EYInterstate Light"/>
      <family val="2"/>
    </font>
    <font>
      <sz val="10"/>
      <color indexed="9"/>
      <name val="EYInterstate Light"/>
      <family val="2"/>
    </font>
    <font>
      <sz val="10"/>
      <color indexed="20"/>
      <name val="EYInterstate Light"/>
      <family val="2"/>
    </font>
    <font>
      <b/>
      <sz val="10"/>
      <color indexed="52"/>
      <name val="EYInterstate Light"/>
      <family val="2"/>
    </font>
    <font>
      <b/>
      <sz val="10"/>
      <color indexed="9"/>
      <name val="EYInterstate Light"/>
      <family val="2"/>
    </font>
    <font>
      <i/>
      <sz val="10"/>
      <color indexed="23"/>
      <name val="EYInterstate Light"/>
      <family val="2"/>
    </font>
    <font>
      <sz val="10"/>
      <color indexed="17"/>
      <name val="EYInterstate Light"/>
      <family val="2"/>
    </font>
    <font>
      <b/>
      <sz val="15"/>
      <color indexed="56"/>
      <name val="EYInterstate Light"/>
      <family val="2"/>
    </font>
    <font>
      <b/>
      <sz val="13"/>
      <color indexed="56"/>
      <name val="EYInterstate Light"/>
      <family val="2"/>
    </font>
    <font>
      <b/>
      <sz val="11"/>
      <color indexed="56"/>
      <name val="EYInterstate Light"/>
      <family val="2"/>
    </font>
    <font>
      <sz val="10"/>
      <color indexed="62"/>
      <name val="EYInterstate Light"/>
      <family val="2"/>
    </font>
    <font>
      <sz val="10"/>
      <color indexed="52"/>
      <name val="EYInterstate Light"/>
      <family val="2"/>
    </font>
    <font>
      <sz val="10"/>
      <color indexed="60"/>
      <name val="EYInterstate Light"/>
      <family val="2"/>
    </font>
    <font>
      <sz val="9"/>
      <name val="Verdana"/>
      <family val="2"/>
    </font>
    <font>
      <b/>
      <sz val="10"/>
      <color indexed="63"/>
      <name val="EYInterstate Light"/>
      <family val="2"/>
    </font>
    <font>
      <b/>
      <sz val="10"/>
      <color indexed="8"/>
      <name val="EYInterstate Light"/>
      <family val="2"/>
    </font>
    <font>
      <sz val="10"/>
      <color indexed="10"/>
      <name val="EYInterstate Light"/>
      <family val="2"/>
    </font>
    <font>
      <u/>
      <sz val="11"/>
      <color theme="10"/>
      <name val="Calibri"/>
      <family val="2"/>
      <scheme val="minor"/>
    </font>
    <font>
      <sz val="11"/>
      <color rgb="FFFF0000"/>
      <name val="Calibri"/>
      <family val="2"/>
      <scheme val="minor"/>
    </font>
    <font>
      <sz val="11"/>
      <name val="Calibri"/>
      <family val="2"/>
      <scheme val="minor"/>
    </font>
    <font>
      <sz val="10"/>
      <color rgb="FFFF0000"/>
      <name val="Arial"/>
      <family val="2"/>
    </font>
    <font>
      <b/>
      <sz val="14"/>
      <color theme="0"/>
      <name val="Arial"/>
      <family val="2"/>
    </font>
    <font>
      <i/>
      <sz val="10"/>
      <name val="Arial"/>
      <family val="2"/>
    </font>
    <font>
      <sz val="9"/>
      <color indexed="81"/>
      <name val="Tahoma"/>
      <family val="2"/>
    </font>
  </fonts>
  <fills count="38">
    <fill>
      <patternFill patternType="none"/>
    </fill>
    <fill>
      <patternFill patternType="gray125"/>
    </fill>
    <fill>
      <patternFill patternType="solid">
        <fgColor theme="0" tint="-0.249977111117893"/>
        <bgColor indexed="64"/>
      </patternFill>
    </fill>
    <fill>
      <patternFill patternType="solid">
        <fgColor rgb="FFCCFFFF"/>
        <bgColor indexed="64"/>
      </patternFill>
    </fill>
    <fill>
      <patternFill patternType="solid">
        <fgColor rgb="FFCCFFCC"/>
        <bgColor indexed="64"/>
      </patternFill>
    </fill>
    <fill>
      <patternFill patternType="solid">
        <fgColor rgb="FFFFFFCC"/>
        <bgColor indexed="64"/>
      </patternFill>
    </fill>
    <fill>
      <patternFill patternType="solid">
        <fgColor rgb="FFFFCC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CCFF"/>
        <bgColor indexed="64"/>
      </patternFill>
    </fill>
    <fill>
      <patternFill patternType="solid">
        <fgColor rgb="FF5F1F7A"/>
        <bgColor indexed="64"/>
      </patternFill>
    </fill>
    <fill>
      <patternFill patternType="solid">
        <fgColor rgb="FFCCC8D9"/>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43">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8" fillId="0" borderId="0"/>
    <xf numFmtId="0" fontId="8" fillId="0" borderId="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2" fillId="17"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3" fillId="8" borderId="0" applyNumberFormat="0" applyBorder="0" applyAlignment="0" applyProtection="0"/>
    <xf numFmtId="0" fontId="14" fillId="25" borderId="1" applyNumberFormat="0" applyAlignment="0" applyProtection="0"/>
    <xf numFmtId="0" fontId="14" fillId="25" borderId="1" applyNumberFormat="0" applyAlignment="0" applyProtection="0"/>
    <xf numFmtId="0" fontId="15" fillId="26" borderId="2" applyNumberFormat="0" applyAlignment="0" applyProtection="0"/>
    <xf numFmtId="0" fontId="15" fillId="26" borderId="2" applyNumberFormat="0" applyAlignment="0" applyProtection="0"/>
    <xf numFmtId="169" fontId="8" fillId="0" borderId="0" applyFont="0" applyFill="0" applyBorder="0" applyAlignment="0" applyProtection="0"/>
    <xf numFmtId="0" fontId="16" fillId="0" borderId="0" applyNumberFormat="0" applyFill="0" applyBorder="0" applyAlignment="0" applyProtection="0"/>
    <xf numFmtId="0" fontId="23" fillId="0" borderId="3" applyNumberFormat="0" applyFill="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12" borderId="1" applyNumberFormat="0" applyAlignment="0" applyProtection="0"/>
    <xf numFmtId="0" fontId="22" fillId="12" borderId="1" applyNumberFormat="0" applyAlignment="0" applyProtection="0"/>
    <xf numFmtId="168" fontId="8" fillId="0" borderId="0" applyFont="0" applyFill="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3" fillId="0" borderId="3" applyNumberFormat="0" applyFill="0" applyAlignment="0" applyProtection="0"/>
    <xf numFmtId="0" fontId="24" fillId="27" borderId="0" applyNumberFormat="0" applyBorder="0" applyAlignment="0" applyProtection="0"/>
    <xf numFmtId="0" fontId="24" fillId="27" borderId="0" applyNumberFormat="0" applyBorder="0" applyAlignment="0" applyProtection="0"/>
    <xf numFmtId="0" fontId="31" fillId="0" borderId="0"/>
    <xf numFmtId="0" fontId="8" fillId="28" borderId="7" applyNumberFormat="0" applyFont="0" applyAlignment="0" applyProtection="0"/>
    <xf numFmtId="0" fontId="8" fillId="28" borderId="7" applyNumberFormat="0" applyFont="0" applyAlignment="0" applyProtection="0"/>
    <xf numFmtId="0" fontId="13" fillId="8" borderId="0" applyNumberFormat="0" applyBorder="0" applyAlignment="0" applyProtection="0"/>
    <xf numFmtId="0" fontId="25" fillId="25" borderId="8" applyNumberFormat="0" applyAlignment="0" applyProtection="0"/>
    <xf numFmtId="9" fontId="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5" fillId="25" borderId="8" applyNumberFormat="0" applyAlignment="0" applyProtection="0"/>
    <xf numFmtId="0" fontId="16"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8" fillId="0" borderId="0"/>
    <xf numFmtId="168" fontId="8" fillId="0" borderId="0" applyFont="0" applyFill="0" applyBorder="0" applyAlignment="0" applyProtection="0"/>
    <xf numFmtId="0" fontId="8" fillId="0" borderId="0"/>
    <xf numFmtId="0" fontId="30" fillId="0" borderId="0"/>
    <xf numFmtId="9" fontId="8" fillId="0" borderId="0" applyFont="0" applyFill="0" applyBorder="0" applyAlignment="0" applyProtection="0"/>
    <xf numFmtId="0" fontId="8" fillId="0" borderId="0"/>
    <xf numFmtId="0" fontId="8" fillId="0" borderId="0"/>
    <xf numFmtId="0" fontId="8" fillId="0" borderId="0" applyFill="0"/>
    <xf numFmtId="0" fontId="30" fillId="0" borderId="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0" borderId="0" applyNumberFormat="0" applyBorder="0" applyAlignment="0" applyProtection="0"/>
    <xf numFmtId="0" fontId="33" fillId="13" borderId="0" applyNumberFormat="0" applyBorder="0" applyAlignment="0" applyProtection="0"/>
    <xf numFmtId="0" fontId="33" fillId="16" borderId="0" applyNumberFormat="0" applyBorder="0" applyAlignment="0" applyProtection="0"/>
    <xf numFmtId="0" fontId="34" fillId="17"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4" borderId="0" applyNumberFormat="0" applyBorder="0" applyAlignment="0" applyProtection="0"/>
    <xf numFmtId="0" fontId="35" fillId="8" borderId="0" applyNumberFormat="0" applyBorder="0" applyAlignment="0" applyProtection="0"/>
    <xf numFmtId="0" fontId="36" fillId="25" borderId="1" applyNumberFormat="0" applyAlignment="0" applyProtection="0"/>
    <xf numFmtId="0" fontId="37" fillId="26" borderId="2" applyNumberFormat="0" applyAlignment="0" applyProtection="0"/>
    <xf numFmtId="170" fontId="32" fillId="0" borderId="0" applyFont="0" applyFill="0" applyBorder="0" applyAlignment="0" applyProtection="0"/>
    <xf numFmtId="43" fontId="32" fillId="0" borderId="0" applyFont="0" applyFill="0" applyBorder="0" applyAlignment="0" applyProtection="0"/>
    <xf numFmtId="169" fontId="8" fillId="0" borderId="0" applyFont="0" applyFill="0" applyBorder="0" applyAlignment="0" applyProtection="0"/>
    <xf numFmtId="0" fontId="38" fillId="0" borderId="0" applyNumberFormat="0" applyFill="0" applyBorder="0" applyAlignment="0" applyProtection="0"/>
    <xf numFmtId="0" fontId="39" fillId="9" borderId="0" applyNumberFormat="0" applyBorder="0" applyAlignment="0" applyProtection="0"/>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12" borderId="1" applyNumberFormat="0" applyAlignment="0" applyProtection="0"/>
    <xf numFmtId="168" fontId="8" fillId="0" borderId="0" applyFont="0" applyFill="0" applyBorder="0" applyAlignment="0" applyProtection="0"/>
    <xf numFmtId="0" fontId="44" fillId="0" borderId="3" applyNumberFormat="0" applyFill="0" applyAlignment="0" applyProtection="0"/>
    <xf numFmtId="0" fontId="45" fillId="27" borderId="0" applyNumberFormat="0" applyBorder="0" applyAlignment="0" applyProtection="0"/>
    <xf numFmtId="0" fontId="46" fillId="0" borderId="0"/>
    <xf numFmtId="0" fontId="32" fillId="0" borderId="0"/>
    <xf numFmtId="0" fontId="32" fillId="28" borderId="7" applyNumberFormat="0" applyFont="0" applyAlignment="0" applyProtection="0"/>
    <xf numFmtId="0" fontId="47" fillId="25" borderId="8" applyNumberFormat="0" applyAlignment="0" applyProtection="0"/>
    <xf numFmtId="0" fontId="26"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9" fillId="0" borderId="0" applyNumberFormat="0" applyFont="0" applyBorder="0" applyAlignment="0" applyProtection="0"/>
    <xf numFmtId="0" fontId="8" fillId="0" borderId="0"/>
    <xf numFmtId="168" fontId="8" fillId="0" borderId="0" applyFont="0" applyFill="0" applyBorder="0" applyAlignment="0" applyProtection="0"/>
    <xf numFmtId="0" fontId="1" fillId="0" borderId="0"/>
    <xf numFmtId="168" fontId="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0" fontId="8" fillId="0" borderId="0"/>
    <xf numFmtId="0" fontId="50" fillId="0" borderId="0" applyNumberFormat="0" applyFill="0" applyBorder="0" applyAlignment="0" applyProtection="0"/>
    <xf numFmtId="0" fontId="8" fillId="0" borderId="0">
      <alignment vertical="top"/>
    </xf>
    <xf numFmtId="49" fontId="54" fillId="36" borderId="10">
      <alignment vertical="top"/>
    </xf>
    <xf numFmtId="49" fontId="10" fillId="0" borderId="0">
      <alignment vertical="top"/>
    </xf>
    <xf numFmtId="49" fontId="55" fillId="0" borderId="0">
      <alignment vertical="top"/>
    </xf>
    <xf numFmtId="49" fontId="10" fillId="37" borderId="10">
      <alignment vertical="top"/>
    </xf>
  </cellStyleXfs>
  <cellXfs count="124">
    <xf numFmtId="0" fontId="0" fillId="0" borderId="0" xfId="0"/>
    <xf numFmtId="0" fontId="0" fillId="0" borderId="0" xfId="0"/>
    <xf numFmtId="0" fontId="2" fillId="0" borderId="0" xfId="0" applyFont="1"/>
    <xf numFmtId="0" fontId="0" fillId="0" borderId="0" xfId="0" applyFill="1"/>
    <xf numFmtId="0" fontId="0" fillId="0" borderId="0" xfId="0" applyFont="1"/>
    <xf numFmtId="3" fontId="0" fillId="0" borderId="0" xfId="0" applyNumberFormat="1"/>
    <xf numFmtId="0" fontId="3" fillId="2" borderId="0" xfId="0" applyFont="1" applyFill="1"/>
    <xf numFmtId="0" fontId="0" fillId="0" borderId="0" xfId="0" applyBorder="1"/>
    <xf numFmtId="0" fontId="0" fillId="0" borderId="0" xfId="0" applyFont="1" applyBorder="1"/>
    <xf numFmtId="0" fontId="5" fillId="2" borderId="0" xfId="0" applyFont="1" applyFill="1"/>
    <xf numFmtId="0" fontId="2" fillId="0" borderId="0" xfId="0" applyFont="1" applyBorder="1"/>
    <xf numFmtId="0" fontId="0" fillId="0" borderId="0" xfId="0" applyFont="1" applyFill="1" applyBorder="1"/>
    <xf numFmtId="0" fontId="2" fillId="0" borderId="0" xfId="0" applyFont="1" applyFill="1" applyBorder="1"/>
    <xf numFmtId="0" fontId="6" fillId="0" borderId="0" xfId="0" applyFont="1" applyBorder="1"/>
    <xf numFmtId="0" fontId="7" fillId="0" borderId="0" xfId="0" applyFont="1"/>
    <xf numFmtId="0" fontId="0" fillId="2" borderId="0" xfId="0" applyFont="1" applyFill="1"/>
    <xf numFmtId="164" fontId="0" fillId="0" borderId="0" xfId="1" applyNumberFormat="1" applyFont="1"/>
    <xf numFmtId="164" fontId="0" fillId="4" borderId="0" xfId="1" applyNumberFormat="1" applyFont="1" applyFill="1" applyBorder="1"/>
    <xf numFmtId="164" fontId="0" fillId="0" borderId="0" xfId="1" applyNumberFormat="1" applyFont="1" applyFill="1" applyBorder="1"/>
    <xf numFmtId="164" fontId="0" fillId="5" borderId="0" xfId="1" applyNumberFormat="1" applyFont="1" applyFill="1" applyBorder="1"/>
    <xf numFmtId="164" fontId="1" fillId="0" borderId="0" xfId="1" applyNumberFormat="1" applyFont="1" applyFill="1" applyBorder="1"/>
    <xf numFmtId="164" fontId="0" fillId="3" borderId="0" xfId="1" applyNumberFormat="1" applyFont="1" applyFill="1"/>
    <xf numFmtId="164" fontId="0" fillId="6" borderId="0" xfId="1" applyNumberFormat="1" applyFont="1" applyFill="1" applyBorder="1"/>
    <xf numFmtId="0" fontId="6" fillId="0" borderId="0" xfId="0" applyFont="1" applyAlignment="1">
      <alignment horizontal="center"/>
    </xf>
    <xf numFmtId="0" fontId="0" fillId="4" borderId="0" xfId="0" applyFont="1" applyFill="1" applyBorder="1"/>
    <xf numFmtId="0" fontId="2" fillId="2" borderId="0" xfId="0" applyFont="1" applyFill="1"/>
    <xf numFmtId="0" fontId="0" fillId="0" borderId="0" xfId="0"/>
    <xf numFmtId="0" fontId="3" fillId="2" borderId="0" xfId="0" applyFont="1" applyFill="1"/>
    <xf numFmtId="0" fontId="8" fillId="0" borderId="0" xfId="4" applyFont="1" applyAlignment="1"/>
    <xf numFmtId="0" fontId="10" fillId="0" borderId="0" xfId="4" applyFont="1" applyAlignment="1">
      <alignment horizontal="left" wrapText="1"/>
    </xf>
    <xf numFmtId="0" fontId="8" fillId="34" borderId="0" xfId="4" applyFont="1" applyFill="1"/>
    <xf numFmtId="0" fontId="8" fillId="0" borderId="0" xfId="4"/>
    <xf numFmtId="0" fontId="10" fillId="29" borderId="10" xfId="4" applyFont="1" applyFill="1" applyBorder="1"/>
    <xf numFmtId="0" fontId="10" fillId="29" borderId="10" xfId="5" applyFont="1" applyFill="1" applyBorder="1"/>
    <xf numFmtId="0" fontId="29" fillId="32" borderId="0" xfId="73" applyFont="1" applyFill="1" applyBorder="1"/>
    <xf numFmtId="0" fontId="10" fillId="34" borderId="0" xfId="4" applyFont="1" applyFill="1"/>
    <xf numFmtId="0" fontId="8" fillId="34" borderId="0" xfId="4" applyFill="1"/>
    <xf numFmtId="0" fontId="8" fillId="30" borderId="11" xfId="73" applyFont="1" applyFill="1" applyBorder="1"/>
    <xf numFmtId="0" fontId="8" fillId="32" borderId="0" xfId="73" applyFont="1" applyFill="1" applyBorder="1"/>
    <xf numFmtId="0" fontId="8" fillId="31" borderId="11" xfId="73" applyFont="1" applyFill="1" applyBorder="1"/>
    <xf numFmtId="0" fontId="8" fillId="33" borderId="11" xfId="73" applyFont="1" applyFill="1" applyBorder="1"/>
    <xf numFmtId="0" fontId="8" fillId="0" borderId="0" xfId="4" applyFont="1" applyAlignment="1">
      <alignment horizontal="left" wrapText="1"/>
    </xf>
    <xf numFmtId="0" fontId="8" fillId="5" borderId="11" xfId="73" applyFont="1" applyFill="1" applyBorder="1"/>
    <xf numFmtId="0" fontId="8" fillId="35" borderId="11" xfId="73" applyFont="1" applyFill="1" applyBorder="1"/>
    <xf numFmtId="0" fontId="0" fillId="0" borderId="0" xfId="0"/>
    <xf numFmtId="0" fontId="0" fillId="0" borderId="0" xfId="0" applyFont="1"/>
    <xf numFmtId="0" fontId="3" fillId="2" borderId="0" xfId="0" applyFont="1" applyFill="1"/>
    <xf numFmtId="3" fontId="0" fillId="0" borderId="0" xfId="0" applyNumberFormat="1" applyFill="1" applyBorder="1"/>
    <xf numFmtId="0" fontId="0" fillId="0" borderId="0" xfId="0" applyAlignment="1">
      <alignment horizontal="right"/>
    </xf>
    <xf numFmtId="0" fontId="0" fillId="0" borderId="0" xfId="0" applyAlignment="1">
      <alignment horizontal="left"/>
    </xf>
    <xf numFmtId="3" fontId="0" fillId="4" borderId="0" xfId="0" applyNumberFormat="1" applyFill="1" applyBorder="1"/>
    <xf numFmtId="4" fontId="0" fillId="4" borderId="0" xfId="0" applyNumberFormat="1" applyFill="1" applyBorder="1"/>
    <xf numFmtId="9" fontId="0" fillId="5" borderId="0" xfId="2" applyFont="1" applyFill="1"/>
    <xf numFmtId="0" fontId="7" fillId="0" borderId="0" xfId="0" applyFont="1"/>
    <xf numFmtId="10" fontId="0" fillId="6" borderId="0" xfId="2" applyNumberFormat="1" applyFont="1" applyFill="1"/>
    <xf numFmtId="165" fontId="0" fillId="5" borderId="0" xfId="0" applyNumberFormat="1" applyFill="1" applyBorder="1"/>
    <xf numFmtId="165" fontId="0" fillId="0" borderId="0" xfId="0" applyNumberFormat="1"/>
    <xf numFmtId="166" fontId="0" fillId="5" borderId="0" xfId="0" applyNumberFormat="1" applyFill="1"/>
    <xf numFmtId="0" fontId="0" fillId="0" borderId="0" xfId="0"/>
    <xf numFmtId="0" fontId="2" fillId="0" borderId="0" xfId="0" applyFont="1"/>
    <xf numFmtId="0" fontId="0" fillId="0" borderId="0" xfId="0" applyFill="1"/>
    <xf numFmtId="0" fontId="0" fillId="0" borderId="0" xfId="0" applyFont="1"/>
    <xf numFmtId="3" fontId="0" fillId="0" borderId="0" xfId="0" applyNumberFormat="1"/>
    <xf numFmtId="0" fontId="3" fillId="2" borderId="0" xfId="0" applyFont="1" applyFill="1"/>
    <xf numFmtId="0" fontId="0" fillId="0" borderId="0" xfId="0" applyBorder="1"/>
    <xf numFmtId="4" fontId="0" fillId="0" borderId="0" xfId="0" applyNumberFormat="1" applyFill="1" applyBorder="1"/>
    <xf numFmtId="0" fontId="0" fillId="0" borderId="0" xfId="0" applyFont="1" applyBorder="1"/>
    <xf numFmtId="0" fontId="2" fillId="0" borderId="0" xfId="0" applyFont="1" applyBorder="1"/>
    <xf numFmtId="0" fontId="0" fillId="0" borderId="0" xfId="0" applyFont="1" applyFill="1" applyBorder="1"/>
    <xf numFmtId="164" fontId="0" fillId="0" borderId="0" xfId="1" applyNumberFormat="1" applyFont="1" applyFill="1" applyBorder="1"/>
    <xf numFmtId="164" fontId="0" fillId="5" borderId="0" xfId="1" applyNumberFormat="1" applyFont="1" applyFill="1" applyBorder="1"/>
    <xf numFmtId="164" fontId="0" fillId="6" borderId="0" xfId="1" applyNumberFormat="1" applyFont="1" applyFill="1" applyBorder="1"/>
    <xf numFmtId="10" fontId="0" fillId="6" borderId="0" xfId="2" applyNumberFormat="1" applyFont="1" applyFill="1"/>
    <xf numFmtId="164" fontId="0" fillId="5" borderId="0" xfId="1" applyNumberFormat="1" applyFont="1" applyFill="1"/>
    <xf numFmtId="3" fontId="0" fillId="6" borderId="0" xfId="0" applyNumberFormat="1" applyFill="1" applyBorder="1"/>
    <xf numFmtId="166" fontId="0" fillId="0" borderId="0" xfId="0" applyNumberFormat="1" applyBorder="1"/>
    <xf numFmtId="166" fontId="0" fillId="3" borderId="0" xfId="0" applyNumberFormat="1" applyFont="1" applyFill="1" applyBorder="1"/>
    <xf numFmtId="0" fontId="0" fillId="4" borderId="0" xfId="0" applyFill="1"/>
    <xf numFmtId="0" fontId="50" fillId="0" borderId="0" xfId="137"/>
    <xf numFmtId="10" fontId="0" fillId="5" borderId="0" xfId="2" applyNumberFormat="1" applyFont="1" applyFill="1"/>
    <xf numFmtId="167" fontId="0" fillId="3" borderId="0" xfId="0" applyNumberFormat="1" applyFill="1"/>
    <xf numFmtId="171" fontId="0" fillId="4" borderId="0" xfId="0" applyNumberFormat="1" applyFill="1" applyBorder="1"/>
    <xf numFmtId="0" fontId="0" fillId="0" borderId="0" xfId="0" quotePrefix="1" applyFont="1" applyBorder="1"/>
    <xf numFmtId="0" fontId="0" fillId="0" borderId="0" xfId="0" quotePrefix="1" applyFont="1" applyFill="1" applyBorder="1"/>
    <xf numFmtId="0" fontId="7" fillId="0" borderId="0" xfId="0" applyFont="1" applyFill="1" applyBorder="1"/>
    <xf numFmtId="0" fontId="7" fillId="0" borderId="0" xfId="0" applyFont="1" applyBorder="1"/>
    <xf numFmtId="0" fontId="0" fillId="4" borderId="0" xfId="0" applyFont="1" applyFill="1"/>
    <xf numFmtId="164" fontId="0" fillId="5" borderId="0" xfId="0" applyNumberFormat="1" applyFont="1" applyFill="1"/>
    <xf numFmtId="0" fontId="0" fillId="0" borderId="0" xfId="0" applyFont="1" applyFill="1"/>
    <xf numFmtId="10" fontId="0" fillId="4" borderId="0" xfId="2" applyNumberFormat="1" applyFont="1" applyFill="1" applyBorder="1"/>
    <xf numFmtId="0" fontId="51" fillId="0" borderId="0" xfId="0" applyFont="1"/>
    <xf numFmtId="164" fontId="0" fillId="0" borderId="0" xfId="0" applyNumberFormat="1"/>
    <xf numFmtId="172" fontId="0" fillId="5" borderId="0" xfId="0" applyNumberFormat="1" applyFill="1" applyBorder="1"/>
    <xf numFmtId="0" fontId="52" fillId="0" borderId="0" xfId="0" applyFont="1" applyBorder="1"/>
    <xf numFmtId="0" fontId="52" fillId="0" borderId="0" xfId="0" applyFont="1" applyFill="1"/>
    <xf numFmtId="164" fontId="0" fillId="0" borderId="0" xfId="1" applyNumberFormat="1" applyFont="1" applyFill="1"/>
    <xf numFmtId="0" fontId="52" fillId="0" borderId="0" xfId="0" applyFont="1" applyFill="1" applyBorder="1"/>
    <xf numFmtId="0" fontId="52" fillId="0" borderId="0" xfId="4" applyFont="1" applyAlignment="1"/>
    <xf numFmtId="0" fontId="2" fillId="0" borderId="0" xfId="0" applyFont="1" applyAlignment="1">
      <alignment horizontal="left"/>
    </xf>
    <xf numFmtId="0" fontId="0" fillId="4" borderId="0" xfId="0" applyFont="1" applyFill="1" applyAlignment="1">
      <alignment horizontal="center"/>
    </xf>
    <xf numFmtId="166" fontId="0" fillId="5" borderId="0" xfId="0" applyNumberFormat="1" applyFill="1" applyBorder="1"/>
    <xf numFmtId="10" fontId="0" fillId="35" borderId="0" xfId="2" applyNumberFormat="1" applyFont="1" applyFill="1"/>
    <xf numFmtId="0" fontId="52" fillId="0" borderId="12" xfId="4" applyFont="1" applyBorder="1" applyAlignment="1">
      <alignment horizontal="left" wrapText="1"/>
    </xf>
    <xf numFmtId="0" fontId="52" fillId="0" borderId="13" xfId="4" applyFont="1" applyBorder="1" applyAlignment="1">
      <alignment horizontal="left" wrapText="1"/>
    </xf>
    <xf numFmtId="0" fontId="52" fillId="0" borderId="14" xfId="4" applyFont="1" applyBorder="1" applyAlignment="1">
      <alignment horizontal="left" wrapText="1"/>
    </xf>
    <xf numFmtId="0" fontId="8" fillId="0" borderId="0" xfId="138">
      <alignment vertical="top"/>
    </xf>
    <xf numFmtId="0" fontId="54" fillId="36" borderId="10" xfId="139" applyNumberFormat="1">
      <alignment vertical="top"/>
    </xf>
    <xf numFmtId="49" fontId="10" fillId="0" borderId="0" xfId="140">
      <alignment vertical="top"/>
    </xf>
    <xf numFmtId="0" fontId="10" fillId="0" borderId="0" xfId="138" applyFont="1">
      <alignment vertical="top"/>
    </xf>
    <xf numFmtId="0" fontId="53" fillId="0" borderId="0" xfId="138" applyFont="1">
      <alignment vertical="top"/>
    </xf>
    <xf numFmtId="0" fontId="55" fillId="0" borderId="0" xfId="138" applyFont="1">
      <alignment vertical="top"/>
    </xf>
    <xf numFmtId="49" fontId="10" fillId="37" borderId="10" xfId="142">
      <alignment vertical="top"/>
    </xf>
    <xf numFmtId="0" fontId="8" fillId="0" borderId="0" xfId="138" applyFont="1">
      <alignment vertical="top"/>
    </xf>
    <xf numFmtId="49" fontId="10" fillId="0" borderId="0" xfId="141" applyFont="1">
      <alignment vertical="top"/>
    </xf>
    <xf numFmtId="0" fontId="8" fillId="35" borderId="0" xfId="138" applyFill="1">
      <alignment vertical="top"/>
    </xf>
    <xf numFmtId="10" fontId="0" fillId="35" borderId="0" xfId="2" applyNumberFormat="1" applyFont="1" applyFill="1" applyBorder="1"/>
    <xf numFmtId="0" fontId="0" fillId="35" borderId="0" xfId="0" applyFill="1" applyBorder="1"/>
    <xf numFmtId="166" fontId="8" fillId="6" borderId="0" xfId="138" applyNumberFormat="1" applyFill="1">
      <alignment vertical="top"/>
    </xf>
    <xf numFmtId="166" fontId="8" fillId="3" borderId="0" xfId="138" applyNumberFormat="1" applyFill="1">
      <alignment vertical="top"/>
    </xf>
    <xf numFmtId="164" fontId="8" fillId="6" borderId="0" xfId="1" applyNumberFormat="1" applyFont="1" applyFill="1" applyAlignment="1">
      <alignment vertical="top"/>
    </xf>
    <xf numFmtId="164" fontId="8" fillId="3" borderId="0" xfId="1" applyNumberFormat="1" applyFont="1" applyFill="1" applyAlignment="1">
      <alignment vertical="top"/>
    </xf>
    <xf numFmtId="10" fontId="8" fillId="4" borderId="0" xfId="2" applyNumberFormat="1" applyFont="1" applyFill="1" applyAlignment="1">
      <alignment vertical="top"/>
    </xf>
    <xf numFmtId="49" fontId="55" fillId="0" borderId="0" xfId="140" applyFont="1">
      <alignment vertical="top"/>
    </xf>
    <xf numFmtId="173" fontId="8" fillId="0" borderId="0" xfId="138" applyNumberFormat="1">
      <alignment vertical="top"/>
    </xf>
  </cellXfs>
  <cellStyles count="143">
    <cellStyle name="_x000d__x000a_JournalTemplate=C:\COMFO\CTALK\JOURSTD.TPL_x000d__x000a_LbStateAddress=3 3 0 251 1 89 2 311_x000d__x000a_LbStateJou" xfId="5" xr:uid="{00000000-0005-0000-0000-000000000000}"/>
    <cellStyle name="_x000d__x000a_JournalTemplate=C:\COMFO\CTALK\JOURSTD.TPL_x000d__x000a_LbStateAddress=3 3 0 251 1 89 2 311_x000d__x000a_LbStateJou 2" xfId="70" xr:uid="{00000000-0005-0000-0000-000001000000}"/>
    <cellStyle name="_x000d__x000a_JournalTemplate=C:\COMFO\CTALK\JOURSTD.TPL_x000d__x000a_LbStateAddress=3 3 0 251 1 89 2 311_x000d__x000a_LbStateJou 2 2" xfId="133" xr:uid="{00000000-0005-0000-0000-000002000000}"/>
    <cellStyle name="_x000d__x000a_JournalTemplate=C:\COMFO\CTALK\JOURSTD.TPL_x000d__x000a_LbStateAddress=3 3 0 251 1 89 2 311_x000d__x000a_LbStateJou 3" xfId="69" xr:uid="{00000000-0005-0000-0000-000003000000}"/>
    <cellStyle name="_x000d__x000a_JournalTemplate=C:\COMFO\CTALK\JOURSTD.TPL_x000d__x000a_LbStateAddress=3 3 0 251 1 89 2 311_x000d__x000a_LbStateJou 4" xfId="78" xr:uid="{00000000-0005-0000-0000-000004000000}"/>
    <cellStyle name="_x000d__x000a_JournalTemplate=C:\COMFO\CTALK\JOURSTD.TPL_x000d__x000a_LbStateAddress=3 3 0 251 1 89 2 311_x000d__x000a_LbStateJou_100720 berekening x-factoren NG4R v4.2" xfId="136" xr:uid="{00000000-0005-0000-0000-000005000000}"/>
    <cellStyle name="_kop1 Bladtitel" xfId="139" xr:uid="{972E1654-39C1-4DE8-900D-40A76CD23522}"/>
    <cellStyle name="_kop2 Bloktitel" xfId="142" xr:uid="{788FF682-72AA-4CA7-8118-A5AA3E43B73D}"/>
    <cellStyle name="_kop3 Subkop" xfId="140" xr:uid="{790F612B-1874-42A4-9192-7250ACDAD7E3}"/>
    <cellStyle name="20% - Accent1 2" xfId="79" xr:uid="{00000000-0005-0000-0000-000006000000}"/>
    <cellStyle name="20% - Accent1 3" xfId="6" xr:uid="{00000000-0005-0000-0000-000007000000}"/>
    <cellStyle name="20% - Accent2 2" xfId="80" xr:uid="{00000000-0005-0000-0000-000008000000}"/>
    <cellStyle name="20% - Accent2 3" xfId="7" xr:uid="{00000000-0005-0000-0000-000009000000}"/>
    <cellStyle name="20% - Accent3 2" xfId="81" xr:uid="{00000000-0005-0000-0000-00000A000000}"/>
    <cellStyle name="20% - Accent3 3" xfId="8" xr:uid="{00000000-0005-0000-0000-00000B000000}"/>
    <cellStyle name="20% - Accent4 2" xfId="82" xr:uid="{00000000-0005-0000-0000-00000C000000}"/>
    <cellStyle name="20% - Accent4 3" xfId="9" xr:uid="{00000000-0005-0000-0000-00000D000000}"/>
    <cellStyle name="20% - Accent5 2" xfId="83" xr:uid="{00000000-0005-0000-0000-00000E000000}"/>
    <cellStyle name="20% - Accent5 3" xfId="10" xr:uid="{00000000-0005-0000-0000-00000F000000}"/>
    <cellStyle name="20% - Accent6 2" xfId="84" xr:uid="{00000000-0005-0000-0000-000010000000}"/>
    <cellStyle name="20% - Accent6 3" xfId="11" xr:uid="{00000000-0005-0000-0000-000011000000}"/>
    <cellStyle name="40% - Accent1 2" xfId="85" xr:uid="{00000000-0005-0000-0000-000012000000}"/>
    <cellStyle name="40% - Accent1 3" xfId="12" xr:uid="{00000000-0005-0000-0000-000013000000}"/>
    <cellStyle name="40% - Accent2 2" xfId="86" xr:uid="{00000000-0005-0000-0000-000014000000}"/>
    <cellStyle name="40% - Accent2 3" xfId="13" xr:uid="{00000000-0005-0000-0000-000015000000}"/>
    <cellStyle name="40% - Accent3 2" xfId="87" xr:uid="{00000000-0005-0000-0000-000016000000}"/>
    <cellStyle name="40% - Accent3 3" xfId="14" xr:uid="{00000000-0005-0000-0000-000017000000}"/>
    <cellStyle name="40% - Accent4 2" xfId="88" xr:uid="{00000000-0005-0000-0000-000018000000}"/>
    <cellStyle name="40% - Accent4 3" xfId="15" xr:uid="{00000000-0005-0000-0000-000019000000}"/>
    <cellStyle name="40% - Accent5 2" xfId="89" xr:uid="{00000000-0005-0000-0000-00001A000000}"/>
    <cellStyle name="40% - Accent5 3" xfId="16" xr:uid="{00000000-0005-0000-0000-00001B000000}"/>
    <cellStyle name="40% - Accent6 2" xfId="90" xr:uid="{00000000-0005-0000-0000-00001C000000}"/>
    <cellStyle name="40% - Accent6 3" xfId="17" xr:uid="{00000000-0005-0000-0000-00001D000000}"/>
    <cellStyle name="60% - Accent1 2" xfId="91" xr:uid="{00000000-0005-0000-0000-00001E000000}"/>
    <cellStyle name="60% - Accent1 3" xfId="18" xr:uid="{00000000-0005-0000-0000-00001F000000}"/>
    <cellStyle name="60% - Accent2 2" xfId="92" xr:uid="{00000000-0005-0000-0000-000020000000}"/>
    <cellStyle name="60% - Accent2 3" xfId="19" xr:uid="{00000000-0005-0000-0000-000021000000}"/>
    <cellStyle name="60% - Accent3 2" xfId="93" xr:uid="{00000000-0005-0000-0000-000022000000}"/>
    <cellStyle name="60% - Accent3 3" xfId="20" xr:uid="{00000000-0005-0000-0000-000023000000}"/>
    <cellStyle name="60% - Accent4 2" xfId="94" xr:uid="{00000000-0005-0000-0000-000024000000}"/>
    <cellStyle name="60% - Accent4 3" xfId="21" xr:uid="{00000000-0005-0000-0000-000025000000}"/>
    <cellStyle name="60% - Accent5 2" xfId="95" xr:uid="{00000000-0005-0000-0000-000026000000}"/>
    <cellStyle name="60% - Accent5 3" xfId="22" xr:uid="{00000000-0005-0000-0000-000027000000}"/>
    <cellStyle name="60% - Accent6 2" xfId="96" xr:uid="{00000000-0005-0000-0000-000028000000}"/>
    <cellStyle name="60% - Accent6 3" xfId="23" xr:uid="{00000000-0005-0000-0000-000029000000}"/>
    <cellStyle name="Accent1 2" xfId="97" xr:uid="{00000000-0005-0000-0000-00002A000000}"/>
    <cellStyle name="Accent1 3" xfId="24" xr:uid="{00000000-0005-0000-0000-00002B000000}"/>
    <cellStyle name="Accent2 2" xfId="98" xr:uid="{00000000-0005-0000-0000-00002C000000}"/>
    <cellStyle name="Accent2 3" xfId="25" xr:uid="{00000000-0005-0000-0000-00002D000000}"/>
    <cellStyle name="Accent3 2" xfId="99" xr:uid="{00000000-0005-0000-0000-00002E000000}"/>
    <cellStyle name="Accent3 3" xfId="26" xr:uid="{00000000-0005-0000-0000-00002F000000}"/>
    <cellStyle name="Accent4 2" xfId="100" xr:uid="{00000000-0005-0000-0000-000030000000}"/>
    <cellStyle name="Accent4 3" xfId="27" xr:uid="{00000000-0005-0000-0000-000031000000}"/>
    <cellStyle name="Accent5 2" xfId="101" xr:uid="{00000000-0005-0000-0000-000032000000}"/>
    <cellStyle name="Accent5 3" xfId="28" xr:uid="{00000000-0005-0000-0000-000033000000}"/>
    <cellStyle name="Accent6 2" xfId="102" xr:uid="{00000000-0005-0000-0000-000034000000}"/>
    <cellStyle name="Accent6 3" xfId="29" xr:uid="{00000000-0005-0000-0000-000035000000}"/>
    <cellStyle name="Bad" xfId="30" xr:uid="{00000000-0005-0000-0000-000036000000}"/>
    <cellStyle name="Bad 2" xfId="103" xr:uid="{00000000-0005-0000-0000-000037000000}"/>
    <cellStyle name="Berekening 2" xfId="31" xr:uid="{00000000-0005-0000-0000-000038000000}"/>
    <cellStyle name="Calculation" xfId="32" xr:uid="{00000000-0005-0000-0000-000039000000}"/>
    <cellStyle name="Calculation 2" xfId="104" xr:uid="{00000000-0005-0000-0000-00003A000000}"/>
    <cellStyle name="Check Cell" xfId="33" xr:uid="{00000000-0005-0000-0000-00003B000000}"/>
    <cellStyle name="Check Cell 2" xfId="105" xr:uid="{00000000-0005-0000-0000-00003C000000}"/>
    <cellStyle name="Comma 2" xfId="106" xr:uid="{00000000-0005-0000-0000-00003D000000}"/>
    <cellStyle name="Comma 3" xfId="107" xr:uid="{00000000-0005-0000-0000-00003E000000}"/>
    <cellStyle name="Controlecel 2" xfId="34" xr:uid="{00000000-0005-0000-0000-00003F000000}"/>
    <cellStyle name="Euro" xfId="35" xr:uid="{00000000-0005-0000-0000-000040000000}"/>
    <cellStyle name="Euro 2" xfId="108" xr:uid="{00000000-0005-0000-0000-000041000000}"/>
    <cellStyle name="Explanatory Text" xfId="36" xr:uid="{00000000-0005-0000-0000-000042000000}"/>
    <cellStyle name="Explanatory Text 2" xfId="109" xr:uid="{00000000-0005-0000-0000-000043000000}"/>
    <cellStyle name="Gekoppelde cel 2" xfId="37" xr:uid="{00000000-0005-0000-0000-000044000000}"/>
    <cellStyle name="Goed 2" xfId="38" xr:uid="{00000000-0005-0000-0000-000045000000}"/>
    <cellStyle name="Good" xfId="39" xr:uid="{00000000-0005-0000-0000-000046000000}"/>
    <cellStyle name="Good 2" xfId="110" xr:uid="{00000000-0005-0000-0000-000047000000}"/>
    <cellStyle name="Header" xfId="40" xr:uid="{00000000-0005-0000-0000-000048000000}"/>
    <cellStyle name="Heading 1" xfId="41" xr:uid="{00000000-0005-0000-0000-000049000000}"/>
    <cellStyle name="Heading 1 2" xfId="111" xr:uid="{00000000-0005-0000-0000-00004A000000}"/>
    <cellStyle name="Heading 2" xfId="42" xr:uid="{00000000-0005-0000-0000-00004B000000}"/>
    <cellStyle name="Heading 2 2" xfId="112" xr:uid="{00000000-0005-0000-0000-00004C000000}"/>
    <cellStyle name="Heading 3" xfId="43" xr:uid="{00000000-0005-0000-0000-00004D000000}"/>
    <cellStyle name="Heading 3 2" xfId="113" xr:uid="{00000000-0005-0000-0000-00004E000000}"/>
    <cellStyle name="Heading 4" xfId="44" xr:uid="{00000000-0005-0000-0000-00004F000000}"/>
    <cellStyle name="Heading 4 2" xfId="114" xr:uid="{00000000-0005-0000-0000-000050000000}"/>
    <cellStyle name="Hyperlink" xfId="137" builtinId="8"/>
    <cellStyle name="Input" xfId="45" xr:uid="{00000000-0005-0000-0000-000052000000}"/>
    <cellStyle name="Input 2" xfId="115" xr:uid="{00000000-0005-0000-0000-000053000000}"/>
    <cellStyle name="Invoer 2" xfId="46" xr:uid="{00000000-0005-0000-0000-000054000000}"/>
    <cellStyle name="Komma" xfId="1" builtinId="3"/>
    <cellStyle name="Komma 14 2" xfId="130" xr:uid="{00000000-0005-0000-0000-000056000000}"/>
    <cellStyle name="Komma 2" xfId="71" xr:uid="{00000000-0005-0000-0000-000057000000}"/>
    <cellStyle name="Komma 2 2" xfId="128" xr:uid="{00000000-0005-0000-0000-000058000000}"/>
    <cellStyle name="Komma 2 3" xfId="134" xr:uid="{00000000-0005-0000-0000-000059000000}"/>
    <cellStyle name="Komma 3" xfId="116" xr:uid="{00000000-0005-0000-0000-00005A000000}"/>
    <cellStyle name="Komma 3 2" xfId="135" xr:uid="{00000000-0005-0000-0000-00005B000000}"/>
    <cellStyle name="Komma 4" xfId="131" xr:uid="{00000000-0005-0000-0000-00005C000000}"/>
    <cellStyle name="Komma 5" xfId="47" xr:uid="{00000000-0005-0000-0000-00005D000000}"/>
    <cellStyle name="Kop 1 2" xfId="48" xr:uid="{00000000-0005-0000-0000-00005E000000}"/>
    <cellStyle name="Kop 2 2" xfId="49" xr:uid="{00000000-0005-0000-0000-00005F000000}"/>
    <cellStyle name="Kop 3 2" xfId="50" xr:uid="{00000000-0005-0000-0000-000060000000}"/>
    <cellStyle name="Kop 4 2" xfId="51" xr:uid="{00000000-0005-0000-0000-000061000000}"/>
    <cellStyle name="Linked Cell" xfId="52" xr:uid="{00000000-0005-0000-0000-000062000000}"/>
    <cellStyle name="Linked Cell 2" xfId="117" xr:uid="{00000000-0005-0000-0000-000063000000}"/>
    <cellStyle name="Neutraal 2" xfId="53" xr:uid="{00000000-0005-0000-0000-000064000000}"/>
    <cellStyle name="Neutral" xfId="54" xr:uid="{00000000-0005-0000-0000-000065000000}"/>
    <cellStyle name="Neutral 2" xfId="118" xr:uid="{00000000-0005-0000-0000-000066000000}"/>
    <cellStyle name="Normal 2" xfId="119" xr:uid="{00000000-0005-0000-0000-000067000000}"/>
    <cellStyle name="Normal 3" xfId="120" xr:uid="{00000000-0005-0000-0000-000068000000}"/>
    <cellStyle name="Normal_# klanten" xfId="55" xr:uid="{00000000-0005-0000-0000-000069000000}"/>
    <cellStyle name="Note" xfId="56" xr:uid="{00000000-0005-0000-0000-00006A000000}"/>
    <cellStyle name="Note 2" xfId="121" xr:uid="{00000000-0005-0000-0000-00006B000000}"/>
    <cellStyle name="Notitie 2" xfId="57" xr:uid="{00000000-0005-0000-0000-00006C000000}"/>
    <cellStyle name="Ongeldig 2" xfId="58" xr:uid="{00000000-0005-0000-0000-00006D000000}"/>
    <cellStyle name="Output" xfId="59" xr:uid="{00000000-0005-0000-0000-00006E000000}"/>
    <cellStyle name="Output 2" xfId="122" xr:uid="{00000000-0005-0000-0000-00006F000000}"/>
    <cellStyle name="Procent" xfId="2" builtinId="5"/>
    <cellStyle name="Procent 2" xfId="74" xr:uid="{00000000-0005-0000-0000-000071000000}"/>
    <cellStyle name="Procent 3" xfId="132" xr:uid="{00000000-0005-0000-0000-000072000000}"/>
    <cellStyle name="Procent 4" xfId="60" xr:uid="{00000000-0005-0000-0000-000073000000}"/>
    <cellStyle name="Standaard" xfId="0" builtinId="0"/>
    <cellStyle name="Standaard 2" xfId="3" xr:uid="{00000000-0005-0000-0000-000075000000}"/>
    <cellStyle name="Standaard 2 2" xfId="76" xr:uid="{00000000-0005-0000-0000-000076000000}"/>
    <cellStyle name="Standaard 2 3" xfId="127" xr:uid="{00000000-0005-0000-0000-000077000000}"/>
    <cellStyle name="Standaard 2 4" xfId="72" xr:uid="{00000000-0005-0000-0000-000078000000}"/>
    <cellStyle name="Standaard 3" xfId="75" xr:uid="{00000000-0005-0000-0000-000079000000}"/>
    <cellStyle name="Standaard 4" xfId="77" xr:uid="{00000000-0005-0000-0000-00007A000000}"/>
    <cellStyle name="Standaard 5" xfId="129" xr:uid="{00000000-0005-0000-0000-00007B000000}"/>
    <cellStyle name="Standaard 6" xfId="4" xr:uid="{00000000-0005-0000-0000-00007C000000}"/>
    <cellStyle name="Standaard ACM-DE" xfId="138" xr:uid="{D9BB5DB2-3BD8-4C86-9687-3E1D8C032253}"/>
    <cellStyle name="Standaard_20100727 Rekenmodel NE5R v1.9" xfId="73" xr:uid="{00000000-0005-0000-0000-00007D000000}"/>
    <cellStyle name="Titel 2" xfId="61" xr:uid="{00000000-0005-0000-0000-00007E000000}"/>
    <cellStyle name="Title" xfId="62" xr:uid="{00000000-0005-0000-0000-00007F000000}"/>
    <cellStyle name="Title 2" xfId="123" xr:uid="{00000000-0005-0000-0000-000080000000}"/>
    <cellStyle name="Toelichting" xfId="141" xr:uid="{87CDE6B6-7757-41C7-B392-5C1F64A0FEDE}"/>
    <cellStyle name="Totaal 2" xfId="63" xr:uid="{00000000-0005-0000-0000-000081000000}"/>
    <cellStyle name="Total" xfId="64" xr:uid="{00000000-0005-0000-0000-000082000000}"/>
    <cellStyle name="Total 2" xfId="124" xr:uid="{00000000-0005-0000-0000-000083000000}"/>
    <cellStyle name="Uitvoer 2" xfId="65" xr:uid="{00000000-0005-0000-0000-000084000000}"/>
    <cellStyle name="Verklarende tekst 2" xfId="66" xr:uid="{00000000-0005-0000-0000-000085000000}"/>
    <cellStyle name="Waarschuwingstekst 2" xfId="67" xr:uid="{00000000-0005-0000-0000-000086000000}"/>
    <cellStyle name="Warning Text" xfId="68" xr:uid="{00000000-0005-0000-0000-000087000000}"/>
    <cellStyle name="Warning Text 2" xfId="125" xr:uid="{00000000-0005-0000-0000-000088000000}"/>
    <cellStyle name="WIt" xfId="126" xr:uid="{00000000-0005-0000-0000-000089000000}"/>
  </cellStyles>
  <dxfs count="0"/>
  <tableStyles count="0" defaultTableStyle="TableStyleMedium2" defaultPivotStyle="PivotStyleLight16"/>
  <colors>
    <mruColors>
      <color rgb="FFCCFFCC"/>
      <color rgb="FFCCFFFF"/>
      <color rgb="FFFFCC99"/>
      <color rgb="FFFFCCFF"/>
      <color rgb="FFFF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statline.cbs.nl/Statweb/publication/?DM=SLNL&amp;PA=81122NED&amp;D1=0-2&amp;D2=0&amp;D3=a&amp;D4=a&amp;VW=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
  <sheetViews>
    <sheetView showGridLines="0" zoomScale="85" zoomScaleNormal="85" workbookViewId="0"/>
  </sheetViews>
  <sheetFormatPr defaultRowHeight="15"/>
  <cols>
    <col min="2" max="2" width="172.140625" customWidth="1"/>
  </cols>
  <sheetData>
    <row r="1" spans="1:4" s="27" customFormat="1" ht="26.25">
      <c r="A1" s="27" t="s">
        <v>114</v>
      </c>
    </row>
    <row r="3" spans="1:4">
      <c r="A3" s="26"/>
      <c r="B3" s="32" t="s">
        <v>23</v>
      </c>
      <c r="C3" s="26"/>
      <c r="D3" s="26"/>
    </row>
    <row r="4" spans="1:4">
      <c r="A4" s="26"/>
      <c r="B4" s="26"/>
      <c r="C4" s="26"/>
      <c r="D4" s="26"/>
    </row>
    <row r="5" spans="1:4">
      <c r="A5" s="26"/>
      <c r="B5" s="28" t="s">
        <v>24</v>
      </c>
      <c r="C5" s="28"/>
      <c r="D5" s="28"/>
    </row>
    <row r="6" spans="1:4" s="58" customFormat="1">
      <c r="B6" s="28" t="s">
        <v>149</v>
      </c>
      <c r="C6" s="28"/>
      <c r="D6" s="28"/>
    </row>
    <row r="7" spans="1:4">
      <c r="A7" s="26"/>
      <c r="B7" s="28" t="s">
        <v>150</v>
      </c>
      <c r="C7" s="41"/>
      <c r="D7" s="41"/>
    </row>
    <row r="8" spans="1:4" s="58" customFormat="1" ht="15.75" customHeight="1" thickBot="1">
      <c r="B8" s="28"/>
      <c r="C8" s="41"/>
      <c r="D8" s="41"/>
    </row>
    <row r="9" spans="1:4" s="58" customFormat="1" ht="15.75" customHeight="1">
      <c r="B9" s="102" t="s">
        <v>153</v>
      </c>
      <c r="C9" s="41"/>
      <c r="D9" s="41"/>
    </row>
    <row r="10" spans="1:4" s="58" customFormat="1" ht="15.75" customHeight="1">
      <c r="B10" s="103" t="s">
        <v>154</v>
      </c>
      <c r="C10" s="41"/>
      <c r="D10" s="41"/>
    </row>
    <row r="11" spans="1:4" s="58" customFormat="1" ht="15.75" customHeight="1" thickBot="1">
      <c r="B11" s="104" t="s">
        <v>158</v>
      </c>
      <c r="C11" s="41"/>
      <c r="D11" s="41"/>
    </row>
    <row r="12" spans="1:4" s="58" customFormat="1" ht="15.75" customHeight="1">
      <c r="B12" s="97"/>
      <c r="C12" s="41"/>
      <c r="D12" s="41"/>
    </row>
    <row r="13" spans="1:4">
      <c r="A13" s="26"/>
      <c r="B13" s="41" t="s">
        <v>25</v>
      </c>
      <c r="C13" s="41"/>
      <c r="D13" s="41"/>
    </row>
    <row r="14" spans="1:4">
      <c r="A14" s="26"/>
      <c r="B14" s="29" t="s">
        <v>26</v>
      </c>
      <c r="C14" s="41"/>
      <c r="D14" s="41"/>
    </row>
    <row r="15" spans="1:4">
      <c r="A15" s="26"/>
      <c r="B15" s="30" t="s">
        <v>27</v>
      </c>
      <c r="C15" s="36"/>
      <c r="D15" s="36"/>
    </row>
    <row r="16" spans="1:4">
      <c r="A16" s="26"/>
      <c r="B16" s="30" t="s">
        <v>115</v>
      </c>
      <c r="C16" s="36"/>
      <c r="D16" s="36"/>
    </row>
    <row r="17" spans="1:4">
      <c r="A17" s="26"/>
      <c r="B17" s="30" t="s">
        <v>28</v>
      </c>
      <c r="C17" s="36"/>
      <c r="D17" s="36"/>
    </row>
    <row r="18" spans="1:4">
      <c r="A18" s="26"/>
      <c r="B18" s="35"/>
      <c r="C18" s="36"/>
      <c r="D18" s="36"/>
    </row>
    <row r="19" spans="1:4">
      <c r="A19" s="26"/>
      <c r="B19" s="26"/>
      <c r="C19" s="26"/>
      <c r="D19" s="26"/>
    </row>
    <row r="20" spans="1:4">
      <c r="A20" s="26"/>
      <c r="B20" s="33" t="s">
        <v>29</v>
      </c>
      <c r="C20" s="36"/>
      <c r="D20" s="36"/>
    </row>
    <row r="21" spans="1:4">
      <c r="A21" s="26"/>
      <c r="B21" s="26"/>
      <c r="C21" s="26"/>
      <c r="D21" s="26"/>
    </row>
    <row r="22" spans="1:4">
      <c r="A22" s="26"/>
      <c r="B22" s="37" t="s">
        <v>30</v>
      </c>
      <c r="C22" s="31"/>
      <c r="D22" s="31"/>
    </row>
    <row r="23" spans="1:4">
      <c r="A23" s="26"/>
      <c r="B23" s="38"/>
      <c r="C23" s="31"/>
      <c r="D23" s="31"/>
    </row>
    <row r="24" spans="1:4">
      <c r="A24" s="26"/>
      <c r="B24" s="42" t="s">
        <v>31</v>
      </c>
      <c r="C24" s="31"/>
      <c r="D24" s="31"/>
    </row>
    <row r="25" spans="1:4">
      <c r="A25" s="26"/>
      <c r="B25" s="38"/>
      <c r="C25" s="31"/>
      <c r="D25" s="31"/>
    </row>
    <row r="26" spans="1:4">
      <c r="A26" s="26"/>
      <c r="B26" s="39" t="s">
        <v>32</v>
      </c>
      <c r="C26" s="31"/>
      <c r="D26" s="31"/>
    </row>
    <row r="27" spans="1:4">
      <c r="A27" s="26"/>
      <c r="B27" s="34"/>
      <c r="C27" s="31"/>
      <c r="D27" s="31"/>
    </row>
    <row r="28" spans="1:4">
      <c r="A28" s="26"/>
      <c r="B28" s="40" t="s">
        <v>33</v>
      </c>
      <c r="C28" s="31"/>
      <c r="D28" s="31"/>
    </row>
    <row r="29" spans="1:4">
      <c r="A29" s="26"/>
      <c r="B29" s="26"/>
      <c r="C29" s="26"/>
      <c r="D29" s="26"/>
    </row>
    <row r="30" spans="1:4">
      <c r="A30" s="26"/>
      <c r="B30" s="43" t="s">
        <v>34</v>
      </c>
      <c r="C30" s="31"/>
      <c r="D30" s="31"/>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E6808-0A3C-48C0-B0EC-B2B708D09AF8}">
  <sheetPr>
    <tabColor rgb="FFCCFFFF"/>
  </sheetPr>
  <dimension ref="A1:J21"/>
  <sheetViews>
    <sheetView showGridLines="0" zoomScale="85" zoomScaleNormal="85" workbookViewId="0"/>
  </sheetViews>
  <sheetFormatPr defaultRowHeight="15"/>
  <cols>
    <col min="1" max="1" width="9.140625" style="58"/>
    <col min="2" max="2" width="34.28515625" style="58" bestFit="1" customWidth="1"/>
    <col min="3" max="3" width="9.140625" style="58"/>
    <col min="4" max="4" width="23.140625" style="58" customWidth="1"/>
    <col min="5" max="5" width="11.85546875" style="58" customWidth="1"/>
    <col min="6" max="16384" width="9.140625" style="58"/>
  </cols>
  <sheetData>
    <row r="1" spans="1:9" s="63" customFormat="1" ht="26.25">
      <c r="A1" s="63" t="s">
        <v>56</v>
      </c>
    </row>
    <row r="3" spans="1:9" s="25" customFormat="1">
      <c r="B3" s="25" t="s">
        <v>57</v>
      </c>
    </row>
    <row r="4" spans="1:9">
      <c r="B4" s="66"/>
      <c r="C4" s="66"/>
      <c r="D4" s="66"/>
      <c r="E4" s="69"/>
      <c r="F4" s="61"/>
    </row>
    <row r="5" spans="1:9">
      <c r="B5" s="66" t="s">
        <v>22</v>
      </c>
      <c r="C5" s="66"/>
      <c r="D5" s="66" t="s">
        <v>19</v>
      </c>
      <c r="E5" s="71">
        <f>'Costs (BoB 2018)'!E56</f>
        <v>13381478.421289288</v>
      </c>
      <c r="F5" s="61"/>
    </row>
    <row r="6" spans="1:9">
      <c r="B6" s="66"/>
      <c r="C6" s="66"/>
      <c r="D6" s="66"/>
      <c r="E6" s="66"/>
      <c r="F6" s="61"/>
    </row>
    <row r="7" spans="1:9">
      <c r="B7" s="58" t="s">
        <v>38</v>
      </c>
      <c r="C7" s="61"/>
      <c r="D7" s="61" t="s">
        <v>59</v>
      </c>
      <c r="E7" s="72">
        <f>'Input (BoB 2018)'!C5</f>
        <v>6.0000000000000001E-3</v>
      </c>
      <c r="F7" s="61"/>
      <c r="H7" s="62"/>
      <c r="I7" s="62"/>
    </row>
    <row r="8" spans="1:9">
      <c r="B8" s="58" t="s">
        <v>111</v>
      </c>
      <c r="D8" s="58" t="s">
        <v>59</v>
      </c>
      <c r="E8" s="72">
        <f>'Input (BoB 2018)'!C6</f>
        <v>6.0000000000000001E-3</v>
      </c>
      <c r="F8" s="61"/>
    </row>
    <row r="9" spans="1:9" s="94" customFormat="1">
      <c r="A9" s="58"/>
      <c r="B9" s="58" t="s">
        <v>112</v>
      </c>
      <c r="C9" s="58"/>
      <c r="D9" s="66" t="s">
        <v>110</v>
      </c>
      <c r="E9" s="73">
        <f>E5*(1+E7)*(1+E8)</f>
        <v>13542537.895567924</v>
      </c>
      <c r="F9" s="58"/>
    </row>
    <row r="10" spans="1:9">
      <c r="B10" s="66" t="s">
        <v>58</v>
      </c>
      <c r="C10" s="66"/>
      <c r="D10" s="66" t="s">
        <v>110</v>
      </c>
      <c r="E10" s="71">
        <f>'Costs (BoB 2018)'!E65</f>
        <v>1126152</v>
      </c>
      <c r="F10" s="61"/>
    </row>
    <row r="11" spans="1:9" s="94" customFormat="1">
      <c r="A11" s="58"/>
      <c r="B11" s="68" t="s">
        <v>113</v>
      </c>
      <c r="C11" s="58"/>
      <c r="D11" s="66" t="s">
        <v>110</v>
      </c>
      <c r="E11" s="73">
        <f>E9+E10</f>
        <v>14668689.895567924</v>
      </c>
      <c r="F11" s="58"/>
    </row>
    <row r="12" spans="1:9" s="94" customFormat="1">
      <c r="A12" s="58"/>
      <c r="B12" s="58"/>
      <c r="C12" s="58"/>
      <c r="D12" s="66"/>
      <c r="E12" s="95"/>
      <c r="F12" s="58"/>
    </row>
    <row r="14" spans="1:9" s="25" customFormat="1">
      <c r="B14" s="25" t="s">
        <v>60</v>
      </c>
    </row>
    <row r="15" spans="1:9">
      <c r="B15" s="59"/>
      <c r="C15" s="59"/>
      <c r="D15" s="59"/>
    </row>
    <row r="16" spans="1:9">
      <c r="B16" s="64" t="s">
        <v>61</v>
      </c>
      <c r="C16" s="64"/>
      <c r="D16" s="64" t="s">
        <v>40</v>
      </c>
      <c r="E16" s="74">
        <f>'Input (BoB 2018)'!C9</f>
        <v>103709394</v>
      </c>
      <c r="F16" s="64"/>
    </row>
    <row r="17" spans="2:10">
      <c r="B17" s="64" t="s">
        <v>62</v>
      </c>
      <c r="C17" s="64"/>
      <c r="D17" s="64" t="s">
        <v>53</v>
      </c>
      <c r="E17" s="92">
        <f>E11/E16</f>
        <v>0.14144032020443514</v>
      </c>
      <c r="F17" s="64"/>
    </row>
    <row r="18" spans="2:10">
      <c r="B18" s="64"/>
      <c r="C18" s="64"/>
      <c r="D18" s="64"/>
      <c r="E18" s="75"/>
      <c r="F18" s="64"/>
    </row>
    <row r="19" spans="2:10">
      <c r="B19" s="64" t="s">
        <v>63</v>
      </c>
      <c r="C19" s="64"/>
      <c r="D19" s="64" t="s">
        <v>53</v>
      </c>
      <c r="E19" s="100">
        <f>'Input (BoB 2018)'!C26</f>
        <v>7.9443187503659266E-2</v>
      </c>
      <c r="F19" s="64"/>
      <c r="H19" s="64"/>
      <c r="I19" s="65"/>
      <c r="J19" s="64"/>
    </row>
    <row r="20" spans="2:10">
      <c r="B20" s="67" t="s">
        <v>64</v>
      </c>
      <c r="C20" s="66"/>
      <c r="D20" s="64" t="s">
        <v>53</v>
      </c>
      <c r="E20" s="76">
        <f>E17+E19</f>
        <v>0.2208835077080944</v>
      </c>
      <c r="F20" s="64"/>
      <c r="H20" s="64"/>
      <c r="I20" s="65"/>
      <c r="J20" s="64"/>
    </row>
    <row r="21" spans="2:10">
      <c r="E21" s="60"/>
      <c r="F21" s="64"/>
      <c r="I21" s="6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sheetPr>
  <dimension ref="B1:H31"/>
  <sheetViews>
    <sheetView showGridLines="0" zoomScale="85" zoomScaleNormal="85" workbookViewId="0"/>
  </sheetViews>
  <sheetFormatPr defaultRowHeight="15"/>
  <cols>
    <col min="1" max="1" width="9.140625" style="58"/>
    <col min="2" max="2" width="109" style="58" customWidth="1"/>
    <col min="3" max="3" width="9.140625" style="58"/>
    <col min="4" max="4" width="7.85546875" style="58" bestFit="1" customWidth="1"/>
    <col min="5" max="5" width="11.7109375" style="58" bestFit="1" customWidth="1"/>
    <col min="6" max="6" width="7" style="58" bestFit="1" customWidth="1"/>
    <col min="7" max="16384" width="9.140625" style="58"/>
  </cols>
  <sheetData>
    <row r="1" spans="2:6" s="63" customFormat="1" ht="26.25">
      <c r="B1" s="63" t="s">
        <v>65</v>
      </c>
    </row>
    <row r="3" spans="2:6">
      <c r="B3" s="58" t="s">
        <v>66</v>
      </c>
    </row>
    <row r="4" spans="2:6">
      <c r="B4" s="58" t="s">
        <v>67</v>
      </c>
    </row>
    <row r="5" spans="2:6">
      <c r="B5" s="58" t="s">
        <v>68</v>
      </c>
    </row>
    <row r="6" spans="2:6">
      <c r="B6" s="58" t="s">
        <v>69</v>
      </c>
    </row>
    <row r="7" spans="2:6">
      <c r="B7" s="58" t="s">
        <v>70</v>
      </c>
    </row>
    <row r="9" spans="2:6">
      <c r="B9" s="53" t="s">
        <v>136</v>
      </c>
    </row>
    <row r="11" spans="2:6" s="9" customFormat="1" ht="15.75">
      <c r="B11" s="9" t="s">
        <v>71</v>
      </c>
    </row>
    <row r="13" spans="2:6">
      <c r="B13" s="58" t="s">
        <v>72</v>
      </c>
    </row>
    <row r="14" spans="2:6">
      <c r="B14" s="58" t="s">
        <v>73</v>
      </c>
    </row>
    <row r="15" spans="2:6">
      <c r="D15" s="58" t="s">
        <v>74</v>
      </c>
      <c r="E15" s="58" t="s">
        <v>75</v>
      </c>
      <c r="F15" s="58" t="s">
        <v>76</v>
      </c>
    </row>
    <row r="16" spans="2:6">
      <c r="B16" s="58" t="s">
        <v>121</v>
      </c>
      <c r="C16" s="58" t="s">
        <v>77</v>
      </c>
      <c r="D16" s="77">
        <v>111.04</v>
      </c>
      <c r="E16" s="77">
        <v>121.51</v>
      </c>
      <c r="F16" s="77">
        <v>114.24</v>
      </c>
    </row>
    <row r="17" spans="2:8">
      <c r="B17" s="58" t="s">
        <v>122</v>
      </c>
      <c r="C17" s="58" t="s">
        <v>77</v>
      </c>
      <c r="D17" s="77">
        <v>111.75</v>
      </c>
      <c r="E17" s="77">
        <v>120.4</v>
      </c>
      <c r="F17" s="77">
        <v>114.46</v>
      </c>
    </row>
    <row r="18" spans="2:8">
      <c r="B18" s="58" t="s">
        <v>123</v>
      </c>
      <c r="C18" s="58" t="s">
        <v>77</v>
      </c>
      <c r="D18" s="77">
        <v>112.39</v>
      </c>
      <c r="E18" s="77">
        <v>122.92</v>
      </c>
      <c r="F18" s="77">
        <v>112.97</v>
      </c>
      <c r="H18" s="58" t="s">
        <v>118</v>
      </c>
    </row>
    <row r="20" spans="2:8">
      <c r="B20" s="58" t="s">
        <v>78</v>
      </c>
    </row>
    <row r="21" spans="2:8">
      <c r="B21" s="78" t="s">
        <v>79</v>
      </c>
    </row>
    <row r="23" spans="2:8" s="9" customFormat="1" ht="15.75">
      <c r="B23" s="9" t="s">
        <v>80</v>
      </c>
    </row>
    <row r="25" spans="2:8">
      <c r="B25" s="58" t="s">
        <v>137</v>
      </c>
      <c r="C25" s="58" t="s">
        <v>59</v>
      </c>
      <c r="D25" s="79">
        <f>(D17/D16)-1</f>
        <v>6.3940922190202087E-3</v>
      </c>
      <c r="E25" s="79">
        <f t="shared" ref="E25:F26" si="0">(E17/E16)-1</f>
        <v>-9.1350506131182563E-3</v>
      </c>
      <c r="F25" s="79">
        <f t="shared" si="0"/>
        <v>1.9257703081232425E-3</v>
      </c>
    </row>
    <row r="26" spans="2:8">
      <c r="B26" s="58" t="s">
        <v>138</v>
      </c>
      <c r="C26" s="58" t="s">
        <v>59</v>
      </c>
      <c r="D26" s="79">
        <f>(D18/D17)-1</f>
        <v>5.7270693512303517E-3</v>
      </c>
      <c r="E26" s="79">
        <f t="shared" si="0"/>
        <v>2.0930232558139528E-2</v>
      </c>
      <c r="F26" s="79">
        <f t="shared" si="0"/>
        <v>-1.3017648086667832E-2</v>
      </c>
    </row>
    <row r="29" spans="2:8">
      <c r="B29" s="58" t="s">
        <v>81</v>
      </c>
    </row>
    <row r="30" spans="2:8">
      <c r="B30" s="58" t="s">
        <v>82</v>
      </c>
      <c r="C30" s="58" t="s">
        <v>59</v>
      </c>
      <c r="D30" s="80">
        <f>ROUND(D25,3)</f>
        <v>6.0000000000000001E-3</v>
      </c>
      <c r="E30" s="80">
        <f t="shared" ref="E30:F31" si="1">ROUND(E25,3)</f>
        <v>-8.9999999999999993E-3</v>
      </c>
      <c r="F30" s="80">
        <f t="shared" si="1"/>
        <v>2E-3</v>
      </c>
    </row>
    <row r="31" spans="2:8">
      <c r="B31" s="58" t="s">
        <v>83</v>
      </c>
      <c r="C31" s="58" t="s">
        <v>59</v>
      </c>
      <c r="D31" s="80">
        <f>ROUND(D26,3)</f>
        <v>6.0000000000000001E-3</v>
      </c>
      <c r="E31" s="80">
        <f t="shared" si="1"/>
        <v>2.1000000000000001E-2</v>
      </c>
      <c r="F31" s="80">
        <f t="shared" si="1"/>
        <v>-1.2999999999999999E-2</v>
      </c>
    </row>
  </sheetData>
  <hyperlinks>
    <hyperlink ref="B21" r:id="rId1" xr:uid="{00000000-0004-0000-04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FFF17-A100-4A0A-AD65-6C27D936A7AE}">
  <sheetPr>
    <tabColor rgb="FFFFCCFF"/>
  </sheetPr>
  <dimension ref="B1:J231"/>
  <sheetViews>
    <sheetView showGridLines="0" tabSelected="1" zoomScale="90" zoomScaleNormal="90" workbookViewId="0">
      <selection activeCell="E48" sqref="E48"/>
    </sheetView>
  </sheetViews>
  <sheetFormatPr defaultRowHeight="15"/>
  <cols>
    <col min="1" max="1" width="3.140625" customWidth="1"/>
    <col min="2" max="2" width="65.28515625" customWidth="1"/>
    <col min="5" max="5" width="14.28515625" customWidth="1"/>
    <col min="6" max="6" width="20.7109375" customWidth="1"/>
    <col min="7" max="7" width="2.85546875" customWidth="1"/>
    <col min="8" max="8" width="15.42578125" customWidth="1"/>
    <col min="9" max="9" width="2.85546875" customWidth="1"/>
    <col min="10" max="10" width="38.5703125" customWidth="1"/>
  </cols>
  <sheetData>
    <row r="1" spans="2:8" s="105" customFormat="1" ht="12.75"/>
    <row r="2" spans="2:8" s="106" customFormat="1" ht="18">
      <c r="B2" s="106" t="s">
        <v>181</v>
      </c>
    </row>
    <row r="3" spans="2:8" s="105" customFormat="1" ht="12.75"/>
    <row r="4" spans="2:8" s="105" customFormat="1" ht="12.75">
      <c r="B4" s="105" t="s">
        <v>157</v>
      </c>
    </row>
    <row r="5" spans="2:8" s="105" customFormat="1" ht="12.75">
      <c r="B5" s="105" t="s">
        <v>159</v>
      </c>
    </row>
    <row r="6" spans="2:8" s="105" customFormat="1" ht="12.75"/>
    <row r="7" spans="2:8" s="105" customFormat="1" ht="12.75">
      <c r="B7" s="107" t="s">
        <v>160</v>
      </c>
    </row>
    <row r="8" spans="2:8" s="105" customFormat="1" ht="12.75">
      <c r="B8" s="108" t="s">
        <v>161</v>
      </c>
    </row>
    <row r="9" spans="2:8" s="105" customFormat="1" ht="12.75"/>
    <row r="10" spans="2:8" s="105" customFormat="1" ht="12.75">
      <c r="B10" s="107" t="s">
        <v>155</v>
      </c>
      <c r="C10" s="108"/>
      <c r="D10" s="108"/>
    </row>
    <row r="11" spans="2:8" s="105" customFormat="1" ht="12.75">
      <c r="B11" s="105" t="s">
        <v>185</v>
      </c>
      <c r="H11" s="109"/>
    </row>
    <row r="12" spans="2:8" s="105" customFormat="1" ht="12.75">
      <c r="B12" s="105" t="s">
        <v>183</v>
      </c>
      <c r="H12" s="109"/>
    </row>
    <row r="13" spans="2:8" s="105" customFormat="1" ht="12.75">
      <c r="B13" s="105" t="s">
        <v>182</v>
      </c>
      <c r="H13" s="109"/>
    </row>
    <row r="14" spans="2:8" s="105" customFormat="1" ht="12.75">
      <c r="B14" s="105" t="s">
        <v>187</v>
      </c>
      <c r="H14" s="109"/>
    </row>
    <row r="15" spans="2:8" s="105" customFormat="1" ht="12.75">
      <c r="B15" s="105" t="s">
        <v>188</v>
      </c>
      <c r="H15" s="109"/>
    </row>
    <row r="16" spans="2:8" s="105" customFormat="1" ht="12.75">
      <c r="H16" s="109"/>
    </row>
    <row r="17" spans="2:10" s="105" customFormat="1" ht="12.75">
      <c r="B17" s="113" t="s">
        <v>156</v>
      </c>
    </row>
    <row r="18" spans="2:10" s="105" customFormat="1" ht="12.75">
      <c r="B18" s="105" t="s">
        <v>186</v>
      </c>
    </row>
    <row r="19" spans="2:10" s="105" customFormat="1" ht="12.75">
      <c r="B19" s="112" t="s">
        <v>167</v>
      </c>
      <c r="H19" s="114"/>
    </row>
    <row r="20" spans="2:10" s="105" customFormat="1" ht="12.75"/>
    <row r="21" spans="2:10" s="105" customFormat="1" ht="12.75"/>
    <row r="22" spans="2:10" s="111" customFormat="1" ht="12.75">
      <c r="B22" s="111" t="s">
        <v>162</v>
      </c>
      <c r="F22" s="111" t="s">
        <v>163</v>
      </c>
      <c r="H22" s="111" t="s">
        <v>164</v>
      </c>
      <c r="J22" s="111" t="s">
        <v>165</v>
      </c>
    </row>
    <row r="23" spans="2:10" s="105" customFormat="1" ht="12.75"/>
    <row r="24" spans="2:10" s="105" customFormat="1" ht="12.75"/>
    <row r="25" spans="2:10" s="111" customFormat="1" ht="12.75">
      <c r="B25" s="111" t="s">
        <v>176</v>
      </c>
    </row>
    <row r="26" spans="2:10" s="105" customFormat="1" ht="12.75"/>
    <row r="27" spans="2:10" s="105" customFormat="1" ht="12.75">
      <c r="B27" s="110" t="s">
        <v>190</v>
      </c>
    </row>
    <row r="28" spans="2:10" s="105" customFormat="1" ht="12.75">
      <c r="B28" s="105" t="s">
        <v>184</v>
      </c>
      <c r="F28" s="105" t="s">
        <v>59</v>
      </c>
      <c r="H28" s="121">
        <v>6.4000000000000001E-2</v>
      </c>
      <c r="J28" s="105" t="s">
        <v>180</v>
      </c>
    </row>
    <row r="29" spans="2:10" s="105" customFormat="1" ht="12.75"/>
    <row r="30" spans="2:10" s="105" customFormat="1" ht="12.75">
      <c r="B30" s="122" t="s">
        <v>177</v>
      </c>
    </row>
    <row r="31" spans="2:10" s="105" customFormat="1" ht="12.75">
      <c r="B31" s="105" t="s">
        <v>189</v>
      </c>
      <c r="F31" s="105" t="s">
        <v>59</v>
      </c>
      <c r="H31" s="121">
        <v>9.1700000000000004E-2</v>
      </c>
      <c r="J31" s="105" t="s">
        <v>180</v>
      </c>
    </row>
    <row r="32" spans="2:10" s="105" customFormat="1" ht="12.75"/>
    <row r="33" spans="2:10" s="105" customFormat="1" ht="12.75"/>
    <row r="34" spans="2:10" s="111" customFormat="1" ht="12.75">
      <c r="B34" s="111" t="s">
        <v>168</v>
      </c>
    </row>
    <row r="35" spans="2:10" s="105" customFormat="1" ht="12.75"/>
    <row r="36" spans="2:10" s="105" customFormat="1" ht="12.75">
      <c r="B36" s="105" t="s">
        <v>191</v>
      </c>
    </row>
    <row r="37" spans="2:10" s="105" customFormat="1" ht="12.75"/>
    <row r="38" spans="2:10" s="105" customFormat="1" ht="12.75">
      <c r="B38" s="108" t="s">
        <v>169</v>
      </c>
    </row>
    <row r="39" spans="2:10" s="105" customFormat="1" ht="12.75">
      <c r="B39" s="105" t="s">
        <v>192</v>
      </c>
      <c r="F39" s="105" t="s">
        <v>172</v>
      </c>
      <c r="H39" s="117">
        <f>'Prod. Price (adj. original)'!E17</f>
        <v>0.12961474626875519</v>
      </c>
    </row>
    <row r="40" spans="2:10" s="105" customFormat="1" ht="12.75">
      <c r="B40" s="105" t="s">
        <v>170</v>
      </c>
      <c r="F40" s="105" t="s">
        <v>172</v>
      </c>
      <c r="H40" s="117">
        <f>'Production Price (BoB 2018)'!E17</f>
        <v>0.14144032020443514</v>
      </c>
    </row>
    <row r="41" spans="2:10" s="105" customFormat="1" ht="12.75">
      <c r="B41" s="105" t="s">
        <v>171</v>
      </c>
      <c r="F41" s="105" t="s">
        <v>172</v>
      </c>
      <c r="H41" s="118">
        <f>H40-H39</f>
        <v>1.1825573935679956E-2</v>
      </c>
    </row>
    <row r="42" spans="2:10" s="105" customFormat="1" ht="12.75">
      <c r="B42" s="105" t="s">
        <v>173</v>
      </c>
      <c r="F42" s="105" t="s">
        <v>40</v>
      </c>
      <c r="H42" s="119">
        <f>'Prod. Price (adj. original)'!E16</f>
        <v>103709394</v>
      </c>
    </row>
    <row r="43" spans="2:10" s="105" customFormat="1" ht="12.75"/>
    <row r="44" spans="2:10" s="105" customFormat="1" ht="12.75">
      <c r="B44" s="105" t="s">
        <v>179</v>
      </c>
      <c r="F44" s="105" t="s">
        <v>174</v>
      </c>
      <c r="H44" s="120">
        <f>H41*H42</f>
        <v>1226423.1065715633</v>
      </c>
      <c r="J44" s="105" t="s">
        <v>175</v>
      </c>
    </row>
    <row r="45" spans="2:10" s="105" customFormat="1" ht="12.75"/>
    <row r="46" spans="2:10" s="105" customFormat="1" ht="12.75"/>
    <row r="47" spans="2:10" s="105" customFormat="1" ht="12.75">
      <c r="H47" s="123"/>
    </row>
    <row r="48" spans="2:10" s="105" customFormat="1" ht="12.75"/>
    <row r="49" spans="2:2" s="105" customFormat="1" ht="12.75">
      <c r="B49" s="110" t="s">
        <v>178</v>
      </c>
    </row>
    <row r="50" spans="2:2" s="105" customFormat="1" ht="12.75"/>
    <row r="51" spans="2:2" s="105" customFormat="1" ht="12.75"/>
    <row r="52" spans="2:2" s="105" customFormat="1" ht="12.75"/>
    <row r="53" spans="2:2" s="105" customFormat="1" ht="12.75"/>
    <row r="54" spans="2:2" s="105" customFormat="1" ht="12.75"/>
    <row r="55" spans="2:2" s="105" customFormat="1" ht="12.75"/>
    <row r="56" spans="2:2" s="105" customFormat="1" ht="12.75"/>
    <row r="57" spans="2:2" s="105" customFormat="1" ht="12.75"/>
    <row r="58" spans="2:2" s="105" customFormat="1" ht="12.75"/>
    <row r="59" spans="2:2" s="105" customFormat="1" ht="12.75"/>
    <row r="60" spans="2:2" s="105" customFormat="1" ht="12.75"/>
    <row r="61" spans="2:2" s="105" customFormat="1" ht="12.75"/>
    <row r="62" spans="2:2" s="105" customFormat="1" ht="12.75"/>
    <row r="63" spans="2:2" s="105" customFormat="1" ht="12.75"/>
    <row r="64" spans="2:2" s="105" customFormat="1" ht="12.75"/>
    <row r="65" s="105" customFormat="1" ht="12.75"/>
    <row r="66" s="105" customFormat="1" ht="12.75"/>
    <row r="67" s="105" customFormat="1" ht="12.75"/>
    <row r="68" s="105" customFormat="1" ht="12.75"/>
    <row r="69" s="105" customFormat="1" ht="12.75"/>
    <row r="70" s="105" customFormat="1" ht="12.75"/>
    <row r="71" s="105" customFormat="1" ht="12.75"/>
    <row r="72" s="105" customFormat="1" ht="12.75"/>
    <row r="73" s="105" customFormat="1" ht="12.75"/>
    <row r="74" s="105" customFormat="1" ht="12.75"/>
    <row r="75" s="105" customFormat="1" ht="12.75"/>
    <row r="76" s="105" customFormat="1" ht="12.75"/>
    <row r="77" s="105" customFormat="1" ht="12.75"/>
    <row r="78" s="105" customFormat="1" ht="12.75"/>
    <row r="79" s="105" customFormat="1" ht="12.75"/>
    <row r="80" s="105" customFormat="1" ht="12.75"/>
    <row r="81" s="105" customFormat="1" ht="12.75"/>
    <row r="82" s="105" customFormat="1" ht="12.75"/>
    <row r="83" s="105" customFormat="1" ht="12.75"/>
    <row r="84" s="105" customFormat="1" ht="12.75"/>
    <row r="85" s="105" customFormat="1" ht="12.75"/>
    <row r="86" s="105" customFormat="1" ht="12.75"/>
    <row r="87" s="105" customFormat="1" ht="12.75"/>
    <row r="88" s="105" customFormat="1" ht="12.75"/>
    <row r="89" s="105" customFormat="1" ht="12.75"/>
    <row r="90" s="105" customFormat="1" ht="12.75"/>
    <row r="91" s="105" customFormat="1" ht="12.75"/>
    <row r="92" s="105" customFormat="1" ht="12.75"/>
    <row r="93" s="105" customFormat="1" ht="12.75"/>
    <row r="94" s="105" customFormat="1" ht="12.75"/>
    <row r="95" s="105" customFormat="1" ht="12.75"/>
    <row r="96" s="105" customFormat="1" ht="12.75"/>
    <row r="97" s="105" customFormat="1" ht="12.75"/>
    <row r="98" s="105" customFormat="1" ht="12.75"/>
    <row r="99" s="105" customFormat="1" ht="12.75"/>
    <row r="100" s="105" customFormat="1" ht="12.75"/>
    <row r="101" s="105" customFormat="1" ht="12.75"/>
    <row r="102" s="105" customFormat="1" ht="12.75"/>
    <row r="103" s="105" customFormat="1" ht="12.75"/>
    <row r="104" s="105" customFormat="1" ht="12.75"/>
    <row r="105" s="105" customFormat="1" ht="12.75"/>
    <row r="106" s="105" customFormat="1" ht="12.75"/>
    <row r="107" s="105" customFormat="1" ht="12.75"/>
    <row r="108" s="105" customFormat="1" ht="12.75"/>
    <row r="109" s="105" customFormat="1" ht="12.75"/>
    <row r="110" s="105" customFormat="1" ht="12.75"/>
    <row r="111" s="105" customFormat="1" ht="12.75"/>
    <row r="112" s="105" customFormat="1" ht="12.75"/>
    <row r="113" s="105" customFormat="1" ht="12.75"/>
    <row r="114" s="105" customFormat="1" ht="12.75"/>
    <row r="115" s="105" customFormat="1" ht="12.75"/>
    <row r="116" s="105" customFormat="1" ht="12.75"/>
    <row r="117" s="105" customFormat="1" ht="12.75"/>
    <row r="118" s="105" customFormat="1" ht="12.75"/>
    <row r="119" s="105" customFormat="1" ht="12.75"/>
    <row r="120" s="105" customFormat="1" ht="12.75"/>
    <row r="121" s="105" customFormat="1" ht="12.75"/>
    <row r="122" s="105" customFormat="1" ht="12.75"/>
    <row r="123" s="105" customFormat="1" ht="12.75"/>
    <row r="124" s="105" customFormat="1" ht="12.75"/>
    <row r="125" s="105" customFormat="1" ht="12.75"/>
    <row r="126" s="105" customFormat="1" ht="12.75"/>
    <row r="127" s="105" customFormat="1" ht="12.75"/>
    <row r="128" s="105" customFormat="1" ht="12.75"/>
    <row r="129" s="105" customFormat="1" ht="12.75"/>
    <row r="130" s="105" customFormat="1" ht="12.75"/>
    <row r="131" s="105" customFormat="1" ht="12.75"/>
    <row r="132" s="105" customFormat="1" ht="12.75"/>
    <row r="133" s="105" customFormat="1" ht="12.75"/>
    <row r="134" s="105" customFormat="1" ht="12.75"/>
    <row r="135" s="105" customFormat="1" ht="12.75"/>
    <row r="136" s="105" customFormat="1" ht="12.75"/>
    <row r="137" s="105" customFormat="1" ht="12.75"/>
    <row r="138" s="105" customFormat="1" ht="12.75"/>
    <row r="139" s="105" customFormat="1" ht="12.75"/>
    <row r="140" s="105" customFormat="1" ht="12.75"/>
    <row r="141" s="105" customFormat="1" ht="12.75"/>
    <row r="142" s="105" customFormat="1" ht="12.75"/>
    <row r="143" s="105" customFormat="1" ht="12.75"/>
    <row r="144" s="105" customFormat="1" ht="12.75"/>
    <row r="145" s="105" customFormat="1" ht="12.75"/>
    <row r="146" s="105" customFormat="1" ht="12.75"/>
    <row r="147" s="105" customFormat="1" ht="12.75"/>
    <row r="148" s="105" customFormat="1" ht="12.75"/>
    <row r="149" s="105" customFormat="1" ht="12.75"/>
    <row r="150" s="105" customFormat="1" ht="12.75"/>
    <row r="151" s="105" customFormat="1" ht="12.75"/>
    <row r="152" s="105" customFormat="1" ht="12.75"/>
    <row r="153" s="105" customFormat="1" ht="12.75"/>
    <row r="154" s="105" customFormat="1" ht="12.75"/>
    <row r="155" s="105" customFormat="1" ht="12.75"/>
    <row r="156" s="105" customFormat="1" ht="12.75"/>
    <row r="157" s="105" customFormat="1" ht="12.75"/>
    <row r="158" s="105" customFormat="1" ht="12.75"/>
    <row r="159" s="105" customFormat="1" ht="12.75"/>
    <row r="160" s="105" customFormat="1" ht="12.75"/>
    <row r="161" s="105" customFormat="1" ht="12.75"/>
    <row r="162" s="105" customFormat="1" ht="12.75"/>
    <row r="163" s="105" customFormat="1" ht="12.75"/>
    <row r="164" s="105" customFormat="1" ht="12.75"/>
    <row r="165" s="105" customFormat="1" ht="12.75"/>
    <row r="166" s="105" customFormat="1" ht="12.75"/>
    <row r="167" s="105" customFormat="1" ht="12.75"/>
    <row r="168" s="105" customFormat="1" ht="12.75"/>
    <row r="169" s="105" customFormat="1" ht="12.75"/>
    <row r="170" s="105" customFormat="1" ht="12.75"/>
    <row r="171" s="105" customFormat="1" ht="12.75"/>
    <row r="172" s="105" customFormat="1" ht="12.75"/>
    <row r="173" s="105" customFormat="1" ht="12.75"/>
    <row r="174" s="105" customFormat="1" ht="12.75"/>
    <row r="175" s="105" customFormat="1" ht="12.75"/>
    <row r="176" s="105" customFormat="1" ht="12.75"/>
    <row r="177" s="105" customFormat="1" ht="12.75"/>
    <row r="178" s="105" customFormat="1" ht="12.75"/>
    <row r="179" s="105" customFormat="1" ht="12.75"/>
    <row r="180" s="105" customFormat="1" ht="12.75"/>
    <row r="181" s="105" customFormat="1" ht="12.75"/>
    <row r="182" s="105" customFormat="1" ht="12.75"/>
    <row r="183" s="105" customFormat="1" ht="12.75"/>
    <row r="184" s="105" customFormat="1" ht="12.75"/>
    <row r="185" s="105" customFormat="1" ht="12.75"/>
    <row r="186" s="105" customFormat="1" ht="12.75"/>
    <row r="187" s="105" customFormat="1" ht="12.75"/>
    <row r="188" s="105" customFormat="1" ht="12.75"/>
    <row r="189" s="105" customFormat="1" ht="12.75"/>
    <row r="190" s="105" customFormat="1" ht="12.75"/>
    <row r="191" s="105" customFormat="1" ht="12.75"/>
    <row r="192" s="105" customFormat="1" ht="12.75"/>
    <row r="193" s="105" customFormat="1" ht="12.75"/>
    <row r="194" s="105" customFormat="1" ht="12.75"/>
    <row r="195" s="105" customFormat="1" ht="12.75"/>
    <row r="196" s="105" customFormat="1" ht="12.75"/>
    <row r="197" s="105" customFormat="1" ht="12.75"/>
    <row r="198" s="105" customFormat="1" ht="12.75"/>
    <row r="199" s="105" customFormat="1" ht="12.75"/>
    <row r="200" s="105" customFormat="1" ht="12.75"/>
    <row r="201" s="105" customFormat="1" ht="12.75"/>
    <row r="202" s="105" customFormat="1" ht="12.75"/>
    <row r="203" s="105" customFormat="1" ht="12.75"/>
    <row r="204" s="105" customFormat="1" ht="12.75"/>
    <row r="205" s="105" customFormat="1" ht="12.75"/>
    <row r="206" s="105" customFormat="1" ht="12.75"/>
    <row r="207" s="105" customFormat="1" ht="12.75"/>
    <row r="208" s="105" customFormat="1" ht="12.75"/>
    <row r="209" s="105" customFormat="1" ht="12.75"/>
    <row r="210" s="105" customFormat="1" ht="12.75"/>
    <row r="211" s="105" customFormat="1" ht="12.75"/>
    <row r="212" s="105" customFormat="1" ht="12.75"/>
    <row r="213" s="105" customFormat="1" ht="12.75"/>
    <row r="214" s="105" customFormat="1" ht="12.75"/>
    <row r="215" s="105" customFormat="1" ht="12.75"/>
    <row r="216" s="105" customFormat="1" ht="12.75"/>
    <row r="217" s="105" customFormat="1" ht="12.75"/>
    <row r="218" s="105" customFormat="1" ht="12.75"/>
    <row r="219" s="105" customFormat="1" ht="12.75"/>
    <row r="220" s="105" customFormat="1" ht="12.75"/>
    <row r="221" s="105" customFormat="1" ht="12.75"/>
    <row r="222" s="105" customFormat="1" ht="12.75"/>
    <row r="223" s="105" customFormat="1" ht="12.75"/>
    <row r="224" s="105" customFormat="1" ht="12.75"/>
    <row r="225" s="105" customFormat="1" ht="12.75"/>
    <row r="226" s="105" customFormat="1" ht="12.75"/>
    <row r="227" s="105" customFormat="1" ht="12.75"/>
    <row r="228" s="105" customFormat="1" ht="12.75"/>
    <row r="229" s="105" customFormat="1" ht="12.75"/>
    <row r="230" s="105" customFormat="1" ht="12.75"/>
    <row r="231" s="105" customFormat="1" ht="12.75"/>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1CA4C-8E3D-42EB-A2D3-F2A7B0DC541B}">
  <dimension ref="A1"/>
  <sheetViews>
    <sheetView showGridLines="0" zoomScale="85" zoomScaleNormal="85" workbookViewId="0"/>
  </sheetViews>
  <sheetFormatPr defaultRowHeight="15"/>
  <cols>
    <col min="1" max="1" width="9.140625" style="58"/>
    <col min="2" max="2" width="172.140625" style="58" customWidth="1"/>
    <col min="3" max="16384" width="9.140625" style="58"/>
  </cols>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X32"/>
  <sheetViews>
    <sheetView showGridLines="0" zoomScale="85" zoomScaleNormal="85" workbookViewId="0"/>
  </sheetViews>
  <sheetFormatPr defaultRowHeight="15"/>
  <cols>
    <col min="2" max="2" width="36.5703125" customWidth="1"/>
    <col min="3" max="3" width="12.28515625" customWidth="1"/>
    <col min="4" max="4" width="12.7109375" bestFit="1" customWidth="1"/>
    <col min="5" max="5" width="11" bestFit="1" customWidth="1"/>
    <col min="6" max="6" width="9.140625" customWidth="1"/>
    <col min="8" max="8" width="12" bestFit="1" customWidth="1"/>
    <col min="16" max="16" width="11.85546875" customWidth="1"/>
  </cols>
  <sheetData>
    <row r="1" spans="1:24" s="46" customFormat="1" ht="26.25">
      <c r="A1" s="46" t="s">
        <v>35</v>
      </c>
    </row>
    <row r="3" spans="1:24">
      <c r="A3" s="44"/>
      <c r="B3" s="59" t="s">
        <v>130</v>
      </c>
      <c r="C3" s="44"/>
      <c r="D3" s="44"/>
      <c r="E3" s="44"/>
      <c r="F3" s="53" t="s">
        <v>2</v>
      </c>
    </row>
    <row r="4" spans="1:24">
      <c r="A4" s="44"/>
      <c r="B4" s="44" t="s">
        <v>151</v>
      </c>
      <c r="C4" s="101">
        <f>'Effects of BoB Tariff 2018'!H28</f>
        <v>6.4000000000000001E-2</v>
      </c>
      <c r="D4" s="44"/>
      <c r="E4" s="44"/>
      <c r="F4" s="44" t="s">
        <v>152</v>
      </c>
    </row>
    <row r="5" spans="1:24">
      <c r="A5" s="44"/>
      <c r="B5" s="44" t="s">
        <v>36</v>
      </c>
      <c r="C5" s="54">
        <f>'CPI CN'!D30</f>
        <v>6.0000000000000001E-3</v>
      </c>
      <c r="D5" s="44"/>
      <c r="E5" s="44"/>
      <c r="F5" s="44" t="s">
        <v>37</v>
      </c>
    </row>
    <row r="6" spans="1:24">
      <c r="A6" s="44"/>
      <c r="B6" s="44" t="s">
        <v>38</v>
      </c>
      <c r="C6" s="72">
        <f>'CPI CN'!D31</f>
        <v>6.0000000000000001E-3</v>
      </c>
      <c r="D6" s="44"/>
      <c r="E6" s="44"/>
      <c r="F6" s="44" t="s">
        <v>37</v>
      </c>
    </row>
    <row r="7" spans="1:24">
      <c r="H7" s="91"/>
    </row>
    <row r="8" spans="1:24">
      <c r="A8" s="44"/>
      <c r="B8" s="59" t="s">
        <v>126</v>
      </c>
      <c r="C8" s="44"/>
      <c r="D8" s="44"/>
      <c r="E8" s="44"/>
      <c r="F8" s="44"/>
    </row>
    <row r="9" spans="1:24">
      <c r="A9" s="44"/>
      <c r="B9" s="45" t="s">
        <v>39</v>
      </c>
      <c r="C9" s="73">
        <f>SUM(C10:C11)</f>
        <v>103709394</v>
      </c>
      <c r="D9" s="44" t="s">
        <v>40</v>
      </c>
      <c r="E9" s="44"/>
      <c r="F9" s="60"/>
      <c r="G9" s="60"/>
      <c r="H9" s="60"/>
      <c r="I9" s="60"/>
      <c r="J9" s="60"/>
      <c r="K9" s="60"/>
      <c r="L9" s="60"/>
      <c r="M9" s="60"/>
      <c r="N9" s="60"/>
      <c r="O9" s="60"/>
      <c r="P9" s="60"/>
      <c r="Q9" s="60"/>
      <c r="R9" s="60"/>
    </row>
    <row r="10" spans="1:24">
      <c r="A10" s="44"/>
      <c r="B10" s="45" t="s">
        <v>41</v>
      </c>
      <c r="C10" s="50">
        <v>29966483</v>
      </c>
      <c r="D10" s="44" t="s">
        <v>40</v>
      </c>
      <c r="E10" s="44"/>
      <c r="F10" s="58" t="s">
        <v>127</v>
      </c>
      <c r="G10" s="60"/>
      <c r="H10" s="60"/>
      <c r="I10" s="60"/>
      <c r="J10" s="60"/>
      <c r="K10" s="60"/>
      <c r="L10" s="60"/>
      <c r="M10" s="60"/>
      <c r="N10" s="60"/>
      <c r="O10" s="60"/>
      <c r="P10" s="47"/>
      <c r="Q10" s="60"/>
      <c r="R10" s="60"/>
    </row>
    <row r="11" spans="1:24">
      <c r="A11" s="44"/>
      <c r="B11" s="44" t="s">
        <v>42</v>
      </c>
      <c r="C11" s="50">
        <v>73742911</v>
      </c>
      <c r="D11" s="44" t="s">
        <v>40</v>
      </c>
      <c r="E11" s="91"/>
      <c r="F11" s="58" t="s">
        <v>127</v>
      </c>
      <c r="G11" s="60"/>
      <c r="H11" s="60"/>
      <c r="I11" s="60"/>
      <c r="J11" s="60"/>
      <c r="K11" s="60"/>
      <c r="L11" s="60"/>
      <c r="M11" s="60"/>
      <c r="N11" s="60"/>
      <c r="O11" s="60"/>
      <c r="P11" s="47"/>
      <c r="Q11" s="60"/>
      <c r="R11" s="60"/>
    </row>
    <row r="12" spans="1:24">
      <c r="A12" s="44"/>
      <c r="B12" s="44"/>
      <c r="C12" s="47"/>
      <c r="D12" s="44"/>
      <c r="E12" s="44"/>
      <c r="F12" s="44"/>
    </row>
    <row r="13" spans="1:24">
      <c r="A13" s="44"/>
      <c r="B13" s="98" t="s">
        <v>129</v>
      </c>
      <c r="C13" s="47"/>
      <c r="D13" s="44"/>
      <c r="E13" s="44"/>
      <c r="F13" s="44"/>
    </row>
    <row r="14" spans="1:24">
      <c r="A14" s="44"/>
      <c r="B14" s="44" t="s">
        <v>43</v>
      </c>
      <c r="C14" s="81">
        <v>1.6140000000000001</v>
      </c>
      <c r="D14" s="44" t="s">
        <v>44</v>
      </c>
      <c r="E14" s="44"/>
      <c r="F14" s="58" t="s">
        <v>132</v>
      </c>
      <c r="G14" s="60"/>
      <c r="H14" s="60"/>
      <c r="I14" s="60"/>
      <c r="J14" s="60"/>
      <c r="K14" s="60"/>
      <c r="L14" s="60"/>
      <c r="M14" s="60"/>
      <c r="N14" s="60"/>
      <c r="O14" s="60"/>
      <c r="P14" s="60"/>
      <c r="Q14" s="60"/>
      <c r="R14" s="60"/>
      <c r="S14" s="60"/>
      <c r="T14" s="60"/>
      <c r="U14" s="60"/>
      <c r="V14" s="60"/>
      <c r="W14" s="60"/>
      <c r="X14" s="60"/>
    </row>
    <row r="15" spans="1:24">
      <c r="A15" s="44"/>
      <c r="B15" s="44"/>
      <c r="C15" s="55">
        <f>C14/1000</f>
        <v>1.6140000000000002E-3</v>
      </c>
      <c r="D15" s="44" t="s">
        <v>45</v>
      </c>
      <c r="E15" s="44"/>
      <c r="F15" s="44"/>
    </row>
    <row r="16" spans="1:24">
      <c r="A16" s="44"/>
      <c r="B16" s="44"/>
      <c r="C16" s="55">
        <f>+C15*159</f>
        <v>0.25662600000000002</v>
      </c>
      <c r="D16" s="44" t="s">
        <v>46</v>
      </c>
      <c r="E16" s="44"/>
      <c r="F16" s="44" t="s">
        <v>131</v>
      </c>
    </row>
    <row r="17" spans="2:20">
      <c r="B17" s="49" t="s">
        <v>47</v>
      </c>
      <c r="C17" s="89">
        <v>0.94341206222837726</v>
      </c>
      <c r="D17" s="44"/>
      <c r="E17" s="44"/>
      <c r="F17" s="58" t="s">
        <v>132</v>
      </c>
      <c r="G17" s="60"/>
      <c r="H17" s="60"/>
      <c r="I17" s="60"/>
      <c r="J17" s="60"/>
      <c r="K17" s="60"/>
      <c r="L17" s="60"/>
      <c r="M17" s="44"/>
      <c r="N17" s="44"/>
      <c r="O17" s="44"/>
      <c r="P17" s="44"/>
      <c r="Q17" s="44"/>
      <c r="R17" s="44"/>
      <c r="S17" s="44"/>
      <c r="T17" s="44"/>
    </row>
    <row r="18" spans="2:20">
      <c r="B18" s="49" t="s">
        <v>48</v>
      </c>
      <c r="C18" s="89">
        <v>5.6587937771622784E-2</v>
      </c>
      <c r="D18" s="44"/>
      <c r="E18" s="44"/>
      <c r="F18" s="58" t="s">
        <v>132</v>
      </c>
      <c r="G18" s="60"/>
      <c r="H18" s="60"/>
      <c r="I18" s="60"/>
      <c r="J18" s="60"/>
      <c r="K18" s="60"/>
      <c r="L18" s="60"/>
      <c r="M18" s="44"/>
      <c r="N18" s="44"/>
      <c r="O18" s="44"/>
      <c r="P18" s="44"/>
      <c r="Q18" s="44"/>
      <c r="R18" s="44"/>
      <c r="S18" s="44"/>
      <c r="T18" s="44"/>
    </row>
    <row r="19" spans="2:20">
      <c r="B19" s="48"/>
      <c r="C19" s="47"/>
      <c r="D19" s="44"/>
      <c r="E19" s="44"/>
      <c r="F19" s="44"/>
      <c r="G19" s="44"/>
      <c r="H19" s="44"/>
      <c r="I19" s="44"/>
      <c r="J19" s="44"/>
      <c r="K19" s="44"/>
      <c r="L19" s="44"/>
      <c r="M19" s="44"/>
      <c r="N19" s="44"/>
      <c r="O19" s="44"/>
      <c r="P19" s="44"/>
      <c r="Q19" s="44"/>
      <c r="R19" s="44"/>
      <c r="S19" s="44"/>
      <c r="T19" s="44"/>
    </row>
    <row r="20" spans="2:20">
      <c r="B20" s="98" t="s">
        <v>128</v>
      </c>
      <c r="C20" s="47"/>
      <c r="D20" s="44"/>
      <c r="E20" s="44"/>
      <c r="F20" s="44"/>
      <c r="G20" s="44"/>
      <c r="H20" s="44"/>
      <c r="I20" s="44"/>
      <c r="J20" s="44"/>
      <c r="K20" s="44"/>
      <c r="L20" s="44"/>
      <c r="M20" s="44"/>
      <c r="N20" s="44"/>
      <c r="O20" s="44"/>
      <c r="P20" s="44"/>
      <c r="Q20" s="44"/>
      <c r="R20" s="44"/>
      <c r="S20" s="44"/>
      <c r="T20" s="44"/>
    </row>
    <row r="21" spans="2:20">
      <c r="B21" s="44" t="s">
        <v>49</v>
      </c>
      <c r="C21" s="51">
        <v>66.553299999999993</v>
      </c>
      <c r="D21" s="44" t="s">
        <v>50</v>
      </c>
      <c r="E21" s="44"/>
      <c r="F21" s="60" t="s">
        <v>124</v>
      </c>
      <c r="G21" s="60"/>
      <c r="H21" s="60"/>
      <c r="I21" s="60"/>
      <c r="J21" s="60"/>
      <c r="K21" s="60"/>
      <c r="L21" s="60"/>
      <c r="M21" s="60"/>
      <c r="N21" s="44"/>
      <c r="O21" s="44"/>
      <c r="P21" s="44"/>
      <c r="Q21" s="44"/>
      <c r="R21" s="44"/>
      <c r="S21" s="44"/>
      <c r="T21" s="44"/>
    </row>
    <row r="22" spans="2:20">
      <c r="B22" s="44" t="s">
        <v>51</v>
      </c>
      <c r="C22" s="51">
        <f>0.7153*159</f>
        <v>113.73270000000001</v>
      </c>
      <c r="D22" s="44" t="s">
        <v>50</v>
      </c>
      <c r="E22" s="44"/>
      <c r="F22" s="60" t="s">
        <v>124</v>
      </c>
      <c r="G22" s="60"/>
      <c r="H22" s="60"/>
      <c r="I22" s="60"/>
      <c r="J22" s="60"/>
      <c r="K22" s="60"/>
      <c r="L22" s="60"/>
      <c r="M22" s="60"/>
      <c r="N22" s="44"/>
      <c r="O22" s="44"/>
      <c r="P22" s="44"/>
      <c r="Q22" s="44"/>
      <c r="R22" s="44"/>
      <c r="S22" s="44"/>
      <c r="T22" s="44"/>
    </row>
    <row r="24" spans="2:20">
      <c r="B24" s="44" t="s">
        <v>52</v>
      </c>
      <c r="C24" s="57">
        <f>(C17*C15*C21)+C18*C15*C22</f>
        <v>0.11172605911140224</v>
      </c>
      <c r="D24" s="44" t="s">
        <v>53</v>
      </c>
      <c r="E24" s="44"/>
      <c r="F24" s="44"/>
      <c r="G24" s="44"/>
      <c r="H24" s="44"/>
      <c r="I24" s="44"/>
      <c r="J24" s="44"/>
      <c r="K24" s="44"/>
      <c r="L24" s="44"/>
      <c r="M24" s="44"/>
      <c r="N24" s="44"/>
      <c r="O24" s="44"/>
      <c r="P24" s="44"/>
      <c r="Q24" s="44"/>
      <c r="R24" s="44"/>
      <c r="S24" s="44"/>
      <c r="T24" s="44"/>
    </row>
    <row r="25" spans="2:20">
      <c r="B25" s="44" t="s">
        <v>54</v>
      </c>
      <c r="C25" s="52">
        <f>C11/C9</f>
        <v>0.71105334006676391</v>
      </c>
      <c r="D25" s="44"/>
      <c r="E25" s="44"/>
      <c r="F25" s="44"/>
      <c r="G25" s="44"/>
      <c r="H25" s="44"/>
      <c r="I25" s="44"/>
      <c r="J25" s="44"/>
      <c r="K25" s="44"/>
      <c r="L25" s="44"/>
      <c r="M25" s="44"/>
      <c r="N25" s="44"/>
      <c r="O25" s="44"/>
      <c r="P25" s="44"/>
      <c r="Q25" s="44"/>
      <c r="R25" s="44"/>
      <c r="S25" s="44"/>
      <c r="T25" s="44"/>
    </row>
    <row r="26" spans="2:20">
      <c r="B26" s="44" t="s">
        <v>55</v>
      </c>
      <c r="C26" s="57">
        <f>C25*C24</f>
        <v>7.9443187503659266E-2</v>
      </c>
      <c r="D26" s="44" t="s">
        <v>53</v>
      </c>
      <c r="E26" s="44"/>
      <c r="F26" s="44"/>
      <c r="G26" s="44"/>
      <c r="H26" s="44"/>
      <c r="I26" s="44"/>
      <c r="J26" s="44"/>
      <c r="K26" s="44"/>
      <c r="L26" s="44"/>
      <c r="M26" s="44"/>
      <c r="N26" s="44"/>
      <c r="O26" s="44"/>
      <c r="P26" s="44"/>
      <c r="Q26" s="44"/>
      <c r="R26" s="44"/>
      <c r="S26" s="44"/>
      <c r="T26" s="44"/>
    </row>
    <row r="27" spans="2:20">
      <c r="B27" s="44"/>
      <c r="C27" s="44"/>
      <c r="D27" s="44"/>
      <c r="E27" s="44"/>
      <c r="F27" s="44"/>
      <c r="G27" s="44"/>
      <c r="H27" s="44"/>
      <c r="I27" s="44"/>
      <c r="J27" s="44"/>
      <c r="K27" s="44"/>
      <c r="L27" s="44"/>
      <c r="M27" s="44"/>
      <c r="N27" s="44"/>
      <c r="O27" s="44"/>
      <c r="P27" s="44"/>
      <c r="Q27" s="44"/>
      <c r="R27" s="44"/>
      <c r="S27" s="44"/>
      <c r="T27" s="44"/>
    </row>
    <row r="28" spans="2:20">
      <c r="B28" s="44"/>
      <c r="C28" s="56"/>
      <c r="D28" s="44"/>
      <c r="E28" s="44"/>
      <c r="F28" s="44"/>
      <c r="G28" s="44"/>
      <c r="H28" s="44"/>
      <c r="I28" s="44"/>
      <c r="J28" s="44"/>
      <c r="K28" s="44"/>
      <c r="L28" s="44"/>
      <c r="M28" s="44"/>
      <c r="N28" s="44"/>
      <c r="O28" s="44"/>
      <c r="P28" s="44"/>
      <c r="Q28" s="44"/>
      <c r="R28" s="44"/>
      <c r="S28" s="44"/>
      <c r="T28" s="44"/>
    </row>
    <row r="29" spans="2:20">
      <c r="B29" s="44"/>
      <c r="C29" s="44"/>
      <c r="D29" s="44"/>
      <c r="E29" s="44"/>
      <c r="F29" s="44"/>
      <c r="G29" s="44"/>
      <c r="H29" s="44"/>
      <c r="I29" s="44"/>
      <c r="J29" s="44"/>
      <c r="K29" s="44"/>
      <c r="L29" s="44"/>
      <c r="M29" s="44"/>
      <c r="N29" s="44"/>
      <c r="O29" s="44"/>
      <c r="P29" s="44"/>
      <c r="Q29" s="44"/>
      <c r="R29" s="44"/>
      <c r="S29" s="44"/>
      <c r="T29" s="44"/>
    </row>
    <row r="30" spans="2:20">
      <c r="B30" s="44"/>
      <c r="C30" s="44"/>
      <c r="D30" s="44"/>
      <c r="E30" s="44"/>
      <c r="F30" s="44"/>
      <c r="G30" s="44"/>
      <c r="H30" s="44"/>
      <c r="I30" s="44"/>
      <c r="J30" s="44"/>
      <c r="K30" s="44"/>
      <c r="L30" s="44"/>
      <c r="M30" s="44"/>
      <c r="N30" s="44"/>
      <c r="O30" s="44"/>
      <c r="P30" s="44"/>
      <c r="Q30" s="44"/>
      <c r="R30" s="44"/>
      <c r="S30" s="44"/>
      <c r="T30" s="44"/>
    </row>
    <row r="31" spans="2:20">
      <c r="B31" s="44"/>
      <c r="C31" s="44"/>
      <c r="D31" s="44"/>
      <c r="E31" s="44"/>
      <c r="F31" s="44"/>
      <c r="G31" s="44"/>
      <c r="H31" s="44"/>
      <c r="I31" s="44"/>
      <c r="J31" s="44"/>
      <c r="K31" s="44"/>
      <c r="L31" s="44"/>
      <c r="M31" s="44"/>
      <c r="N31" s="44"/>
      <c r="O31" s="44"/>
      <c r="P31" s="44"/>
      <c r="Q31" s="44"/>
      <c r="R31" s="44"/>
      <c r="S31" s="44"/>
      <c r="T31" s="44"/>
    </row>
    <row r="32" spans="2:20">
      <c r="O32" s="44"/>
      <c r="P32" s="44"/>
      <c r="Q32" s="44"/>
      <c r="R32" s="44"/>
      <c r="S32" s="44"/>
      <c r="T32" s="44"/>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N65"/>
  <sheetViews>
    <sheetView showGridLines="0" zoomScale="85" zoomScaleNormal="85" workbookViewId="0"/>
  </sheetViews>
  <sheetFormatPr defaultRowHeight="15"/>
  <cols>
    <col min="2" max="2" width="60.42578125" customWidth="1"/>
    <col min="4" max="4" width="24.7109375" customWidth="1"/>
    <col min="5" max="5" width="21.5703125" customWidth="1"/>
    <col min="6" max="6" width="5.42578125" customWidth="1"/>
    <col min="7" max="7" width="16.5703125" customWidth="1"/>
    <col min="8" max="8" width="13.140625" customWidth="1"/>
    <col min="9" max="9" width="15.28515625" customWidth="1"/>
  </cols>
  <sheetData>
    <row r="1" spans="1:12" ht="26.25">
      <c r="A1" s="6" t="s">
        <v>116</v>
      </c>
      <c r="B1" s="6"/>
      <c r="C1" s="6"/>
      <c r="D1" s="6"/>
      <c r="E1" s="15"/>
      <c r="F1" s="15"/>
      <c r="G1" s="6"/>
    </row>
    <row r="2" spans="1:12">
      <c r="A2" s="1"/>
      <c r="B2" s="2"/>
      <c r="C2" s="2"/>
      <c r="D2" s="2"/>
      <c r="E2" s="1"/>
      <c r="F2" s="1"/>
      <c r="G2" s="1"/>
    </row>
    <row r="3" spans="1:12" s="9" customFormat="1" ht="15.75">
      <c r="B3" s="9" t="s">
        <v>0</v>
      </c>
    </row>
    <row r="4" spans="1:12">
      <c r="A4" s="1"/>
      <c r="B4" s="8"/>
      <c r="C4" s="8"/>
      <c r="D4" s="8"/>
      <c r="E4" s="4"/>
      <c r="F4" s="4"/>
      <c r="G4" s="1"/>
    </row>
    <row r="5" spans="1:12">
      <c r="A5" s="1"/>
      <c r="B5" s="10" t="s">
        <v>1</v>
      </c>
      <c r="C5" s="10"/>
      <c r="D5" s="10"/>
      <c r="E5" s="16"/>
      <c r="F5" s="4"/>
      <c r="G5" s="14" t="s">
        <v>2</v>
      </c>
    </row>
    <row r="6" spans="1:12">
      <c r="A6" s="1"/>
      <c r="B6" s="85" t="s">
        <v>16</v>
      </c>
      <c r="C6" s="8"/>
      <c r="E6" s="70">
        <f>SUM(E7:E10)</f>
        <v>1567298</v>
      </c>
      <c r="F6" s="4"/>
    </row>
    <row r="7" spans="1:12" s="58" customFormat="1">
      <c r="B7" s="82" t="s">
        <v>88</v>
      </c>
      <c r="C7" s="66"/>
      <c r="D7" s="8" t="s">
        <v>19</v>
      </c>
      <c r="E7" s="17">
        <v>98014</v>
      </c>
      <c r="F7" s="61"/>
      <c r="G7" s="1" t="s">
        <v>18</v>
      </c>
    </row>
    <row r="8" spans="1:12" s="58" customFormat="1">
      <c r="B8" s="82" t="s">
        <v>89</v>
      </c>
      <c r="C8" s="66"/>
      <c r="D8" s="66" t="s">
        <v>19</v>
      </c>
      <c r="E8" s="17">
        <v>1003313</v>
      </c>
      <c r="F8" s="61"/>
      <c r="G8" s="58" t="s">
        <v>18</v>
      </c>
    </row>
    <row r="9" spans="1:12" s="58" customFormat="1">
      <c r="B9" s="82" t="s">
        <v>90</v>
      </c>
      <c r="C9" s="66"/>
      <c r="D9" s="66" t="s">
        <v>19</v>
      </c>
      <c r="E9" s="17">
        <v>204367</v>
      </c>
      <c r="F9" s="61"/>
      <c r="G9" s="58" t="s">
        <v>18</v>
      </c>
    </row>
    <row r="10" spans="1:12" s="58" customFormat="1">
      <c r="B10" s="83" t="s">
        <v>91</v>
      </c>
      <c r="C10" s="66"/>
      <c r="D10" s="66" t="s">
        <v>19</v>
      </c>
      <c r="E10" s="17">
        <v>261604</v>
      </c>
      <c r="F10" s="61"/>
      <c r="G10" s="58" t="s">
        <v>18</v>
      </c>
      <c r="J10" s="58" t="s">
        <v>92</v>
      </c>
    </row>
    <row r="11" spans="1:12" s="58" customFormat="1">
      <c r="B11" s="66"/>
      <c r="C11" s="66"/>
      <c r="D11" s="66"/>
      <c r="E11" s="66"/>
      <c r="F11" s="61"/>
    </row>
    <row r="12" spans="1:12">
      <c r="A12" s="1"/>
      <c r="B12" s="85" t="s">
        <v>17</v>
      </c>
      <c r="C12" s="8"/>
      <c r="D12" s="8" t="s">
        <v>19</v>
      </c>
      <c r="E12" s="70">
        <f>SUM(E13:E18)</f>
        <v>4422882.63</v>
      </c>
      <c r="F12" s="4"/>
    </row>
    <row r="13" spans="1:12" s="58" customFormat="1">
      <c r="B13" s="83" t="s">
        <v>84</v>
      </c>
      <c r="C13" s="66"/>
      <c r="D13" s="66" t="s">
        <v>19</v>
      </c>
      <c r="E13" s="17">
        <v>1857010</v>
      </c>
      <c r="F13" s="61"/>
      <c r="G13" s="1" t="s">
        <v>18</v>
      </c>
    </row>
    <row r="14" spans="1:12" s="58" customFormat="1">
      <c r="B14" s="83" t="s">
        <v>107</v>
      </c>
      <c r="C14" s="66"/>
      <c r="D14" s="93" t="s">
        <v>19</v>
      </c>
      <c r="E14" s="17">
        <v>912901.35</v>
      </c>
      <c r="F14" s="61"/>
      <c r="G14" s="60" t="s">
        <v>133</v>
      </c>
      <c r="H14" s="60"/>
      <c r="I14" s="60"/>
      <c r="J14" s="60"/>
      <c r="K14" s="60"/>
    </row>
    <row r="15" spans="1:12" s="58" customFormat="1">
      <c r="B15" s="83" t="s">
        <v>106</v>
      </c>
      <c r="C15" s="66"/>
      <c r="D15" s="66" t="s">
        <v>19</v>
      </c>
      <c r="E15" s="17">
        <v>964436.28</v>
      </c>
      <c r="F15" s="61"/>
      <c r="G15" s="58" t="s">
        <v>18</v>
      </c>
      <c r="H15" s="60"/>
      <c r="I15" s="60"/>
      <c r="J15" s="60"/>
      <c r="K15" s="60"/>
      <c r="L15" s="60"/>
    </row>
    <row r="16" spans="1:12" s="58" customFormat="1">
      <c r="B16" s="82" t="s">
        <v>85</v>
      </c>
      <c r="C16" s="66"/>
      <c r="D16" s="66" t="s">
        <v>19</v>
      </c>
      <c r="E16" s="17">
        <v>62683</v>
      </c>
      <c r="F16" s="61"/>
      <c r="G16" s="58" t="s">
        <v>18</v>
      </c>
    </row>
    <row r="17" spans="1:9" s="58" customFormat="1">
      <c r="B17" s="83" t="s">
        <v>86</v>
      </c>
      <c r="C17" s="66"/>
      <c r="D17" s="66" t="s">
        <v>19</v>
      </c>
      <c r="E17" s="17">
        <v>404701</v>
      </c>
      <c r="F17" s="61"/>
      <c r="G17" s="58" t="s">
        <v>18</v>
      </c>
    </row>
    <row r="18" spans="1:9" s="58" customFormat="1">
      <c r="B18" s="83" t="s">
        <v>87</v>
      </c>
      <c r="C18" s="66"/>
      <c r="D18" s="66" t="s">
        <v>19</v>
      </c>
      <c r="E18" s="17">
        <v>221151</v>
      </c>
      <c r="F18" s="61"/>
      <c r="G18" s="58" t="s">
        <v>18</v>
      </c>
    </row>
    <row r="19" spans="1:9" s="58" customFormat="1">
      <c r="B19" s="83"/>
      <c r="C19" s="66"/>
      <c r="D19" s="66"/>
      <c r="E19" s="66"/>
      <c r="F19" s="61"/>
    </row>
    <row r="20" spans="1:9" s="60" customFormat="1">
      <c r="B20" s="68" t="s">
        <v>102</v>
      </c>
      <c r="C20" s="68"/>
      <c r="D20" s="68" t="s">
        <v>19</v>
      </c>
      <c r="E20" s="17">
        <v>504000</v>
      </c>
      <c r="F20" s="69"/>
      <c r="G20" s="60" t="s">
        <v>134</v>
      </c>
    </row>
    <row r="21" spans="1:9" s="60" customFormat="1">
      <c r="B21" s="68"/>
      <c r="C21" s="68"/>
      <c r="D21" s="68"/>
      <c r="E21" s="69"/>
      <c r="F21" s="88"/>
      <c r="G21" s="58"/>
    </row>
    <row r="22" spans="1:9">
      <c r="A22" s="1"/>
      <c r="B22" s="68" t="s">
        <v>3</v>
      </c>
      <c r="C22" s="12"/>
      <c r="D22" s="8" t="s">
        <v>19</v>
      </c>
      <c r="E22" s="19">
        <f>SUM(E6,E12,E20)</f>
        <v>6494180.6299999999</v>
      </c>
      <c r="F22" s="4"/>
      <c r="G22" s="1"/>
    </row>
    <row r="23" spans="1:9">
      <c r="A23" s="3"/>
      <c r="B23" s="11"/>
      <c r="C23" s="11"/>
      <c r="D23" s="11"/>
      <c r="E23" s="18"/>
      <c r="F23" s="4"/>
      <c r="G23" s="3"/>
    </row>
    <row r="24" spans="1:9">
      <c r="A24" s="3"/>
      <c r="B24" s="12" t="s">
        <v>101</v>
      </c>
      <c r="C24" s="12"/>
      <c r="D24" s="12"/>
      <c r="E24" s="18"/>
      <c r="F24" s="4"/>
      <c r="G24" s="3"/>
    </row>
    <row r="25" spans="1:9" s="58" customFormat="1">
      <c r="A25" s="60"/>
      <c r="B25" s="84" t="s">
        <v>95</v>
      </c>
      <c r="C25" s="12"/>
      <c r="D25" s="12"/>
      <c r="E25" s="69"/>
      <c r="F25" s="61"/>
      <c r="G25" s="60"/>
    </row>
    <row r="26" spans="1:9">
      <c r="A26" s="1"/>
      <c r="B26" s="8" t="s">
        <v>4</v>
      </c>
      <c r="C26" s="8"/>
      <c r="D26" s="8" t="s">
        <v>5</v>
      </c>
      <c r="E26" s="17">
        <v>61734000</v>
      </c>
      <c r="F26" s="4"/>
      <c r="G26" s="1" t="s">
        <v>6</v>
      </c>
    </row>
    <row r="27" spans="1:9">
      <c r="A27" s="1"/>
      <c r="B27" s="11" t="s">
        <v>7</v>
      </c>
      <c r="C27" s="8"/>
      <c r="D27" s="8" t="s">
        <v>5</v>
      </c>
      <c r="E27" s="17">
        <v>860000</v>
      </c>
      <c r="F27" s="4"/>
      <c r="G27" s="1" t="s">
        <v>6</v>
      </c>
    </row>
    <row r="28" spans="1:9">
      <c r="A28" s="1"/>
      <c r="B28" s="11" t="s">
        <v>135</v>
      </c>
      <c r="C28" s="8"/>
      <c r="D28" s="8" t="s">
        <v>5</v>
      </c>
      <c r="E28" s="19">
        <f>E26-E27</f>
        <v>60874000</v>
      </c>
      <c r="F28" s="4"/>
      <c r="G28" s="1"/>
    </row>
    <row r="29" spans="1:9">
      <c r="A29" s="1"/>
      <c r="B29" s="8" t="s">
        <v>8</v>
      </c>
      <c r="C29" s="8"/>
      <c r="D29" s="8" t="s">
        <v>5</v>
      </c>
      <c r="E29" s="17">
        <v>18696000</v>
      </c>
      <c r="F29" s="4"/>
      <c r="G29" s="1" t="s">
        <v>117</v>
      </c>
    </row>
    <row r="30" spans="1:9">
      <c r="A30" s="1"/>
      <c r="B30" s="8" t="s">
        <v>9</v>
      </c>
      <c r="C30" s="8"/>
      <c r="D30" s="8" t="s">
        <v>5</v>
      </c>
      <c r="E30" s="19">
        <f>E28-E29</f>
        <v>42178000</v>
      </c>
      <c r="F30" s="4"/>
      <c r="G30" s="1"/>
    </row>
    <row r="31" spans="1:9">
      <c r="B31" s="11" t="s">
        <v>10</v>
      </c>
      <c r="C31" s="8"/>
      <c r="D31" s="11" t="s">
        <v>11</v>
      </c>
      <c r="E31" s="17">
        <v>15</v>
      </c>
      <c r="F31" s="4"/>
      <c r="G31" s="1" t="s">
        <v>12</v>
      </c>
      <c r="H31" s="1"/>
      <c r="I31" s="1"/>
    </row>
    <row r="32" spans="1:9">
      <c r="B32" s="8" t="s">
        <v>93</v>
      </c>
      <c r="C32" s="8"/>
      <c r="D32" s="8" t="s">
        <v>5</v>
      </c>
      <c r="E32" s="19">
        <f>E30/E31</f>
        <v>2811866.6666666665</v>
      </c>
      <c r="F32" s="4"/>
      <c r="G32" s="1"/>
      <c r="H32" s="1"/>
      <c r="I32" s="1"/>
    </row>
    <row r="33" spans="2:11" ht="15.75" customHeight="1">
      <c r="B33" s="8" t="s">
        <v>94</v>
      </c>
      <c r="C33" s="8"/>
      <c r="D33" s="8" t="s">
        <v>5</v>
      </c>
      <c r="E33" s="19">
        <f>E28-(2016-2010+4.4/12)*E32</f>
        <v>42971782.222222224</v>
      </c>
      <c r="F33" s="4"/>
      <c r="G33" s="1"/>
      <c r="H33" s="1"/>
      <c r="I33" s="1"/>
    </row>
    <row r="34" spans="2:11" s="58" customFormat="1" ht="15" customHeight="1">
      <c r="B34" s="66"/>
      <c r="C34" s="61"/>
      <c r="D34" s="61"/>
      <c r="E34" s="61"/>
      <c r="F34" s="61"/>
    </row>
    <row r="35" spans="2:11" s="58" customFormat="1" ht="15" customHeight="1">
      <c r="B35" s="85" t="s">
        <v>119</v>
      </c>
      <c r="C35" s="61"/>
      <c r="D35" s="61"/>
      <c r="E35" s="59" t="s">
        <v>125</v>
      </c>
      <c r="F35" s="61"/>
      <c r="G35" s="12" t="s">
        <v>98</v>
      </c>
      <c r="H35" s="12" t="s">
        <v>99</v>
      </c>
      <c r="I35" s="12" t="s">
        <v>100</v>
      </c>
      <c r="K35" s="53" t="s">
        <v>2</v>
      </c>
    </row>
    <row r="36" spans="2:11" s="58" customFormat="1" ht="15" customHeight="1">
      <c r="B36" s="68" t="s">
        <v>139</v>
      </c>
      <c r="C36" s="61"/>
      <c r="D36" s="61" t="s">
        <v>143</v>
      </c>
      <c r="E36" s="87">
        <f>SUM(G36:I36)</f>
        <v>840542</v>
      </c>
      <c r="F36" s="61"/>
      <c r="G36" s="17">
        <v>773908</v>
      </c>
      <c r="H36" s="17">
        <v>59734</v>
      </c>
      <c r="I36" s="17">
        <v>6900</v>
      </c>
      <c r="K36" s="60" t="s">
        <v>108</v>
      </c>
    </row>
    <row r="37" spans="2:11" s="58" customFormat="1" ht="15" customHeight="1">
      <c r="B37" s="68" t="s">
        <v>140</v>
      </c>
      <c r="C37" s="61"/>
      <c r="D37" s="61" t="s">
        <v>11</v>
      </c>
      <c r="E37" s="87">
        <f>SUM(G37:I37)</f>
        <v>18.25</v>
      </c>
      <c r="F37" s="61"/>
      <c r="G37" s="86">
        <v>9.25</v>
      </c>
      <c r="H37" s="86">
        <v>5</v>
      </c>
      <c r="I37" s="86">
        <v>4</v>
      </c>
      <c r="K37" s="60" t="s">
        <v>108</v>
      </c>
    </row>
    <row r="38" spans="2:11" s="58" customFormat="1" ht="15" customHeight="1">
      <c r="B38" s="68" t="s">
        <v>141</v>
      </c>
      <c r="C38" s="61"/>
      <c r="D38" s="61" t="s">
        <v>144</v>
      </c>
      <c r="E38" s="61"/>
      <c r="F38" s="61"/>
      <c r="G38" s="99" t="s">
        <v>148</v>
      </c>
      <c r="H38" s="99" t="s">
        <v>147</v>
      </c>
      <c r="I38" s="99" t="s">
        <v>146</v>
      </c>
      <c r="K38" s="60" t="s">
        <v>108</v>
      </c>
    </row>
    <row r="39" spans="2:11" s="58" customFormat="1" ht="15" customHeight="1">
      <c r="B39" s="68" t="s">
        <v>142</v>
      </c>
      <c r="C39" s="61"/>
      <c r="D39" s="61" t="s">
        <v>143</v>
      </c>
      <c r="E39" s="87">
        <f>SUM(G39:I39)</f>
        <v>63680.494819819825</v>
      </c>
      <c r="F39" s="61"/>
      <c r="G39" s="73">
        <f>(G36/G37)*8/12</f>
        <v>55777.153153153158</v>
      </c>
      <c r="H39" s="73">
        <f>(H36/H37)*(7/12)</f>
        <v>6968.9666666666662</v>
      </c>
      <c r="I39" s="73">
        <f>(I36/I37)*6.5/12</f>
        <v>934.375</v>
      </c>
    </row>
    <row r="40" spans="2:11" s="58" customFormat="1" ht="15" customHeight="1">
      <c r="B40" s="68" t="s">
        <v>145</v>
      </c>
      <c r="C40" s="61"/>
      <c r="D40" s="61" t="s">
        <v>143</v>
      </c>
      <c r="E40" s="87">
        <f>SUM(G40:I40)</f>
        <v>776861.50518018019</v>
      </c>
      <c r="F40" s="61"/>
      <c r="G40" s="73">
        <f>G36-G39</f>
        <v>718130.84684684686</v>
      </c>
      <c r="H40" s="73">
        <f t="shared" ref="H40:I40" si="0">H36-H39</f>
        <v>52765.033333333333</v>
      </c>
      <c r="I40" s="73">
        <f t="shared" si="0"/>
        <v>5965.625</v>
      </c>
    </row>
    <row r="41" spans="2:11" s="58" customFormat="1">
      <c r="B41" s="66"/>
      <c r="C41" s="66"/>
      <c r="D41" s="61"/>
      <c r="E41" s="61"/>
      <c r="F41" s="61"/>
      <c r="G41" s="61"/>
      <c r="H41" s="61"/>
      <c r="I41" s="61"/>
      <c r="J41" s="61"/>
    </row>
    <row r="42" spans="2:11" s="58" customFormat="1">
      <c r="B42" s="85" t="s">
        <v>97</v>
      </c>
      <c r="C42" s="66"/>
      <c r="D42" s="61"/>
      <c r="E42" s="61"/>
      <c r="F42" s="61"/>
      <c r="G42" s="61"/>
      <c r="H42" s="61"/>
      <c r="I42" s="61"/>
      <c r="J42" s="61"/>
    </row>
    <row r="43" spans="2:11" s="58" customFormat="1">
      <c r="B43" s="67" t="s">
        <v>96</v>
      </c>
      <c r="C43" s="66"/>
      <c r="D43" s="61"/>
      <c r="E43" s="87">
        <f>E32+E39</f>
        <v>2875547.1614864864</v>
      </c>
      <c r="F43" s="61"/>
      <c r="G43" s="61"/>
      <c r="H43" s="61"/>
      <c r="I43" s="61"/>
      <c r="J43" s="61"/>
    </row>
    <row r="44" spans="2:11" s="58" customFormat="1">
      <c r="B44" s="67" t="s">
        <v>21</v>
      </c>
      <c r="C44" s="66"/>
      <c r="D44" s="61"/>
      <c r="E44" s="87">
        <f>E33+E40</f>
        <v>43748643.727402404</v>
      </c>
      <c r="F44" s="61"/>
    </row>
    <row r="45" spans="2:11" s="58" customFormat="1">
      <c r="B45" s="66"/>
      <c r="C45" s="66"/>
      <c r="D45" s="61"/>
      <c r="E45" s="61"/>
      <c r="F45" s="61"/>
    </row>
    <row r="46" spans="2:11">
      <c r="B46" s="7"/>
      <c r="C46" s="7"/>
      <c r="D46" s="7"/>
      <c r="E46" s="20"/>
      <c r="F46" s="8"/>
      <c r="G46" s="1"/>
      <c r="H46" s="1"/>
      <c r="I46" s="1"/>
    </row>
    <row r="47" spans="2:11" s="9" customFormat="1" ht="15.75">
      <c r="B47" s="9" t="s">
        <v>22</v>
      </c>
    </row>
    <row r="48" spans="2:11">
      <c r="B48" s="8"/>
      <c r="C48" s="8"/>
      <c r="D48" s="8"/>
      <c r="E48" s="18"/>
      <c r="F48" s="4"/>
      <c r="G48" s="1"/>
      <c r="H48" s="1"/>
      <c r="I48" s="1"/>
    </row>
    <row r="49" spans="1:14">
      <c r="B49" s="8" t="s">
        <v>21</v>
      </c>
      <c r="C49" s="8"/>
      <c r="D49" s="8" t="s">
        <v>5</v>
      </c>
      <c r="E49" s="71">
        <f>E44</f>
        <v>43748643.727402404</v>
      </c>
      <c r="F49" s="4"/>
      <c r="G49" s="1"/>
      <c r="H49" s="1"/>
      <c r="I49" s="1"/>
    </row>
    <row r="50" spans="1:14">
      <c r="A50" s="58"/>
      <c r="B50" s="116" t="s">
        <v>166</v>
      </c>
      <c r="C50" s="7"/>
      <c r="D50" s="7"/>
      <c r="E50" s="101">
        <f>'Effects of BoB Tariff 2018'!H28</f>
        <v>6.4000000000000001E-2</v>
      </c>
      <c r="F50" s="4"/>
      <c r="G50" s="1"/>
      <c r="H50" s="1"/>
      <c r="I50" s="1"/>
    </row>
    <row r="51" spans="1:14">
      <c r="B51" s="8" t="s">
        <v>13</v>
      </c>
      <c r="C51" s="8"/>
      <c r="D51" s="8" t="s">
        <v>19</v>
      </c>
      <c r="E51" s="71">
        <f>E43</f>
        <v>2875547.1614864864</v>
      </c>
      <c r="F51" s="4"/>
      <c r="G51" s="1"/>
      <c r="H51" s="1"/>
      <c r="I51" s="1"/>
    </row>
    <row r="52" spans="1:14">
      <c r="B52" s="11" t="s">
        <v>14</v>
      </c>
      <c r="C52" s="11"/>
      <c r="D52" s="8" t="s">
        <v>19</v>
      </c>
      <c r="E52" s="19">
        <f>E49*E50+E51</f>
        <v>5675460.36004024</v>
      </c>
      <c r="F52" s="4"/>
      <c r="G52" s="1"/>
      <c r="H52" s="1"/>
      <c r="I52" s="1"/>
    </row>
    <row r="53" spans="1:14" s="58" customFormat="1">
      <c r="B53" s="68"/>
      <c r="C53" s="68"/>
      <c r="D53" s="66"/>
      <c r="E53" s="66"/>
      <c r="F53" s="66"/>
      <c r="G53" s="66"/>
    </row>
    <row r="54" spans="1:14">
      <c r="B54" s="8" t="s">
        <v>15</v>
      </c>
      <c r="C54" s="8"/>
      <c r="D54" s="8" t="s">
        <v>19</v>
      </c>
      <c r="E54" s="22">
        <f>E22</f>
        <v>6494180.6299999999</v>
      </c>
      <c r="F54" s="4"/>
      <c r="G54" s="1"/>
      <c r="H54" s="1"/>
      <c r="I54" s="1"/>
    </row>
    <row r="55" spans="1:14">
      <c r="B55" s="4"/>
      <c r="C55" s="4"/>
      <c r="D55" s="4"/>
      <c r="E55" s="16"/>
      <c r="F55" s="1"/>
      <c r="G55" s="5"/>
      <c r="H55" s="5"/>
      <c r="I55" s="5"/>
    </row>
    <row r="56" spans="1:14">
      <c r="B56" s="2" t="s">
        <v>22</v>
      </c>
      <c r="C56" s="2"/>
      <c r="D56" s="8" t="s">
        <v>19</v>
      </c>
      <c r="E56" s="21">
        <f>SUM(E52,E54)</f>
        <v>12169640.990040239</v>
      </c>
      <c r="F56" s="1"/>
      <c r="G56" s="1"/>
      <c r="H56" s="1"/>
      <c r="I56" s="1"/>
    </row>
    <row r="57" spans="1:14">
      <c r="B57" s="1"/>
      <c r="C57" s="1"/>
      <c r="D57" s="1"/>
      <c r="E57" s="16"/>
      <c r="F57" s="1"/>
      <c r="G57" s="1"/>
      <c r="H57" s="1"/>
      <c r="I57" s="1"/>
    </row>
    <row r="58" spans="1:14">
      <c r="B58" s="1"/>
      <c r="C58" s="1"/>
      <c r="D58" s="1"/>
      <c r="E58" s="16"/>
      <c r="F58" s="1"/>
      <c r="G58" s="1"/>
      <c r="H58" s="1"/>
      <c r="I58" s="1"/>
    </row>
    <row r="59" spans="1:14" s="9" customFormat="1" ht="15.75">
      <c r="B59" s="9" t="s">
        <v>20</v>
      </c>
    </row>
    <row r="60" spans="1:14">
      <c r="A60" s="1"/>
      <c r="B60" s="13"/>
      <c r="C60" s="8"/>
      <c r="D60" s="8"/>
      <c r="E60" s="8"/>
      <c r="F60" s="8"/>
      <c r="G60" s="8"/>
    </row>
    <row r="61" spans="1:14">
      <c r="A61" s="23"/>
      <c r="B61" s="10" t="s">
        <v>120</v>
      </c>
      <c r="C61" s="8"/>
      <c r="D61" s="8"/>
      <c r="E61" s="18"/>
      <c r="F61" s="4"/>
      <c r="G61" s="14" t="s">
        <v>2</v>
      </c>
    </row>
    <row r="62" spans="1:14">
      <c r="A62" s="23"/>
      <c r="B62" s="24" t="s">
        <v>103</v>
      </c>
      <c r="C62" s="8"/>
      <c r="D62" s="96" t="s">
        <v>110</v>
      </c>
      <c r="E62" s="17">
        <f>1053152</f>
        <v>1053152</v>
      </c>
      <c r="F62" s="4"/>
      <c r="G62" s="60" t="s">
        <v>109</v>
      </c>
      <c r="H62" s="60"/>
      <c r="I62" s="60"/>
      <c r="J62" s="60"/>
      <c r="K62" s="60"/>
      <c r="L62" s="60"/>
      <c r="M62" s="60"/>
      <c r="N62" s="60"/>
    </row>
    <row r="63" spans="1:14">
      <c r="B63" s="24" t="s">
        <v>104</v>
      </c>
      <c r="D63" s="93" t="s">
        <v>110</v>
      </c>
      <c r="E63" s="17">
        <v>73000</v>
      </c>
      <c r="G63" s="60" t="s">
        <v>109</v>
      </c>
      <c r="H63" s="60"/>
      <c r="I63" s="60"/>
      <c r="J63" s="60"/>
      <c r="K63" s="60"/>
      <c r="L63" s="60"/>
      <c r="M63" s="60"/>
      <c r="N63" s="60"/>
    </row>
    <row r="64" spans="1:14">
      <c r="D64" s="90"/>
    </row>
    <row r="65" spans="2:5">
      <c r="B65" s="59" t="s">
        <v>105</v>
      </c>
      <c r="C65" s="59"/>
      <c r="D65" s="93" t="s">
        <v>110</v>
      </c>
      <c r="E65" s="21">
        <f>SUM(E62,E63)</f>
        <v>1126152</v>
      </c>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A1:J24"/>
  <sheetViews>
    <sheetView showGridLines="0" zoomScale="85" zoomScaleNormal="85" workbookViewId="0"/>
  </sheetViews>
  <sheetFormatPr defaultRowHeight="15"/>
  <cols>
    <col min="2" max="2" width="34.28515625" bestFit="1" customWidth="1"/>
    <col min="4" max="4" width="23.140625" customWidth="1"/>
    <col min="5" max="5" width="11.85546875" customWidth="1"/>
  </cols>
  <sheetData>
    <row r="1" spans="1:9" s="63" customFormat="1" ht="26.25">
      <c r="A1" s="63" t="s">
        <v>56</v>
      </c>
    </row>
    <row r="3" spans="1:9" s="25" customFormat="1">
      <c r="B3" s="25" t="s">
        <v>57</v>
      </c>
    </row>
    <row r="4" spans="1:9">
      <c r="A4" s="58"/>
      <c r="B4" s="66"/>
      <c r="C4" s="66"/>
      <c r="D4" s="66"/>
      <c r="E4" s="69"/>
      <c r="F4" s="61"/>
      <c r="G4" s="58"/>
      <c r="H4" s="58"/>
      <c r="I4" s="58"/>
    </row>
    <row r="5" spans="1:9">
      <c r="A5" s="58"/>
      <c r="B5" s="66" t="s">
        <v>22</v>
      </c>
      <c r="C5" s="66"/>
      <c r="D5" s="66" t="s">
        <v>19</v>
      </c>
      <c r="E5" s="71">
        <f>'Costs (adjusted original)'!E56</f>
        <v>12169640.990040239</v>
      </c>
      <c r="F5" s="61"/>
      <c r="G5" s="58"/>
      <c r="H5" s="58"/>
      <c r="I5" s="58"/>
    </row>
    <row r="6" spans="1:9">
      <c r="A6" s="58"/>
      <c r="B6" s="66"/>
      <c r="C6" s="66"/>
      <c r="D6" s="66"/>
      <c r="E6" s="66"/>
      <c r="F6" s="61"/>
      <c r="G6" s="58"/>
      <c r="H6" s="58"/>
      <c r="I6" s="58"/>
    </row>
    <row r="7" spans="1:9">
      <c r="A7" s="58"/>
      <c r="B7" s="58" t="s">
        <v>38</v>
      </c>
      <c r="C7" s="61"/>
      <c r="D7" s="61" t="s">
        <v>59</v>
      </c>
      <c r="E7" s="72">
        <f>'Input (adjusted original)'!C5</f>
        <v>6.0000000000000001E-3</v>
      </c>
      <c r="F7" s="61"/>
      <c r="G7" s="58"/>
      <c r="H7" s="62"/>
      <c r="I7" s="62"/>
    </row>
    <row r="8" spans="1:9">
      <c r="A8" s="58"/>
      <c r="B8" s="58" t="s">
        <v>111</v>
      </c>
      <c r="C8" s="58"/>
      <c r="D8" s="58" t="s">
        <v>59</v>
      </c>
      <c r="E8" s="72">
        <f>'Input (adjusted original)'!C6</f>
        <v>6.0000000000000001E-3</v>
      </c>
      <c r="F8" s="61"/>
      <c r="G8" s="58"/>
      <c r="H8" s="58"/>
      <c r="I8" s="58"/>
    </row>
    <row r="9" spans="1:9" s="94" customFormat="1">
      <c r="A9" s="58"/>
      <c r="B9" s="58" t="s">
        <v>112</v>
      </c>
      <c r="C9" s="58"/>
      <c r="D9" s="66" t="s">
        <v>110</v>
      </c>
      <c r="E9" s="73">
        <f>E5*(1+E7)*(1+E8)</f>
        <v>12316114.788996363</v>
      </c>
      <c r="F9" s="58"/>
    </row>
    <row r="10" spans="1:9" s="58" customFormat="1">
      <c r="B10" s="66" t="s">
        <v>58</v>
      </c>
      <c r="C10" s="66"/>
      <c r="D10" s="66" t="s">
        <v>110</v>
      </c>
      <c r="E10" s="71">
        <f>'Costs (adjusted original)'!E65</f>
        <v>1126152</v>
      </c>
      <c r="F10" s="61"/>
    </row>
    <row r="11" spans="1:9" s="94" customFormat="1">
      <c r="A11" s="58"/>
      <c r="B11" s="68" t="s">
        <v>113</v>
      </c>
      <c r="C11" s="58"/>
      <c r="D11" s="66" t="s">
        <v>110</v>
      </c>
      <c r="E11" s="73">
        <f>E9+E10</f>
        <v>13442266.788996363</v>
      </c>
      <c r="F11" s="58"/>
    </row>
    <row r="12" spans="1:9" s="94" customFormat="1">
      <c r="A12" s="58"/>
      <c r="B12" s="58"/>
      <c r="C12" s="58"/>
      <c r="D12" s="66"/>
      <c r="E12" s="95"/>
      <c r="F12" s="58"/>
    </row>
    <row r="13" spans="1:9">
      <c r="A13" s="58"/>
      <c r="B13" s="58"/>
      <c r="C13" s="58"/>
      <c r="D13" s="58"/>
      <c r="E13" s="58"/>
      <c r="F13" s="58"/>
      <c r="G13" s="58"/>
      <c r="H13" s="58"/>
      <c r="I13" s="58"/>
    </row>
    <row r="14" spans="1:9" s="25" customFormat="1">
      <c r="B14" s="25" t="s">
        <v>60</v>
      </c>
    </row>
    <row r="15" spans="1:9">
      <c r="A15" s="58"/>
      <c r="B15" s="59"/>
      <c r="C15" s="59"/>
      <c r="D15" s="59"/>
      <c r="E15" s="58"/>
      <c r="F15" s="58"/>
      <c r="G15" s="58"/>
      <c r="H15" s="58"/>
      <c r="I15" s="58"/>
    </row>
    <row r="16" spans="1:9">
      <c r="A16" s="58"/>
      <c r="B16" s="64" t="s">
        <v>61</v>
      </c>
      <c r="C16" s="64"/>
      <c r="D16" s="64" t="s">
        <v>40</v>
      </c>
      <c r="E16" s="74">
        <f>'Input (adjusted original)'!C9</f>
        <v>103709394</v>
      </c>
      <c r="F16" s="64"/>
      <c r="G16" s="58"/>
      <c r="H16" s="58"/>
      <c r="I16" s="58"/>
    </row>
    <row r="17" spans="1:10">
      <c r="A17" s="58"/>
      <c r="B17" s="64" t="s">
        <v>62</v>
      </c>
      <c r="C17" s="64"/>
      <c r="D17" s="64" t="s">
        <v>53</v>
      </c>
      <c r="E17" s="92">
        <f>E11/E16</f>
        <v>0.12961474626875519</v>
      </c>
      <c r="F17" s="64"/>
      <c r="G17" s="58"/>
      <c r="H17" s="58"/>
      <c r="I17" s="58"/>
    </row>
    <row r="18" spans="1:10">
      <c r="B18" s="64"/>
      <c r="C18" s="64"/>
      <c r="D18" s="64"/>
      <c r="E18" s="75"/>
      <c r="F18" s="64"/>
      <c r="G18" s="58"/>
      <c r="H18" s="58"/>
      <c r="I18" s="58"/>
      <c r="J18" s="58"/>
    </row>
    <row r="19" spans="1:10">
      <c r="B19" s="64" t="s">
        <v>63</v>
      </c>
      <c r="C19" s="64"/>
      <c r="D19" s="64" t="s">
        <v>53</v>
      </c>
      <c r="E19" s="100">
        <f>'Input (adjusted original)'!C26</f>
        <v>7.9443187503659266E-2</v>
      </c>
      <c r="F19" s="64"/>
      <c r="G19" s="58"/>
      <c r="H19" s="64"/>
      <c r="I19" s="65"/>
      <c r="J19" s="64"/>
    </row>
    <row r="20" spans="1:10">
      <c r="B20" s="67" t="s">
        <v>64</v>
      </c>
      <c r="C20" s="66"/>
      <c r="D20" s="64" t="s">
        <v>53</v>
      </c>
      <c r="E20" s="76">
        <f>E17+E19</f>
        <v>0.20905793377241444</v>
      </c>
      <c r="F20" s="64"/>
      <c r="G20" s="58"/>
      <c r="H20" s="64"/>
      <c r="I20" s="65"/>
      <c r="J20" s="64"/>
    </row>
    <row r="21" spans="1:10">
      <c r="B21" s="58"/>
      <c r="C21" s="58"/>
      <c r="D21" s="58"/>
      <c r="E21" s="60"/>
      <c r="F21" s="64"/>
      <c r="G21" s="58"/>
      <c r="H21" s="58"/>
      <c r="I21" s="60"/>
      <c r="J21" s="58"/>
    </row>
    <row r="22" spans="1:10">
      <c r="D22" s="58"/>
      <c r="E22" s="58"/>
    </row>
    <row r="23" spans="1:10">
      <c r="D23" s="58"/>
      <c r="E23" s="58"/>
    </row>
    <row r="24" spans="1:10">
      <c r="D24" s="58"/>
      <c r="E24" s="5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09CD8-1849-4F10-BA3A-3BA2AE0FD7B8}">
  <dimension ref="A1"/>
  <sheetViews>
    <sheetView showGridLines="0" zoomScale="85" zoomScaleNormal="85" workbookViewId="0"/>
  </sheetViews>
  <sheetFormatPr defaultRowHeight="15"/>
  <cols>
    <col min="1" max="1" width="9.140625" style="58"/>
    <col min="2" max="2" width="172.140625" style="58" customWidth="1"/>
    <col min="3" max="16384" width="9.140625" style="58"/>
  </cols>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6CCF-D78C-4D1F-AD9F-4D572F218C93}">
  <sheetPr>
    <tabColor rgb="FFCCFFCC"/>
  </sheetPr>
  <dimension ref="A1:X28"/>
  <sheetViews>
    <sheetView showGridLines="0" zoomScale="85" zoomScaleNormal="85" workbookViewId="0"/>
  </sheetViews>
  <sheetFormatPr defaultRowHeight="15"/>
  <cols>
    <col min="1" max="1" width="9.140625" style="58"/>
    <col min="2" max="2" width="36.5703125" style="58" customWidth="1"/>
    <col min="3" max="3" width="12.28515625" style="58" customWidth="1"/>
    <col min="4" max="4" width="12.7109375" style="58" bestFit="1" customWidth="1"/>
    <col min="5" max="5" width="11" style="58" bestFit="1" customWidth="1"/>
    <col min="6" max="6" width="9.140625" style="58" customWidth="1"/>
    <col min="7" max="7" width="9.140625" style="58"/>
    <col min="8" max="8" width="12" style="58" bestFit="1" customWidth="1"/>
    <col min="9" max="15" width="9.140625" style="58"/>
    <col min="16" max="16" width="11.85546875" style="58" customWidth="1"/>
    <col min="17" max="16384" width="9.140625" style="58"/>
  </cols>
  <sheetData>
    <row r="1" spans="1:24" s="63" customFormat="1" ht="26.25">
      <c r="A1" s="63" t="s">
        <v>35</v>
      </c>
    </row>
    <row r="3" spans="1:24">
      <c r="B3" s="59" t="s">
        <v>130</v>
      </c>
      <c r="F3" s="53" t="s">
        <v>2</v>
      </c>
    </row>
    <row r="4" spans="1:24">
      <c r="B4" s="58" t="s">
        <v>151</v>
      </c>
      <c r="C4" s="101">
        <f>'Effects of BoB Tariff 2018'!H31</f>
        <v>9.1700000000000004E-2</v>
      </c>
      <c r="F4" s="58" t="s">
        <v>152</v>
      </c>
    </row>
    <row r="5" spans="1:24">
      <c r="B5" s="58" t="s">
        <v>36</v>
      </c>
      <c r="C5" s="72">
        <f>'CPI CN'!D30</f>
        <v>6.0000000000000001E-3</v>
      </c>
      <c r="F5" s="58" t="s">
        <v>37</v>
      </c>
    </row>
    <row r="6" spans="1:24">
      <c r="B6" s="58" t="s">
        <v>38</v>
      </c>
      <c r="C6" s="72">
        <f>'CPI CN'!D31</f>
        <v>6.0000000000000001E-3</v>
      </c>
      <c r="F6" s="58" t="s">
        <v>37</v>
      </c>
    </row>
    <row r="7" spans="1:24">
      <c r="H7" s="91"/>
    </row>
    <row r="8" spans="1:24">
      <c r="B8" s="59" t="s">
        <v>126</v>
      </c>
    </row>
    <row r="9" spans="1:24">
      <c r="B9" s="61" t="s">
        <v>39</v>
      </c>
      <c r="C9" s="73">
        <f>SUM(C10:C11)</f>
        <v>103709394</v>
      </c>
      <c r="D9" s="58" t="s">
        <v>40</v>
      </c>
      <c r="F9" s="60"/>
      <c r="G9" s="60"/>
      <c r="H9" s="60"/>
      <c r="I9" s="60"/>
      <c r="J9" s="60"/>
      <c r="K9" s="60"/>
      <c r="L9" s="60"/>
      <c r="M9" s="60"/>
      <c r="N9" s="60"/>
      <c r="O9" s="60"/>
      <c r="P9" s="60"/>
      <c r="Q9" s="60"/>
      <c r="R9" s="60"/>
    </row>
    <row r="10" spans="1:24">
      <c r="B10" s="61" t="s">
        <v>41</v>
      </c>
      <c r="C10" s="50">
        <v>29966483</v>
      </c>
      <c r="D10" s="58" t="s">
        <v>40</v>
      </c>
      <c r="F10" s="58" t="s">
        <v>127</v>
      </c>
      <c r="G10" s="60"/>
      <c r="H10" s="60"/>
      <c r="I10" s="60"/>
      <c r="J10" s="60"/>
      <c r="K10" s="60"/>
      <c r="L10" s="60"/>
      <c r="M10" s="60"/>
      <c r="N10" s="60"/>
      <c r="O10" s="60"/>
      <c r="P10" s="47"/>
      <c r="Q10" s="60"/>
      <c r="R10" s="60"/>
    </row>
    <row r="11" spans="1:24">
      <c r="B11" s="58" t="s">
        <v>42</v>
      </c>
      <c r="C11" s="50">
        <v>73742911</v>
      </c>
      <c r="D11" s="58" t="s">
        <v>40</v>
      </c>
      <c r="E11" s="91"/>
      <c r="F11" s="58" t="s">
        <v>127</v>
      </c>
      <c r="G11" s="60"/>
      <c r="H11" s="60"/>
      <c r="I11" s="60"/>
      <c r="J11" s="60"/>
      <c r="K11" s="60"/>
      <c r="L11" s="60"/>
      <c r="M11" s="60"/>
      <c r="N11" s="60"/>
      <c r="O11" s="60"/>
      <c r="P11" s="47"/>
      <c r="Q11" s="60"/>
      <c r="R11" s="60"/>
    </row>
    <row r="12" spans="1:24">
      <c r="C12" s="47"/>
    </row>
    <row r="13" spans="1:24">
      <c r="B13" s="98" t="s">
        <v>129</v>
      </c>
      <c r="C13" s="47"/>
    </row>
    <row r="14" spans="1:24">
      <c r="B14" s="58" t="s">
        <v>43</v>
      </c>
      <c r="C14" s="81">
        <v>1.6140000000000001</v>
      </c>
      <c r="D14" s="58" t="s">
        <v>44</v>
      </c>
      <c r="F14" s="58" t="s">
        <v>132</v>
      </c>
      <c r="G14" s="60"/>
      <c r="H14" s="60"/>
      <c r="I14" s="60"/>
      <c r="J14" s="60"/>
      <c r="K14" s="60"/>
      <c r="L14" s="60"/>
      <c r="M14" s="60"/>
      <c r="N14" s="60"/>
      <c r="O14" s="60"/>
      <c r="P14" s="60"/>
      <c r="Q14" s="60"/>
      <c r="R14" s="60"/>
      <c r="S14" s="60"/>
      <c r="T14" s="60"/>
      <c r="U14" s="60"/>
      <c r="V14" s="60"/>
      <c r="W14" s="60"/>
      <c r="X14" s="60"/>
    </row>
    <row r="15" spans="1:24">
      <c r="C15" s="55">
        <f>C14/1000</f>
        <v>1.6140000000000002E-3</v>
      </c>
      <c r="D15" s="58" t="s">
        <v>45</v>
      </c>
    </row>
    <row r="16" spans="1:24">
      <c r="C16" s="55">
        <f>+C15*159</f>
        <v>0.25662600000000002</v>
      </c>
      <c r="D16" s="58" t="s">
        <v>46</v>
      </c>
      <c r="F16" s="58" t="s">
        <v>131</v>
      </c>
    </row>
    <row r="17" spans="2:13">
      <c r="B17" s="49" t="s">
        <v>47</v>
      </c>
      <c r="C17" s="89">
        <v>0.94341206222837726</v>
      </c>
      <c r="F17" s="58" t="s">
        <v>132</v>
      </c>
      <c r="G17" s="60"/>
      <c r="H17" s="60"/>
      <c r="I17" s="60"/>
      <c r="J17" s="60"/>
      <c r="K17" s="60"/>
      <c r="L17" s="60"/>
    </row>
    <row r="18" spans="2:13">
      <c r="B18" s="49" t="s">
        <v>48</v>
      </c>
      <c r="C18" s="89">
        <v>5.6587937771622784E-2</v>
      </c>
      <c r="F18" s="58" t="s">
        <v>132</v>
      </c>
      <c r="G18" s="60"/>
      <c r="H18" s="60"/>
      <c r="I18" s="60"/>
      <c r="J18" s="60"/>
      <c r="K18" s="60"/>
      <c r="L18" s="60"/>
    </row>
    <row r="19" spans="2:13">
      <c r="B19" s="48"/>
      <c r="C19" s="47"/>
    </row>
    <row r="20" spans="2:13">
      <c r="B20" s="98" t="s">
        <v>128</v>
      </c>
      <c r="C20" s="47"/>
    </row>
    <row r="21" spans="2:13">
      <c r="B21" s="58" t="s">
        <v>49</v>
      </c>
      <c r="C21" s="51">
        <v>66.553299999999993</v>
      </c>
      <c r="D21" s="58" t="s">
        <v>50</v>
      </c>
      <c r="F21" s="60" t="s">
        <v>124</v>
      </c>
      <c r="G21" s="60"/>
      <c r="H21" s="60"/>
      <c r="I21" s="60"/>
      <c r="J21" s="60"/>
      <c r="K21" s="60"/>
      <c r="L21" s="60"/>
      <c r="M21" s="60"/>
    </row>
    <row r="22" spans="2:13">
      <c r="B22" s="58" t="s">
        <v>51</v>
      </c>
      <c r="C22" s="51">
        <f>0.7153*159</f>
        <v>113.73270000000001</v>
      </c>
      <c r="D22" s="58" t="s">
        <v>50</v>
      </c>
      <c r="F22" s="60" t="s">
        <v>124</v>
      </c>
      <c r="G22" s="60"/>
      <c r="H22" s="60"/>
      <c r="I22" s="60"/>
      <c r="J22" s="60"/>
      <c r="K22" s="60"/>
      <c r="L22" s="60"/>
      <c r="M22" s="60"/>
    </row>
    <row r="24" spans="2:13">
      <c r="B24" s="58" t="s">
        <v>52</v>
      </c>
      <c r="C24" s="57">
        <f>(C17*C15*C21)+C18*C15*C22</f>
        <v>0.11172605911140224</v>
      </c>
      <c r="D24" s="58" t="s">
        <v>53</v>
      </c>
    </row>
    <row r="25" spans="2:13">
      <c r="B25" s="58" t="s">
        <v>54</v>
      </c>
      <c r="C25" s="52">
        <f>C11/C9</f>
        <v>0.71105334006676391</v>
      </c>
    </row>
    <row r="26" spans="2:13">
      <c r="B26" s="58" t="s">
        <v>55</v>
      </c>
      <c r="C26" s="57">
        <f>C25*C24</f>
        <v>7.9443187503659266E-2</v>
      </c>
      <c r="D26" s="58" t="s">
        <v>53</v>
      </c>
    </row>
    <row r="28" spans="2:13">
      <c r="C28" s="56"/>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7540E-9BAA-46F5-A563-B7023F87112B}">
  <sheetPr>
    <tabColor rgb="FFFFFFCC"/>
  </sheetPr>
  <dimension ref="A1:N65"/>
  <sheetViews>
    <sheetView showGridLines="0" zoomScale="85" zoomScaleNormal="85" workbookViewId="0"/>
  </sheetViews>
  <sheetFormatPr defaultRowHeight="15"/>
  <cols>
    <col min="1" max="1" width="9.140625" style="58"/>
    <col min="2" max="2" width="60.42578125" style="58" customWidth="1"/>
    <col min="3" max="3" width="9.140625" style="58"/>
    <col min="4" max="4" width="24.7109375" style="58" customWidth="1"/>
    <col min="5" max="5" width="21.5703125" style="58" customWidth="1"/>
    <col min="6" max="6" width="5.42578125" style="58" customWidth="1"/>
    <col min="7" max="7" width="16.5703125" style="58" customWidth="1"/>
    <col min="8" max="8" width="13.140625" style="58" customWidth="1"/>
    <col min="9" max="9" width="15.28515625" style="58" customWidth="1"/>
    <col min="10" max="16384" width="9.140625" style="58"/>
  </cols>
  <sheetData>
    <row r="1" spans="1:12" ht="26.25">
      <c r="A1" s="63" t="s">
        <v>116</v>
      </c>
      <c r="B1" s="63"/>
      <c r="C1" s="63"/>
      <c r="D1" s="63"/>
      <c r="E1" s="15"/>
      <c r="F1" s="15"/>
      <c r="G1" s="63"/>
    </row>
    <row r="2" spans="1:12">
      <c r="B2" s="59"/>
      <c r="C2" s="59"/>
      <c r="D2" s="59"/>
    </row>
    <row r="3" spans="1:12" s="9" customFormat="1" ht="15.75">
      <c r="B3" s="9" t="s">
        <v>0</v>
      </c>
    </row>
    <row r="4" spans="1:12">
      <c r="B4" s="66"/>
      <c r="C4" s="66"/>
      <c r="D4" s="66"/>
      <c r="E4" s="61"/>
      <c r="F4" s="61"/>
    </row>
    <row r="5" spans="1:12">
      <c r="B5" s="67" t="s">
        <v>1</v>
      </c>
      <c r="C5" s="67"/>
      <c r="D5" s="67"/>
      <c r="E5" s="16"/>
      <c r="F5" s="61"/>
      <c r="G5" s="53" t="s">
        <v>2</v>
      </c>
    </row>
    <row r="6" spans="1:12">
      <c r="B6" s="85" t="s">
        <v>16</v>
      </c>
      <c r="C6" s="66"/>
      <c r="E6" s="70">
        <f>SUM(E7:E10)</f>
        <v>1567298</v>
      </c>
      <c r="F6" s="61"/>
    </row>
    <row r="7" spans="1:12">
      <c r="B7" s="82" t="s">
        <v>88</v>
      </c>
      <c r="C7" s="66"/>
      <c r="D7" s="66" t="s">
        <v>19</v>
      </c>
      <c r="E7" s="17">
        <v>98014</v>
      </c>
      <c r="F7" s="61"/>
      <c r="G7" s="58" t="s">
        <v>18</v>
      </c>
    </row>
    <row r="8" spans="1:12">
      <c r="B8" s="82" t="s">
        <v>89</v>
      </c>
      <c r="C8" s="66"/>
      <c r="D8" s="66" t="s">
        <v>19</v>
      </c>
      <c r="E8" s="17">
        <v>1003313</v>
      </c>
      <c r="F8" s="61"/>
      <c r="G8" s="58" t="s">
        <v>18</v>
      </c>
    </row>
    <row r="9" spans="1:12">
      <c r="B9" s="82" t="s">
        <v>90</v>
      </c>
      <c r="C9" s="66"/>
      <c r="D9" s="66" t="s">
        <v>19</v>
      </c>
      <c r="E9" s="17">
        <v>204367</v>
      </c>
      <c r="F9" s="61"/>
      <c r="G9" s="58" t="s">
        <v>18</v>
      </c>
    </row>
    <row r="10" spans="1:12">
      <c r="B10" s="83" t="s">
        <v>91</v>
      </c>
      <c r="C10" s="66"/>
      <c r="D10" s="66" t="s">
        <v>19</v>
      </c>
      <c r="E10" s="17">
        <v>261604</v>
      </c>
      <c r="F10" s="61"/>
      <c r="G10" s="58" t="s">
        <v>18</v>
      </c>
      <c r="J10" s="58" t="s">
        <v>92</v>
      </c>
    </row>
    <row r="11" spans="1:12">
      <c r="B11" s="66"/>
      <c r="C11" s="66"/>
      <c r="D11" s="66"/>
      <c r="E11" s="66"/>
      <c r="F11" s="61"/>
    </row>
    <row r="12" spans="1:12">
      <c r="B12" s="85" t="s">
        <v>17</v>
      </c>
      <c r="C12" s="66"/>
      <c r="D12" s="66" t="s">
        <v>19</v>
      </c>
      <c r="E12" s="70">
        <f>SUM(E13:E18)</f>
        <v>4422882.63</v>
      </c>
      <c r="F12" s="61"/>
    </row>
    <row r="13" spans="1:12">
      <c r="B13" s="83" t="s">
        <v>84</v>
      </c>
      <c r="C13" s="66"/>
      <c r="D13" s="66" t="s">
        <v>19</v>
      </c>
      <c r="E13" s="17">
        <v>1857010</v>
      </c>
      <c r="F13" s="61"/>
      <c r="G13" s="58" t="s">
        <v>18</v>
      </c>
    </row>
    <row r="14" spans="1:12">
      <c r="B14" s="83" t="s">
        <v>107</v>
      </c>
      <c r="C14" s="66"/>
      <c r="D14" s="93" t="s">
        <v>19</v>
      </c>
      <c r="E14" s="17">
        <v>912901.35</v>
      </c>
      <c r="F14" s="61"/>
      <c r="G14" s="60" t="s">
        <v>133</v>
      </c>
      <c r="H14" s="60"/>
      <c r="I14" s="60"/>
      <c r="J14" s="60"/>
      <c r="K14" s="60"/>
    </row>
    <row r="15" spans="1:12">
      <c r="B15" s="83" t="s">
        <v>106</v>
      </c>
      <c r="C15" s="66"/>
      <c r="D15" s="66" t="s">
        <v>19</v>
      </c>
      <c r="E15" s="17">
        <v>964436.28</v>
      </c>
      <c r="F15" s="61"/>
      <c r="G15" s="58" t="s">
        <v>18</v>
      </c>
      <c r="H15" s="60"/>
      <c r="I15" s="60"/>
      <c r="J15" s="60"/>
      <c r="K15" s="60"/>
      <c r="L15" s="60"/>
    </row>
    <row r="16" spans="1:12">
      <c r="B16" s="82" t="s">
        <v>85</v>
      </c>
      <c r="C16" s="66"/>
      <c r="D16" s="66" t="s">
        <v>19</v>
      </c>
      <c r="E16" s="17">
        <v>62683</v>
      </c>
      <c r="F16" s="61"/>
      <c r="G16" s="58" t="s">
        <v>18</v>
      </c>
    </row>
    <row r="17" spans="1:7">
      <c r="B17" s="83" t="s">
        <v>86</v>
      </c>
      <c r="C17" s="66"/>
      <c r="D17" s="66" t="s">
        <v>19</v>
      </c>
      <c r="E17" s="17">
        <v>404701</v>
      </c>
      <c r="F17" s="61"/>
      <c r="G17" s="58" t="s">
        <v>18</v>
      </c>
    </row>
    <row r="18" spans="1:7">
      <c r="B18" s="83" t="s">
        <v>87</v>
      </c>
      <c r="C18" s="66"/>
      <c r="D18" s="66" t="s">
        <v>19</v>
      </c>
      <c r="E18" s="17">
        <v>221151</v>
      </c>
      <c r="F18" s="61"/>
      <c r="G18" s="58" t="s">
        <v>18</v>
      </c>
    </row>
    <row r="19" spans="1:7">
      <c r="B19" s="83"/>
      <c r="C19" s="66"/>
      <c r="D19" s="66"/>
      <c r="E19" s="66"/>
      <c r="F19" s="61"/>
    </row>
    <row r="20" spans="1:7" s="60" customFormat="1">
      <c r="B20" s="68" t="s">
        <v>102</v>
      </c>
      <c r="C20" s="68"/>
      <c r="D20" s="68" t="s">
        <v>19</v>
      </c>
      <c r="E20" s="17">
        <v>504000</v>
      </c>
      <c r="F20" s="69"/>
      <c r="G20" s="60" t="s">
        <v>134</v>
      </c>
    </row>
    <row r="21" spans="1:7" s="60" customFormat="1">
      <c r="B21" s="68"/>
      <c r="C21" s="68"/>
      <c r="D21" s="68"/>
      <c r="E21" s="69"/>
      <c r="F21" s="88"/>
      <c r="G21" s="58"/>
    </row>
    <row r="22" spans="1:7">
      <c r="B22" s="68" t="s">
        <v>3</v>
      </c>
      <c r="C22" s="12"/>
      <c r="D22" s="66" t="s">
        <v>19</v>
      </c>
      <c r="E22" s="70">
        <f>SUM(E6,E12,E20)</f>
        <v>6494180.6299999999</v>
      </c>
      <c r="F22" s="61"/>
    </row>
    <row r="23" spans="1:7">
      <c r="A23" s="60"/>
      <c r="B23" s="68"/>
      <c r="C23" s="68"/>
      <c r="D23" s="68"/>
      <c r="E23" s="69"/>
      <c r="F23" s="61"/>
      <c r="G23" s="60"/>
    </row>
    <row r="24" spans="1:7">
      <c r="A24" s="60"/>
      <c r="B24" s="12" t="s">
        <v>101</v>
      </c>
      <c r="C24" s="12"/>
      <c r="D24" s="12"/>
      <c r="E24" s="69"/>
      <c r="F24" s="61"/>
      <c r="G24" s="60"/>
    </row>
    <row r="25" spans="1:7">
      <c r="A25" s="60"/>
      <c r="B25" s="84" t="s">
        <v>95</v>
      </c>
      <c r="C25" s="12"/>
      <c r="D25" s="12"/>
      <c r="E25" s="69"/>
      <c r="F25" s="61"/>
      <c r="G25" s="60"/>
    </row>
    <row r="26" spans="1:7">
      <c r="B26" s="66" t="s">
        <v>4</v>
      </c>
      <c r="C26" s="66"/>
      <c r="D26" s="66" t="s">
        <v>5</v>
      </c>
      <c r="E26" s="17">
        <v>61734000</v>
      </c>
      <c r="F26" s="61"/>
      <c r="G26" s="58" t="s">
        <v>6</v>
      </c>
    </row>
    <row r="27" spans="1:7">
      <c r="B27" s="68" t="s">
        <v>7</v>
      </c>
      <c r="C27" s="66"/>
      <c r="D27" s="66" t="s">
        <v>5</v>
      </c>
      <c r="E27" s="17">
        <v>860000</v>
      </c>
      <c r="F27" s="61"/>
      <c r="G27" s="58" t="s">
        <v>6</v>
      </c>
    </row>
    <row r="28" spans="1:7">
      <c r="B28" s="68" t="s">
        <v>135</v>
      </c>
      <c r="C28" s="66"/>
      <c r="D28" s="66" t="s">
        <v>5</v>
      </c>
      <c r="E28" s="70">
        <f>E26-E27</f>
        <v>60874000</v>
      </c>
      <c r="F28" s="61"/>
    </row>
    <row r="29" spans="1:7">
      <c r="B29" s="66" t="s">
        <v>8</v>
      </c>
      <c r="C29" s="66"/>
      <c r="D29" s="66" t="s">
        <v>5</v>
      </c>
      <c r="E29" s="17">
        <v>18696000</v>
      </c>
      <c r="F29" s="61"/>
      <c r="G29" s="58" t="s">
        <v>117</v>
      </c>
    </row>
    <row r="30" spans="1:7">
      <c r="B30" s="66" t="s">
        <v>9</v>
      </c>
      <c r="C30" s="66"/>
      <c r="D30" s="66" t="s">
        <v>5</v>
      </c>
      <c r="E30" s="70">
        <f>E28-E29</f>
        <v>42178000</v>
      </c>
      <c r="F30" s="61"/>
    </row>
    <row r="31" spans="1:7">
      <c r="B31" s="68" t="s">
        <v>10</v>
      </c>
      <c r="C31" s="66"/>
      <c r="D31" s="68" t="s">
        <v>11</v>
      </c>
      <c r="E31" s="17">
        <v>15</v>
      </c>
      <c r="F31" s="61"/>
      <c r="G31" s="58" t="s">
        <v>12</v>
      </c>
    </row>
    <row r="32" spans="1:7">
      <c r="B32" s="66" t="s">
        <v>93</v>
      </c>
      <c r="C32" s="66"/>
      <c r="D32" s="66" t="s">
        <v>5</v>
      </c>
      <c r="E32" s="70">
        <f>E30/E31</f>
        <v>2811866.6666666665</v>
      </c>
      <c r="F32" s="61"/>
    </row>
    <row r="33" spans="2:11" ht="15.75" customHeight="1">
      <c r="B33" s="66" t="s">
        <v>94</v>
      </c>
      <c r="C33" s="66"/>
      <c r="D33" s="66" t="s">
        <v>5</v>
      </c>
      <c r="E33" s="70">
        <f>E28-(2016-2010+4.4/12)*E32</f>
        <v>42971782.222222224</v>
      </c>
      <c r="F33" s="61"/>
    </row>
    <row r="34" spans="2:11" ht="15" customHeight="1">
      <c r="B34" s="66"/>
      <c r="C34" s="61"/>
      <c r="D34" s="61"/>
      <c r="E34" s="61"/>
      <c r="F34" s="61"/>
    </row>
    <row r="35" spans="2:11" ht="15" customHeight="1">
      <c r="B35" s="85" t="s">
        <v>119</v>
      </c>
      <c r="C35" s="61"/>
      <c r="D35" s="61"/>
      <c r="E35" s="59" t="s">
        <v>125</v>
      </c>
      <c r="F35" s="61"/>
      <c r="G35" s="12" t="s">
        <v>98</v>
      </c>
      <c r="H35" s="12" t="s">
        <v>99</v>
      </c>
      <c r="I35" s="12" t="s">
        <v>100</v>
      </c>
      <c r="K35" s="53" t="s">
        <v>2</v>
      </c>
    </row>
    <row r="36" spans="2:11" ht="15" customHeight="1">
      <c r="B36" s="68" t="s">
        <v>139</v>
      </c>
      <c r="C36" s="61"/>
      <c r="D36" s="61" t="s">
        <v>143</v>
      </c>
      <c r="E36" s="87">
        <f>SUM(G36:I36)</f>
        <v>840542</v>
      </c>
      <c r="F36" s="61"/>
      <c r="G36" s="17">
        <v>773908</v>
      </c>
      <c r="H36" s="17">
        <v>59734</v>
      </c>
      <c r="I36" s="17">
        <v>6900</v>
      </c>
      <c r="K36" s="60" t="s">
        <v>108</v>
      </c>
    </row>
    <row r="37" spans="2:11" ht="15" customHeight="1">
      <c r="B37" s="68" t="s">
        <v>140</v>
      </c>
      <c r="C37" s="61"/>
      <c r="D37" s="61" t="s">
        <v>11</v>
      </c>
      <c r="E37" s="87">
        <f>SUM(G37:I37)</f>
        <v>18.25</v>
      </c>
      <c r="F37" s="61"/>
      <c r="G37" s="86">
        <v>9.25</v>
      </c>
      <c r="H37" s="86">
        <v>5</v>
      </c>
      <c r="I37" s="86">
        <v>4</v>
      </c>
      <c r="K37" s="60" t="s">
        <v>108</v>
      </c>
    </row>
    <row r="38" spans="2:11" ht="15" customHeight="1">
      <c r="B38" s="68" t="s">
        <v>141</v>
      </c>
      <c r="C38" s="61"/>
      <c r="D38" s="61" t="s">
        <v>144</v>
      </c>
      <c r="E38" s="61"/>
      <c r="F38" s="61"/>
      <c r="G38" s="99" t="s">
        <v>148</v>
      </c>
      <c r="H38" s="99" t="s">
        <v>147</v>
      </c>
      <c r="I38" s="99" t="s">
        <v>146</v>
      </c>
      <c r="K38" s="60" t="s">
        <v>108</v>
      </c>
    </row>
    <row r="39" spans="2:11" ht="15" customHeight="1">
      <c r="B39" s="68" t="s">
        <v>142</v>
      </c>
      <c r="C39" s="61"/>
      <c r="D39" s="61" t="s">
        <v>143</v>
      </c>
      <c r="E39" s="87">
        <f>SUM(G39:I39)</f>
        <v>63680.494819819825</v>
      </c>
      <c r="F39" s="61"/>
      <c r="G39" s="73">
        <f>(G36/G37)*8/12</f>
        <v>55777.153153153158</v>
      </c>
      <c r="H39" s="73">
        <f>(H36/H37)*(7/12)</f>
        <v>6968.9666666666662</v>
      </c>
      <c r="I39" s="73">
        <f>(I36/I37)*6.5/12</f>
        <v>934.375</v>
      </c>
    </row>
    <row r="40" spans="2:11" ht="15" customHeight="1">
      <c r="B40" s="68" t="s">
        <v>145</v>
      </c>
      <c r="C40" s="61"/>
      <c r="D40" s="61" t="s">
        <v>143</v>
      </c>
      <c r="E40" s="87">
        <f>SUM(G40:I40)</f>
        <v>776861.50518018019</v>
      </c>
      <c r="F40" s="61"/>
      <c r="G40" s="73">
        <f>G36-G39</f>
        <v>718130.84684684686</v>
      </c>
      <c r="H40" s="73">
        <f t="shared" ref="H40:I40" si="0">H36-H39</f>
        <v>52765.033333333333</v>
      </c>
      <c r="I40" s="73">
        <f t="shared" si="0"/>
        <v>5965.625</v>
      </c>
    </row>
    <row r="41" spans="2:11">
      <c r="B41" s="66"/>
      <c r="C41" s="66"/>
      <c r="D41" s="61"/>
      <c r="E41" s="61"/>
      <c r="F41" s="61"/>
      <c r="G41" s="61"/>
      <c r="H41" s="61"/>
      <c r="I41" s="61"/>
      <c r="J41" s="61"/>
    </row>
    <row r="42" spans="2:11">
      <c r="B42" s="85" t="s">
        <v>97</v>
      </c>
      <c r="C42" s="66"/>
      <c r="D42" s="61"/>
      <c r="E42" s="61"/>
      <c r="F42" s="61"/>
      <c r="G42" s="61"/>
      <c r="H42" s="61"/>
      <c r="I42" s="61"/>
      <c r="J42" s="61"/>
    </row>
    <row r="43" spans="2:11">
      <c r="B43" s="67" t="s">
        <v>96</v>
      </c>
      <c r="C43" s="66"/>
      <c r="D43" s="61"/>
      <c r="E43" s="87">
        <f>E32+E39</f>
        <v>2875547.1614864864</v>
      </c>
      <c r="F43" s="61"/>
      <c r="G43" s="61"/>
      <c r="H43" s="61"/>
      <c r="I43" s="61"/>
      <c r="J43" s="61"/>
    </row>
    <row r="44" spans="2:11">
      <c r="B44" s="67" t="s">
        <v>21</v>
      </c>
      <c r="C44" s="66"/>
      <c r="D44" s="61"/>
      <c r="E44" s="87">
        <f>E33+E40</f>
        <v>43748643.727402404</v>
      </c>
      <c r="F44" s="61"/>
    </row>
    <row r="45" spans="2:11">
      <c r="B45" s="66"/>
      <c r="C45" s="66"/>
      <c r="D45" s="61"/>
      <c r="E45" s="61"/>
      <c r="F45" s="61"/>
    </row>
    <row r="46" spans="2:11">
      <c r="B46" s="64"/>
      <c r="C46" s="64"/>
      <c r="D46" s="64"/>
      <c r="E46" s="20"/>
      <c r="F46" s="66"/>
    </row>
    <row r="47" spans="2:11" s="9" customFormat="1" ht="15.75">
      <c r="B47" s="9" t="s">
        <v>22</v>
      </c>
    </row>
    <row r="48" spans="2:11">
      <c r="B48" s="66"/>
      <c r="C48" s="66"/>
      <c r="D48" s="66"/>
      <c r="E48" s="69"/>
      <c r="F48" s="61"/>
    </row>
    <row r="49" spans="1:14">
      <c r="B49" s="66" t="s">
        <v>21</v>
      </c>
      <c r="C49" s="66"/>
      <c r="D49" s="66" t="s">
        <v>5</v>
      </c>
      <c r="E49" s="71">
        <f>E44</f>
        <v>43748643.727402404</v>
      </c>
      <c r="F49" s="61"/>
    </row>
    <row r="50" spans="1:14">
      <c r="B50" s="116" t="s">
        <v>166</v>
      </c>
      <c r="C50" s="64"/>
      <c r="D50" s="64"/>
      <c r="E50" s="115">
        <v>9.1700000000000004E-2</v>
      </c>
      <c r="F50" s="61"/>
    </row>
    <row r="51" spans="1:14">
      <c r="B51" s="66" t="s">
        <v>13</v>
      </c>
      <c r="C51" s="66"/>
      <c r="D51" s="66" t="s">
        <v>19</v>
      </c>
      <c r="E51" s="71">
        <f>E43</f>
        <v>2875547.1614864864</v>
      </c>
      <c r="F51" s="61"/>
    </row>
    <row r="52" spans="1:14">
      <c r="B52" s="68" t="s">
        <v>14</v>
      </c>
      <c r="C52" s="68"/>
      <c r="D52" s="66" t="s">
        <v>19</v>
      </c>
      <c r="E52" s="70">
        <f>E49*E50+E51</f>
        <v>6887297.7912892867</v>
      </c>
      <c r="F52" s="61"/>
    </row>
    <row r="53" spans="1:14">
      <c r="B53" s="68"/>
      <c r="C53" s="68"/>
      <c r="D53" s="66"/>
      <c r="E53" s="66"/>
      <c r="F53" s="66"/>
      <c r="G53" s="66"/>
    </row>
    <row r="54" spans="1:14">
      <c r="B54" s="66" t="s">
        <v>15</v>
      </c>
      <c r="C54" s="66"/>
      <c r="D54" s="66" t="s">
        <v>19</v>
      </c>
      <c r="E54" s="71">
        <f>E22</f>
        <v>6494180.6299999999</v>
      </c>
      <c r="F54" s="61"/>
    </row>
    <row r="55" spans="1:14">
      <c r="B55" s="61"/>
      <c r="C55" s="61"/>
      <c r="D55" s="61"/>
      <c r="E55" s="16"/>
      <c r="G55" s="62"/>
      <c r="H55" s="62"/>
      <c r="I55" s="62"/>
    </row>
    <row r="56" spans="1:14">
      <c r="B56" s="59" t="s">
        <v>22</v>
      </c>
      <c r="C56" s="59"/>
      <c r="D56" s="66" t="s">
        <v>19</v>
      </c>
      <c r="E56" s="21">
        <f>SUM(E52,E54)</f>
        <v>13381478.421289288</v>
      </c>
    </row>
    <row r="57" spans="1:14">
      <c r="E57" s="16"/>
    </row>
    <row r="58" spans="1:14">
      <c r="E58" s="16"/>
    </row>
    <row r="59" spans="1:14" s="9" customFormat="1" ht="15.75">
      <c r="B59" s="9" t="s">
        <v>20</v>
      </c>
    </row>
    <row r="60" spans="1:14">
      <c r="B60" s="13"/>
      <c r="C60" s="66"/>
      <c r="D60" s="66"/>
      <c r="E60" s="66"/>
      <c r="F60" s="66"/>
      <c r="G60" s="66"/>
    </row>
    <row r="61" spans="1:14">
      <c r="A61" s="23"/>
      <c r="B61" s="67" t="s">
        <v>120</v>
      </c>
      <c r="C61" s="66"/>
      <c r="D61" s="66"/>
      <c r="E61" s="69"/>
      <c r="F61" s="61"/>
      <c r="G61" s="53" t="s">
        <v>2</v>
      </c>
    </row>
    <row r="62" spans="1:14">
      <c r="A62" s="23"/>
      <c r="B62" s="24" t="s">
        <v>103</v>
      </c>
      <c r="C62" s="66"/>
      <c r="D62" s="96" t="s">
        <v>110</v>
      </c>
      <c r="E62" s="17">
        <f>1053152</f>
        <v>1053152</v>
      </c>
      <c r="F62" s="61"/>
      <c r="G62" s="60" t="s">
        <v>109</v>
      </c>
      <c r="H62" s="60"/>
      <c r="I62" s="60"/>
      <c r="J62" s="60"/>
      <c r="K62" s="60"/>
      <c r="L62" s="60"/>
      <c r="M62" s="60"/>
      <c r="N62" s="60"/>
    </row>
    <row r="63" spans="1:14">
      <c r="B63" s="24" t="s">
        <v>104</v>
      </c>
      <c r="D63" s="93" t="s">
        <v>110</v>
      </c>
      <c r="E63" s="17">
        <v>73000</v>
      </c>
      <c r="G63" s="60" t="s">
        <v>109</v>
      </c>
      <c r="H63" s="60"/>
      <c r="I63" s="60"/>
      <c r="J63" s="60"/>
      <c r="K63" s="60"/>
      <c r="L63" s="60"/>
      <c r="M63" s="60"/>
      <c r="N63" s="60"/>
    </row>
    <row r="64" spans="1:14">
      <c r="D64" s="90"/>
    </row>
    <row r="65" spans="2:5">
      <c r="B65" s="59" t="s">
        <v>105</v>
      </c>
      <c r="C65" s="59"/>
      <c r="D65" s="93" t="s">
        <v>110</v>
      </c>
      <c r="E65" s="21">
        <f>SUM(E62,E63)</f>
        <v>1126152</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Explanation </vt:lpstr>
      <vt:lpstr>Effects of BoB Tariff 2018</vt:lpstr>
      <vt:lpstr>Calculation WACC 6,40% --&gt;</vt:lpstr>
      <vt:lpstr>Input (adjusted original)</vt:lpstr>
      <vt:lpstr>Costs (adjusted original)</vt:lpstr>
      <vt:lpstr>Prod. Price (adj. original)</vt:lpstr>
      <vt:lpstr>Calculation WACC 9,17% --&gt;</vt:lpstr>
      <vt:lpstr>Input (BoB 2018)</vt:lpstr>
      <vt:lpstr>Costs (BoB 2018)</vt:lpstr>
      <vt:lpstr>Production Price (BoB 2018)</vt:lpstr>
      <vt:lpstr>CPI 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 Monique van der</dc:creator>
  <cp:lastModifiedBy>Adriaansen, Paul</cp:lastModifiedBy>
  <dcterms:created xsi:type="dcterms:W3CDTF">2017-09-15T11:17:22Z</dcterms:created>
  <dcterms:modified xsi:type="dcterms:W3CDTF">2021-07-22T15:21:33Z</dcterms:modified>
</cp:coreProperties>
</file>