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1430" windowHeight="7560" tabRatio="892"/>
  </bookViews>
  <sheets>
    <sheet name="Title page" sheetId="9" r:id="rId1"/>
    <sheet name="Explanation" sheetId="10" r:id="rId2"/>
    <sheet name="Sources and applications" sheetId="11" r:id="rId3"/>
    <sheet name="Production price 2019" sheetId="43" r:id="rId4"/>
    <sheet name="Input --&gt;" sheetId="13" r:id="rId5"/>
    <sheet name="Parameters" sheetId="47" r:id="rId6"/>
    <sheet name="Input estimated costs for 2017" sheetId="18" r:id="rId7"/>
    <sheet name="Input realized costs for 2017" sheetId="33" r:id="rId8"/>
    <sheet name="Realized Fuel costs " sheetId="30" r:id="rId9"/>
    <sheet name="Realized production" sheetId="44" r:id="rId10"/>
    <sheet name="Est. production and costs 2019" sheetId="40" r:id="rId11"/>
    <sheet name="WACC Correction over 2018" sheetId="46" r:id="rId12"/>
    <sheet name="Calculations --&gt;" sheetId="15" r:id="rId13"/>
    <sheet name="Estimated costs of 2017" sheetId="28" r:id="rId14"/>
    <sheet name="Realized costs of 2017" sheetId="22" r:id="rId15"/>
    <sheet name="Calculation fuel costs 2017" sheetId="26" r:id="rId16"/>
    <sheet name="Income corrections 2017" sheetId="38" r:id="rId17"/>
    <sheet name="Cost base production price 2019" sheetId="45" r:id="rId18"/>
  </sheets>
  <calcPr calcId="145621"/>
</workbook>
</file>

<file path=xl/calcChain.xml><?xml version="1.0" encoding="utf-8"?>
<calcChain xmlns="http://schemas.openxmlformats.org/spreadsheetml/2006/main">
  <c r="H72" i="26" l="1"/>
  <c r="H19" i="26" l="1"/>
  <c r="H29" i="22" l="1"/>
  <c r="H30" i="22"/>
  <c r="H31" i="22"/>
  <c r="H28" i="22"/>
  <c r="H26" i="38"/>
  <c r="H19" i="45"/>
  <c r="H18" i="45"/>
  <c r="H17" i="45"/>
  <c r="H21" i="46"/>
  <c r="H20" i="46"/>
  <c r="H19" i="46"/>
  <c r="H18" i="46"/>
  <c r="H15" i="38"/>
  <c r="H14" i="38"/>
  <c r="H18" i="28"/>
  <c r="H14" i="22"/>
  <c r="H17" i="28"/>
  <c r="H16" i="28"/>
  <c r="M20" i="47"/>
  <c r="N19" i="47"/>
  <c r="N18" i="47"/>
  <c r="M18" i="47"/>
  <c r="L18" i="47"/>
  <c r="H99" i="30" l="1"/>
  <c r="H92" i="30"/>
  <c r="M17" i="40" l="1"/>
  <c r="N17" i="40"/>
  <c r="O17" i="40"/>
  <c r="P17" i="40"/>
  <c r="Q17" i="40"/>
  <c r="R17" i="40"/>
  <c r="S17" i="40"/>
  <c r="T17" i="40"/>
  <c r="U17" i="40"/>
  <c r="V17" i="40"/>
  <c r="W17" i="40"/>
  <c r="H20" i="22" l="1"/>
  <c r="H130" i="22"/>
  <c r="H25" i="45" l="1"/>
  <c r="H25" i="46"/>
  <c r="H24" i="46"/>
  <c r="H26" i="46" l="1"/>
  <c r="H31" i="43" s="1"/>
  <c r="H16" i="26" l="1"/>
  <c r="H27" i="40"/>
  <c r="J14" i="40" l="1"/>
  <c r="H50" i="40" s="1"/>
  <c r="J15" i="40"/>
  <c r="J16" i="40"/>
  <c r="H54" i="45" s="1"/>
  <c r="J13" i="40"/>
  <c r="H51" i="45" s="1"/>
  <c r="L17" i="40"/>
  <c r="J17" i="40" l="1"/>
  <c r="H21" i="40"/>
  <c r="H53" i="45"/>
  <c r="H20" i="40"/>
  <c r="H52" i="45"/>
  <c r="H48" i="45" l="1"/>
  <c r="H52" i="40"/>
  <c r="H39" i="45" s="1"/>
  <c r="H85" i="45"/>
  <c r="H84" i="45"/>
  <c r="H79" i="45" l="1"/>
  <c r="H23" i="43" s="1"/>
  <c r="H14" i="43"/>
  <c r="H55" i="45"/>
  <c r="H90" i="45" s="1"/>
  <c r="H46" i="45" l="1"/>
  <c r="H44" i="45"/>
  <c r="H88" i="45" s="1"/>
  <c r="H43" i="45"/>
  <c r="H87" i="45" s="1"/>
  <c r="H37" i="45" l="1"/>
  <c r="H36" i="45"/>
  <c r="H35" i="45"/>
  <c r="H31" i="45"/>
  <c r="H32" i="45"/>
  <c r="H30" i="45"/>
  <c r="H69" i="45" l="1"/>
  <c r="H74" i="45"/>
  <c r="H75" i="45" s="1"/>
  <c r="H76" i="45" s="1"/>
  <c r="H70" i="45"/>
  <c r="H71" i="45" l="1"/>
  <c r="H78" i="45" s="1"/>
  <c r="H23" i="33"/>
  <c r="H22" i="43" l="1"/>
  <c r="H15" i="43"/>
  <c r="H16" i="43" s="1"/>
  <c r="H144" i="26"/>
  <c r="H145" i="26"/>
  <c r="H146" i="26"/>
  <c r="H147" i="26"/>
  <c r="H148" i="26"/>
  <c r="H149" i="26"/>
  <c r="H150" i="26"/>
  <c r="H151" i="26"/>
  <c r="H152" i="26"/>
  <c r="H153" i="26"/>
  <c r="H154" i="26"/>
  <c r="H143" i="26"/>
  <c r="H19" i="38" l="1"/>
  <c r="H18" i="38"/>
  <c r="H55" i="26"/>
  <c r="H56" i="26"/>
  <c r="H57" i="26"/>
  <c r="H58" i="26"/>
  <c r="H59" i="26"/>
  <c r="H60" i="26"/>
  <c r="H61" i="26"/>
  <c r="H62" i="26"/>
  <c r="H63" i="26"/>
  <c r="H64" i="26"/>
  <c r="H65" i="26"/>
  <c r="H54" i="26"/>
  <c r="H47" i="45" l="1"/>
  <c r="H20" i="26"/>
  <c r="H91" i="45" l="1"/>
  <c r="H18" i="43" s="1"/>
  <c r="H39" i="26"/>
  <c r="H40" i="26"/>
  <c r="H41" i="26"/>
  <c r="H42" i="26"/>
  <c r="H43" i="26"/>
  <c r="H44" i="26"/>
  <c r="H45" i="26"/>
  <c r="H46" i="26"/>
  <c r="H47" i="26"/>
  <c r="H48" i="26"/>
  <c r="H49" i="26"/>
  <c r="H38" i="26"/>
  <c r="H25" i="26"/>
  <c r="H26" i="26"/>
  <c r="H27" i="26"/>
  <c r="H28" i="26"/>
  <c r="H29" i="26"/>
  <c r="H30" i="26"/>
  <c r="H31" i="26"/>
  <c r="H32" i="26"/>
  <c r="H33" i="26"/>
  <c r="H34" i="26"/>
  <c r="H35" i="26"/>
  <c r="H24" i="26"/>
  <c r="H36" i="43" l="1"/>
  <c r="H52" i="44"/>
  <c r="H79" i="26" s="1"/>
  <c r="H51" i="44"/>
  <c r="H78" i="26" s="1"/>
  <c r="H50" i="44"/>
  <c r="H77" i="26" s="1"/>
  <c r="H49" i="44"/>
  <c r="H76" i="26" s="1"/>
  <c r="H48" i="44"/>
  <c r="H75" i="26" s="1"/>
  <c r="H47" i="44"/>
  <c r="H74" i="26" s="1"/>
  <c r="H46" i="44"/>
  <c r="H73" i="26" s="1"/>
  <c r="H45" i="44"/>
  <c r="H44" i="44"/>
  <c r="H71" i="26" s="1"/>
  <c r="H43" i="44"/>
  <c r="H70" i="26" s="1"/>
  <c r="H42" i="44"/>
  <c r="H69" i="26" s="1"/>
  <c r="H41" i="44"/>
  <c r="H68" i="26" s="1"/>
  <c r="H38" i="44"/>
  <c r="H23" i="44"/>
  <c r="H53" i="44" s="1"/>
  <c r="H20" i="38" s="1"/>
  <c r="H21" i="38" s="1"/>
  <c r="H35" i="38" s="1"/>
  <c r="H26" i="43" s="1"/>
  <c r="H22" i="40"/>
  <c r="H161" i="26" l="1"/>
  <c r="H86" i="26"/>
  <c r="H165" i="26"/>
  <c r="H90" i="26"/>
  <c r="H166" i="26"/>
  <c r="H91" i="26"/>
  <c r="H157" i="26"/>
  <c r="H82" i="26"/>
  <c r="H158" i="26"/>
  <c r="H83" i="26"/>
  <c r="H162" i="26"/>
  <c r="H87" i="26"/>
  <c r="H159" i="26"/>
  <c r="H84" i="26"/>
  <c r="H163" i="26"/>
  <c r="H88" i="26"/>
  <c r="H167" i="26"/>
  <c r="H92" i="26"/>
  <c r="H160" i="26"/>
  <c r="H85" i="26"/>
  <c r="H164" i="26"/>
  <c r="H89" i="26"/>
  <c r="H168" i="26"/>
  <c r="H93" i="26"/>
  <c r="H26" i="18"/>
  <c r="H169" i="26" l="1"/>
  <c r="H30" i="38" s="1"/>
  <c r="H91" i="30" l="1"/>
  <c r="H42" i="45" s="1"/>
  <c r="H62" i="22" l="1"/>
  <c r="H61" i="22"/>
  <c r="H60" i="22"/>
  <c r="H56" i="22"/>
  <c r="H57" i="22"/>
  <c r="H55" i="22"/>
  <c r="H50" i="22"/>
  <c r="H49" i="22"/>
  <c r="H48" i="22"/>
  <c r="H45" i="22"/>
  <c r="H44" i="22"/>
  <c r="H43" i="22"/>
  <c r="H39" i="22"/>
  <c r="H40" i="22"/>
  <c r="H38" i="22"/>
  <c r="H78" i="30"/>
  <c r="H79" i="30" s="1"/>
  <c r="H31" i="33"/>
  <c r="H35" i="33" s="1"/>
  <c r="H17" i="22" s="1"/>
  <c r="H129" i="22" s="1"/>
  <c r="H24" i="45" l="1"/>
  <c r="H61" i="45" s="1"/>
  <c r="H113" i="22"/>
  <c r="H103" i="22"/>
  <c r="H104" i="22" s="1"/>
  <c r="H105" i="22" s="1"/>
  <c r="H98" i="22"/>
  <c r="H99" i="22" s="1"/>
  <c r="H100" i="22" s="1"/>
  <c r="H18" i="26"/>
  <c r="H17" i="26"/>
  <c r="H98" i="26" s="1"/>
  <c r="H31" i="28"/>
  <c r="H100" i="26" l="1"/>
  <c r="H102" i="26"/>
  <c r="H106" i="26"/>
  <c r="H109" i="26"/>
  <c r="H105" i="26"/>
  <c r="H99" i="26"/>
  <c r="H108" i="26"/>
  <c r="H103" i="26"/>
  <c r="H101" i="26"/>
  <c r="H107" i="26"/>
  <c r="H135" i="26" s="1"/>
  <c r="H104" i="26"/>
  <c r="H120" i="26"/>
  <c r="H123" i="26"/>
  <c r="H112" i="26"/>
  <c r="H115" i="26"/>
  <c r="H122" i="26"/>
  <c r="H121" i="26"/>
  <c r="H114" i="26"/>
  <c r="H119" i="26"/>
  <c r="H118" i="26"/>
  <c r="H113" i="26"/>
  <c r="H116" i="26"/>
  <c r="H117" i="26"/>
  <c r="H28" i="28"/>
  <c r="H27" i="28"/>
  <c r="H26" i="28"/>
  <c r="H25" i="28"/>
  <c r="H18" i="18"/>
  <c r="H127" i="26" l="1"/>
  <c r="H133" i="26"/>
  <c r="H126" i="26"/>
  <c r="H129" i="26"/>
  <c r="H131" i="26"/>
  <c r="H130" i="26"/>
  <c r="H137" i="26"/>
  <c r="H128" i="26"/>
  <c r="H132" i="26"/>
  <c r="H136" i="26"/>
  <c r="H134" i="26"/>
  <c r="H30" i="18"/>
  <c r="H21" i="28" s="1"/>
  <c r="H38" i="28"/>
  <c r="H39" i="28" s="1"/>
  <c r="H40" i="28" s="1"/>
  <c r="H138" i="26" l="1"/>
  <c r="H31" i="38" s="1"/>
  <c r="H32" i="38" s="1"/>
  <c r="H37" i="38" s="1"/>
  <c r="H28" i="43" s="1"/>
  <c r="H41" i="28"/>
  <c r="H42" i="28" s="1"/>
  <c r="H43" i="28" s="1"/>
  <c r="H46" i="28" s="1"/>
  <c r="H48" i="28" l="1"/>
  <c r="H24" i="38" s="1"/>
  <c r="H69" i="22"/>
  <c r="H84" i="22"/>
  <c r="H124" i="22" s="1"/>
  <c r="H88" i="22"/>
  <c r="H89" i="22" s="1"/>
  <c r="H92" i="22"/>
  <c r="H93" i="22" s="1"/>
  <c r="B16" i="10"/>
  <c r="H85" i="22" l="1"/>
  <c r="H123" i="22" s="1"/>
  <c r="H70" i="22"/>
  <c r="B23" i="10"/>
  <c r="B17" i="10"/>
  <c r="H71" i="22" l="1"/>
  <c r="B18" i="10"/>
  <c r="B22" i="10" s="1"/>
  <c r="H112" i="22" l="1"/>
  <c r="H73" i="22"/>
  <c r="H120" i="22"/>
  <c r="H128" i="22" s="1"/>
  <c r="H23" i="45" l="1"/>
  <c r="H76" i="22"/>
  <c r="H74" i="22"/>
  <c r="H111" i="22" s="1"/>
  <c r="H75" i="22"/>
  <c r="H77" i="22" l="1"/>
  <c r="H119" i="22" s="1"/>
  <c r="H127" i="22" s="1"/>
  <c r="H114" i="22"/>
  <c r="H22" i="45" l="1"/>
  <c r="H62" i="45" s="1"/>
  <c r="H63" i="45" s="1"/>
  <c r="H21" i="43" s="1"/>
  <c r="H25" i="38"/>
  <c r="H27" i="38" l="1"/>
  <c r="H36" i="38" s="1"/>
  <c r="H27" i="43" s="1"/>
  <c r="H34" i="43" l="1"/>
  <c r="H35" i="43" s="1"/>
  <c r="H37" i="43" l="1"/>
</calcChain>
</file>

<file path=xl/comments1.xml><?xml version="1.0" encoding="utf-8"?>
<comments xmlns="http://schemas.openxmlformats.org/spreadsheetml/2006/main">
  <authors>
    <author>Auteur</author>
  </authors>
  <commentList>
    <comment ref="B22" authorId="0">
      <text>
        <r>
          <rPr>
            <sz val="8"/>
            <color indexed="81"/>
            <rFont val="Tahoma"/>
            <family val="2"/>
          </rPr>
          <t>In all cases (a part of) the pink cells need to include a remark on what is specific to this pink cell.</t>
        </r>
      </text>
    </comment>
  </commentList>
</comments>
</file>

<file path=xl/comments2.xml><?xml version="1.0" encoding="utf-8"?>
<comments xmlns="http://schemas.openxmlformats.org/spreadsheetml/2006/main">
  <authors>
    <author>Auteur</author>
  </authors>
  <commentList>
    <comment ref="H22" authorId="0">
      <text>
        <r>
          <rPr>
            <sz val="8"/>
            <color indexed="81"/>
            <rFont val="Tahoma"/>
            <family val="2"/>
          </rPr>
          <t xml:space="preserve">These costs were not estimated in the decision for the production price of 2017. However in the proces of determining the production price of 2018, CG stated that she had wrongfully, not included this costs. For the purpose of profit sharing we now include the costs in the estimated costs for 2017. </t>
        </r>
      </text>
    </comment>
  </commentList>
</comments>
</file>

<file path=xl/comments3.xml><?xml version="1.0" encoding="utf-8"?>
<comments xmlns="http://schemas.openxmlformats.org/spreadsheetml/2006/main">
  <authors>
    <author>Auteur</author>
  </authors>
  <commentList>
    <comment ref="H41" authorId="0">
      <text>
        <r>
          <rPr>
            <sz val="8"/>
            <color indexed="81"/>
            <rFont val="Tahoma"/>
            <family val="2"/>
          </rPr>
          <t>Calculation based on assumptions and choices made in tariff calculation for 2017</t>
        </r>
      </text>
    </comment>
  </commentList>
</comments>
</file>

<file path=xl/comments4.xml><?xml version="1.0" encoding="utf-8"?>
<comments xmlns="http://schemas.openxmlformats.org/spreadsheetml/2006/main">
  <authors>
    <author>Auteur</author>
  </authors>
  <commentList>
    <comment ref="H73" authorId="0">
      <text>
        <r>
          <rPr>
            <sz val="8"/>
            <color indexed="81"/>
            <rFont val="Tahoma"/>
            <family val="2"/>
          </rPr>
          <t>Calculation based on assumptions and choices made in tariff calculation for 2017</t>
        </r>
      </text>
    </comment>
  </commentList>
</comments>
</file>

<file path=xl/sharedStrings.xml><?xml version="1.0" encoding="utf-8"?>
<sst xmlns="http://schemas.openxmlformats.org/spreadsheetml/2006/main" count="1441" uniqueCount="482">
  <si>
    <t>Eenheid</t>
  </si>
  <si>
    <t>Data</t>
  </si>
  <si>
    <t>Input --&gt;</t>
  </si>
  <si>
    <t>ACM/18/033335</t>
  </si>
  <si>
    <t xml:space="preserve">This document contains the calculation of the production price of ContourGlobal B.V. The production price is based on an estimation of the cost of ContourGlobal in 2019 and the profit sharing results of 2017. </t>
  </si>
  <si>
    <t xml:space="preserve">Production price </t>
  </si>
  <si>
    <t>Description result</t>
  </si>
  <si>
    <t xml:space="preserve">On this sheet the production price of ContourGlobal is calculated. </t>
  </si>
  <si>
    <t xml:space="preserve">Description data </t>
  </si>
  <si>
    <t xml:space="preserve">This datasheet contains data that is provided by ContourGlobal. </t>
  </si>
  <si>
    <t xml:space="preserve">Description </t>
  </si>
  <si>
    <t xml:space="preserve">Unit </t>
  </si>
  <si>
    <t>Constant</t>
  </si>
  <si>
    <t xml:space="preserve">Source </t>
  </si>
  <si>
    <t>Remark</t>
  </si>
  <si>
    <t>Operational costs</t>
  </si>
  <si>
    <t>Total operational costs</t>
  </si>
  <si>
    <t>Capital costs</t>
  </si>
  <si>
    <t xml:space="preserve">RAB power plant </t>
  </si>
  <si>
    <t>Initial costs power plant (value 20 Aug 2010)</t>
  </si>
  <si>
    <t>Transaction costs financing</t>
  </si>
  <si>
    <t>Initial costs power plant excluding transaction costs (value 20 Aug 2010)</t>
  </si>
  <si>
    <t>Residual value power plant (value 20 Aug 2025)</t>
  </si>
  <si>
    <t>PPA period in years</t>
  </si>
  <si>
    <t>Investment</t>
  </si>
  <si>
    <t>Depreciation period</t>
  </si>
  <si>
    <t xml:space="preserve">Investment date </t>
  </si>
  <si>
    <t xml:space="preserve">Other costs to be included </t>
  </si>
  <si>
    <t>Years</t>
  </si>
  <si>
    <t>USD</t>
  </si>
  <si>
    <t>kWh</t>
  </si>
  <si>
    <t>Requirend amount of fuel</t>
  </si>
  <si>
    <t>Barrels/mWh</t>
  </si>
  <si>
    <t>Barrels in kWh</t>
  </si>
  <si>
    <t xml:space="preserve">Liters/kWh </t>
  </si>
  <si>
    <t>% LFO</t>
  </si>
  <si>
    <t>% HFO</t>
  </si>
  <si>
    <t>%</t>
  </si>
  <si>
    <t>Other costs</t>
  </si>
  <si>
    <t>Yearly depreciation</t>
  </si>
  <si>
    <t>Mazars-report 30 Nov 2015, appendix A</t>
  </si>
  <si>
    <t>Mail ContourGlobal 16 Sep 2016, Power Purchase Agreement</t>
  </si>
  <si>
    <t>Power Purchase Agreement</t>
  </si>
  <si>
    <t xml:space="preserve">Office </t>
  </si>
  <si>
    <t>Software</t>
  </si>
  <si>
    <t>Information request August 10th and additional information October 2017</t>
  </si>
  <si>
    <t>Computer equipment</t>
  </si>
  <si>
    <t>years</t>
  </si>
  <si>
    <t>date</t>
  </si>
  <si>
    <t>WACC</t>
  </si>
  <si>
    <t>Total costs</t>
  </si>
  <si>
    <t>Fuel prices</t>
  </si>
  <si>
    <t>USD/barrel</t>
  </si>
  <si>
    <t>USD/kWh</t>
  </si>
  <si>
    <t>USD, price level 2019</t>
  </si>
  <si>
    <t>USD, price level 2017</t>
  </si>
  <si>
    <t>RAB investments 2017</t>
  </si>
  <si>
    <t xml:space="preserve">Explanatory notes </t>
  </si>
  <si>
    <t>Operational costs + capital costs + other costs</t>
  </si>
  <si>
    <t>Estmation 2017</t>
  </si>
  <si>
    <t>HFO</t>
  </si>
  <si>
    <t>LFO</t>
  </si>
  <si>
    <t>January</t>
  </si>
  <si>
    <t>February</t>
  </si>
  <si>
    <t>March</t>
  </si>
  <si>
    <t>April</t>
  </si>
  <si>
    <t xml:space="preserve">June </t>
  </si>
  <si>
    <t>July</t>
  </si>
  <si>
    <t>August</t>
  </si>
  <si>
    <t>September</t>
  </si>
  <si>
    <t>October</t>
  </si>
  <si>
    <t>November</t>
  </si>
  <si>
    <t>December</t>
  </si>
  <si>
    <t>May</t>
  </si>
  <si>
    <t>Invoices fuel</t>
  </si>
  <si>
    <t>USD/liter</t>
  </si>
  <si>
    <t>barrel</t>
  </si>
  <si>
    <t>liter</t>
  </si>
  <si>
    <t xml:space="preserve">Fuel </t>
  </si>
  <si>
    <t>Wind</t>
  </si>
  <si>
    <t>June</t>
  </si>
  <si>
    <t xml:space="preserve">September </t>
  </si>
  <si>
    <t xml:space="preserve">October </t>
  </si>
  <si>
    <t xml:space="preserve">Total amount of production </t>
  </si>
  <si>
    <t>Realized production</t>
  </si>
  <si>
    <t>Total per month</t>
  </si>
  <si>
    <t>USD, price level 2015</t>
  </si>
  <si>
    <t xml:space="preserve">Fuel prices, amounts and yields </t>
  </si>
  <si>
    <t xml:space="preserve">On this sheet the profit sharing add-on is calculated </t>
  </si>
  <si>
    <t xml:space="preserve">Estimated costs for 2017 excl fuel </t>
  </si>
  <si>
    <t xml:space="preserve">Realized costs for 2017 excl fuel </t>
  </si>
  <si>
    <t xml:space="preserve">On this sheet the realized costs of 2017 are calculated </t>
  </si>
  <si>
    <t>Calculation efficient wind production per month</t>
  </si>
  <si>
    <t>Efficient wind production</t>
  </si>
  <si>
    <t>Total demand per month (=total  production)</t>
  </si>
  <si>
    <t>Total production by fuel based on efficient wind</t>
  </si>
  <si>
    <t>Calculation monthly costs for fuel</t>
  </si>
  <si>
    <t>TOTAL</t>
  </si>
  <si>
    <t>Yearly total</t>
  </si>
  <si>
    <t>Barrels / kWh</t>
  </si>
  <si>
    <t>Barrels/kWh</t>
  </si>
  <si>
    <t>Most recent fuel prices</t>
  </si>
  <si>
    <t>%LFO</t>
  </si>
  <si>
    <t>Information request CG (info first half 2018)</t>
  </si>
  <si>
    <t>Estimated production &amp; developments</t>
  </si>
  <si>
    <t>Estimated production amounts 2019</t>
  </si>
  <si>
    <t>Investment batteries</t>
  </si>
  <si>
    <t>Estimated costs for 2017 (Input for profit sharing)</t>
  </si>
  <si>
    <t>Realized costs 2017 (input for profit sharing and input for estimation costs 2019</t>
  </si>
  <si>
    <t>Estimated yields and prices for production price 2019</t>
  </si>
  <si>
    <t>production price 2017</t>
  </si>
  <si>
    <t>Calculation Estimated Costs 2017 (for profit sharing)</t>
  </si>
  <si>
    <t>Calculation fuel costs 2017 (based on efficient wind production)</t>
  </si>
  <si>
    <t>barrels/kWh</t>
  </si>
  <si>
    <t>Production volume estimated 2017</t>
  </si>
  <si>
    <t>Total production by wind</t>
  </si>
  <si>
    <t>Total production by fuel</t>
  </si>
  <si>
    <t>Calculation monthly income for fuel (based on monthly production prices)</t>
  </si>
  <si>
    <t>Realized production prices (fuel part) 2017</t>
  </si>
  <si>
    <t>Production price 2017 excl fuel part</t>
  </si>
  <si>
    <t>Monthly fuel part of production price:</t>
  </si>
  <si>
    <t>Monthly fuel part of the production price</t>
  </si>
  <si>
    <t>Monthly total income CG fuel costs</t>
  </si>
  <si>
    <t>Total 2017</t>
  </si>
  <si>
    <t>Production price (excl fuel)</t>
  </si>
  <si>
    <t>Total estimated volume</t>
  </si>
  <si>
    <t>Total realised volume</t>
  </si>
  <si>
    <t>Realised income for 2017 for fuel</t>
  </si>
  <si>
    <t>Calculated costs for 2017 for fuel, based on efficient wind production</t>
  </si>
  <si>
    <t>Description</t>
  </si>
  <si>
    <t>Extra operational costs (provision maintenance Enercon-contract)</t>
  </si>
  <si>
    <t>Total</t>
  </si>
  <si>
    <t>Decrease in value during PPA-period</t>
  </si>
  <si>
    <t>Post employment benefits</t>
  </si>
  <si>
    <t xml:space="preserve">Gross wages </t>
  </si>
  <si>
    <t xml:space="preserve">Social premium charges </t>
  </si>
  <si>
    <t>Other employee benefits</t>
  </si>
  <si>
    <t xml:space="preserve">Operating and maintenance expenses </t>
  </si>
  <si>
    <t>Management fees</t>
  </si>
  <si>
    <t xml:space="preserve">Office expenses </t>
  </si>
  <si>
    <t xml:space="preserve">Professional fees </t>
  </si>
  <si>
    <t xml:space="preserve">Other operating expenses </t>
  </si>
  <si>
    <t>Personnel expenses</t>
  </si>
  <si>
    <t>Other operating expenses</t>
  </si>
  <si>
    <t>Annual report 2015</t>
  </si>
  <si>
    <t>Non-variabel fuel costs (transport, Enercon, annual report 2015)</t>
  </si>
  <si>
    <t>This datasheet contains data that is provided by ContourGlobal for the tariff setting process for 2017.</t>
  </si>
  <si>
    <t>Annual report 2017</t>
  </si>
  <si>
    <t>(except for the mark up for the management fee)</t>
  </si>
  <si>
    <t>Nominal WACC 2017</t>
  </si>
  <si>
    <t>Calculation total cost 2017 (according to estimation for production price 2017)</t>
  </si>
  <si>
    <t>Investment extra diesel generators</t>
  </si>
  <si>
    <t xml:space="preserve">Description calculation </t>
  </si>
  <si>
    <t>Data for calculation: OPEX and parameters</t>
  </si>
  <si>
    <t>Data for calculation: Capital Costs</t>
  </si>
  <si>
    <t>Calculation Realisation Costs 2017 (for profit sharing and estimation costs 2019)</t>
  </si>
  <si>
    <t>This estimation was based on the assumption (in the tariff decision) that the RAB level of 2015 was the best estimator for the RAB level end-of-year 2017 (which was taken into account in the regulated tariffs)</t>
  </si>
  <si>
    <t>Calculation capital cost 2017</t>
  </si>
  <si>
    <t>Yearly depreciation investments in this category</t>
  </si>
  <si>
    <t>Part 2: yearly investments (regular add-ons)</t>
  </si>
  <si>
    <t>Calculation total costs 2017</t>
  </si>
  <si>
    <t>Total costs for profit sharing</t>
  </si>
  <si>
    <t>Total Depreciation 2017</t>
  </si>
  <si>
    <t>Total OPEX</t>
  </si>
  <si>
    <t>Total costs 2017 for profit sharing</t>
  </si>
  <si>
    <t>Cost base for estimating expected costs in 2019</t>
  </si>
  <si>
    <t>Expectations for 2019 for Part 1 (Initial investment powerplant)</t>
  </si>
  <si>
    <t>Expectations for 2019 for Part 2 (yearly regular add-ons)</t>
  </si>
  <si>
    <t>Total costs to take into account for the expected costs in 2019</t>
  </si>
  <si>
    <t xml:space="preserve">Total depreciation for cost base </t>
  </si>
  <si>
    <t>No CPI needs to be applied to use this depreciation level in cost base for 2019.</t>
  </si>
  <si>
    <t>Data for calculation</t>
  </si>
  <si>
    <t>Calculation of profit sharing effect: difference between estimated and realised costs 2017</t>
  </si>
  <si>
    <t>Difference (positive amount = add on to production price 2019)</t>
  </si>
  <si>
    <t>50% of difference (positive amount = add on to production price 2019)</t>
  </si>
  <si>
    <t>Calculation of cost effect by differences in fuel prices and amounts used</t>
  </si>
  <si>
    <t>Profit sharing and other income effects over 2017</t>
  </si>
  <si>
    <t>Estimation cost base 2019</t>
  </si>
  <si>
    <t>On this sheet cost base for 2019 is estimated, based on realised costs over 2017 and other expectations</t>
  </si>
  <si>
    <t>Data on cost base, from realised costs 2017</t>
  </si>
  <si>
    <t>Part 3: expansion investments (capacity add-on in 2019)</t>
  </si>
  <si>
    <t>Capital costs part 3: Additional investments in 2019 (capacity expansion)</t>
  </si>
  <si>
    <t>Capital costs part 3: costs of additional investments in 2019</t>
  </si>
  <si>
    <t>Investment in batteries</t>
  </si>
  <si>
    <t>Investment amount</t>
  </si>
  <si>
    <t>Depreciation in 2019</t>
  </si>
  <si>
    <t>Calculation of expected costs 2019</t>
  </si>
  <si>
    <t>Based on fuel mix (HFO/LFO) as presented below (first half of 2018)</t>
  </si>
  <si>
    <t>Requirend amount of fuel (barrels)</t>
  </si>
  <si>
    <t>Requirend amount of fuel (liters)</t>
  </si>
  <si>
    <t>Cost data on fuel (expectations for 2019)</t>
  </si>
  <si>
    <t>Expectation for fuel price HFO for 2019</t>
  </si>
  <si>
    <t>Expectation for fuel price LFO for 2019 (per barrel!)</t>
  </si>
  <si>
    <t>Calculation of volume difference, profit sharing and fuel difference</t>
  </si>
  <si>
    <t>Calculation cost base for 2019 (current asset base)</t>
  </si>
  <si>
    <t>OPEX</t>
  </si>
  <si>
    <t xml:space="preserve">Total costs </t>
  </si>
  <si>
    <t>Additional capital costs for 2019</t>
  </si>
  <si>
    <t>As fuel is fully reimbursed and has no link to CPI, no indexation is needed</t>
  </si>
  <si>
    <t>Share of production by fuel (expectation)</t>
  </si>
  <si>
    <t>Fuel component in production price</t>
  </si>
  <si>
    <t>Profit sharing percentage</t>
  </si>
  <si>
    <t>Total asset value Powerplant 31-12-2017 (based on ultimo value 2015)</t>
  </si>
  <si>
    <t>This is the exact formula that was used for estimating the cost level end of 2015 in the tariff decision for 2017</t>
  </si>
  <si>
    <t>Fuel use and yield (expectations for 2017)</t>
  </si>
  <si>
    <t>Method Decision 2017-2019</t>
  </si>
  <si>
    <t>Effects in price level 2019</t>
  </si>
  <si>
    <t>Volume effect (excl. fuel)</t>
  </si>
  <si>
    <t>Profit sharing effect</t>
  </si>
  <si>
    <t>Fuel price and volume effect</t>
  </si>
  <si>
    <t>Estimated production volume for 2019</t>
  </si>
  <si>
    <t>Total production</t>
  </si>
  <si>
    <t>Estimated cost level for 2019</t>
  </si>
  <si>
    <t>Corrections on income 2017, reimbursed in production price 2019</t>
  </si>
  <si>
    <t>Calculation production price 2019</t>
  </si>
  <si>
    <t>Calculation production price</t>
  </si>
  <si>
    <t>Production price 2019 (excluding fuel)</t>
  </si>
  <si>
    <t>Total estimated costs for 2019 (= total income)</t>
  </si>
  <si>
    <t>2018.07.16 ContourGlobal Answers to ACM on request transmitted on July 6th 2018</t>
  </si>
  <si>
    <t>Yield production by fuel</t>
  </si>
  <si>
    <t>barrel / kWh</t>
  </si>
  <si>
    <t>New engines</t>
  </si>
  <si>
    <t>Batteries</t>
  </si>
  <si>
    <t>Production per month in 2019</t>
  </si>
  <si>
    <t>Total production ContourGlobal</t>
  </si>
  <si>
    <t>Extra operational costs batteries</t>
  </si>
  <si>
    <t>Extra operational costs new generators</t>
  </si>
  <si>
    <t>Total extra operational costs 2019</t>
  </si>
  <si>
    <t>Extra operational costs in 2019 (capacity expansion)</t>
  </si>
  <si>
    <t>Expected yield for 2019 (based on expected fuel mix below - current generators)</t>
  </si>
  <si>
    <t>Expectation yield for 2019 (net over all generators, new generators use only HFO)</t>
  </si>
  <si>
    <t>Expected production for 2019</t>
  </si>
  <si>
    <t>Additional operational costs for 2019</t>
  </si>
  <si>
    <t>Fuel component in production prices based on wind/batteries and fuel mix</t>
  </si>
  <si>
    <t>Fuel use and yield (based on current generators)</t>
  </si>
  <si>
    <t>%HFO (current generators)</t>
  </si>
  <si>
    <t>%LFO (current generators)</t>
  </si>
  <si>
    <t>%HFO (new generators)</t>
  </si>
  <si>
    <t>calculating share of HFO/LFO for current and new generators</t>
  </si>
  <si>
    <t>total production by current generators</t>
  </si>
  <si>
    <t>total prodution by new generators</t>
  </si>
  <si>
    <t>%HFO (current and new generators)</t>
  </si>
  <si>
    <t>%LFO (current and new generators)</t>
  </si>
  <si>
    <t>USD / kWh, price level 2019</t>
  </si>
  <si>
    <t>Technical information extra production 2019</t>
  </si>
  <si>
    <t>2018.10.18 CG Bonaire answer to ACM additional questions (HFO)_OL</t>
  </si>
  <si>
    <t>Production by wind and batteries</t>
  </si>
  <si>
    <t>Separate file by CG: CG Bonaire Overhead costs 2015</t>
  </si>
  <si>
    <t>Non-variabel fuel costs (transport, Enercon)</t>
  </si>
  <si>
    <t>Row Total</t>
  </si>
  <si>
    <t>Diesel (current Power plant)</t>
  </si>
  <si>
    <t>Totals over 2019</t>
  </si>
  <si>
    <t>Production by fuel in 2019</t>
  </si>
  <si>
    <t>Production by wind en batteries in 2019</t>
  </si>
  <si>
    <t>Total amount of production by ContourGlobal in 2019</t>
  </si>
  <si>
    <t>Estimated additional capital costs in 2019</t>
  </si>
  <si>
    <t>barrel / MWh</t>
  </si>
  <si>
    <t>Yield production by fuel (kWh)</t>
  </si>
  <si>
    <t>Contour Global - answers to ACM - fuel for production</t>
  </si>
  <si>
    <t>V1A015K0 2018.10.04 CG Bonaire answer to ACM on Tariff 2019_ES - adjusted wind data</t>
  </si>
  <si>
    <t>USD/MWh</t>
  </si>
  <si>
    <t>USD, pl 2019</t>
  </si>
  <si>
    <t>Extra operational costs new generators per MWh</t>
  </si>
  <si>
    <t>Including management fee allowance for 2017</t>
  </si>
  <si>
    <t>Total capital costs</t>
  </si>
  <si>
    <t>Estimated (extra) operational costs in 2019</t>
  </si>
  <si>
    <t>Specific estimations for OPEX 2019</t>
  </si>
  <si>
    <t>Provision maintenance Enercon contract in 2019</t>
  </si>
  <si>
    <t>Extra operational costs related to additional production facilities</t>
  </si>
  <si>
    <t>2018.09.27 CG Bonaire answer to ACM on Tariff 2019</t>
  </si>
  <si>
    <t>WACC correction over 2018</t>
  </si>
  <si>
    <t>Data on WACC and RAB</t>
  </si>
  <si>
    <t>Total asset value 1-1-2017</t>
  </si>
  <si>
    <t>Nominal WACC 2018</t>
  </si>
  <si>
    <t>Calculation production price Contour Global 2018</t>
  </si>
  <si>
    <t>Note: from 2019 calculations on, no CPI is applied to capital costs, as inflation is already covered by using a nominal WACC. For 2017 and 2018 tariff decisions, this is not reversed.</t>
  </si>
  <si>
    <t>Calculation of difference in capital costs</t>
  </si>
  <si>
    <t>USD, pl 2018</t>
  </si>
  <si>
    <t>Correct calculation based on WACC 2018</t>
  </si>
  <si>
    <t>Difference, to be corrected in production price 2019</t>
  </si>
  <si>
    <t>Corrections on income 2018, reimbursed in production price 2019</t>
  </si>
  <si>
    <t>Correction for wrong WACC</t>
  </si>
  <si>
    <t>Description data (and calculation)</t>
  </si>
  <si>
    <t>Extra operational costs (provision maintenance Enercon contract)</t>
  </si>
  <si>
    <t>Total OPEX in cost base, based on data 2017</t>
  </si>
  <si>
    <t>Includes estimation for management fee, based on additional data over 2017. Excludes additional costs for provision for Enercon contract</t>
  </si>
  <si>
    <t>Additional OPEX for provision for Enercon contract</t>
  </si>
  <si>
    <t>Note: price level 2019</t>
  </si>
  <si>
    <t>Production by fuel (current and new generators)</t>
  </si>
  <si>
    <t>ContourGlobal - answers to ACM - fuel for production</t>
  </si>
  <si>
    <t>production price 2017 + fuel prices HFO and LFO</t>
  </si>
  <si>
    <t>power point presentation CG</t>
  </si>
  <si>
    <t>Contour Global Bonaire BV Financial statements 2017 - incl auditors report</t>
  </si>
  <si>
    <t>2018.07.06 ContourGlobal answers to ACM</t>
  </si>
  <si>
    <t>20151130 Mazars rapport investeringsbedrag power plant</t>
  </si>
  <si>
    <t>Mazars-report 30 Nov 2015</t>
  </si>
  <si>
    <t>CG en WEB - PPA_Bonaire_appendices_27-11-2007</t>
  </si>
  <si>
    <t>CG en WEB - PPA_Bonaire_27-11-2007</t>
  </si>
  <si>
    <t>ContourGlobal - Request for information regulation in the Caribbean Netherlands v08.08.17</t>
  </si>
  <si>
    <t xml:space="preserve">Information request August 10th </t>
  </si>
  <si>
    <t>Additional information October 2017</t>
  </si>
  <si>
    <t xml:space="preserve">Invoices fuel </t>
  </si>
  <si>
    <t>CG Bonaire Overhead costs 2015</t>
  </si>
  <si>
    <t xml:space="preserve"> CG Bonaire Overhead costs 2015</t>
  </si>
  <si>
    <t>Production price 2017</t>
  </si>
  <si>
    <t>20161215 Calculation production price ContourGlobal 2017</t>
  </si>
  <si>
    <t>Bonaire answer to ACM on Tariff 2019_ES - adjusted wind data</t>
  </si>
  <si>
    <t>Powerpoint presentation CG</t>
  </si>
  <si>
    <t>20181011_Bonaire new HFO capacity-ACM_v2_draft</t>
  </si>
  <si>
    <t>Production Price model CG 2018 - version for CG</t>
  </si>
  <si>
    <t>Calculation Model for ContourGlobal Electricity Price 2018</t>
  </si>
  <si>
    <t>01 - Beschikking productieprijs electriciteit 2018 - ContourGlobal (Engels) NG def</t>
  </si>
  <si>
    <t>Additional OPEX for provision for Enercon contract in 2019</t>
  </si>
  <si>
    <t>Extra operational costs: provision maintenance Enercon contract for 2017</t>
  </si>
  <si>
    <t>Effective consumption 2017 (memo CG 24-10)</t>
  </si>
  <si>
    <t>2018.10.23 CG Bonaire answers to Draft Tariff v14</t>
  </si>
  <si>
    <t xml:space="preserve">             -  </t>
  </si>
  <si>
    <t># Liters in a barrel</t>
  </si>
  <si>
    <t># liter</t>
  </si>
  <si>
    <t>In the profit sharing over 2018 (in tariffs 2020) this correction will be taken into account before calculating the cost difference over 2018.</t>
  </si>
  <si>
    <t>Description data</t>
  </si>
  <si>
    <t>Explanatory notes</t>
  </si>
  <si>
    <t xml:space="preserve">The development of the CPI of Q3 year T and Q3 year T-1 will be used as the estimated inflation for the year T+1. The estimated inflation is rounded to one decimal. </t>
  </si>
  <si>
    <t>As of the development of the CPI between Q3 2017 and Q3 2018, the 2017 = 100 serie is used. Before this, the 2010 = 100 serie has been used.</t>
  </si>
  <si>
    <t>Unit</t>
  </si>
  <si>
    <t>Row total</t>
  </si>
  <si>
    <t>Source</t>
  </si>
  <si>
    <t>Comments</t>
  </si>
  <si>
    <t xml:space="preserve">CPI </t>
  </si>
  <si>
    <t xml:space="preserve">Bonaire </t>
  </si>
  <si>
    <t>Saba</t>
  </si>
  <si>
    <t>Sint Eustatius</t>
  </si>
  <si>
    <t>Estimated inflation 2016</t>
  </si>
  <si>
    <t>http://statline.cbs.nl/Statweb/publication/?DM=SLNL&amp;PA=81122NED&amp;D1=0-2&amp;D2=0&amp;D3=a&amp;D4=a&amp;VW=T</t>
  </si>
  <si>
    <t>Estimated inflation 2017</t>
  </si>
  <si>
    <t>Estimated inflation 2018</t>
  </si>
  <si>
    <t>Estimated inflation 2019</t>
  </si>
  <si>
    <t>https://opendata.cbs.nl/statline/#/CBS/nl/dataset/84046NED/table?ts=1541174354543</t>
  </si>
  <si>
    <t xml:space="preserve">WACC </t>
  </si>
  <si>
    <t>Electricity production &amp; distribution</t>
  </si>
  <si>
    <t>Electricity production only</t>
  </si>
  <si>
    <t>Electricity &amp; water combined</t>
  </si>
  <si>
    <t xml:space="preserve">WACC 2017 </t>
  </si>
  <si>
    <t>WACC 2018</t>
  </si>
  <si>
    <t xml:space="preserve">WACC 2019 </t>
  </si>
  <si>
    <t>Parameters (CPI, WACC, profit sharing)</t>
  </si>
  <si>
    <t>This sheet shows the CPI and WACC used. Also input for profit sharing is included.</t>
  </si>
  <si>
    <t>Profit sharing parameter</t>
  </si>
  <si>
    <t>Depreciation on regular investments in 2017</t>
  </si>
  <si>
    <t>These expectations for 2019 are fully based on realised costs in 2017</t>
  </si>
  <si>
    <t>2018.10.23 CG Bonaire Answers to Draft Tariff v14</t>
  </si>
  <si>
    <t>Note: these amounts are consumption of fuel</t>
  </si>
  <si>
    <t>received 8-6-2018</t>
  </si>
  <si>
    <t>received 6 July 2018</t>
  </si>
  <si>
    <t>received 16 September 2016</t>
  </si>
  <si>
    <t>received 10-8-2017</t>
  </si>
  <si>
    <t>Explanation to this file</t>
  </si>
  <si>
    <t>Legend to cell coloring</t>
  </si>
  <si>
    <t>Exceptional cells</t>
  </si>
  <si>
    <t>Result</t>
  </si>
  <si>
    <t>Calculation</t>
  </si>
  <si>
    <t>Sheet with result/output</t>
  </si>
  <si>
    <t>Sheet with input</t>
  </si>
  <si>
    <t>Sheet with calculations</t>
  </si>
  <si>
    <t>Sheet not yet up to date / work in progress</t>
  </si>
  <si>
    <t>Model sheets</t>
  </si>
  <si>
    <t>Explanatory sheets</t>
  </si>
  <si>
    <t>Explanation</t>
  </si>
  <si>
    <t>Empty sheet used for indexing</t>
  </si>
  <si>
    <t>Value or calculation that needs special attention or explanation</t>
  </si>
  <si>
    <t>Calculated value</t>
  </si>
  <si>
    <t>Result / calculated value that is referred to on another sheet</t>
  </si>
  <si>
    <t>Empty cell (not zero) used in a formula range</t>
  </si>
  <si>
    <t>List of sources</t>
  </si>
  <si>
    <t>Additional information on this source</t>
  </si>
  <si>
    <t>Title page</t>
  </si>
  <si>
    <t>About this file</t>
  </si>
  <si>
    <t>Case number</t>
  </si>
  <si>
    <t>Title</t>
  </si>
  <si>
    <t>Other remarks</t>
  </si>
  <si>
    <t>Decision reference</t>
  </si>
  <si>
    <t>About the status of this file</t>
  </si>
  <si>
    <t>Is this file legally part of above decision? (y/n)</t>
  </si>
  <si>
    <t>Final version? (y/n)</t>
  </si>
  <si>
    <t>Published? (y/n)</t>
  </si>
  <si>
    <t>No</t>
  </si>
  <si>
    <t>Production price 2018 CG</t>
  </si>
  <si>
    <t>FS_2015 2231 Contour Global Bonaire BV 2015_GESTEMPELDpdf</t>
  </si>
  <si>
    <t>WACC-besluit Caribisch Nederland</t>
  </si>
  <si>
    <t>Calculating the WACC for energy and water companies in the Caribbean Netherlands</t>
  </si>
  <si>
    <t>CPI gegevens CBS (2010=100)</t>
  </si>
  <si>
    <t>CPI gegevens CBS (2017=100)</t>
  </si>
  <si>
    <t>E-mail CG to ACM (2018-11-07)</t>
  </si>
  <si>
    <t>20181011_Bonaire new HFO capacity - ACM_v2_draft</t>
  </si>
  <si>
    <t>https://www.acm.nl/sites/default/files/old_publication/publicaties/16601_wacc-determination-caribbean-netherlands.pdf</t>
  </si>
  <si>
    <t>ContourGlobal Answers to ACM on request transmitted on September 21st 20...</t>
  </si>
  <si>
    <t>https://www.acm.nl/nl/publicaties/publicatie/16390/Methodebesluit-elektriciteit-en-drinkwater-Caribisch-Nederland-2017-2019</t>
  </si>
  <si>
    <t>Parameters</t>
  </si>
  <si>
    <t>WACC 2019</t>
  </si>
  <si>
    <t>As referred to in Source column</t>
  </si>
  <si>
    <t>Exact file name</t>
  </si>
  <si>
    <t>External file name</t>
  </si>
  <si>
    <t>Date received, email, file location</t>
  </si>
  <si>
    <t>Source overview and specifications</t>
  </si>
  <si>
    <t>Cellcolor numbers</t>
  </si>
  <si>
    <t>Sheet colors</t>
  </si>
  <si>
    <t>Data and input (source required)</t>
  </si>
  <si>
    <t>Value that is drawn from another sheet or cell without calculation</t>
  </si>
  <si>
    <t>Input or calculation that is not yet up to date, pro memori or work in progress</t>
  </si>
  <si>
    <t>Standardized sheets with information on the file</t>
  </si>
  <si>
    <t>On this sheet, an overview can be found in which the ACM describes the sources used for data and calculations in this file.</t>
  </si>
  <si>
    <t>Each input sheet contains a column 'Source', in which the sources are referred to by their shortened name. These sources are further explained in the table below.</t>
  </si>
  <si>
    <t>Shortened name</t>
  </si>
  <si>
    <t>Rekenmodel ContourGlobal 2019</t>
  </si>
  <si>
    <t>Price HFO (October 2018)</t>
  </si>
  <si>
    <t>Fuel price October 2018</t>
  </si>
  <si>
    <t>Price LFO (October 2018)</t>
  </si>
  <si>
    <t>Estimation by CG, 2018.09.27 CG Bonaire answer to ACM on Tariff 2019</t>
  </si>
  <si>
    <t>difference (= add on to production price 2019 as a result of fuel differences)</t>
  </si>
  <si>
    <t>Fuel use and yield (as estimated for 2017)</t>
  </si>
  <si>
    <t>CG sent the following file in this email;  CGB_production 2019_396921832 Revised 07112018</t>
  </si>
  <si>
    <t>Referred to specific parts of the document, e.g. appendix A</t>
  </si>
  <si>
    <t>Production price January 2019 (including fuel)</t>
  </si>
  <si>
    <t>Yes</t>
  </si>
  <si>
    <t>Decision</t>
  </si>
  <si>
    <t>Decision on production price electricity ContourGlobal 2019</t>
  </si>
  <si>
    <t>Contains business confidential information?</t>
  </si>
  <si>
    <t>The ACM estimates the cost of 2019 with the cost of 2017 as can be found in the annual account of ContourGlobal.</t>
  </si>
  <si>
    <t>The profit sharing results include a volume-effect and a fuel reimbursement, in addition to a correction that is made for the WACC 2018.</t>
  </si>
  <si>
    <t>Last update input CBS: November 28, 2018</t>
  </si>
  <si>
    <t>The source of the costs data is the annual account of 2017. The source of the production data is an information request by the ACM to ContourGlobal</t>
  </si>
  <si>
    <t>For the operational costs, the CPI is used to translate costs over years, as these are expected to develop with CPI. So price level is always mentiond in the Unit column for operational costs.</t>
  </si>
  <si>
    <t>For the capital costs, the ACM will not apply CPI to the RAV level of investments to translate depreciation costs or costs of capital over years. By using a nominal WACC, CG is fully compensated for costs of inflation on the invested assets. As the RAV is not indexed, depreciation levels are constant over time, and do not need te be indexed with CPI.</t>
  </si>
  <si>
    <t>Part 1: RAV power plant (initial investment)</t>
  </si>
  <si>
    <t>RAV investments 2016</t>
  </si>
  <si>
    <t>This is the data for the year 2017.</t>
  </si>
  <si>
    <t>HFO is presented in barrels and LFO in liters.</t>
  </si>
  <si>
    <t>This sheet presents the prices and the realized amounts of fuel for each month, separate for HFO and LFO.</t>
  </si>
  <si>
    <t>Realization fuel costs for HFO and LFO per month (2017)</t>
  </si>
  <si>
    <t>Realization amounts HFO and LFO for each month (2017)</t>
  </si>
  <si>
    <t>Estimated yields for production price 2017 (for profit sharing)</t>
  </si>
  <si>
    <t>This sheet presents the realized production for the year 2017.</t>
  </si>
  <si>
    <t>This sheet presents the estimated production for 2018 .</t>
  </si>
  <si>
    <t>MWh</t>
  </si>
  <si>
    <t>This sheet contains data that is needed to calculate a correction on the income in 2018, which will be taken into account in the production price of 2019.</t>
  </si>
  <si>
    <t>In the calculations for the production price in 2018, a wrong number for the WACC was used. This creates a small effect in the allowed revenu for 2018, which is calculated here.</t>
  </si>
  <si>
    <t>RAV data</t>
  </si>
  <si>
    <t>Capital costs (RAV * WACC) as calculated in production price model for 2018</t>
  </si>
  <si>
    <t>On this sheet the estimated costs of 2017 are calculated.</t>
  </si>
  <si>
    <t>This is the calculation as it was made for the production price 2017.</t>
  </si>
  <si>
    <t>Expected inflation 2016</t>
  </si>
  <si>
    <t>Expected inflation 2017</t>
  </si>
  <si>
    <t>WACC * RAV</t>
  </si>
  <si>
    <t>RAV power plant (initial investment)</t>
  </si>
  <si>
    <t>RAV investments 2017</t>
  </si>
  <si>
    <t>Depreciation on RAV Power Plant in 2019</t>
  </si>
  <si>
    <t>Total RAV for cost base</t>
  </si>
  <si>
    <t>No CPI needs to be applied to use this RAV in cost base for 2019. WACC 2019 needs to be applied.</t>
  </si>
  <si>
    <t>RAV of Powerplant (initial investment) ultimo 2015</t>
  </si>
  <si>
    <t>RAV of Powerplant (initial investment) ultimo 2017</t>
  </si>
  <si>
    <t>RAV of Powerplant (initial investment) primo 2019</t>
  </si>
  <si>
    <t>RAV of Powerplant (initial investment) ultimo 2019</t>
  </si>
  <si>
    <t>Average RAV of Powerplant (initial investment) during 2019</t>
  </si>
  <si>
    <t>RAV of regular investments 2016 ultimo 2017</t>
  </si>
  <si>
    <t>RAV of regular investments 2017 ultimo 2017</t>
  </si>
  <si>
    <t>Depreciation in 2017</t>
  </si>
  <si>
    <t>Total RAV ultimo 2017</t>
  </si>
  <si>
    <t>RAV regular Investments ultimo 2017</t>
  </si>
  <si>
    <t>On this sheet the fuel costs are calculated. This is based on efficient wind production.</t>
  </si>
  <si>
    <t>All USD amounts are in price level 2017.</t>
  </si>
  <si>
    <t>Barrels/MWh</t>
  </si>
  <si>
    <t>Expected inflation 2018</t>
  </si>
  <si>
    <t>Expected inflation 2019</t>
  </si>
  <si>
    <t>Calculation of effect on revenu by volume difference in 2017 (excl fuel)</t>
  </si>
  <si>
    <t>Volume effect (excl fuel)</t>
  </si>
  <si>
    <t>Since estimated costs were higher than realised costs, 50% of the difference will be passed on to the customers via the production price 2019.</t>
  </si>
  <si>
    <t>Since estimated volume was higher than realised volume, the production price did not cover all fixed costs. This difference will be fully passed on to the customers via production price 2019.</t>
  </si>
  <si>
    <t>Since (efficient) fuel costs were higher than the income to cover these costs, this difference will be passed on to the customer via production price 2019.</t>
  </si>
  <si>
    <t>As set in production price decision for 2017.</t>
  </si>
  <si>
    <t>RAV of additional investment 2019 ultimo 2019</t>
  </si>
  <si>
    <t>Note: RAV ultimo value is divided by 2, as Opening RAV for 2019 is zero)</t>
  </si>
  <si>
    <t>ACM/UIT/503806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</si>
</sst>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0000_ ;_ * \-#,##0.0000_ ;_ * &quot;-&quot;??_ ;_ @_ "/>
    <numFmt numFmtId="165" formatCode="_ * #,##0_ ;_ * \-#,##0_ ;_ * &quot;-&quot;??_ ;_ @_ "/>
    <numFmt numFmtId="166" formatCode="_ * #,##0.000_ ;_ * \-#,##0.000_ ;_ * &quot;-&quot;??_ ;_ @_ "/>
    <numFmt numFmtId="167" formatCode="_(* #,##0.00_);_(* \(#,##0.00\);_(* &quot;-&quot;??_);_(@_)"/>
    <numFmt numFmtId="168" formatCode="_([$€]* #,##0.00_);_([$€]* \(#,##0.00\);_([$€]* &quot;-&quot;??_);_(@_)"/>
    <numFmt numFmtId="169" formatCode="_-* #,##0.00_-;_-* #,##0.00\-;_-* &quot;-&quot;??_-;_-@_-"/>
    <numFmt numFmtId="170" formatCode="[$-413]d/mmm/yy;@"/>
    <numFmt numFmtId="171" formatCode="0.0%"/>
    <numFmt numFmtId="172" formatCode="#,##0.000"/>
    <numFmt numFmtId="173" formatCode="_ * #,##0.00000_ ;_ * \-#,##0.00000_ ;_ * &quot;-&quot;??_ ;_ @_ "/>
    <numFmt numFmtId="174" formatCode="_ * #,##0.000000_ ;_ * \-#,##0.000000_ ;_ * &quot;-&quot;??_ ;_ @_ "/>
    <numFmt numFmtId="175" formatCode="#,##0.0"/>
  </numFmts>
  <fonts count="8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b/>
      <sz val="14"/>
      <color rgb="FFFF00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i/>
      <u/>
      <sz val="10"/>
      <name val="Arial"/>
      <family val="2"/>
    </font>
    <font>
      <u/>
      <sz val="10"/>
      <name val="Arial"/>
      <family val="2"/>
    </font>
    <font>
      <sz val="10"/>
      <color indexed="8"/>
      <name val="MS Sans Serif"/>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2"/>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b/>
      <sz val="11"/>
      <color indexed="63"/>
      <name val="Calibri"/>
      <family val="2"/>
    </font>
    <font>
      <b/>
      <sz val="10"/>
      <color indexed="63"/>
      <name val="EYInterstate Light"/>
      <family val="2"/>
    </font>
    <font>
      <sz val="10"/>
      <color rgb="FF000000"/>
      <name val="Arial"/>
      <family val="2"/>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sz val="10"/>
      <color theme="1"/>
      <name val="Calibri"/>
      <family val="2"/>
      <scheme val="minor"/>
    </font>
    <font>
      <i/>
      <sz val="10"/>
      <color theme="1"/>
      <name val="Arial"/>
      <family val="2"/>
    </font>
    <font>
      <u/>
      <sz val="10"/>
      <color theme="10"/>
      <name val="Arial"/>
      <family val="2"/>
    </font>
    <font>
      <sz val="9.5"/>
      <color theme="1"/>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6795556505021"/>
        <bgColor indexed="64"/>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04">
    <xf numFmtId="0" fontId="0"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0" borderId="0">
      <alignment vertical="top"/>
    </xf>
    <xf numFmtId="49" fontId="15" fillId="5" borderId="1">
      <alignment vertical="top"/>
    </xf>
    <xf numFmtId="49" fontId="12" fillId="24" borderId="1">
      <alignment vertical="top"/>
    </xf>
    <xf numFmtId="49" fontId="12" fillId="0" borderId="0">
      <alignment vertical="top"/>
    </xf>
    <xf numFmtId="43" fontId="11" fillId="17" borderId="0">
      <alignment vertical="top"/>
    </xf>
    <xf numFmtId="43" fontId="11" fillId="16" borderId="0">
      <alignment vertical="top"/>
    </xf>
    <xf numFmtId="43" fontId="11" fillId="14" borderId="0">
      <alignment vertical="top"/>
    </xf>
    <xf numFmtId="43" fontId="11" fillId="7" borderId="0">
      <alignment vertical="top"/>
    </xf>
    <xf numFmtId="43" fontId="11" fillId="9" borderId="0">
      <alignment vertical="top"/>
    </xf>
    <xf numFmtId="43" fontId="11" fillId="18" borderId="0">
      <alignment vertical="top"/>
    </xf>
    <xf numFmtId="49" fontId="17" fillId="0" borderId="0">
      <alignment vertical="top"/>
    </xf>
    <xf numFmtId="49" fontId="16" fillId="0" borderId="0">
      <alignment vertical="top"/>
    </xf>
    <xf numFmtId="0" fontId="22" fillId="20" borderId="3" applyNumberFormat="0" applyAlignment="0" applyProtection="0"/>
    <xf numFmtId="0" fontId="23" fillId="21" borderId="4" applyNumberFormat="0" applyAlignment="0" applyProtection="0"/>
    <xf numFmtId="0" fontId="24" fillId="21" borderId="3" applyNumberFormat="0" applyAlignment="0" applyProtection="0"/>
    <xf numFmtId="0" fontId="25" fillId="0" borderId="5" applyNumberFormat="0" applyFill="0" applyAlignment="0" applyProtection="0"/>
    <xf numFmtId="0" fontId="19" fillId="22" borderId="6" applyNumberFormat="0" applyAlignment="0" applyProtection="0"/>
    <xf numFmtId="0" fontId="21" fillId="23" borderId="7" applyNumberFormat="0" applyFont="0" applyAlignment="0" applyProtection="0"/>
    <xf numFmtId="0" fontId="27"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34" fillId="48" borderId="0" applyNumberFormat="0" applyBorder="0" applyAlignment="0" applyProtection="0"/>
    <xf numFmtId="0" fontId="35" fillId="0" borderId="0" applyNumberFormat="0" applyFill="0" applyBorder="0" applyAlignment="0" applyProtection="0"/>
    <xf numFmtId="43" fontId="21" fillId="0" borderId="0" applyFont="0" applyFill="0" applyBorder="0" applyAlignment="0" applyProtection="0"/>
    <xf numFmtId="0" fontId="11" fillId="0" borderId="0"/>
    <xf numFmtId="0" fontId="11" fillId="0" borderId="0"/>
    <xf numFmtId="0" fontId="11" fillId="0" borderId="0"/>
    <xf numFmtId="0" fontId="11" fillId="0" borderId="0"/>
    <xf numFmtId="0" fontId="38" fillId="0" borderId="0"/>
    <xf numFmtId="0" fontId="11" fillId="0" borderId="0"/>
    <xf numFmtId="0" fontId="11" fillId="0" borderId="0"/>
    <xf numFmtId="49" fontId="12" fillId="24" borderId="1">
      <alignment vertical="top"/>
    </xf>
    <xf numFmtId="0" fontId="39" fillId="49" borderId="0" applyNumberFormat="0" applyBorder="0" applyAlignment="0" applyProtection="0"/>
    <xf numFmtId="0" fontId="40" fillId="49" borderId="0" applyNumberFormat="0" applyBorder="0" applyAlignment="0" applyProtection="0"/>
    <xf numFmtId="0" fontId="39" fillId="50" borderId="0" applyNumberFormat="0" applyBorder="0" applyAlignment="0" applyProtection="0"/>
    <xf numFmtId="0" fontId="40" fillId="50" borderId="0" applyNumberFormat="0" applyBorder="0" applyAlignment="0" applyProtection="0"/>
    <xf numFmtId="0" fontId="39" fillId="51" borderId="0" applyNumberFormat="0" applyBorder="0" applyAlignment="0" applyProtection="0"/>
    <xf numFmtId="0" fontId="40" fillId="51"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9" fillId="53" borderId="0" applyNumberFormat="0" applyBorder="0" applyAlignment="0" applyProtection="0"/>
    <xf numFmtId="0" fontId="40" fillId="53" borderId="0" applyNumberFormat="0" applyBorder="0" applyAlignment="0" applyProtection="0"/>
    <xf numFmtId="0" fontId="39" fillId="54" borderId="0" applyNumberFormat="0" applyBorder="0" applyAlignment="0" applyProtection="0"/>
    <xf numFmtId="0" fontId="40" fillId="54" borderId="0" applyNumberFormat="0" applyBorder="0" applyAlignment="0" applyProtection="0"/>
    <xf numFmtId="0" fontId="39" fillId="55" borderId="0" applyNumberFormat="0" applyBorder="0" applyAlignment="0" applyProtection="0"/>
    <xf numFmtId="0" fontId="40" fillId="55" borderId="0" applyNumberFormat="0" applyBorder="0" applyAlignment="0" applyProtection="0"/>
    <xf numFmtId="0" fontId="39" fillId="56" borderId="0" applyNumberFormat="0" applyBorder="0" applyAlignment="0" applyProtection="0"/>
    <xf numFmtId="0" fontId="40" fillId="56" borderId="0" applyNumberFormat="0" applyBorder="0" applyAlignment="0" applyProtection="0"/>
    <xf numFmtId="0" fontId="39" fillId="57" borderId="0" applyNumberFormat="0" applyBorder="0" applyAlignment="0" applyProtection="0"/>
    <xf numFmtId="0" fontId="40" fillId="57"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9" fillId="55" borderId="0" applyNumberFormat="0" applyBorder="0" applyAlignment="0" applyProtection="0"/>
    <xf numFmtId="0" fontId="40" fillId="55" borderId="0" applyNumberFormat="0" applyBorder="0" applyAlignment="0" applyProtection="0"/>
    <xf numFmtId="0" fontId="39" fillId="58" borderId="0" applyNumberFormat="0" applyBorder="0" applyAlignment="0" applyProtection="0"/>
    <xf numFmtId="0" fontId="40" fillId="58" borderId="0" applyNumberFormat="0" applyBorder="0" applyAlignment="0" applyProtection="0"/>
    <xf numFmtId="0" fontId="41" fillId="59" borderId="0" applyNumberFormat="0" applyBorder="0" applyAlignment="0" applyProtection="0"/>
    <xf numFmtId="0" fontId="42" fillId="59" borderId="0" applyNumberFormat="0" applyBorder="0" applyAlignment="0" applyProtection="0"/>
    <xf numFmtId="0" fontId="41" fillId="56" borderId="0" applyNumberFormat="0" applyBorder="0" applyAlignment="0" applyProtection="0"/>
    <xf numFmtId="0" fontId="42" fillId="56" borderId="0" applyNumberFormat="0" applyBorder="0" applyAlignment="0" applyProtection="0"/>
    <xf numFmtId="0" fontId="41" fillId="57" borderId="0" applyNumberFormat="0" applyBorder="0" applyAlignment="0" applyProtection="0"/>
    <xf numFmtId="0" fontId="42" fillId="57" borderId="0" applyNumberFormat="0" applyBorder="0" applyAlignment="0" applyProtection="0"/>
    <xf numFmtId="0" fontId="41" fillId="60" borderId="0" applyNumberFormat="0" applyBorder="0" applyAlignment="0" applyProtection="0"/>
    <xf numFmtId="0" fontId="42" fillId="60" borderId="0" applyNumberFormat="0" applyBorder="0" applyAlignment="0" applyProtection="0"/>
    <xf numFmtId="0" fontId="41" fillId="61" borderId="0" applyNumberFormat="0" applyBorder="0" applyAlignment="0" applyProtection="0"/>
    <xf numFmtId="0" fontId="42" fillId="61" borderId="0" applyNumberFormat="0" applyBorder="0" applyAlignment="0" applyProtection="0"/>
    <xf numFmtId="0" fontId="41" fillId="62" borderId="0" applyNumberFormat="0" applyBorder="0" applyAlignment="0" applyProtection="0"/>
    <xf numFmtId="0" fontId="42" fillId="62" borderId="0" applyNumberFormat="0" applyBorder="0" applyAlignment="0" applyProtection="0"/>
    <xf numFmtId="0" fontId="41" fillId="63" borderId="0" applyNumberFormat="0" applyBorder="0" applyAlignment="0" applyProtection="0"/>
    <xf numFmtId="0" fontId="42" fillId="63" borderId="0" applyNumberFormat="0" applyBorder="0" applyAlignment="0" applyProtection="0"/>
    <xf numFmtId="0" fontId="41" fillId="64" borderId="0" applyNumberFormat="0" applyBorder="0" applyAlignment="0" applyProtection="0"/>
    <xf numFmtId="0" fontId="42" fillId="64" borderId="0" applyNumberFormat="0" applyBorder="0" applyAlignment="0" applyProtection="0"/>
    <xf numFmtId="0" fontId="41" fillId="65" borderId="0" applyNumberFormat="0" applyBorder="0" applyAlignment="0" applyProtection="0"/>
    <xf numFmtId="0" fontId="42" fillId="65" borderId="0" applyNumberFormat="0" applyBorder="0" applyAlignment="0" applyProtection="0"/>
    <xf numFmtId="0" fontId="41" fillId="60" borderId="0" applyNumberFormat="0" applyBorder="0" applyAlignment="0" applyProtection="0"/>
    <xf numFmtId="0" fontId="42" fillId="60" borderId="0" applyNumberFormat="0" applyBorder="0" applyAlignment="0" applyProtection="0"/>
    <xf numFmtId="0" fontId="41" fillId="61" borderId="0" applyNumberFormat="0" applyBorder="0" applyAlignment="0" applyProtection="0"/>
    <xf numFmtId="0" fontId="42" fillId="61" borderId="0" applyNumberFormat="0" applyBorder="0" applyAlignment="0" applyProtection="0"/>
    <xf numFmtId="0" fontId="41" fillId="66" borderId="0" applyNumberFormat="0" applyBorder="0" applyAlignment="0" applyProtection="0"/>
    <xf numFmtId="0" fontId="42" fillId="66" borderId="0" applyNumberFormat="0" applyBorder="0" applyAlignment="0" applyProtection="0"/>
    <xf numFmtId="0" fontId="43" fillId="50" borderId="0" applyNumberFormat="0" applyBorder="0" applyAlignment="0" applyProtection="0"/>
    <xf numFmtId="0" fontId="44" fillId="50" borderId="0" applyNumberFormat="0" applyBorder="0" applyAlignment="0" applyProtection="0"/>
    <xf numFmtId="0" fontId="45" fillId="67" borderId="12" applyNumberFormat="0" applyAlignment="0" applyProtection="0"/>
    <xf numFmtId="0" fontId="45" fillId="67" borderId="12" applyNumberFormat="0" applyAlignment="0" applyProtection="0"/>
    <xf numFmtId="0" fontId="46" fillId="67" borderId="12" applyNumberFormat="0" applyAlignment="0" applyProtection="0"/>
    <xf numFmtId="0" fontId="47" fillId="68" borderId="13" applyNumberFormat="0" applyAlignment="0" applyProtection="0"/>
    <xf numFmtId="0" fontId="48" fillId="68" borderId="13" applyNumberFormat="0" applyAlignment="0" applyProtection="0"/>
    <xf numFmtId="167" fontId="49" fillId="0" borderId="0" applyFont="0" applyFill="0" applyBorder="0" applyAlignment="0" applyProtection="0"/>
    <xf numFmtId="43" fontId="49" fillId="0" borderId="0" applyFont="0" applyFill="0" applyBorder="0" applyAlignment="0" applyProtection="0"/>
    <xf numFmtId="0" fontId="47" fillId="68" borderId="13" applyNumberFormat="0" applyAlignment="0" applyProtection="0"/>
    <xf numFmtId="168" fontId="11" fillId="0" borderId="0" applyFont="0" applyFill="0" applyBorder="0" applyAlignment="0" applyProtection="0"/>
    <xf numFmtId="168" fontId="1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4" applyNumberFormat="0" applyFill="0" applyAlignment="0" applyProtection="0"/>
    <xf numFmtId="0"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5" fillId="0" borderId="0"/>
    <xf numFmtId="0" fontId="56" fillId="0" borderId="15" applyNumberFormat="0" applyFill="0" applyAlignment="0" applyProtection="0"/>
    <xf numFmtId="0" fontId="57" fillId="0" borderId="15" applyNumberFormat="0" applyFill="0" applyAlignment="0" applyProtection="0"/>
    <xf numFmtId="0" fontId="58" fillId="0" borderId="16" applyNumberFormat="0" applyFill="0" applyAlignment="0" applyProtection="0"/>
    <xf numFmtId="0" fontId="59" fillId="0" borderId="16" applyNumberFormat="0" applyFill="0" applyAlignment="0" applyProtection="0"/>
    <xf numFmtId="0" fontId="60" fillId="0" borderId="17" applyNumberFormat="0" applyFill="0" applyAlignment="0" applyProtection="0"/>
    <xf numFmtId="0" fontId="61" fillId="0" borderId="1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54" borderId="12" applyNumberFormat="0" applyAlignment="0" applyProtection="0"/>
    <xf numFmtId="0" fontId="63" fillId="54" borderId="12" applyNumberFormat="0" applyAlignment="0" applyProtection="0"/>
    <xf numFmtId="0" fontId="62" fillId="54" borderId="1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43" fontId="21" fillId="0" borderId="0" applyFont="0" applyFill="0" applyBorder="0" applyAlignment="0" applyProtection="0"/>
    <xf numFmtId="169" fontId="11" fillId="0" borderId="0" applyFont="0" applyFill="0" applyBorder="0" applyAlignment="0" applyProtection="0"/>
    <xf numFmtId="0" fontId="56" fillId="0" borderId="15" applyNumberFormat="0" applyFill="0" applyAlignment="0" applyProtection="0"/>
    <xf numFmtId="0" fontId="58" fillId="0" borderId="16" applyNumberFormat="0" applyFill="0" applyAlignment="0" applyProtection="0"/>
    <xf numFmtId="0" fontId="60" fillId="0" borderId="17" applyNumberFormat="0" applyFill="0" applyAlignment="0" applyProtection="0"/>
    <xf numFmtId="0" fontId="60" fillId="0" borderId="0" applyNumberFormat="0" applyFill="0" applyBorder="0" applyAlignment="0" applyProtection="0"/>
    <xf numFmtId="0" fontId="52" fillId="0" borderId="14" applyNumberFormat="0" applyFill="0" applyAlignment="0" applyProtection="0"/>
    <xf numFmtId="0" fontId="64" fillId="0" borderId="14" applyNumberFormat="0" applyFill="0" applyAlignment="0" applyProtection="0"/>
    <xf numFmtId="0" fontId="65" fillId="69" borderId="0" applyNumberFormat="0" applyBorder="0" applyAlignment="0" applyProtection="0"/>
    <xf numFmtId="0" fontId="65" fillId="69" borderId="0" applyNumberFormat="0" applyBorder="0" applyAlignment="0" applyProtection="0"/>
    <xf numFmtId="0" fontId="66" fillId="69" borderId="0" applyNumberFormat="0" applyBorder="0" applyAlignment="0" applyProtection="0"/>
    <xf numFmtId="0" fontId="67" fillId="0" borderId="0"/>
    <xf numFmtId="0" fontId="49" fillId="0" borderId="0"/>
    <xf numFmtId="0" fontId="11" fillId="70" borderId="18" applyNumberFormat="0" applyFont="0" applyAlignment="0" applyProtection="0"/>
    <xf numFmtId="0" fontId="49" fillId="70" borderId="18" applyNumberFormat="0" applyFont="0" applyAlignment="0" applyProtection="0"/>
    <xf numFmtId="0" fontId="11" fillId="70" borderId="18" applyNumberFormat="0" applyFont="0" applyAlignment="0" applyProtection="0"/>
    <xf numFmtId="0" fontId="43" fillId="50" borderId="0" applyNumberFormat="0" applyBorder="0" applyAlignment="0" applyProtection="0"/>
    <xf numFmtId="0" fontId="68" fillId="67" borderId="19" applyNumberFormat="0" applyAlignment="0" applyProtection="0"/>
    <xf numFmtId="0" fontId="69" fillId="67" borderId="19" applyNumberFormat="0" applyAlignment="0" applyProtection="0"/>
    <xf numFmtId="9" fontId="1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0" fontId="49" fillId="0" borderId="0"/>
    <xf numFmtId="0" fontId="11" fillId="0" borderId="0"/>
    <xf numFmtId="0" fontId="11" fillId="0" borderId="0"/>
    <xf numFmtId="0" fontId="11" fillId="0" borderId="0"/>
    <xf numFmtId="0" fontId="70" fillId="0" borderId="0"/>
    <xf numFmtId="0" fontId="11" fillId="0" borderId="0"/>
    <xf numFmtId="0" fontId="11" fillId="0" borderId="0" applyFill="0"/>
    <xf numFmtId="0" fontId="21" fillId="0" borderId="0"/>
    <xf numFmtId="0" fontId="11" fillId="0" borderId="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20" applyNumberFormat="0" applyFill="0" applyAlignment="0" applyProtection="0"/>
    <xf numFmtId="0" fontId="72" fillId="0" borderId="20" applyNumberFormat="0" applyFill="0" applyAlignment="0" applyProtection="0"/>
    <xf numFmtId="0" fontId="73" fillId="0" borderId="20" applyNumberFormat="0" applyFill="0" applyAlignment="0" applyProtection="0"/>
    <xf numFmtId="0" fontId="68" fillId="67" borderId="19" applyNumberFormat="0" applyAlignment="0" applyProtection="0"/>
    <xf numFmtId="0" fontId="5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ont="0" applyBorder="0" applyAlignment="0" applyProtection="0"/>
    <xf numFmtId="0" fontId="2" fillId="0" borderId="0">
      <alignment vertical="top"/>
    </xf>
    <xf numFmtId="10" fontId="11" fillId="0" borderId="0" applyFont="0" applyFill="0" applyBorder="0" applyAlignment="0" applyProtection="0">
      <alignment vertical="top"/>
    </xf>
    <xf numFmtId="43" fontId="11" fillId="71" borderId="0" applyNumberFormat="0">
      <alignment vertical="top"/>
    </xf>
    <xf numFmtId="49" fontId="79" fillId="0" borderId="0" applyFill="0" applyBorder="0" applyAlignment="0" applyProtection="0"/>
    <xf numFmtId="43" fontId="11" fillId="16" borderId="0" applyFont="0" applyFill="0" applyBorder="0" applyAlignment="0" applyProtection="0">
      <alignment vertical="top"/>
    </xf>
    <xf numFmtId="0" fontId="21" fillId="0" borderId="0"/>
    <xf numFmtId="0" fontId="21" fillId="0" borderId="0"/>
  </cellStyleXfs>
  <cellXfs count="155">
    <xf numFmtId="0" fontId="0" fillId="0" borderId="0" xfId="0"/>
    <xf numFmtId="0" fontId="12" fillId="0" borderId="0" xfId="4" applyFont="1">
      <alignment vertical="top"/>
    </xf>
    <xf numFmtId="0" fontId="11" fillId="0" borderId="0" xfId="4">
      <alignment vertical="top"/>
    </xf>
    <xf numFmtId="0" fontId="13" fillId="0" borderId="0" xfId="4" applyFont="1">
      <alignment vertical="top"/>
    </xf>
    <xf numFmtId="0" fontId="15" fillId="6" borderId="1" xfId="4" applyFont="1" applyFill="1" applyBorder="1">
      <alignment vertical="top"/>
    </xf>
    <xf numFmtId="0" fontId="16" fillId="0" borderId="0" xfId="4" applyFont="1">
      <alignment vertical="top"/>
    </xf>
    <xf numFmtId="0" fontId="17" fillId="0" borderId="0" xfId="4" applyFont="1">
      <alignment vertical="top"/>
    </xf>
    <xf numFmtId="0" fontId="11" fillId="0" borderId="2" xfId="4" applyBorder="1">
      <alignment vertical="top"/>
    </xf>
    <xf numFmtId="49" fontId="12" fillId="24" borderId="1" xfId="6">
      <alignment vertical="top"/>
    </xf>
    <xf numFmtId="0" fontId="11" fillId="0" borderId="0" xfId="4" applyFill="1">
      <alignment vertical="top"/>
    </xf>
    <xf numFmtId="0" fontId="11" fillId="0" borderId="2" xfId="4" applyBorder="1" applyAlignment="1">
      <alignment horizontal="left" vertical="top" wrapText="1"/>
    </xf>
    <xf numFmtId="0" fontId="15" fillId="5" borderId="1" xfId="4" applyFont="1" applyFill="1" applyBorder="1">
      <alignment vertical="top"/>
    </xf>
    <xf numFmtId="0" fontId="14" fillId="5" borderId="1" xfId="4" applyFont="1" applyFill="1" applyBorder="1">
      <alignment vertical="top"/>
    </xf>
    <xf numFmtId="0" fontId="14" fillId="6" borderId="1" xfId="4" applyFont="1" applyFill="1" applyBorder="1">
      <alignment vertical="top"/>
    </xf>
    <xf numFmtId="0" fontId="17" fillId="0" borderId="0" xfId="4" applyFont="1" applyFill="1">
      <alignment vertical="top"/>
    </xf>
    <xf numFmtId="0" fontId="11" fillId="10" borderId="0" xfId="4" applyFill="1">
      <alignment vertical="top"/>
    </xf>
    <xf numFmtId="0" fontId="11" fillId="11" borderId="0" xfId="4" applyFill="1">
      <alignment vertical="top"/>
    </xf>
    <xf numFmtId="0" fontId="11" fillId="12" borderId="0" xfId="4" applyFill="1">
      <alignment vertical="top"/>
    </xf>
    <xf numFmtId="0" fontId="11" fillId="13" borderId="0" xfId="4" applyFill="1">
      <alignment vertical="top"/>
    </xf>
    <xf numFmtId="0" fontId="11" fillId="8" borderId="0" xfId="4" applyFill="1">
      <alignment vertical="top"/>
    </xf>
    <xf numFmtId="0" fontId="16" fillId="0" borderId="0" xfId="4" applyFont="1" applyFill="1">
      <alignment vertical="top"/>
    </xf>
    <xf numFmtId="1" fontId="11" fillId="14" borderId="0" xfId="4" applyNumberFormat="1" applyFill="1">
      <alignment vertical="top"/>
    </xf>
    <xf numFmtId="2" fontId="11" fillId="15" borderId="0" xfId="4" applyNumberFormat="1" applyFill="1">
      <alignment vertical="top"/>
    </xf>
    <xf numFmtId="1" fontId="11" fillId="0" borderId="0" xfId="4" applyNumberFormat="1" applyFill="1">
      <alignment vertical="top"/>
    </xf>
    <xf numFmtId="0" fontId="19" fillId="6" borderId="1" xfId="4" applyFont="1" applyFill="1" applyBorder="1">
      <alignment vertical="top"/>
    </xf>
    <xf numFmtId="49" fontId="13" fillId="24" borderId="2" xfId="6" applyFont="1" applyBorder="1">
      <alignment vertical="top"/>
    </xf>
    <xf numFmtId="0" fontId="15" fillId="5" borderId="1" xfId="5" applyNumberFormat="1">
      <alignment vertical="top"/>
    </xf>
    <xf numFmtId="0" fontId="20" fillId="0" borderId="0" xfId="4" applyFont="1">
      <alignment vertical="top"/>
    </xf>
    <xf numFmtId="0" fontId="13" fillId="10" borderId="0" xfId="4" applyFont="1" applyFill="1">
      <alignment vertical="top"/>
    </xf>
    <xf numFmtId="0" fontId="11" fillId="19" borderId="0" xfId="4" applyFill="1">
      <alignment vertical="top"/>
    </xf>
    <xf numFmtId="0" fontId="11" fillId="0" borderId="0" xfId="4" applyFont="1">
      <alignment vertical="top"/>
    </xf>
    <xf numFmtId="49" fontId="11" fillId="24" borderId="2" xfId="6" applyFont="1" applyBorder="1">
      <alignment vertical="top"/>
    </xf>
    <xf numFmtId="0" fontId="26" fillId="6" borderId="1" xfId="4" applyFont="1" applyFill="1" applyBorder="1">
      <alignment vertical="top"/>
    </xf>
    <xf numFmtId="0" fontId="11" fillId="0" borderId="0" xfId="4" quotePrefix="1">
      <alignment vertical="top"/>
    </xf>
    <xf numFmtId="0" fontId="11" fillId="0" borderId="2" xfId="4" applyFont="1" applyBorder="1">
      <alignment vertical="top"/>
    </xf>
    <xf numFmtId="49" fontId="17" fillId="0" borderId="0" xfId="14">
      <alignment vertical="top"/>
    </xf>
    <xf numFmtId="49" fontId="12" fillId="0" borderId="0" xfId="7">
      <alignment vertical="top"/>
    </xf>
    <xf numFmtId="49" fontId="16" fillId="0" borderId="0" xfId="15">
      <alignment vertical="top"/>
    </xf>
    <xf numFmtId="0" fontId="36" fillId="0" borderId="0" xfId="4" applyFont="1">
      <alignment vertical="top"/>
    </xf>
    <xf numFmtId="165" fontId="11" fillId="18" borderId="0" xfId="13" applyNumberFormat="1">
      <alignment vertical="top"/>
    </xf>
    <xf numFmtId="165" fontId="11" fillId="0" borderId="0" xfId="4" applyNumberFormat="1">
      <alignment vertical="top"/>
    </xf>
    <xf numFmtId="165" fontId="12" fillId="24" borderId="1" xfId="6" applyNumberFormat="1">
      <alignment vertical="top"/>
    </xf>
    <xf numFmtId="165" fontId="11" fillId="16" borderId="0" xfId="9" applyNumberFormat="1">
      <alignment vertical="top"/>
    </xf>
    <xf numFmtId="49" fontId="11" fillId="0" borderId="0" xfId="7" applyFont="1">
      <alignment vertical="top"/>
    </xf>
    <xf numFmtId="0" fontId="37" fillId="0" borderId="0" xfId="4" applyFont="1">
      <alignment vertical="top"/>
    </xf>
    <xf numFmtId="165" fontId="11" fillId="7" borderId="0" xfId="11" applyNumberFormat="1">
      <alignment vertical="top"/>
    </xf>
    <xf numFmtId="165" fontId="11" fillId="17" borderId="0" xfId="8" applyNumberFormat="1">
      <alignment vertical="top"/>
    </xf>
    <xf numFmtId="14" fontId="11" fillId="7" borderId="0" xfId="11" applyNumberFormat="1">
      <alignment vertical="top"/>
    </xf>
    <xf numFmtId="14" fontId="11" fillId="18" borderId="0" xfId="13" applyNumberFormat="1">
      <alignment vertical="top"/>
    </xf>
    <xf numFmtId="10" fontId="11" fillId="18" borderId="0" xfId="13" applyNumberFormat="1">
      <alignment vertical="top"/>
    </xf>
    <xf numFmtId="165" fontId="11" fillId="14" borderId="0" xfId="10" applyNumberFormat="1">
      <alignment vertical="top"/>
    </xf>
    <xf numFmtId="0" fontId="12" fillId="0" borderId="0" xfId="4" applyFont="1" applyFill="1">
      <alignment vertical="top"/>
    </xf>
    <xf numFmtId="43" fontId="11" fillId="18" borderId="0" xfId="13" applyNumberFormat="1">
      <alignment vertical="top"/>
    </xf>
    <xf numFmtId="49" fontId="17" fillId="0" borderId="0" xfId="14" applyFill="1">
      <alignment vertical="top"/>
    </xf>
    <xf numFmtId="164" fontId="11" fillId="17" borderId="0" xfId="8" applyNumberFormat="1">
      <alignment vertical="top"/>
    </xf>
    <xf numFmtId="49" fontId="17" fillId="0" borderId="0" xfId="14" applyFont="1">
      <alignment vertical="top"/>
    </xf>
    <xf numFmtId="49" fontId="12" fillId="24" borderId="1" xfId="6" applyFont="1">
      <alignment vertical="top"/>
    </xf>
    <xf numFmtId="49" fontId="12" fillId="0" borderId="0" xfId="7" applyFont="1">
      <alignment vertical="top"/>
    </xf>
    <xf numFmtId="166" fontId="11" fillId="7" borderId="0" xfId="11" applyNumberFormat="1" applyFont="1">
      <alignment vertical="top"/>
    </xf>
    <xf numFmtId="0" fontId="11" fillId="0" borderId="0" xfId="4" applyFont="1" applyFill="1">
      <alignment vertical="top"/>
    </xf>
    <xf numFmtId="164" fontId="11" fillId="7" borderId="0" xfId="11" applyNumberFormat="1" applyFont="1">
      <alignment vertical="top"/>
    </xf>
    <xf numFmtId="165" fontId="11" fillId="7" borderId="0" xfId="11" applyNumberFormat="1" applyFont="1">
      <alignment vertical="top"/>
    </xf>
    <xf numFmtId="171" fontId="11" fillId="7" borderId="0" xfId="12" applyNumberFormat="1" applyFont="1" applyFill="1">
      <alignment vertical="top"/>
    </xf>
    <xf numFmtId="164" fontId="11" fillId="0" borderId="0" xfId="11" applyNumberFormat="1" applyFont="1" applyFill="1">
      <alignment vertical="top"/>
    </xf>
    <xf numFmtId="0" fontId="6" fillId="0" borderId="0" xfId="0" applyFont="1"/>
    <xf numFmtId="172" fontId="6" fillId="7" borderId="0" xfId="0" applyNumberFormat="1" applyFont="1" applyFill="1" applyBorder="1"/>
    <xf numFmtId="171" fontId="6" fillId="7" borderId="0" xfId="174" applyNumberFormat="1" applyFont="1" applyFill="1" applyBorder="1"/>
    <xf numFmtId="171" fontId="6" fillId="0" borderId="0" xfId="174" applyNumberFormat="1" applyFont="1" applyFill="1" applyBorder="1"/>
    <xf numFmtId="0" fontId="33" fillId="0" borderId="0" xfId="0" applyFont="1"/>
    <xf numFmtId="164" fontId="11" fillId="16" borderId="0" xfId="9" applyNumberFormat="1" applyFont="1">
      <alignment vertical="top"/>
    </xf>
    <xf numFmtId="166" fontId="11" fillId="7" borderId="0" xfId="12" applyNumberFormat="1" applyFont="1" applyFill="1">
      <alignment vertical="top"/>
    </xf>
    <xf numFmtId="165" fontId="11" fillId="16" borderId="0" xfId="9" applyNumberFormat="1" applyFont="1">
      <alignment vertical="top"/>
    </xf>
    <xf numFmtId="170" fontId="11" fillId="7" borderId="0" xfId="11" applyNumberFormat="1" applyFont="1">
      <alignment vertical="top"/>
    </xf>
    <xf numFmtId="0" fontId="17" fillId="0" borderId="0" xfId="0" applyFont="1"/>
    <xf numFmtId="0" fontId="5" fillId="0" borderId="0" xfId="0" applyFont="1"/>
    <xf numFmtId="165" fontId="11" fillId="7" borderId="0" xfId="61" applyNumberFormat="1" applyFont="1" applyFill="1" applyAlignment="1">
      <alignment vertical="top"/>
    </xf>
    <xf numFmtId="43" fontId="11" fillId="7" borderId="0" xfId="61" applyNumberFormat="1" applyFont="1" applyFill="1" applyAlignment="1">
      <alignment vertical="top"/>
    </xf>
    <xf numFmtId="2" fontId="11" fillId="0" borderId="0" xfId="4" applyNumberFormat="1">
      <alignment vertical="top"/>
    </xf>
    <xf numFmtId="165" fontId="11" fillId="16" borderId="0" xfId="61" applyNumberFormat="1" applyFont="1" applyFill="1" applyAlignment="1">
      <alignment vertical="top"/>
    </xf>
    <xf numFmtId="164" fontId="11" fillId="18" borderId="0" xfId="13" applyNumberFormat="1" applyFont="1">
      <alignment vertical="top"/>
    </xf>
    <xf numFmtId="43" fontId="11" fillId="0" borderId="0" xfId="13" applyFont="1" applyFill="1">
      <alignment vertical="top"/>
    </xf>
    <xf numFmtId="165" fontId="12" fillId="24" borderId="1" xfId="6" applyNumberFormat="1" applyFont="1">
      <alignment vertical="top"/>
    </xf>
    <xf numFmtId="41" fontId="11" fillId="18" borderId="0" xfId="13" applyNumberFormat="1" applyFont="1">
      <alignment vertical="top"/>
    </xf>
    <xf numFmtId="41" fontId="11" fillId="16" borderId="0" xfId="13" applyNumberFormat="1" applyFont="1" applyFill="1">
      <alignment vertical="top"/>
    </xf>
    <xf numFmtId="0" fontId="5" fillId="0" borderId="0" xfId="0" applyFont="1" applyFill="1"/>
    <xf numFmtId="41" fontId="5" fillId="17" borderId="0" xfId="0" applyNumberFormat="1" applyFont="1" applyFill="1"/>
    <xf numFmtId="0" fontId="77" fillId="0" borderId="0" xfId="0" applyFont="1"/>
    <xf numFmtId="164" fontId="5" fillId="18" borderId="0" xfId="61" applyNumberFormat="1" applyFont="1" applyFill="1"/>
    <xf numFmtId="165" fontId="5" fillId="18" borderId="0" xfId="61" applyNumberFormat="1" applyFont="1" applyFill="1"/>
    <xf numFmtId="0" fontId="78" fillId="0" borderId="0" xfId="0" applyFont="1"/>
    <xf numFmtId="171" fontId="11" fillId="18" borderId="0" xfId="13" applyNumberFormat="1" applyFont="1">
      <alignment vertical="top"/>
    </xf>
    <xf numFmtId="43" fontId="11" fillId="18" borderId="0" xfId="61" applyFont="1" applyFill="1" applyAlignment="1">
      <alignment vertical="top"/>
    </xf>
    <xf numFmtId="173" fontId="11" fillId="18" borderId="0" xfId="61" applyNumberFormat="1" applyFont="1" applyFill="1" applyAlignment="1">
      <alignment vertical="top"/>
    </xf>
    <xf numFmtId="0" fontId="4" fillId="0" borderId="0" xfId="0" applyFont="1"/>
    <xf numFmtId="10" fontId="11" fillId="16" borderId="0" xfId="9" applyNumberFormat="1">
      <alignment vertical="top"/>
    </xf>
    <xf numFmtId="164" fontId="11" fillId="17" borderId="0" xfId="61" applyNumberFormat="1" applyFont="1" applyFill="1" applyAlignment="1">
      <alignment vertical="top"/>
    </xf>
    <xf numFmtId="10" fontId="5" fillId="18" borderId="0" xfId="61" applyNumberFormat="1" applyFont="1" applyFill="1"/>
    <xf numFmtId="164" fontId="11" fillId="18" borderId="0" xfId="13" applyNumberFormat="1">
      <alignment vertical="top"/>
    </xf>
    <xf numFmtId="49" fontId="11" fillId="0" borderId="0" xfId="14" applyFont="1">
      <alignment vertical="top"/>
    </xf>
    <xf numFmtId="0" fontId="11" fillId="0" borderId="0" xfId="4" applyAlignment="1">
      <alignment horizontal="left" vertical="top"/>
    </xf>
    <xf numFmtId="0" fontId="15" fillId="5" borderId="1" xfId="5" applyNumberFormat="1" applyAlignment="1">
      <alignment horizontal="left" vertical="top"/>
    </xf>
    <xf numFmtId="0" fontId="11" fillId="0" borderId="0" xfId="4" applyFont="1" applyAlignment="1">
      <alignment horizontal="left" vertical="top"/>
    </xf>
    <xf numFmtId="49" fontId="12" fillId="24" borderId="1" xfId="6" applyFont="1" applyAlignment="1">
      <alignment horizontal="left" vertical="top"/>
    </xf>
    <xf numFmtId="0" fontId="0" fillId="0" borderId="0" xfId="0" applyAlignment="1">
      <alignment horizontal="left"/>
    </xf>
    <xf numFmtId="0" fontId="3" fillId="0" borderId="0" xfId="0" applyFont="1"/>
    <xf numFmtId="0" fontId="3" fillId="0" borderId="0" xfId="0" applyFont="1" applyAlignment="1">
      <alignment horizontal="left"/>
    </xf>
    <xf numFmtId="0" fontId="20" fillId="0" borderId="0" xfId="0" applyFont="1" applyAlignment="1">
      <alignment horizontal="center" vertical="center"/>
    </xf>
    <xf numFmtId="0" fontId="3" fillId="0" borderId="0" xfId="0" applyFont="1" applyAlignment="1">
      <alignment horizontal="center" vertical="center"/>
    </xf>
    <xf numFmtId="2" fontId="3" fillId="0" borderId="0" xfId="0" applyNumberFormat="1" applyFont="1" applyAlignment="1">
      <alignment horizontal="center" vertical="center"/>
    </xf>
    <xf numFmtId="2" fontId="3" fillId="0" borderId="0" xfId="0" applyNumberFormat="1" applyFont="1" applyAlignment="1">
      <alignment horizontal="left" vertical="center"/>
    </xf>
    <xf numFmtId="43" fontId="11" fillId="7" borderId="0" xfId="11">
      <alignment vertical="top"/>
    </xf>
    <xf numFmtId="164" fontId="11" fillId="7" borderId="0" xfId="11" applyNumberFormat="1">
      <alignment vertical="top"/>
    </xf>
    <xf numFmtId="174" fontId="11" fillId="16" borderId="0" xfId="9" applyNumberFormat="1">
      <alignment vertical="top"/>
    </xf>
    <xf numFmtId="165" fontId="6" fillId="0" borderId="0" xfId="0" applyNumberFormat="1" applyFont="1"/>
    <xf numFmtId="10" fontId="11" fillId="18" borderId="0" xfId="13" applyNumberFormat="1" applyFont="1">
      <alignment vertical="top"/>
    </xf>
    <xf numFmtId="3" fontId="11" fillId="0" borderId="0" xfId="176" applyNumberFormat="1" applyFont="1" applyFill="1" applyBorder="1" applyAlignment="1" applyProtection="1">
      <alignment vertical="top"/>
      <protection locked="0"/>
    </xf>
    <xf numFmtId="0" fontId="11" fillId="0" borderId="2" xfId="4" applyBorder="1" applyAlignment="1">
      <alignment vertical="top" wrapText="1"/>
    </xf>
    <xf numFmtId="14" fontId="11" fillId="0" borderId="2" xfId="4" applyNumberFormat="1" applyBorder="1" applyAlignment="1">
      <alignment vertical="top" wrapText="1"/>
    </xf>
    <xf numFmtId="0" fontId="11" fillId="0" borderId="0" xfId="4" applyAlignment="1">
      <alignment vertical="top" wrapText="1"/>
    </xf>
    <xf numFmtId="0" fontId="2" fillId="0" borderId="0" xfId="0" applyFont="1"/>
    <xf numFmtId="175" fontId="6" fillId="7" borderId="0" xfId="0" applyNumberFormat="1" applyFont="1" applyFill="1" applyBorder="1"/>
    <xf numFmtId="0" fontId="2" fillId="0" borderId="0" xfId="197">
      <alignment vertical="top"/>
    </xf>
    <xf numFmtId="171" fontId="11" fillId="7" borderId="0" xfId="198" applyNumberFormat="1" applyFill="1">
      <alignment vertical="top"/>
    </xf>
    <xf numFmtId="49" fontId="12" fillId="24" borderId="1" xfId="6" applyAlignment="1">
      <alignment vertical="top" wrapText="1"/>
    </xf>
    <xf numFmtId="10" fontId="11" fillId="7" borderId="0" xfId="198" applyFill="1">
      <alignment vertical="top"/>
    </xf>
    <xf numFmtId="0" fontId="11" fillId="0" borderId="2" xfId="4" applyFont="1" applyBorder="1" applyAlignment="1">
      <alignment horizontal="left" vertical="top" wrapText="1"/>
    </xf>
    <xf numFmtId="166" fontId="11" fillId="18" borderId="0" xfId="13" applyNumberFormat="1" applyFont="1">
      <alignment vertical="top"/>
    </xf>
    <xf numFmtId="10" fontId="11" fillId="7" borderId="0" xfId="13" applyNumberFormat="1" applyFill="1">
      <alignment vertical="top"/>
    </xf>
    <xf numFmtId="165" fontId="11" fillId="0" borderId="0" xfId="61" applyNumberFormat="1" applyFont="1" applyAlignment="1">
      <alignment vertical="top"/>
    </xf>
    <xf numFmtId="164" fontId="11" fillId="0" borderId="0" xfId="61" applyNumberFormat="1" applyFont="1" applyAlignment="1">
      <alignment vertical="top"/>
    </xf>
    <xf numFmtId="0" fontId="11" fillId="13" borderId="0" xfId="4" applyFont="1" applyFill="1">
      <alignment vertical="top"/>
    </xf>
    <xf numFmtId="0" fontId="11" fillId="12" borderId="0" xfId="4" applyFont="1" applyFill="1">
      <alignment vertical="top"/>
    </xf>
    <xf numFmtId="49" fontId="11" fillId="24" borderId="0" xfId="6" applyFont="1" applyBorder="1">
      <alignment vertical="top"/>
    </xf>
    <xf numFmtId="0" fontId="20" fillId="0" borderId="2" xfId="4" applyFont="1" applyBorder="1" applyAlignment="1">
      <alignment vertical="top" wrapText="1"/>
    </xf>
    <xf numFmtId="0" fontId="11" fillId="0" borderId="2" xfId="4" applyFont="1" applyBorder="1" applyAlignment="1">
      <alignment vertical="top" wrapText="1"/>
    </xf>
    <xf numFmtId="0" fontId="20" fillId="0" borderId="2" xfId="0" applyFont="1" applyBorder="1" applyAlignment="1">
      <alignment vertical="top"/>
    </xf>
    <xf numFmtId="0" fontId="11" fillId="0" borderId="2" xfId="0" applyFont="1" applyBorder="1" applyAlignment="1">
      <alignment vertical="top"/>
    </xf>
    <xf numFmtId="0" fontId="4" fillId="0" borderId="2" xfId="0" applyFont="1" applyBorder="1" applyAlignment="1">
      <alignment vertical="top" wrapText="1"/>
    </xf>
    <xf numFmtId="0" fontId="4" fillId="0" borderId="0" xfId="0" applyFont="1" applyBorder="1" applyAlignment="1">
      <alignment vertical="top"/>
    </xf>
    <xf numFmtId="0" fontId="11" fillId="0" borderId="0" xfId="0" applyFont="1" applyBorder="1" applyAlignment="1">
      <alignment vertical="top"/>
    </xf>
    <xf numFmtId="0" fontId="3" fillId="0" borderId="0" xfId="0" applyFont="1" applyBorder="1"/>
    <xf numFmtId="0" fontId="11" fillId="0" borderId="2" xfId="4" applyBorder="1" applyAlignment="1">
      <alignment vertical="top"/>
    </xf>
    <xf numFmtId="0" fontId="3" fillId="0" borderId="0" xfId="0" applyFont="1" applyAlignment="1">
      <alignment vertical="top" wrapText="1"/>
    </xf>
    <xf numFmtId="0" fontId="3" fillId="0" borderId="2" xfId="0" applyFont="1" applyBorder="1" applyAlignment="1">
      <alignment vertical="top" wrapText="1"/>
    </xf>
    <xf numFmtId="0" fontId="2" fillId="0" borderId="0" xfId="0" quotePrefix="1" applyFont="1" applyAlignment="1">
      <alignment vertical="top" wrapText="1"/>
    </xf>
    <xf numFmtId="0" fontId="2" fillId="0" borderId="0" xfId="197">
      <alignment vertical="top"/>
    </xf>
    <xf numFmtId="0" fontId="11" fillId="0" borderId="0" xfId="4">
      <alignment vertical="top"/>
    </xf>
    <xf numFmtId="0" fontId="16" fillId="0" borderId="0" xfId="4" applyFont="1">
      <alignment vertical="top"/>
    </xf>
    <xf numFmtId="43" fontId="11" fillId="16" borderId="0" xfId="9">
      <alignment vertical="top"/>
    </xf>
    <xf numFmtId="0" fontId="1" fillId="0" borderId="0" xfId="0" applyFont="1"/>
    <xf numFmtId="0" fontId="17" fillId="0" borderId="0" xfId="0" quotePrefix="1" applyFont="1" applyFill="1"/>
    <xf numFmtId="0" fontId="17" fillId="0" borderId="0" xfId="0" applyFont="1" applyFill="1"/>
    <xf numFmtId="0" fontId="11" fillId="0" borderId="2" xfId="0" applyFont="1" applyBorder="1" applyAlignment="1">
      <alignment vertical="top" wrapText="1"/>
    </xf>
    <xf numFmtId="0" fontId="80" fillId="0" borderId="0" xfId="0" applyFont="1"/>
    <xf numFmtId="0" fontId="11" fillId="0" borderId="0" xfId="0" applyFont="1" applyAlignment="1">
      <alignment vertical="top" wrapText="1"/>
    </xf>
  </cellXfs>
  <cellStyles count="204">
    <cellStyle name="_x000d__x000a_JournalTemplate=C:\COMFO\CTALK\JOURSTD.TPL_x000d__x000a_LbStateAddress=3 3 0 251 1 89 2 311_x000d__x000a_LbStateJou" xfId="62"/>
    <cellStyle name="_x000d__x000a_JournalTemplate=C:\COMFO\CTALK\JOURSTD.TPL_x000d__x000a_LbStateAddress=3 3 0 251 1 89 2 311_x000d__x000a_LbStateJou 2" xfId="63"/>
    <cellStyle name="_x000d__x000a_JournalTemplate=C:\COMFO\CTALK\JOURSTD.TPL_x000d__x000a_LbStateAddress=3 3 0 251 1 89 2 311_x000d__x000a_LbStateJou 2 2" xfId="64"/>
    <cellStyle name="_x000d__x000a_JournalTemplate=C:\COMFO\CTALK\JOURSTD.TPL_x000d__x000a_LbStateAddress=3 3 0 251 1 89 2 311_x000d__x000a_LbStateJou 3" xfId="65"/>
    <cellStyle name="_x000d__x000a_JournalTemplate=C:\COMFO\CTALK\JOURSTD.TPL_x000d__x000a_LbStateAddress=3 3 0 251 1 89 2 311_x000d__x000a_LbStateJou 4" xfId="66"/>
    <cellStyle name="_x000d__x000a_JournalTemplate=C:\COMFO\CTALK\JOURSTD.TPL_x000d__x000a_LbStateAddress=3 3 0 251 1 89 2 311_x000d__x000a_LbStateJou 5" xfId="67"/>
    <cellStyle name="_x000d__x000a_JournalTemplate=C:\COMFO\CTALK\JOURSTD.TPL_x000d__x000a_LbStateAddress=3 3 0 251 1 89 2 311_x000d__x000a_LbStateJou_100720 berekening x-factoren NG4R v4.2" xfId="68"/>
    <cellStyle name="_kop1 Bladtitel" xfId="5"/>
    <cellStyle name="_kop2 Bloktitel" xfId="6"/>
    <cellStyle name="_kop2 Bloktitel 2" xfId="69"/>
    <cellStyle name="_kop3 Subkop" xfId="7"/>
    <cellStyle name="20% - Accent1" xfId="37" builtinId="30" hidden="1"/>
    <cellStyle name="20% - Accent1 2" xfId="70"/>
    <cellStyle name="20% - Accent1 3" xfId="71"/>
    <cellStyle name="20% - Accent2" xfId="41" builtinId="34" hidden="1"/>
    <cellStyle name="20% - Accent2 2" xfId="72"/>
    <cellStyle name="20% - Accent2 3" xfId="73"/>
    <cellStyle name="20% - Accent3" xfId="45" builtinId="38" hidden="1"/>
    <cellStyle name="20% - Accent3 2" xfId="74"/>
    <cellStyle name="20% - Accent3 3" xfId="75"/>
    <cellStyle name="20% - Accent4" xfId="49" builtinId="42" hidden="1"/>
    <cellStyle name="20% - Accent4 2" xfId="76"/>
    <cellStyle name="20% - Accent4 3" xfId="77"/>
    <cellStyle name="20% - Accent5" xfId="53" builtinId="46" hidden="1"/>
    <cellStyle name="20% - Accent5 2" xfId="78"/>
    <cellStyle name="20% - Accent5 3" xfId="79"/>
    <cellStyle name="20% - Accent6" xfId="57" builtinId="50" hidden="1"/>
    <cellStyle name="20% - Accent6 2" xfId="80"/>
    <cellStyle name="20% - Accent6 3" xfId="81"/>
    <cellStyle name="40% - Accent1" xfId="38" builtinId="31" hidden="1"/>
    <cellStyle name="40% - Accent1 2" xfId="82"/>
    <cellStyle name="40% - Accent1 3" xfId="83"/>
    <cellStyle name="40% - Accent2" xfId="42" builtinId="35" hidden="1"/>
    <cellStyle name="40% - Accent2 2" xfId="84"/>
    <cellStyle name="40% - Accent2 3" xfId="85"/>
    <cellStyle name="40% - Accent3" xfId="46" builtinId="39" hidden="1"/>
    <cellStyle name="40% - Accent3 2" xfId="86"/>
    <cellStyle name="40% - Accent3 3" xfId="87"/>
    <cellStyle name="40% - Accent4" xfId="50" builtinId="43" hidden="1"/>
    <cellStyle name="40% - Accent4 2" xfId="88"/>
    <cellStyle name="40% - Accent4 3" xfId="89"/>
    <cellStyle name="40% - Accent5" xfId="54" builtinId="47" hidden="1"/>
    <cellStyle name="40% - Accent5 2" xfId="90"/>
    <cellStyle name="40% - Accent5 3" xfId="91"/>
    <cellStyle name="40% - Accent6" xfId="58" builtinId="51" hidden="1"/>
    <cellStyle name="40% - Accent6 2" xfId="92"/>
    <cellStyle name="40% - Accent6 3" xfId="93"/>
    <cellStyle name="60% - Accent1" xfId="39" builtinId="32" hidden="1"/>
    <cellStyle name="60% - Accent1 2" xfId="94"/>
    <cellStyle name="60% - Accent1 3" xfId="95"/>
    <cellStyle name="60% - Accent2" xfId="43" builtinId="36" hidden="1"/>
    <cellStyle name="60% - Accent2 2" xfId="96"/>
    <cellStyle name="60% - Accent2 3" xfId="97"/>
    <cellStyle name="60% - Accent3" xfId="47" builtinId="40" hidden="1"/>
    <cellStyle name="60% - Accent3 2" xfId="98"/>
    <cellStyle name="60% - Accent3 3" xfId="99"/>
    <cellStyle name="60% - Accent4" xfId="51" builtinId="44" hidden="1"/>
    <cellStyle name="60% - Accent4 2" xfId="100"/>
    <cellStyle name="60% - Accent4 3" xfId="101"/>
    <cellStyle name="60% - Accent5" xfId="55" builtinId="48" hidden="1"/>
    <cellStyle name="60% - Accent5 2" xfId="102"/>
    <cellStyle name="60% - Accent5 3" xfId="103"/>
    <cellStyle name="60% - Accent6" xfId="59" builtinId="52" hidden="1"/>
    <cellStyle name="60% - Accent6 2" xfId="104"/>
    <cellStyle name="60% - Accent6 3" xfId="105"/>
    <cellStyle name="Accent1" xfId="36" builtinId="29" hidden="1"/>
    <cellStyle name="Accent1 2" xfId="106"/>
    <cellStyle name="Accent1 3" xfId="107"/>
    <cellStyle name="Accent2" xfId="40" builtinId="33" hidden="1"/>
    <cellStyle name="Accent2 2" xfId="108"/>
    <cellStyle name="Accent2 3" xfId="109"/>
    <cellStyle name="Accent3" xfId="44" builtinId="37" hidden="1"/>
    <cellStyle name="Accent3 2" xfId="110"/>
    <cellStyle name="Accent3 3" xfId="111"/>
    <cellStyle name="Accent4" xfId="48" builtinId="41" hidden="1"/>
    <cellStyle name="Accent4 2" xfId="112"/>
    <cellStyle name="Accent4 3" xfId="113"/>
    <cellStyle name="Accent5" xfId="52" builtinId="45" hidden="1"/>
    <cellStyle name="Accent5 2" xfId="114"/>
    <cellStyle name="Accent5 3" xfId="115"/>
    <cellStyle name="Accent6" xfId="56" builtinId="49" hidden="1"/>
    <cellStyle name="Accent6 2" xfId="116"/>
    <cellStyle name="Accent6 3" xfId="117"/>
    <cellStyle name="Bad" xfId="118"/>
    <cellStyle name="Bad 2" xfId="119"/>
    <cellStyle name="Berekening" xfId="18" builtinId="22" hidden="1"/>
    <cellStyle name="Berekening 2" xfId="120"/>
    <cellStyle name="Calculation" xfId="121"/>
    <cellStyle name="Calculation 2" xfId="122"/>
    <cellStyle name="Cel (tussen)resultaat" xfId="8"/>
    <cellStyle name="Cel Berekening" xfId="9"/>
    <cellStyle name="Cel Bijzonderheid" xfId="10"/>
    <cellStyle name="Cel Input" xfId="11"/>
    <cellStyle name="Cel n.v.t. (leeg)" xfId="199"/>
    <cellStyle name="Cel PM extern" xfId="12"/>
    <cellStyle name="Cel Verwijzing" xfId="13"/>
    <cellStyle name="Check Cell" xfId="123"/>
    <cellStyle name="Check Cell 2" xfId="124"/>
    <cellStyle name="Comma 2" xfId="125"/>
    <cellStyle name="Comma 3" xfId="126"/>
    <cellStyle name="Controlecel" xfId="20" builtinId="23" hidden="1"/>
    <cellStyle name="Controlecel 2" xfId="127"/>
    <cellStyle name="Euro" xfId="128"/>
    <cellStyle name="Euro 2" xfId="129"/>
    <cellStyle name="Explanatory Text" xfId="130"/>
    <cellStyle name="Explanatory Text 2" xfId="131"/>
    <cellStyle name="Gekoppelde cel" xfId="19" builtinId="24" hidden="1"/>
    <cellStyle name="Gekoppelde cel 2" xfId="132"/>
    <cellStyle name="Gevolgde hyperlink" xfId="60" builtinId="9" hidden="1"/>
    <cellStyle name="Goed" xfId="1" builtinId="26" hidden="1"/>
    <cellStyle name="Goed 2" xfId="133"/>
    <cellStyle name="Good" xfId="134"/>
    <cellStyle name="Good 2" xfId="135"/>
    <cellStyle name="Header" xfId="136"/>
    <cellStyle name="Heading 1" xfId="137"/>
    <cellStyle name="Heading 1 2" xfId="138"/>
    <cellStyle name="Heading 2" xfId="139"/>
    <cellStyle name="Heading 2 2" xfId="140"/>
    <cellStyle name="Heading 3" xfId="141"/>
    <cellStyle name="Heading 3 2" xfId="142"/>
    <cellStyle name="Heading 4" xfId="143"/>
    <cellStyle name="Heading 4 2" xfId="144"/>
    <cellStyle name="Hyperlink" xfId="22" builtinId="8" hidden="1"/>
    <cellStyle name="Hyperlink 2" xfId="200"/>
    <cellStyle name="Input" xfId="145"/>
    <cellStyle name="Input 2" xfId="146"/>
    <cellStyle name="Invoer" xfId="16" builtinId="20" hidden="1"/>
    <cellStyle name="Invoer 2" xfId="147"/>
    <cellStyle name="Komma" xfId="23" builtinId="3" hidden="1"/>
    <cellStyle name="Komma" xfId="61" builtinId="3"/>
    <cellStyle name="Komma [0]" xfId="24" builtinId="6" hidden="1"/>
    <cellStyle name="Komma 14 2" xfId="148"/>
    <cellStyle name="Komma 2" xfId="149"/>
    <cellStyle name="Komma 2 2" xfId="150"/>
    <cellStyle name="Komma 2 3" xfId="151"/>
    <cellStyle name="Komma 3" xfId="152"/>
    <cellStyle name="Komma 3 2" xfId="153"/>
    <cellStyle name="Komma 4" xfId="154"/>
    <cellStyle name="Komma 5" xfId="155"/>
    <cellStyle name="Komma 6" xfId="201"/>
    <cellStyle name="Kop 1" xfId="29" builtinId="16" hidden="1"/>
    <cellStyle name="Kop 1 2" xfId="156"/>
    <cellStyle name="Kop 2" xfId="30" builtinId="17" hidden="1"/>
    <cellStyle name="Kop 2 2" xfId="157"/>
    <cellStyle name="Kop 3" xfId="31" builtinId="18" hidden="1"/>
    <cellStyle name="Kop 3 2" xfId="158"/>
    <cellStyle name="Kop 4" xfId="32" builtinId="19" hidden="1"/>
    <cellStyle name="Kop 4 2" xfId="159"/>
    <cellStyle name="Linked Cell" xfId="160"/>
    <cellStyle name="Linked Cell 2" xfId="161"/>
    <cellStyle name="Neutraal" xfId="3" builtinId="28" hidden="1"/>
    <cellStyle name="Neutraal 2" xfId="162"/>
    <cellStyle name="Neutral" xfId="163"/>
    <cellStyle name="Neutral 2" xfId="164"/>
    <cellStyle name="Normal 2" xfId="165"/>
    <cellStyle name="Normal 3" xfId="166"/>
    <cellStyle name="Note" xfId="167"/>
    <cellStyle name="Note 2" xfId="168"/>
    <cellStyle name="Notitie" xfId="21" builtinId="10" hidden="1"/>
    <cellStyle name="Notitie 2" xfId="169"/>
    <cellStyle name="Ongeldig" xfId="2" builtinId="27" hidden="1"/>
    <cellStyle name="Ongeldig 2" xfId="170"/>
    <cellStyle name="Opm. INTERN" xfId="14"/>
    <cellStyle name="Output" xfId="171"/>
    <cellStyle name="Output 2" xfId="172"/>
    <cellStyle name="Procent" xfId="27" builtinId="5" hidden="1"/>
    <cellStyle name="Procent" xfId="198" builtinId="5"/>
    <cellStyle name="Procent 2" xfId="173"/>
    <cellStyle name="Procent 3" xfId="174"/>
    <cellStyle name="Procent 4" xfId="175"/>
    <cellStyle name="Standaard" xfId="0" builtinId="0"/>
    <cellStyle name="Standaard 2" xfId="176"/>
    <cellStyle name="Standaard 2 2" xfId="177"/>
    <cellStyle name="Standaard 2 2 2" xfId="202"/>
    <cellStyle name="Standaard 2 3" xfId="178"/>
    <cellStyle name="Standaard 2 4" xfId="179"/>
    <cellStyle name="Standaard 2 5" xfId="180"/>
    <cellStyle name="Standaard 3" xfId="181"/>
    <cellStyle name="Standaard 3 2" xfId="203"/>
    <cellStyle name="Standaard 4" xfId="182"/>
    <cellStyle name="Standaard 5" xfId="183"/>
    <cellStyle name="Standaard 6" xfId="184"/>
    <cellStyle name="Standaard 7" xfId="197"/>
    <cellStyle name="Standaard ACM-DE" xfId="4"/>
    <cellStyle name="Titel" xfId="28" builtinId="15" hidden="1"/>
    <cellStyle name="Titel 2" xfId="185"/>
    <cellStyle name="Title" xfId="186"/>
    <cellStyle name="Title 2" xfId="187"/>
    <cellStyle name="Toelichting" xfId="15"/>
    <cellStyle name="Totaal" xfId="35" builtinId="25" hidden="1"/>
    <cellStyle name="Totaal 2" xfId="188"/>
    <cellStyle name="Total" xfId="189"/>
    <cellStyle name="Total 2" xfId="190"/>
    <cellStyle name="Uitvoer" xfId="17" builtinId="21" hidden="1"/>
    <cellStyle name="Uitvoer 2" xfId="191"/>
    <cellStyle name="Valuta" xfId="25" builtinId="4" hidden="1"/>
    <cellStyle name="Valuta [0]" xfId="26" builtinId="7" hidden="1"/>
    <cellStyle name="Verklarende tekst" xfId="34" builtinId="53" hidden="1"/>
    <cellStyle name="Verklarende tekst 2" xfId="192"/>
    <cellStyle name="Waarschuwingstekst" xfId="33" builtinId="11" hidden="1"/>
    <cellStyle name="Waarschuwingstekst 2" xfId="193"/>
    <cellStyle name="Warning Text" xfId="194"/>
    <cellStyle name="Warning Text 2" xfId="195"/>
    <cellStyle name="WIt" xfId="196"/>
  </cellStyles>
  <dxfs count="0"/>
  <tableStyles count="0" defaultTableStyle="TableStyleMedium2" defaultPivotStyle="PivotStyleLight16"/>
  <colors>
    <mruColors>
      <color rgb="FFCCFFFF"/>
      <color rgb="FFCCFFCC"/>
      <color rgb="FFFFCC99"/>
      <color rgb="FFFFFFCC"/>
      <color rgb="FFDDDDDD"/>
      <color rgb="FFCCC8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nl/publicaties/publicatie/16390/Methodebesluit-elektriciteit-en-drinkwater-Caribisch-Nederland-2017-201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3"/>
  <sheetViews>
    <sheetView showGridLines="0" tabSelected="1" zoomScale="85" zoomScaleNormal="85" workbookViewId="0">
      <pane ySplit="3" topLeftCell="A4" activePane="bottomLeft" state="frozen"/>
      <selection activeCell="A4" sqref="A4"/>
      <selection pane="bottomLeft" activeCell="C19" sqref="C19"/>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12" customFormat="1" ht="18">
      <c r="B2" s="11" t="s">
        <v>375</v>
      </c>
    </row>
    <row r="6" spans="2:3">
      <c r="B6" s="3"/>
    </row>
    <row r="13" spans="2:3" s="8" customFormat="1">
      <c r="B13" s="8" t="s">
        <v>376</v>
      </c>
    </row>
    <row r="14" spans="2:3" s="9" customFormat="1"/>
    <row r="15" spans="2:3">
      <c r="B15" s="125" t="s">
        <v>377</v>
      </c>
      <c r="C15" s="10" t="s">
        <v>3</v>
      </c>
    </row>
    <row r="16" spans="2:3">
      <c r="B16" s="125" t="s">
        <v>378</v>
      </c>
      <c r="C16" s="10" t="s">
        <v>413</v>
      </c>
    </row>
    <row r="17" spans="2:3">
      <c r="B17" s="125" t="s">
        <v>424</v>
      </c>
      <c r="C17" s="10" t="s">
        <v>425</v>
      </c>
    </row>
    <row r="18" spans="2:3">
      <c r="B18" s="125" t="s">
        <v>380</v>
      </c>
      <c r="C18" s="153" t="s">
        <v>481</v>
      </c>
    </row>
    <row r="19" spans="2:3">
      <c r="B19" s="125" t="s">
        <v>379</v>
      </c>
      <c r="C19" s="10"/>
    </row>
    <row r="22" spans="2:3" s="8" customFormat="1">
      <c r="B22" s="8" t="s">
        <v>381</v>
      </c>
    </row>
    <row r="24" spans="2:3">
      <c r="B24" s="125" t="s">
        <v>383</v>
      </c>
      <c r="C24" s="10" t="s">
        <v>423</v>
      </c>
    </row>
    <row r="25" spans="2:3">
      <c r="B25" s="125" t="s">
        <v>384</v>
      </c>
      <c r="C25" s="10" t="s">
        <v>423</v>
      </c>
    </row>
    <row r="26" spans="2:3">
      <c r="B26" s="125" t="s">
        <v>382</v>
      </c>
      <c r="C26" s="10" t="s">
        <v>423</v>
      </c>
    </row>
    <row r="27" spans="2:3" s="146" customFormat="1">
      <c r="B27" s="125" t="s">
        <v>426</v>
      </c>
      <c r="C27" s="10" t="s">
        <v>385</v>
      </c>
    </row>
    <row r="28" spans="2:3">
      <c r="B28" s="125" t="s">
        <v>379</v>
      </c>
      <c r="C28" s="10"/>
    </row>
    <row r="31" spans="2:3" s="146" customFormat="1"/>
    <row r="32" spans="2:3" s="146" customFormat="1"/>
    <row r="33" s="146" customFormat="1"/>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M160"/>
  <sheetViews>
    <sheetView showGridLines="0" zoomScale="85" zoomScaleNormal="85" workbookViewId="0">
      <pane xSplit="6" ySplit="8" topLeftCell="G9" activePane="bottomRight" state="frozen"/>
      <selection pane="topRight" activeCell="G1" sqref="G1"/>
      <selection pane="bottomLeft" activeCell="A16" sqref="A16"/>
      <selection pane="bottomRight" activeCell="G9" sqref="G9"/>
    </sheetView>
  </sheetViews>
  <sheetFormatPr defaultRowHeight="15"/>
  <cols>
    <col min="1" max="1" width="3.5703125" customWidth="1"/>
    <col min="2" max="2" width="45.42578125" customWidth="1"/>
    <col min="3" max="5" width="3.7109375" customWidth="1"/>
    <col min="6" max="6" width="13" customWidth="1"/>
    <col min="7" max="7" width="3.42578125" customWidth="1"/>
    <col min="8" max="8" width="14" bestFit="1" customWidth="1"/>
    <col min="9" max="9" width="3.42578125" customWidth="1"/>
    <col min="10" max="10" width="38" customWidth="1"/>
    <col min="11" max="11" width="4.42578125" customWidth="1"/>
    <col min="12" max="12" width="29.28515625" customWidth="1"/>
  </cols>
  <sheetData>
    <row r="1" spans="2:12" s="2" customFormat="1" ht="12.75"/>
    <row r="2" spans="2:12" s="26" customFormat="1" ht="18">
      <c r="B2" s="26" t="s">
        <v>84</v>
      </c>
    </row>
    <row r="3" spans="2:12" s="2" customFormat="1" ht="12.75"/>
    <row r="4" spans="2:12" s="2" customFormat="1" ht="12.75">
      <c r="B4" s="1" t="s">
        <v>8</v>
      </c>
      <c r="C4" s="1"/>
      <c r="D4" s="1"/>
    </row>
    <row r="5" spans="2:12" s="2" customFormat="1" ht="12.75">
      <c r="B5" s="30" t="s">
        <v>441</v>
      </c>
      <c r="C5" s="1"/>
      <c r="D5" s="1"/>
    </row>
    <row r="6" spans="2:12" s="2" customFormat="1" ht="12.75"/>
    <row r="7" spans="2:12" s="30" customFormat="1" ht="12.75"/>
    <row r="8" spans="2:12" s="56" customFormat="1" ht="12.75">
      <c r="B8" s="56" t="s">
        <v>10</v>
      </c>
      <c r="F8" s="56" t="s">
        <v>11</v>
      </c>
      <c r="H8" s="56" t="s">
        <v>12</v>
      </c>
      <c r="J8" s="56" t="s">
        <v>13</v>
      </c>
      <c r="L8" s="56" t="s">
        <v>14</v>
      </c>
    </row>
    <row r="9" spans="2:12" s="30" customFormat="1" ht="12.75"/>
    <row r="10" spans="2:12" s="64" customFormat="1" ht="12.75">
      <c r="B10" s="57" t="s">
        <v>78</v>
      </c>
    </row>
    <row r="11" spans="2:12" s="64" customFormat="1" ht="12.75">
      <c r="B11" s="30" t="s">
        <v>62</v>
      </c>
      <c r="F11" s="30" t="s">
        <v>443</v>
      </c>
      <c r="H11" s="61">
        <v>5681.3280000000505</v>
      </c>
      <c r="J11" s="104" t="s">
        <v>258</v>
      </c>
    </row>
    <row r="12" spans="2:12" s="64" customFormat="1" ht="12.75">
      <c r="B12" s="30" t="s">
        <v>63</v>
      </c>
      <c r="F12" s="30" t="s">
        <v>443</v>
      </c>
      <c r="H12" s="61">
        <v>5208.6789999999564</v>
      </c>
    </row>
    <row r="13" spans="2:12" s="64" customFormat="1" ht="12.75">
      <c r="B13" s="30" t="s">
        <v>64</v>
      </c>
      <c r="F13" s="30" t="s">
        <v>443</v>
      </c>
      <c r="H13" s="61">
        <v>5956.2130000000006</v>
      </c>
    </row>
    <row r="14" spans="2:12" s="64" customFormat="1" ht="12.75">
      <c r="B14" s="30" t="s">
        <v>65</v>
      </c>
      <c r="F14" s="30" t="s">
        <v>443</v>
      </c>
      <c r="H14" s="61">
        <v>5781.4490000000051</v>
      </c>
    </row>
    <row r="15" spans="2:12" s="64" customFormat="1" ht="12.75">
      <c r="B15" s="30" t="s">
        <v>73</v>
      </c>
      <c r="F15" s="30" t="s">
        <v>443</v>
      </c>
      <c r="H15" s="61">
        <v>6059.2509999999475</v>
      </c>
    </row>
    <row r="16" spans="2:12" s="64" customFormat="1" ht="12.75">
      <c r="B16" s="30" t="s">
        <v>80</v>
      </c>
      <c r="F16" s="30" t="s">
        <v>443</v>
      </c>
      <c r="H16" s="61">
        <v>5317.8440000000446</v>
      </c>
    </row>
    <row r="17" spans="2:13" s="64" customFormat="1" ht="12.75">
      <c r="B17" s="30" t="s">
        <v>67</v>
      </c>
      <c r="F17" s="30" t="s">
        <v>443</v>
      </c>
      <c r="H17" s="61">
        <v>6078.3159999999998</v>
      </c>
    </row>
    <row r="18" spans="2:13" s="64" customFormat="1" ht="12.75">
      <c r="B18" s="30" t="s">
        <v>68</v>
      </c>
      <c r="F18" s="30" t="s">
        <v>443</v>
      </c>
      <c r="H18" s="61">
        <v>6442.2520000000004</v>
      </c>
    </row>
    <row r="19" spans="2:13" s="64" customFormat="1" ht="12.75">
      <c r="B19" s="30" t="s">
        <v>81</v>
      </c>
      <c r="F19" s="30" t="s">
        <v>443</v>
      </c>
      <c r="H19" s="61">
        <v>6747.3370000000004</v>
      </c>
    </row>
    <row r="20" spans="2:13" s="64" customFormat="1" ht="12.75">
      <c r="B20" s="30" t="s">
        <v>82</v>
      </c>
      <c r="F20" s="30" t="s">
        <v>443</v>
      </c>
      <c r="H20" s="61">
        <v>6664.7910000000002</v>
      </c>
    </row>
    <row r="21" spans="2:13" s="64" customFormat="1" ht="12.75">
      <c r="B21" s="30" t="s">
        <v>71</v>
      </c>
      <c r="F21" s="30" t="s">
        <v>443</v>
      </c>
      <c r="H21" s="61">
        <v>6900.0929999999998</v>
      </c>
    </row>
    <row r="22" spans="2:13" s="64" customFormat="1" ht="12.75">
      <c r="B22" s="30" t="s">
        <v>72</v>
      </c>
      <c r="F22" s="30" t="s">
        <v>443</v>
      </c>
      <c r="H22" s="61">
        <v>6428.8280000000004</v>
      </c>
    </row>
    <row r="23" spans="2:13" s="64" customFormat="1" ht="12.75">
      <c r="B23" s="30" t="s">
        <v>83</v>
      </c>
      <c r="F23" s="30" t="s">
        <v>443</v>
      </c>
      <c r="H23" s="71">
        <f>SUM(H11:H22)</f>
        <v>73266.380999999994</v>
      </c>
    </row>
    <row r="24" spans="2:13" s="64" customFormat="1" ht="12.75"/>
    <row r="25" spans="2:13" s="64" customFormat="1" ht="12.75">
      <c r="B25" s="57" t="s">
        <v>79</v>
      </c>
    </row>
    <row r="26" spans="2:13" s="64" customFormat="1" ht="12.75">
      <c r="B26" s="30" t="s">
        <v>62</v>
      </c>
      <c r="F26" s="30" t="s">
        <v>443</v>
      </c>
      <c r="H26" s="61">
        <v>2459.3429999999876</v>
      </c>
      <c r="J26" s="104" t="s">
        <v>306</v>
      </c>
      <c r="M26" s="113"/>
    </row>
    <row r="27" spans="2:13" s="64" customFormat="1" ht="12.75">
      <c r="B27" s="30" t="s">
        <v>63</v>
      </c>
      <c r="F27" s="30" t="s">
        <v>443</v>
      </c>
      <c r="H27" s="61">
        <v>2456.1250000000032</v>
      </c>
      <c r="M27" s="113"/>
    </row>
    <row r="28" spans="2:13" s="64" customFormat="1" ht="12.75">
      <c r="B28" s="30" t="s">
        <v>64</v>
      </c>
      <c r="F28" s="30" t="s">
        <v>443</v>
      </c>
      <c r="H28" s="61">
        <v>2811.8609999999999</v>
      </c>
      <c r="M28" s="113"/>
    </row>
    <row r="29" spans="2:13" s="64" customFormat="1" ht="12.75">
      <c r="B29" s="30" t="s">
        <v>65</v>
      </c>
      <c r="F29" s="30" t="s">
        <v>443</v>
      </c>
      <c r="H29" s="61">
        <v>3176.9810000000061</v>
      </c>
      <c r="M29" s="113"/>
    </row>
    <row r="30" spans="2:13" s="64" customFormat="1" ht="12.75">
      <c r="B30" s="30" t="s">
        <v>73</v>
      </c>
      <c r="F30" s="30" t="s">
        <v>443</v>
      </c>
      <c r="H30" s="61">
        <v>3397.4410000000057</v>
      </c>
      <c r="M30" s="113"/>
    </row>
    <row r="31" spans="2:13" s="64" customFormat="1" ht="12.75">
      <c r="B31" s="30" t="s">
        <v>80</v>
      </c>
      <c r="F31" s="30" t="s">
        <v>443</v>
      </c>
      <c r="H31" s="61">
        <v>3953.9550000000049</v>
      </c>
      <c r="M31" s="113"/>
    </row>
    <row r="32" spans="2:13" s="64" customFormat="1" ht="12.75">
      <c r="B32" s="30" t="s">
        <v>67</v>
      </c>
      <c r="F32" s="30" t="s">
        <v>443</v>
      </c>
      <c r="H32" s="61">
        <v>2952.0509999999899</v>
      </c>
      <c r="M32" s="113"/>
    </row>
    <row r="33" spans="2:13" s="64" customFormat="1" ht="12.75">
      <c r="B33" s="30" t="s">
        <v>68</v>
      </c>
      <c r="F33" s="30" t="s">
        <v>443</v>
      </c>
      <c r="H33" s="61">
        <v>2418.6309999999967</v>
      </c>
      <c r="M33" s="113"/>
    </row>
    <row r="34" spans="2:13" s="64" customFormat="1" ht="12.75">
      <c r="B34" s="30" t="s">
        <v>81</v>
      </c>
      <c r="F34" s="30" t="s">
        <v>443</v>
      </c>
      <c r="H34" s="61">
        <v>1564.1020000000065</v>
      </c>
      <c r="M34" s="113"/>
    </row>
    <row r="35" spans="2:13" s="64" customFormat="1" ht="12.75">
      <c r="B35" s="30" t="s">
        <v>82</v>
      </c>
      <c r="F35" s="30" t="s">
        <v>443</v>
      </c>
      <c r="H35" s="61">
        <v>1998.2869999999957</v>
      </c>
      <c r="M35" s="113"/>
    </row>
    <row r="36" spans="2:13" s="64" customFormat="1" ht="12.75">
      <c r="B36" s="30" t="s">
        <v>71</v>
      </c>
      <c r="F36" s="30" t="s">
        <v>443</v>
      </c>
      <c r="H36" s="61">
        <v>1732.3740000000048</v>
      </c>
      <c r="M36" s="113"/>
    </row>
    <row r="37" spans="2:13" s="64" customFormat="1" ht="12.75">
      <c r="B37" s="30" t="s">
        <v>72</v>
      </c>
      <c r="F37" s="30" t="s">
        <v>443</v>
      </c>
      <c r="H37" s="61">
        <v>2215.390999999991</v>
      </c>
      <c r="M37" s="113"/>
    </row>
    <row r="38" spans="2:13" s="64" customFormat="1" ht="12.75">
      <c r="B38" s="30" t="s">
        <v>83</v>
      </c>
      <c r="F38" s="30" t="s">
        <v>443</v>
      </c>
      <c r="H38" s="71">
        <f>SUM(H26:H37)</f>
        <v>31136.541999999994</v>
      </c>
      <c r="M38" s="113"/>
    </row>
    <row r="39" spans="2:13" s="64" customFormat="1" ht="12.75">
      <c r="B39" s="57"/>
    </row>
    <row r="40" spans="2:13" s="64" customFormat="1" ht="12.75">
      <c r="B40" s="57" t="s">
        <v>85</v>
      </c>
    </row>
    <row r="41" spans="2:13" s="64" customFormat="1" ht="12.75">
      <c r="B41" s="30" t="s">
        <v>62</v>
      </c>
      <c r="F41" s="30" t="s">
        <v>443</v>
      </c>
      <c r="H41" s="71">
        <f>SUM(H11,H26)</f>
        <v>8140.6710000000385</v>
      </c>
    </row>
    <row r="42" spans="2:13" s="64" customFormat="1" ht="12.75">
      <c r="B42" s="30" t="s">
        <v>63</v>
      </c>
      <c r="F42" s="30" t="s">
        <v>443</v>
      </c>
      <c r="H42" s="71">
        <f t="shared" ref="H42:H52" si="0">SUM(H12,H27)</f>
        <v>7664.8039999999601</v>
      </c>
    </row>
    <row r="43" spans="2:13" s="64" customFormat="1" ht="12.75">
      <c r="B43" s="30" t="s">
        <v>64</v>
      </c>
      <c r="F43" s="30" t="s">
        <v>443</v>
      </c>
      <c r="H43" s="71">
        <f t="shared" si="0"/>
        <v>8768.0740000000005</v>
      </c>
    </row>
    <row r="44" spans="2:13" s="64" customFormat="1" ht="12.75">
      <c r="B44" s="30" t="s">
        <v>65</v>
      </c>
      <c r="F44" s="30" t="s">
        <v>443</v>
      </c>
      <c r="H44" s="71">
        <f t="shared" si="0"/>
        <v>8958.4300000000112</v>
      </c>
    </row>
    <row r="45" spans="2:13" s="64" customFormat="1" ht="12.75">
      <c r="B45" s="30" t="s">
        <v>73</v>
      </c>
      <c r="F45" s="30" t="s">
        <v>443</v>
      </c>
      <c r="H45" s="71">
        <f t="shared" si="0"/>
        <v>9456.6919999999536</v>
      </c>
    </row>
    <row r="46" spans="2:13" s="64" customFormat="1" ht="12.75">
      <c r="B46" s="30" t="s">
        <v>80</v>
      </c>
      <c r="F46" s="30" t="s">
        <v>443</v>
      </c>
      <c r="H46" s="71">
        <f t="shared" si="0"/>
        <v>9271.79900000005</v>
      </c>
    </row>
    <row r="47" spans="2:13" s="64" customFormat="1" ht="12.75">
      <c r="B47" s="30" t="s">
        <v>67</v>
      </c>
      <c r="F47" s="30" t="s">
        <v>443</v>
      </c>
      <c r="H47" s="71">
        <f t="shared" si="0"/>
        <v>9030.3669999999893</v>
      </c>
    </row>
    <row r="48" spans="2:13" s="64" customFormat="1" ht="12.75">
      <c r="B48" s="30" t="s">
        <v>68</v>
      </c>
      <c r="F48" s="30" t="s">
        <v>443</v>
      </c>
      <c r="H48" s="71">
        <f t="shared" si="0"/>
        <v>8860.882999999998</v>
      </c>
    </row>
    <row r="49" spans="2:8" s="64" customFormat="1" ht="12.75">
      <c r="B49" s="30" t="s">
        <v>81</v>
      </c>
      <c r="F49" s="30" t="s">
        <v>443</v>
      </c>
      <c r="H49" s="71">
        <f t="shared" si="0"/>
        <v>8311.4390000000076</v>
      </c>
    </row>
    <row r="50" spans="2:8" s="64" customFormat="1" ht="12.75">
      <c r="B50" s="30" t="s">
        <v>82</v>
      </c>
      <c r="F50" s="30" t="s">
        <v>443</v>
      </c>
      <c r="H50" s="71">
        <f t="shared" si="0"/>
        <v>8663.0779999999959</v>
      </c>
    </row>
    <row r="51" spans="2:8" s="64" customFormat="1" ht="12.75">
      <c r="B51" s="30" t="s">
        <v>71</v>
      </c>
      <c r="F51" s="30" t="s">
        <v>443</v>
      </c>
      <c r="H51" s="71">
        <f t="shared" si="0"/>
        <v>8632.4670000000042</v>
      </c>
    </row>
    <row r="52" spans="2:8" s="64" customFormat="1" ht="12.75">
      <c r="B52" s="30" t="s">
        <v>72</v>
      </c>
      <c r="F52" s="30" t="s">
        <v>443</v>
      </c>
      <c r="H52" s="71">
        <f t="shared" si="0"/>
        <v>8644.2189999999919</v>
      </c>
    </row>
    <row r="53" spans="2:8" s="64" customFormat="1" ht="12.75">
      <c r="B53" s="30" t="s">
        <v>83</v>
      </c>
      <c r="F53" s="30" t="s">
        <v>443</v>
      </c>
      <c r="H53" s="71">
        <f>SUM(H23,H38)</f>
        <v>104402.92299999998</v>
      </c>
    </row>
    <row r="54" spans="2:8" s="64" customFormat="1" ht="12.75">
      <c r="B54" s="30"/>
      <c r="F54" s="30"/>
    </row>
    <row r="55" spans="2:8" s="64" customFormat="1" ht="12.75"/>
    <row r="56" spans="2:8" s="64" customFormat="1" ht="12.75"/>
    <row r="57" spans="2:8" s="64" customFormat="1" ht="12.75"/>
    <row r="58" spans="2:8" s="64" customFormat="1" ht="12.75"/>
    <row r="59" spans="2:8" s="64" customFormat="1" ht="12.75"/>
    <row r="60" spans="2:8" s="64" customFormat="1" ht="12.75"/>
    <row r="61" spans="2:8" s="64" customFormat="1" ht="12.75"/>
    <row r="62" spans="2:8" s="64" customFormat="1" ht="12.75"/>
    <row r="63" spans="2:8" s="64" customFormat="1" ht="12.75"/>
    <row r="64" spans="2:8"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64" customFormat="1" ht="12.75"/>
    <row r="76" s="64" customFormat="1" ht="12.75"/>
    <row r="77" s="64" customFormat="1" ht="12.75"/>
    <row r="78" s="64" customFormat="1" ht="12.75"/>
    <row r="79" s="64" customFormat="1" ht="12.75"/>
    <row r="80" s="64" customFormat="1" ht="12.75"/>
    <row r="81" s="64" customFormat="1" ht="12.75"/>
    <row r="82" s="64" customFormat="1" ht="12.75"/>
    <row r="83" s="64" customFormat="1" ht="12.75"/>
    <row r="84" s="64" customFormat="1" ht="12.75"/>
    <row r="85" s="64" customFormat="1" ht="12.75"/>
    <row r="86" s="64" customFormat="1" ht="12.75"/>
    <row r="87" s="64" customFormat="1" ht="12.75"/>
    <row r="88" s="64" customFormat="1" ht="12.75"/>
    <row r="89" s="64" customFormat="1" ht="12.75"/>
    <row r="90" s="64" customFormat="1" ht="12.75"/>
    <row r="91" s="64" customFormat="1" ht="12.75"/>
    <row r="92" s="64" customFormat="1" ht="12.75"/>
    <row r="93" s="64" customFormat="1" ht="12.75"/>
    <row r="94" s="64" customFormat="1" ht="12.75"/>
    <row r="95" s="64" customFormat="1" ht="12.75"/>
    <row r="96" s="64" customFormat="1" ht="12.75"/>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row r="110" s="64" customFormat="1" ht="12.75"/>
    <row r="111" s="64" customFormat="1" ht="12.75"/>
    <row r="112" s="64" customFormat="1" ht="12.75"/>
    <row r="113" s="64" customFormat="1" ht="12.75"/>
    <row r="114" s="64" customFormat="1" ht="12.75"/>
    <row r="115" s="64" customFormat="1" ht="12.75"/>
    <row r="116" s="64" customFormat="1" ht="12.75"/>
    <row r="117" s="64" customFormat="1" ht="12.75"/>
    <row r="118" s="64" customFormat="1" ht="12.75"/>
    <row r="119" s="64" customFormat="1" ht="12.75"/>
    <row r="120" s="64" customFormat="1" ht="12.75"/>
    <row r="121" s="64" customFormat="1" ht="12.75"/>
    <row r="122" s="64" customFormat="1" ht="12.75"/>
    <row r="123" s="64" customFormat="1" ht="12.75"/>
    <row r="124" s="64" customFormat="1" ht="12.75"/>
    <row r="125" s="64" customFormat="1" ht="12.75"/>
    <row r="126" s="64" customFormat="1" ht="12.75"/>
    <row r="127" s="64" customFormat="1" ht="12.75"/>
    <row r="128" s="64" customFormat="1" ht="12.75"/>
    <row r="129" s="64" customFormat="1" ht="12.75"/>
    <row r="130" s="64" customFormat="1" ht="12.75"/>
    <row r="131" s="64" customFormat="1" ht="12.75"/>
    <row r="132" s="64" customFormat="1" ht="12.75"/>
    <row r="133" s="64" customFormat="1" ht="12.75"/>
    <row r="134" s="64" customFormat="1" ht="12.75"/>
    <row r="135" s="64" customFormat="1" ht="12.75"/>
    <row r="136" s="64" customFormat="1" ht="12.75"/>
    <row r="137" s="64" customFormat="1" ht="12.75"/>
    <row r="138" s="64" customFormat="1" ht="12.75"/>
    <row r="139" s="64" customFormat="1" ht="12.75"/>
    <row r="140" s="64" customFormat="1" ht="12.75"/>
    <row r="141" s="64" customFormat="1" ht="12.75"/>
    <row r="142" s="64" customFormat="1" ht="12.75"/>
    <row r="143" s="64" customFormat="1" ht="12.75"/>
    <row r="144" s="64" customFormat="1" ht="12.75"/>
    <row r="145" s="64" customFormat="1" ht="12.75"/>
    <row r="146" s="64" customFormat="1" ht="12.75"/>
    <row r="147" s="64" customFormat="1" ht="12.75"/>
    <row r="148" s="64" customFormat="1" ht="12.75"/>
    <row r="149" s="64" customFormat="1" ht="12.75"/>
    <row r="150" s="64" customFormat="1" ht="12.75"/>
    <row r="151" s="64" customFormat="1" ht="12.75"/>
    <row r="152" s="64" customFormat="1" ht="12.75"/>
    <row r="153" s="64" customFormat="1" ht="12.75"/>
    <row r="154" s="64" customFormat="1" ht="12.75"/>
    <row r="155" s="64" customFormat="1" ht="12.75"/>
    <row r="156" s="64" customFormat="1" ht="12.75"/>
    <row r="157" s="64" customFormat="1" ht="12.75"/>
    <row r="158" s="64" customFormat="1" ht="12.75"/>
    <row r="159" s="64" customFormat="1" ht="12.75"/>
    <row r="160" s="64" customFormat="1" ht="12.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N62"/>
  <sheetViews>
    <sheetView showGridLines="0" zoomScale="85" zoomScaleNormal="85" workbookViewId="0">
      <pane xSplit="6" ySplit="8" topLeftCell="G9" activePane="bottomRight" state="frozen"/>
      <selection pane="topRight" activeCell="G1" sqref="G1"/>
      <selection pane="bottomLeft" activeCell="A16" sqref="A16"/>
      <selection pane="bottomRight" activeCell="G9" sqref="G9"/>
    </sheetView>
  </sheetViews>
  <sheetFormatPr defaultRowHeight="15"/>
  <cols>
    <col min="1" max="1" width="9.7109375" customWidth="1"/>
    <col min="2" max="2" width="47.28515625" customWidth="1"/>
    <col min="3" max="5" width="4" customWidth="1"/>
    <col min="6" max="6" width="13" customWidth="1"/>
    <col min="7" max="7" width="3.140625" customWidth="1"/>
    <col min="8" max="8" width="14" bestFit="1" customWidth="1"/>
    <col min="9" max="9" width="3.140625" customWidth="1"/>
    <col min="10" max="10" width="13.7109375" customWidth="1"/>
    <col min="11" max="11" width="3.140625" customWidth="1"/>
    <col min="12" max="23" width="12.7109375" customWidth="1"/>
    <col min="24" max="24" width="2.85546875" customWidth="1"/>
    <col min="25" max="25" width="35.5703125" customWidth="1"/>
    <col min="26" max="26" width="2.85546875" customWidth="1"/>
    <col min="27" max="27" width="38.28515625" customWidth="1"/>
    <col min="28" max="28" width="2.85546875" customWidth="1"/>
    <col min="40" max="40" width="9.140625" style="103"/>
  </cols>
  <sheetData>
    <row r="1" spans="2:40" s="2" customFormat="1" ht="12.75">
      <c r="AN1" s="99"/>
    </row>
    <row r="2" spans="2:40" s="26" customFormat="1" ht="18">
      <c r="B2" s="26" t="s">
        <v>104</v>
      </c>
      <c r="AN2" s="100"/>
    </row>
    <row r="3" spans="2:40" s="2" customFormat="1" ht="12.75">
      <c r="AN3" s="99"/>
    </row>
    <row r="4" spans="2:40" s="2" customFormat="1" ht="12.75">
      <c r="B4" s="1" t="s">
        <v>8</v>
      </c>
      <c r="C4" s="1"/>
      <c r="D4" s="1"/>
      <c r="AN4" s="99"/>
    </row>
    <row r="5" spans="2:40" s="2" customFormat="1" ht="12.75">
      <c r="B5" s="30" t="s">
        <v>442</v>
      </c>
      <c r="C5" s="1"/>
      <c r="D5" s="1"/>
      <c r="AN5" s="99"/>
    </row>
    <row r="6" spans="2:40" s="30" customFormat="1" ht="12.75">
      <c r="AN6" s="101"/>
    </row>
    <row r="7" spans="2:40" s="30" customFormat="1" ht="12.75">
      <c r="AN7" s="101"/>
    </row>
    <row r="8" spans="2:40" s="56" customFormat="1" ht="12.75">
      <c r="B8" s="56" t="s">
        <v>10</v>
      </c>
      <c r="F8" s="56" t="s">
        <v>11</v>
      </c>
      <c r="H8" s="56" t="s">
        <v>12</v>
      </c>
      <c r="J8" s="56" t="s">
        <v>249</v>
      </c>
      <c r="L8" s="56" t="s">
        <v>62</v>
      </c>
      <c r="M8" s="56" t="s">
        <v>63</v>
      </c>
      <c r="N8" s="56" t="s">
        <v>64</v>
      </c>
      <c r="O8" s="56" t="s">
        <v>65</v>
      </c>
      <c r="P8" s="56" t="s">
        <v>73</v>
      </c>
      <c r="Q8" s="56" t="s">
        <v>80</v>
      </c>
      <c r="R8" s="56" t="s">
        <v>67</v>
      </c>
      <c r="S8" s="56" t="s">
        <v>68</v>
      </c>
      <c r="T8" s="56" t="s">
        <v>69</v>
      </c>
      <c r="U8" s="56" t="s">
        <v>70</v>
      </c>
      <c r="V8" s="56" t="s">
        <v>71</v>
      </c>
      <c r="W8" s="56" t="s">
        <v>72</v>
      </c>
      <c r="Y8" s="56" t="s">
        <v>13</v>
      </c>
      <c r="AA8" s="56" t="s">
        <v>14</v>
      </c>
      <c r="AN8" s="102"/>
    </row>
    <row r="9" spans="2:40" s="30" customFormat="1" ht="12.75">
      <c r="AN9" s="101"/>
    </row>
    <row r="10" spans="2:40" s="56" customFormat="1" ht="12.75">
      <c r="B10" s="56" t="s">
        <v>105</v>
      </c>
      <c r="AN10" s="102"/>
    </row>
    <row r="11" spans="2:40" s="104" customFormat="1" ht="12.75">
      <c r="AN11" s="105"/>
    </row>
    <row r="12" spans="2:40" s="104" customFormat="1" ht="12.75">
      <c r="B12" s="68" t="s">
        <v>223</v>
      </c>
    </row>
    <row r="13" spans="2:40" s="104" customFormat="1" ht="12.75">
      <c r="B13" s="104" t="s">
        <v>250</v>
      </c>
      <c r="F13" s="149" t="s">
        <v>443</v>
      </c>
      <c r="J13" s="42">
        <f>SUM(L13:W13)</f>
        <v>71281</v>
      </c>
      <c r="L13" s="45">
        <v>6326</v>
      </c>
      <c r="M13" s="45">
        <v>5818</v>
      </c>
      <c r="N13" s="45">
        <v>5825</v>
      </c>
      <c r="O13" s="45">
        <v>6093</v>
      </c>
      <c r="P13" s="45">
        <v>6299</v>
      </c>
      <c r="Q13" s="45">
        <v>5499</v>
      </c>
      <c r="R13" s="45">
        <v>6174</v>
      </c>
      <c r="S13" s="45">
        <v>7314</v>
      </c>
      <c r="T13" s="45">
        <v>5429</v>
      </c>
      <c r="U13" s="45">
        <v>5845</v>
      </c>
      <c r="V13" s="45">
        <v>6068</v>
      </c>
      <c r="W13" s="45">
        <v>4591</v>
      </c>
      <c r="Y13" s="139" t="s">
        <v>392</v>
      </c>
      <c r="AA13" s="106"/>
    </row>
    <row r="14" spans="2:40" s="104" customFormat="1" ht="12.75">
      <c r="B14" s="104" t="s">
        <v>221</v>
      </c>
      <c r="F14" s="149" t="s">
        <v>443</v>
      </c>
      <c r="J14" s="42">
        <f t="shared" ref="J14:J17" si="0">SUM(L14:W14)</f>
        <v>12456</v>
      </c>
      <c r="L14" s="45" t="s">
        <v>316</v>
      </c>
      <c r="M14" s="45" t="s">
        <v>316</v>
      </c>
      <c r="N14" s="45" t="s">
        <v>316</v>
      </c>
      <c r="O14" s="45" t="s">
        <v>316</v>
      </c>
      <c r="P14" s="45" t="s">
        <v>316</v>
      </c>
      <c r="Q14" s="45" t="s">
        <v>316</v>
      </c>
      <c r="R14" s="45" t="s">
        <v>316</v>
      </c>
      <c r="S14" s="45" t="s">
        <v>316</v>
      </c>
      <c r="T14" s="45">
        <v>3114</v>
      </c>
      <c r="U14" s="45">
        <v>3114</v>
      </c>
      <c r="V14" s="45">
        <v>3114</v>
      </c>
      <c r="W14" s="45">
        <v>3114</v>
      </c>
      <c r="Y14" s="139" t="s">
        <v>392</v>
      </c>
      <c r="AA14" s="107"/>
    </row>
    <row r="15" spans="2:40" s="104" customFormat="1" ht="12.75">
      <c r="B15" s="104" t="s">
        <v>79</v>
      </c>
      <c r="F15" s="149" t="s">
        <v>443</v>
      </c>
      <c r="J15" s="42">
        <f t="shared" si="0"/>
        <v>30701</v>
      </c>
      <c r="L15" s="45">
        <v>2252</v>
      </c>
      <c r="M15" s="45">
        <v>2056</v>
      </c>
      <c r="N15" s="45">
        <v>2839</v>
      </c>
      <c r="O15" s="45">
        <v>3100</v>
      </c>
      <c r="P15" s="45">
        <v>3383</v>
      </c>
      <c r="Q15" s="45">
        <v>4039</v>
      </c>
      <c r="R15" s="45">
        <v>3371</v>
      </c>
      <c r="S15" s="45">
        <v>2437</v>
      </c>
      <c r="T15" s="45">
        <v>2154</v>
      </c>
      <c r="U15" s="45">
        <v>1469</v>
      </c>
      <c r="V15" s="45">
        <v>1367</v>
      </c>
      <c r="W15" s="45">
        <v>2234</v>
      </c>
      <c r="Y15" s="139" t="s">
        <v>392</v>
      </c>
      <c r="AA15" s="107"/>
    </row>
    <row r="16" spans="2:40" s="104" customFormat="1" ht="12.75">
      <c r="B16" s="104" t="s">
        <v>222</v>
      </c>
      <c r="F16" s="149" t="s">
        <v>443</v>
      </c>
      <c r="J16" s="42">
        <f t="shared" si="0"/>
        <v>2637</v>
      </c>
      <c r="L16" s="45">
        <v>193</v>
      </c>
      <c r="M16" s="45">
        <v>177</v>
      </c>
      <c r="N16" s="45">
        <v>244</v>
      </c>
      <c r="O16" s="45">
        <v>266</v>
      </c>
      <c r="P16" s="45">
        <v>291</v>
      </c>
      <c r="Q16" s="45">
        <v>347</v>
      </c>
      <c r="R16" s="45">
        <v>290</v>
      </c>
      <c r="S16" s="45">
        <v>209</v>
      </c>
      <c r="T16" s="45">
        <v>185</v>
      </c>
      <c r="U16" s="45">
        <v>126</v>
      </c>
      <c r="V16" s="45">
        <v>117</v>
      </c>
      <c r="W16" s="45">
        <v>192</v>
      </c>
      <c r="Y16" s="139" t="s">
        <v>392</v>
      </c>
      <c r="AA16" s="107"/>
    </row>
    <row r="17" spans="1:40" s="104" customFormat="1" ht="12.75">
      <c r="B17" s="104" t="s">
        <v>224</v>
      </c>
      <c r="F17" s="149" t="s">
        <v>443</v>
      </c>
      <c r="J17" s="42">
        <f t="shared" si="0"/>
        <v>117075</v>
      </c>
      <c r="L17" s="42">
        <f>SUM(L13:L16)</f>
        <v>8771</v>
      </c>
      <c r="M17" s="42">
        <f t="shared" ref="M17:W17" si="1">SUM(M13:M16)</f>
        <v>8051</v>
      </c>
      <c r="N17" s="42">
        <f t="shared" si="1"/>
        <v>8908</v>
      </c>
      <c r="O17" s="42">
        <f t="shared" si="1"/>
        <v>9459</v>
      </c>
      <c r="P17" s="42">
        <f t="shared" si="1"/>
        <v>9973</v>
      </c>
      <c r="Q17" s="42">
        <f t="shared" si="1"/>
        <v>9885</v>
      </c>
      <c r="R17" s="42">
        <f t="shared" si="1"/>
        <v>9835</v>
      </c>
      <c r="S17" s="42">
        <f t="shared" si="1"/>
        <v>9960</v>
      </c>
      <c r="T17" s="42">
        <f t="shared" si="1"/>
        <v>10882</v>
      </c>
      <c r="U17" s="42">
        <f t="shared" si="1"/>
        <v>10554</v>
      </c>
      <c r="V17" s="42">
        <f t="shared" si="1"/>
        <v>10666</v>
      </c>
      <c r="W17" s="42">
        <f t="shared" si="1"/>
        <v>10131</v>
      </c>
      <c r="Y17" s="140"/>
      <c r="AA17" s="107"/>
    </row>
    <row r="18" spans="1:40" s="104" customFormat="1" ht="12.75">
      <c r="Y18" s="140"/>
      <c r="AA18" s="107"/>
      <c r="AB18" s="108"/>
      <c r="AC18" s="108"/>
      <c r="AD18" s="108"/>
      <c r="AE18" s="108"/>
      <c r="AF18" s="108"/>
      <c r="AG18" s="108"/>
      <c r="AH18" s="108"/>
      <c r="AI18" s="108"/>
      <c r="AJ18" s="108"/>
      <c r="AK18" s="108"/>
      <c r="AL18" s="108"/>
      <c r="AM18" s="108"/>
      <c r="AN18" s="109"/>
    </row>
    <row r="19" spans="1:40" s="104" customFormat="1" ht="12.75">
      <c r="B19" s="68" t="s">
        <v>251</v>
      </c>
      <c r="AA19" s="107"/>
      <c r="AB19" s="108"/>
      <c r="AC19" s="108"/>
      <c r="AD19" s="108"/>
      <c r="AE19" s="108"/>
      <c r="AF19" s="108"/>
      <c r="AG19" s="108"/>
      <c r="AH19" s="108"/>
      <c r="AI19" s="108"/>
      <c r="AJ19" s="108"/>
      <c r="AK19" s="108"/>
      <c r="AL19" s="108"/>
      <c r="AM19" s="108"/>
      <c r="AN19" s="109"/>
    </row>
    <row r="20" spans="1:40" s="104" customFormat="1" ht="12.75">
      <c r="B20" s="43" t="s">
        <v>252</v>
      </c>
      <c r="F20" s="30" t="s">
        <v>30</v>
      </c>
      <c r="H20" s="71">
        <f>(J13+J14)*1000</f>
        <v>83737000</v>
      </c>
      <c r="AA20" s="107"/>
      <c r="AN20" s="105"/>
    </row>
    <row r="21" spans="1:40" s="104" customFormat="1" ht="12.75">
      <c r="B21" s="30" t="s">
        <v>253</v>
      </c>
      <c r="F21" s="30" t="s">
        <v>30</v>
      </c>
      <c r="H21" s="71">
        <f>(J15+J16)*1000</f>
        <v>33338000</v>
      </c>
      <c r="AA21" s="107"/>
      <c r="AN21" s="105"/>
    </row>
    <row r="22" spans="1:40" s="104" customFormat="1" ht="12.75">
      <c r="B22" s="30" t="s">
        <v>254</v>
      </c>
      <c r="F22" s="30" t="s">
        <v>30</v>
      </c>
      <c r="H22" s="71">
        <f>H20+H21</f>
        <v>117075000</v>
      </c>
      <c r="AN22" s="105"/>
    </row>
    <row r="23" spans="1:40" s="104" customFormat="1" ht="12.75">
      <c r="AN23" s="105"/>
    </row>
    <row r="24" spans="1:40" s="56" customFormat="1" ht="12.75">
      <c r="B24" s="56" t="s">
        <v>244</v>
      </c>
      <c r="AN24" s="102"/>
    </row>
    <row r="25" spans="1:40" s="104" customFormat="1" ht="12.75">
      <c r="AC25" s="150"/>
      <c r="AN25" s="105"/>
    </row>
    <row r="26" spans="1:40" s="104" customFormat="1" ht="12.75">
      <c r="B26" s="30" t="s">
        <v>219</v>
      </c>
      <c r="F26" s="30" t="s">
        <v>256</v>
      </c>
      <c r="H26" s="111">
        <v>1.605</v>
      </c>
      <c r="Y26" s="104" t="s">
        <v>245</v>
      </c>
      <c r="AC26" s="151"/>
      <c r="AN26" s="105"/>
    </row>
    <row r="27" spans="1:40" s="30" customFormat="1" ht="12.75">
      <c r="A27" s="104"/>
      <c r="B27" s="30" t="s">
        <v>257</v>
      </c>
      <c r="F27" s="30" t="s">
        <v>220</v>
      </c>
      <c r="H27" s="112">
        <f>H26/1000</f>
        <v>1.6050000000000001E-3</v>
      </c>
      <c r="Y27" s="104"/>
      <c r="AA27" s="73"/>
      <c r="AC27" s="151"/>
      <c r="AN27" s="101"/>
    </row>
    <row r="28" spans="1:40" s="30" customFormat="1" ht="12.75">
      <c r="B28" s="1"/>
      <c r="AA28" s="73"/>
      <c r="AN28" s="101"/>
    </row>
    <row r="29" spans="1:40" s="56" customFormat="1" ht="12.75">
      <c r="B29" s="56" t="s">
        <v>255</v>
      </c>
      <c r="AN29" s="102"/>
    </row>
    <row r="30" spans="1:40" s="104" customFormat="1" ht="12.75">
      <c r="AN30" s="105"/>
    </row>
    <row r="31" spans="1:40" s="30" customFormat="1" ht="12.75">
      <c r="B31" s="1" t="s">
        <v>180</v>
      </c>
      <c r="AN31" s="101"/>
    </row>
    <row r="32" spans="1:40" s="30" customFormat="1" ht="12.75">
      <c r="AN32" s="101"/>
    </row>
    <row r="33" spans="1:40" s="104" customFormat="1" ht="12.75">
      <c r="A33" s="30"/>
      <c r="B33" s="104" t="s">
        <v>106</v>
      </c>
      <c r="F33" s="104" t="s">
        <v>29</v>
      </c>
      <c r="H33" s="61">
        <v>7200000</v>
      </c>
      <c r="Y33" s="104" t="s">
        <v>291</v>
      </c>
      <c r="AC33" s="150"/>
      <c r="AN33" s="105"/>
    </row>
    <row r="34" spans="1:40" s="104" customFormat="1" ht="12.75">
      <c r="A34" s="30"/>
      <c r="B34" s="104" t="s">
        <v>25</v>
      </c>
      <c r="F34" s="104" t="s">
        <v>47</v>
      </c>
      <c r="H34" s="61">
        <v>15</v>
      </c>
      <c r="Y34" s="104" t="s">
        <v>291</v>
      </c>
      <c r="AC34" s="30"/>
      <c r="AN34" s="105"/>
    </row>
    <row r="35" spans="1:40" s="104" customFormat="1" ht="12.75">
      <c r="A35" s="30"/>
      <c r="B35" s="104" t="s">
        <v>26</v>
      </c>
      <c r="F35" s="104" t="s">
        <v>48</v>
      </c>
      <c r="H35" s="72">
        <v>43466</v>
      </c>
      <c r="Y35" s="104" t="s">
        <v>291</v>
      </c>
      <c r="AC35" s="30"/>
      <c r="AN35" s="105"/>
    </row>
    <row r="36" spans="1:40" s="104" customFormat="1" ht="12.75">
      <c r="AN36" s="105"/>
    </row>
    <row r="37" spans="1:40" s="104" customFormat="1" ht="12.75">
      <c r="B37" s="104" t="s">
        <v>151</v>
      </c>
      <c r="F37" s="104" t="s">
        <v>29</v>
      </c>
      <c r="H37" s="61">
        <v>14790000</v>
      </c>
      <c r="Y37" s="104" t="s">
        <v>245</v>
      </c>
      <c r="AC37" s="30"/>
      <c r="AN37" s="105"/>
    </row>
    <row r="38" spans="1:40" s="104" customFormat="1" ht="12.75">
      <c r="B38" s="104" t="s">
        <v>25</v>
      </c>
      <c r="F38" s="104" t="s">
        <v>47</v>
      </c>
      <c r="H38" s="61">
        <v>15</v>
      </c>
      <c r="Y38" s="119" t="s">
        <v>393</v>
      </c>
      <c r="AN38" s="105"/>
    </row>
    <row r="39" spans="1:40" s="104" customFormat="1" ht="12.75">
      <c r="B39" s="104" t="s">
        <v>26</v>
      </c>
      <c r="F39" s="104" t="s">
        <v>48</v>
      </c>
      <c r="H39" s="72">
        <v>43709</v>
      </c>
      <c r="AC39" s="30"/>
      <c r="AN39" s="105"/>
    </row>
    <row r="40" spans="1:40" s="104" customFormat="1" ht="12.75">
      <c r="AN40" s="105"/>
    </row>
    <row r="41" spans="1:40" s="104" customFormat="1" ht="12.75">
      <c r="AN41" s="105"/>
    </row>
    <row r="42" spans="1:40" s="56" customFormat="1" ht="12.75">
      <c r="B42" s="56" t="s">
        <v>265</v>
      </c>
      <c r="AN42" s="102"/>
    </row>
    <row r="43" spans="1:40" s="104" customFormat="1" ht="12.75">
      <c r="AN43" s="105"/>
    </row>
    <row r="44" spans="1:40" s="104" customFormat="1" ht="12.75">
      <c r="B44" s="68" t="s">
        <v>266</v>
      </c>
      <c r="AN44" s="105"/>
    </row>
    <row r="45" spans="1:40" s="104" customFormat="1" ht="12.75">
      <c r="B45" s="104" t="s">
        <v>267</v>
      </c>
      <c r="F45" s="104" t="s">
        <v>261</v>
      </c>
      <c r="H45" s="61">
        <v>659856</v>
      </c>
      <c r="Y45" s="104" t="s">
        <v>293</v>
      </c>
      <c r="AN45" s="105"/>
    </row>
    <row r="46" spans="1:40" s="104" customFormat="1" ht="12.75">
      <c r="AN46" s="105"/>
    </row>
    <row r="47" spans="1:40" s="104" customFormat="1" ht="12.75">
      <c r="B47" s="68" t="s">
        <v>268</v>
      </c>
      <c r="AN47" s="105"/>
    </row>
    <row r="48" spans="1:40" s="104" customFormat="1" ht="12.75">
      <c r="B48" s="104" t="s">
        <v>225</v>
      </c>
      <c r="F48" s="104" t="s">
        <v>261</v>
      </c>
      <c r="H48" s="45">
        <v>150000</v>
      </c>
      <c r="Y48" s="149" t="s">
        <v>417</v>
      </c>
      <c r="AC48" s="150"/>
      <c r="AH48" s="73"/>
      <c r="AN48" s="105"/>
    </row>
    <row r="49" spans="2:40" s="104" customFormat="1" ht="12.75">
      <c r="B49" s="104" t="s">
        <v>262</v>
      </c>
      <c r="F49" s="104" t="s">
        <v>260</v>
      </c>
      <c r="H49" s="110">
        <v>30</v>
      </c>
      <c r="Y49" s="104" t="s">
        <v>245</v>
      </c>
      <c r="AC49" s="150"/>
      <c r="AH49" s="73"/>
      <c r="AN49" s="105"/>
    </row>
    <row r="50" spans="2:40" s="104" customFormat="1" ht="12.75">
      <c r="B50" s="104" t="s">
        <v>226</v>
      </c>
      <c r="F50" s="104" t="s">
        <v>261</v>
      </c>
      <c r="H50" s="42">
        <f>H49*J14</f>
        <v>373680</v>
      </c>
      <c r="AN50" s="105"/>
    </row>
    <row r="51" spans="2:40" s="104" customFormat="1" ht="12.75">
      <c r="AN51" s="105"/>
    </row>
    <row r="52" spans="2:40" s="104" customFormat="1" ht="12.75">
      <c r="B52" s="104" t="s">
        <v>227</v>
      </c>
      <c r="F52" s="104" t="s">
        <v>261</v>
      </c>
      <c r="H52" s="71">
        <f>H48+H50</f>
        <v>523680</v>
      </c>
      <c r="AN52" s="105"/>
    </row>
    <row r="53" spans="2:40" s="104" customFormat="1" ht="12.75">
      <c r="AN53" s="105"/>
    </row>
    <row r="54" spans="2:40" s="104" customFormat="1" ht="12.75">
      <c r="AN54" s="105"/>
    </row>
    <row r="55" spans="2:40" s="104" customFormat="1" ht="12.75">
      <c r="AN55" s="105"/>
    </row>
    <row r="56" spans="2:40" s="104" customFormat="1" ht="12.75">
      <c r="AN56" s="105"/>
    </row>
    <row r="57" spans="2:40" s="104" customFormat="1" ht="12.75">
      <c r="AN57" s="105"/>
    </row>
    <row r="58" spans="2:40" s="104" customFormat="1" ht="12.75">
      <c r="AN58" s="105"/>
    </row>
    <row r="59" spans="2:40" s="104" customFormat="1" ht="12.75">
      <c r="AN59" s="105"/>
    </row>
    <row r="60" spans="2:40" s="104" customFormat="1" ht="12.75">
      <c r="AN60" s="105"/>
    </row>
    <row r="61" spans="2:40" s="104" customFormat="1" ht="12.75">
      <c r="AN61" s="105"/>
    </row>
    <row r="62" spans="2:40" s="104" customFormat="1" ht="12.75">
      <c r="AN62" s="105"/>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Y55"/>
  <sheetViews>
    <sheetView showGridLines="0" zoomScale="85" zoomScaleNormal="85" workbookViewId="0">
      <pane xSplit="6" ySplit="10" topLeftCell="G11" activePane="bottomRight" state="frozen"/>
      <selection pane="topRight" activeCell="G1" sqref="G1"/>
      <selection pane="bottomLeft" activeCell="A16" sqref="A16"/>
      <selection pane="bottomRight" activeCell="G11" sqref="G11"/>
    </sheetView>
  </sheetViews>
  <sheetFormatPr defaultRowHeight="15"/>
  <cols>
    <col min="1" max="1" width="9.7109375" customWidth="1"/>
    <col min="2" max="2" width="68.42578125" customWidth="1"/>
    <col min="3" max="5" width="4" customWidth="1"/>
    <col min="6" max="6" width="16.7109375" customWidth="1"/>
    <col min="7" max="7" width="3.140625" customWidth="1"/>
    <col min="8" max="8" width="19.5703125" customWidth="1"/>
    <col min="9" max="9" width="3.140625" customWidth="1"/>
    <col min="10" max="10" width="35.5703125" customWidth="1"/>
    <col min="11" max="11" width="2.85546875" customWidth="1"/>
    <col min="12" max="12" width="38.28515625" customWidth="1"/>
    <col min="13" max="13" width="2.85546875" customWidth="1"/>
    <col min="25" max="25" width="9.140625" style="103"/>
  </cols>
  <sheetData>
    <row r="1" spans="2:25" s="2" customFormat="1" ht="12.75">
      <c r="Y1" s="99"/>
    </row>
    <row r="2" spans="2:25" s="26" customFormat="1" ht="18">
      <c r="B2" s="26" t="s">
        <v>270</v>
      </c>
      <c r="Y2" s="100"/>
    </row>
    <row r="3" spans="2:25" s="2" customFormat="1" ht="12.75">
      <c r="Y3" s="99"/>
    </row>
    <row r="4" spans="2:25" s="2" customFormat="1" ht="12.75">
      <c r="B4" s="1" t="s">
        <v>282</v>
      </c>
      <c r="C4" s="1"/>
      <c r="D4" s="1"/>
      <c r="Y4" s="99"/>
    </row>
    <row r="5" spans="2:25" s="2" customFormat="1" ht="12.75">
      <c r="B5" s="30" t="s">
        <v>444</v>
      </c>
      <c r="C5" s="1"/>
      <c r="D5" s="1"/>
      <c r="Y5" s="99"/>
    </row>
    <row r="6" spans="2:25" s="2" customFormat="1" ht="12.75">
      <c r="B6" s="2" t="s">
        <v>445</v>
      </c>
      <c r="Y6" s="99"/>
    </row>
    <row r="7" spans="2:25" s="2" customFormat="1" ht="12.75">
      <c r="B7" s="2" t="s">
        <v>319</v>
      </c>
      <c r="Y7" s="99"/>
    </row>
    <row r="8" spans="2:25" s="30" customFormat="1" ht="12.75">
      <c r="B8" s="5"/>
      <c r="Y8" s="101"/>
    </row>
    <row r="9" spans="2:25" s="30" customFormat="1" ht="12.75">
      <c r="Y9" s="101"/>
    </row>
    <row r="10" spans="2:25" s="56" customFormat="1" ht="12.75">
      <c r="B10" s="56" t="s">
        <v>10</v>
      </c>
      <c r="F10" s="56" t="s">
        <v>11</v>
      </c>
      <c r="H10" s="56" t="s">
        <v>12</v>
      </c>
      <c r="J10" s="56" t="s">
        <v>13</v>
      </c>
      <c r="L10" s="56" t="s">
        <v>14</v>
      </c>
      <c r="Y10" s="102"/>
    </row>
    <row r="11" spans="2:25" s="30" customFormat="1" ht="12.75">
      <c r="Y11" s="101"/>
    </row>
    <row r="12" spans="2:25" s="56" customFormat="1" ht="12.75">
      <c r="B12" s="56" t="s">
        <v>271</v>
      </c>
      <c r="Y12" s="102"/>
    </row>
    <row r="13" spans="2:25" s="104" customFormat="1" ht="12.75">
      <c r="Y13" s="105"/>
    </row>
    <row r="14" spans="2:25" s="104" customFormat="1" ht="12.75">
      <c r="B14" s="68" t="s">
        <v>446</v>
      </c>
    </row>
    <row r="15" spans="2:25" s="104" customFormat="1" ht="12.75">
      <c r="B15" s="104" t="s">
        <v>272</v>
      </c>
      <c r="F15" s="104" t="s">
        <v>29</v>
      </c>
      <c r="H15" s="61">
        <v>43748643.727402404</v>
      </c>
      <c r="J15" s="119" t="s">
        <v>386</v>
      </c>
      <c r="L15" s="106"/>
    </row>
    <row r="16" spans="2:25" s="104" customFormat="1" ht="12.75">
      <c r="L16" s="107"/>
    </row>
    <row r="17" spans="2:25" s="104" customFormat="1" ht="12.75">
      <c r="B17" s="68" t="s">
        <v>397</v>
      </c>
      <c r="Y17" s="105"/>
    </row>
    <row r="18" spans="2:25" s="104" customFormat="1" ht="12.75">
      <c r="B18" s="30" t="s">
        <v>149</v>
      </c>
      <c r="F18" s="104" t="s">
        <v>37</v>
      </c>
      <c r="H18" s="114">
        <f>Parameters!M26</f>
        <v>6.4799999999999996E-2</v>
      </c>
      <c r="Y18" s="105"/>
    </row>
    <row r="19" spans="2:25" s="104" customFormat="1" ht="12.75">
      <c r="B19" s="30" t="s">
        <v>273</v>
      </c>
      <c r="F19" s="104" t="s">
        <v>37</v>
      </c>
      <c r="H19" s="114">
        <f>Parameters!M27</f>
        <v>6.4000000000000001E-2</v>
      </c>
      <c r="Y19" s="105"/>
    </row>
    <row r="20" spans="2:25" s="104" customFormat="1" ht="12.75">
      <c r="B20" s="149" t="s">
        <v>334</v>
      </c>
      <c r="F20" s="104" t="s">
        <v>37</v>
      </c>
      <c r="H20" s="114">
        <f>Parameters!L19</f>
        <v>6.0000000000000001E-3</v>
      </c>
      <c r="Y20" s="105"/>
    </row>
    <row r="21" spans="2:25" s="104" customFormat="1" ht="12.75">
      <c r="B21" s="149" t="s">
        <v>335</v>
      </c>
      <c r="F21" s="104" t="s">
        <v>37</v>
      </c>
      <c r="H21" s="114">
        <f>Parameters!L20</f>
        <v>6.0000000000000001E-3</v>
      </c>
      <c r="L21" s="35"/>
      <c r="Y21" s="105"/>
    </row>
    <row r="22" spans="2:25" s="104" customFormat="1" ht="12.75">
      <c r="Y22" s="105"/>
    </row>
    <row r="23" spans="2:25" s="104" customFormat="1" ht="12.75">
      <c r="B23" s="68" t="s">
        <v>276</v>
      </c>
      <c r="Y23" s="105"/>
    </row>
    <row r="24" spans="2:25" s="104" customFormat="1" ht="12.75">
      <c r="B24" s="149" t="s">
        <v>447</v>
      </c>
      <c r="F24" s="104" t="s">
        <v>277</v>
      </c>
      <c r="H24" s="42">
        <f>H15*H18*(1+H20)*(1+H21)</f>
        <v>2869033.1157341911</v>
      </c>
      <c r="Y24" s="105"/>
    </row>
    <row r="25" spans="2:25" s="104" customFormat="1" ht="12.75">
      <c r="B25" s="104" t="s">
        <v>278</v>
      </c>
      <c r="F25" s="104" t="s">
        <v>277</v>
      </c>
      <c r="H25" s="42">
        <f>H15*H19*(1+H20)*(1+H21)</f>
        <v>2833612.9538115468</v>
      </c>
      <c r="Y25" s="105"/>
    </row>
    <row r="26" spans="2:25" s="104" customFormat="1" ht="12.75">
      <c r="B26" s="104" t="s">
        <v>279</v>
      </c>
      <c r="F26" s="104" t="s">
        <v>261</v>
      </c>
      <c r="H26" s="46">
        <f>H25-H24</f>
        <v>-35420.161922644358</v>
      </c>
      <c r="L26" s="104" t="s">
        <v>275</v>
      </c>
      <c r="Y26" s="105"/>
    </row>
    <row r="27" spans="2:25" s="104" customFormat="1" ht="12.75">
      <c r="L27" s="35"/>
      <c r="Y27" s="105"/>
    </row>
    <row r="28" spans="2:25" s="104" customFormat="1" ht="12.75">
      <c r="Y28" s="105"/>
    </row>
    <row r="29" spans="2:25" s="104" customFormat="1" ht="12.75">
      <c r="Y29" s="105"/>
    </row>
    <row r="30" spans="2:25" s="104" customFormat="1" ht="12.75">
      <c r="Y30" s="105"/>
    </row>
    <row r="31" spans="2:25" s="104" customFormat="1" ht="12.75">
      <c r="Y31" s="105"/>
    </row>
    <row r="32" spans="2:25" s="104" customFormat="1" ht="12.75">
      <c r="Y32" s="105"/>
    </row>
    <row r="33" spans="25:25" s="104" customFormat="1" ht="12.75">
      <c r="Y33" s="105"/>
    </row>
    <row r="34" spans="25:25" s="104" customFormat="1" ht="12.75">
      <c r="Y34" s="105"/>
    </row>
    <row r="35" spans="25:25" s="104" customFormat="1" ht="12.75">
      <c r="Y35" s="105"/>
    </row>
    <row r="36" spans="25:25" s="104" customFormat="1" ht="12.75">
      <c r="Y36" s="105"/>
    </row>
    <row r="37" spans="25:25" s="104" customFormat="1" ht="12.75">
      <c r="Y37" s="105"/>
    </row>
    <row r="38" spans="25:25" s="104" customFormat="1" ht="12.75">
      <c r="Y38" s="105"/>
    </row>
    <row r="39" spans="25:25" s="104" customFormat="1" ht="12.75">
      <c r="Y39" s="105"/>
    </row>
    <row r="40" spans="25:25" s="104" customFormat="1" ht="12.75">
      <c r="Y40" s="105"/>
    </row>
    <row r="41" spans="25:25" s="104" customFormat="1" ht="12.75">
      <c r="Y41" s="105"/>
    </row>
    <row r="42" spans="25:25" s="104" customFormat="1" ht="12.75">
      <c r="Y42" s="105"/>
    </row>
    <row r="43" spans="25:25" s="104" customFormat="1" ht="12.75">
      <c r="Y43" s="105"/>
    </row>
    <row r="44" spans="25:25" s="104" customFormat="1" ht="12.75">
      <c r="Y44" s="105"/>
    </row>
    <row r="45" spans="25:25" s="104" customFormat="1" ht="12.75">
      <c r="Y45" s="105"/>
    </row>
    <row r="46" spans="25:25" s="104" customFormat="1" ht="12.75">
      <c r="Y46" s="105"/>
    </row>
    <row r="47" spans="25:25" s="104" customFormat="1" ht="12.75">
      <c r="Y47" s="105"/>
    </row>
    <row r="48" spans="25:25" s="104" customFormat="1" ht="12.75">
      <c r="Y48" s="105"/>
    </row>
    <row r="49" spans="25:25" s="104" customFormat="1" ht="12.75">
      <c r="Y49" s="105"/>
    </row>
    <row r="50" spans="25:25" s="104" customFormat="1" ht="12.75">
      <c r="Y50" s="105"/>
    </row>
    <row r="51" spans="25:25" s="104" customFormat="1" ht="12.75">
      <c r="Y51" s="105"/>
    </row>
    <row r="52" spans="25:25" s="104" customFormat="1" ht="12.75">
      <c r="Y52" s="105"/>
    </row>
    <row r="53" spans="25:25" s="104" customFormat="1" ht="12.75">
      <c r="Y53" s="105"/>
    </row>
    <row r="54" spans="25:25" s="104" customFormat="1" ht="12.75">
      <c r="Y54" s="105"/>
    </row>
    <row r="55" spans="25:25" s="104" customFormat="1" ht="12.75">
      <c r="Y55" s="105"/>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9"/>
  </cols>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A2:J54"/>
  <sheetViews>
    <sheetView showGridLines="0" zoomScale="85" zoomScaleNormal="85" workbookViewId="0">
      <pane xSplit="6" ySplit="11" topLeftCell="G12" activePane="bottomRight" state="frozen"/>
      <selection activeCell="Q51" sqref="Q51"/>
      <selection pane="topRight" activeCell="Q51" sqref="Q51"/>
      <selection pane="bottomLeft" activeCell="Q51" sqref="Q51"/>
      <selection pane="bottomRight" activeCell="G12" sqref="G12"/>
    </sheetView>
  </sheetViews>
  <sheetFormatPr defaultRowHeight="12.75"/>
  <cols>
    <col min="1" max="1" width="4" style="2" customWidth="1"/>
    <col min="2" max="2" width="65.42578125" style="2" bestFit="1" customWidth="1"/>
    <col min="3" max="5" width="4.5703125" style="2" customWidth="1"/>
    <col min="6" max="6" width="20.140625" style="2" bestFit="1" customWidth="1"/>
    <col min="7" max="7" width="2.7109375" style="2" customWidth="1"/>
    <col min="8" max="8" width="15.85546875" style="2" bestFit="1" customWidth="1"/>
    <col min="9" max="9" width="2.7109375" style="2" customWidth="1"/>
    <col min="10" max="10" width="22" style="2" customWidth="1"/>
    <col min="11" max="24" width="13.7109375" style="2" customWidth="1"/>
    <col min="25" max="16384" width="9.140625" style="2"/>
  </cols>
  <sheetData>
    <row r="2" spans="2:10" s="26" customFormat="1" ht="18">
      <c r="B2" s="26" t="s">
        <v>111</v>
      </c>
    </row>
    <row r="4" spans="2:10">
      <c r="B4" s="1" t="s">
        <v>152</v>
      </c>
      <c r="C4" s="1"/>
      <c r="D4" s="1"/>
    </row>
    <row r="5" spans="2:10">
      <c r="B5" s="30" t="s">
        <v>448</v>
      </c>
      <c r="C5" s="3"/>
      <c r="D5" s="3"/>
      <c r="H5" s="27"/>
    </row>
    <row r="6" spans="2:10">
      <c r="B6" s="2" t="s">
        <v>449</v>
      </c>
      <c r="C6" s="3"/>
      <c r="D6" s="3"/>
      <c r="H6" s="27"/>
    </row>
    <row r="7" spans="2:10">
      <c r="B7" s="2" t="s">
        <v>148</v>
      </c>
      <c r="C7" s="3"/>
      <c r="D7" s="3"/>
      <c r="H7" s="27"/>
    </row>
    <row r="8" spans="2:10">
      <c r="C8" s="3"/>
      <c r="D8" s="3"/>
    </row>
    <row r="10" spans="2:10" s="8" customFormat="1">
      <c r="B10" s="8" t="s">
        <v>10</v>
      </c>
      <c r="F10" s="8" t="s">
        <v>11</v>
      </c>
      <c r="H10" s="8" t="s">
        <v>12</v>
      </c>
      <c r="J10" s="8" t="s">
        <v>14</v>
      </c>
    </row>
    <row r="13" spans="2:10" s="8" customFormat="1">
      <c r="B13" s="8" t="s">
        <v>171</v>
      </c>
    </row>
    <row r="15" spans="2:10">
      <c r="B15" s="1" t="s">
        <v>397</v>
      </c>
    </row>
    <row r="16" spans="2:10">
      <c r="B16" s="2" t="s">
        <v>450</v>
      </c>
      <c r="F16" s="2" t="s">
        <v>37</v>
      </c>
      <c r="H16" s="49">
        <f>Parameters!L18</f>
        <v>-9.0000000000000011E-3</v>
      </c>
    </row>
    <row r="17" spans="1:10">
      <c r="B17" s="2" t="s">
        <v>451</v>
      </c>
      <c r="F17" s="2" t="s">
        <v>37</v>
      </c>
      <c r="H17" s="49">
        <f>Parameters!L19</f>
        <v>6.0000000000000001E-3</v>
      </c>
    </row>
    <row r="18" spans="1:10">
      <c r="B18" s="43" t="s">
        <v>149</v>
      </c>
      <c r="F18" s="2" t="s">
        <v>37</v>
      </c>
      <c r="H18" s="49">
        <f>Parameters!M26</f>
        <v>6.4799999999999996E-2</v>
      </c>
      <c r="J18" s="35"/>
    </row>
    <row r="20" spans="1:10">
      <c r="B20" s="1" t="s">
        <v>15</v>
      </c>
    </row>
    <row r="21" spans="1:10">
      <c r="B21" s="2" t="s">
        <v>16</v>
      </c>
      <c r="F21" s="2" t="s">
        <v>86</v>
      </c>
      <c r="H21" s="39">
        <f>'Input estimated costs for 2017'!H30</f>
        <v>5887912.3499999996</v>
      </c>
      <c r="J21" s="2" t="s">
        <v>263</v>
      </c>
    </row>
    <row r="23" spans="1:10">
      <c r="B23" s="36" t="s">
        <v>17</v>
      </c>
    </row>
    <row r="24" spans="1:10">
      <c r="B24" s="5" t="s">
        <v>453</v>
      </c>
    </row>
    <row r="25" spans="1:10">
      <c r="B25" s="2" t="s">
        <v>19</v>
      </c>
      <c r="F25" s="2" t="s">
        <v>29</v>
      </c>
      <c r="H25" s="39">
        <f>'Input estimated costs for 2017'!H40</f>
        <v>61734000</v>
      </c>
    </row>
    <row r="26" spans="1:10">
      <c r="B26" s="2" t="s">
        <v>20</v>
      </c>
      <c r="F26" s="2" t="s">
        <v>29</v>
      </c>
      <c r="H26" s="39">
        <f>'Input estimated costs for 2017'!H41</f>
        <v>860000</v>
      </c>
    </row>
    <row r="27" spans="1:10">
      <c r="B27" s="2" t="s">
        <v>22</v>
      </c>
      <c r="F27" s="2" t="s">
        <v>29</v>
      </c>
      <c r="H27" s="39">
        <f>'Input estimated costs for 2017'!H42</f>
        <v>18696000</v>
      </c>
    </row>
    <row r="28" spans="1:10">
      <c r="B28" s="2" t="s">
        <v>23</v>
      </c>
      <c r="F28" s="2" t="s">
        <v>28</v>
      </c>
      <c r="H28" s="39">
        <f>'Input estimated costs for 2017'!H43</f>
        <v>15</v>
      </c>
    </row>
    <row r="30" spans="1:10">
      <c r="B30" s="36" t="s">
        <v>38</v>
      </c>
    </row>
    <row r="31" spans="1:10">
      <c r="A31" s="9"/>
      <c r="B31" s="2" t="s">
        <v>283</v>
      </c>
      <c r="F31" s="2" t="s">
        <v>86</v>
      </c>
      <c r="H31" s="39">
        <f>'Input estimated costs for 2017'!H34</f>
        <v>761144</v>
      </c>
    </row>
    <row r="32" spans="1:10">
      <c r="H32" s="40"/>
    </row>
    <row r="33" spans="2:10">
      <c r="H33" s="40"/>
    </row>
    <row r="34" spans="2:10" s="8" customFormat="1">
      <c r="B34" s="8" t="s">
        <v>150</v>
      </c>
      <c r="H34" s="41"/>
    </row>
    <row r="35" spans="2:10">
      <c r="H35" s="40"/>
    </row>
    <row r="36" spans="2:10">
      <c r="B36" s="1" t="s">
        <v>17</v>
      </c>
      <c r="H36" s="40"/>
    </row>
    <row r="37" spans="2:10">
      <c r="B37" s="5" t="s">
        <v>453</v>
      </c>
      <c r="H37" s="40"/>
    </row>
    <row r="38" spans="2:10">
      <c r="B38" s="2" t="s">
        <v>21</v>
      </c>
      <c r="F38" s="2" t="s">
        <v>29</v>
      </c>
      <c r="H38" s="42">
        <f>H25-H26</f>
        <v>60874000</v>
      </c>
    </row>
    <row r="39" spans="2:10">
      <c r="B39" s="2" t="s">
        <v>132</v>
      </c>
      <c r="F39" s="2" t="s">
        <v>29</v>
      </c>
      <c r="H39" s="42">
        <f>H38-H27</f>
        <v>42178000</v>
      </c>
    </row>
    <row r="40" spans="2:10">
      <c r="B40" s="2" t="s">
        <v>39</v>
      </c>
      <c r="F40" s="2" t="s">
        <v>86</v>
      </c>
      <c r="H40" s="42">
        <f>H39/H28</f>
        <v>2811866.6666666665</v>
      </c>
    </row>
    <row r="41" spans="2:10">
      <c r="B41" s="2" t="s">
        <v>202</v>
      </c>
      <c r="F41" s="2" t="s">
        <v>86</v>
      </c>
      <c r="H41" s="50">
        <f>H38-(2015-2010+4.4/12)*H40</f>
        <v>45783648.888888888</v>
      </c>
      <c r="J41" s="2" t="s">
        <v>156</v>
      </c>
    </row>
    <row r="42" spans="2:10">
      <c r="B42" s="2" t="s">
        <v>452</v>
      </c>
      <c r="F42" s="2" t="s">
        <v>86</v>
      </c>
      <c r="H42" s="42">
        <f>H41*H18</f>
        <v>2966780.4479999999</v>
      </c>
    </row>
    <row r="43" spans="2:10">
      <c r="B43" s="2" t="s">
        <v>264</v>
      </c>
      <c r="F43" s="2" t="s">
        <v>86</v>
      </c>
      <c r="H43" s="42">
        <f>H42+H40</f>
        <v>5778647.1146666668</v>
      </c>
    </row>
    <row r="45" spans="2:10">
      <c r="B45" s="1" t="s">
        <v>50</v>
      </c>
    </row>
    <row r="46" spans="2:10">
      <c r="B46" s="2" t="s">
        <v>58</v>
      </c>
      <c r="F46" s="2" t="s">
        <v>86</v>
      </c>
      <c r="H46" s="42">
        <f>H43+H21+H31</f>
        <v>12427703.464666666</v>
      </c>
    </row>
    <row r="48" spans="2:10">
      <c r="B48" s="2" t="s">
        <v>59</v>
      </c>
      <c r="F48" s="2" t="s">
        <v>55</v>
      </c>
      <c r="H48" s="46">
        <f>H46*(1+H16)*(1+H17)</f>
        <v>12389749.258285575</v>
      </c>
    </row>
    <row r="54" spans="8:8">
      <c r="H54" s="40"/>
    </row>
  </sheetData>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2:L207"/>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activeCell="G10" sqref="G10"/>
    </sheetView>
  </sheetViews>
  <sheetFormatPr defaultRowHeight="12.75"/>
  <cols>
    <col min="1" max="1" width="4" style="2" customWidth="1"/>
    <col min="2" max="2" width="65.42578125" style="2" bestFit="1" customWidth="1"/>
    <col min="3" max="5" width="4.5703125" style="2" customWidth="1"/>
    <col min="6" max="6" width="19.7109375" style="2" customWidth="1"/>
    <col min="7" max="7" width="2.7109375" style="2" customWidth="1"/>
    <col min="8" max="8" width="15.85546875" style="2" bestFit="1" customWidth="1"/>
    <col min="9" max="9" width="2.7109375" style="2" customWidth="1"/>
    <col min="10" max="24" width="13.7109375" style="2" customWidth="1"/>
    <col min="25" max="16384" width="9.140625" style="2"/>
  </cols>
  <sheetData>
    <row r="2" spans="2:12" s="26" customFormat="1" ht="18">
      <c r="B2" s="26" t="s">
        <v>155</v>
      </c>
    </row>
    <row r="4" spans="2:12">
      <c r="B4" s="1" t="s">
        <v>152</v>
      </c>
      <c r="C4" s="1"/>
      <c r="D4" s="1"/>
      <c r="H4" s="35"/>
    </row>
    <row r="5" spans="2:12">
      <c r="B5" s="30" t="s">
        <v>91</v>
      </c>
      <c r="C5" s="3"/>
      <c r="D5" s="3"/>
      <c r="H5" s="27"/>
    </row>
    <row r="6" spans="2:12">
      <c r="C6" s="3"/>
      <c r="D6" s="3"/>
    </row>
    <row r="8" spans="2:12" s="8" customFormat="1">
      <c r="B8" s="8" t="s">
        <v>10</v>
      </c>
      <c r="F8" s="8" t="s">
        <v>11</v>
      </c>
      <c r="H8" s="8" t="s">
        <v>12</v>
      </c>
      <c r="J8" s="8" t="s">
        <v>14</v>
      </c>
    </row>
    <row r="11" spans="2:12" s="8" customFormat="1">
      <c r="B11" s="8" t="s">
        <v>153</v>
      </c>
    </row>
    <row r="13" spans="2:12">
      <c r="B13" s="36" t="s">
        <v>49</v>
      </c>
    </row>
    <row r="14" spans="2:12">
      <c r="B14" s="43" t="s">
        <v>149</v>
      </c>
      <c r="F14" s="2" t="s">
        <v>37</v>
      </c>
      <c r="H14" s="49">
        <f>Parameters!M26</f>
        <v>6.4799999999999996E-2</v>
      </c>
      <c r="L14" s="35"/>
    </row>
    <row r="16" spans="2:12">
      <c r="B16" s="1" t="s">
        <v>15</v>
      </c>
    </row>
    <row r="17" spans="2:8">
      <c r="B17" s="2" t="s">
        <v>16</v>
      </c>
      <c r="F17" s="2" t="s">
        <v>55</v>
      </c>
      <c r="H17" s="39">
        <f>'Input realized costs for 2017'!H35</f>
        <v>5907455</v>
      </c>
    </row>
    <row r="19" spans="2:8">
      <c r="B19" s="36" t="s">
        <v>38</v>
      </c>
      <c r="H19" s="40"/>
    </row>
    <row r="20" spans="2:8">
      <c r="B20" s="2" t="s">
        <v>313</v>
      </c>
      <c r="F20" s="2" t="s">
        <v>55</v>
      </c>
      <c r="H20" s="39">
        <f>'Input realized costs for 2017'!H39</f>
        <v>761144</v>
      </c>
    </row>
    <row r="23" spans="2:8" s="8" customFormat="1">
      <c r="B23" s="8" t="s">
        <v>154</v>
      </c>
    </row>
    <row r="26" spans="2:8">
      <c r="B26" s="1" t="s">
        <v>433</v>
      </c>
      <c r="C26" s="1"/>
      <c r="D26" s="1"/>
      <c r="E26" s="1"/>
      <c r="F26" s="1"/>
    </row>
    <row r="27" spans="2:8">
      <c r="B27" s="1"/>
      <c r="C27" s="1"/>
      <c r="D27" s="1"/>
      <c r="E27" s="1"/>
      <c r="F27" s="1"/>
    </row>
    <row r="28" spans="2:8">
      <c r="B28" s="2" t="s">
        <v>19</v>
      </c>
      <c r="F28" s="2" t="s">
        <v>29</v>
      </c>
      <c r="H28" s="39">
        <f>'Input realized costs for 2017'!H46</f>
        <v>61734000</v>
      </c>
    </row>
    <row r="29" spans="2:8">
      <c r="B29" s="2" t="s">
        <v>20</v>
      </c>
      <c r="F29" s="2" t="s">
        <v>29</v>
      </c>
      <c r="H29" s="39">
        <f>'Input realized costs for 2017'!H47</f>
        <v>860000</v>
      </c>
    </row>
    <row r="30" spans="2:8">
      <c r="B30" s="2" t="s">
        <v>22</v>
      </c>
      <c r="F30" s="2" t="s">
        <v>29</v>
      </c>
      <c r="H30" s="39">
        <f>'Input realized costs for 2017'!H48</f>
        <v>18696000</v>
      </c>
    </row>
    <row r="31" spans="2:8">
      <c r="B31" s="2" t="s">
        <v>23</v>
      </c>
      <c r="F31" s="2" t="s">
        <v>28</v>
      </c>
      <c r="H31" s="39">
        <f>'Input realized costs for 2017'!H49</f>
        <v>15</v>
      </c>
    </row>
    <row r="34" spans="2:8">
      <c r="B34" s="1" t="s">
        <v>159</v>
      </c>
    </row>
    <row r="36" spans="2:8">
      <c r="B36" s="5" t="s">
        <v>434</v>
      </c>
    </row>
    <row r="37" spans="2:8">
      <c r="B37" s="44" t="s">
        <v>43</v>
      </c>
    </row>
    <row r="38" spans="2:8">
      <c r="B38" s="2" t="s">
        <v>24</v>
      </c>
      <c r="F38" s="2" t="s">
        <v>29</v>
      </c>
      <c r="H38" s="39">
        <f>'Input realized costs for 2017'!H56</f>
        <v>773908</v>
      </c>
    </row>
    <row r="39" spans="2:8">
      <c r="B39" s="2" t="s">
        <v>25</v>
      </c>
      <c r="F39" s="2" t="s">
        <v>47</v>
      </c>
      <c r="H39" s="52">
        <f>'Input realized costs for 2017'!H57</f>
        <v>9.25</v>
      </c>
    </row>
    <row r="40" spans="2:8">
      <c r="B40" s="2" t="s">
        <v>26</v>
      </c>
      <c r="F40" s="2" t="s">
        <v>48</v>
      </c>
      <c r="H40" s="48">
        <f>'Input realized costs for 2017'!H58</f>
        <v>42491</v>
      </c>
    </row>
    <row r="41" spans="2:8">
      <c r="H41" s="40"/>
    </row>
    <row r="42" spans="2:8">
      <c r="B42" s="44" t="s">
        <v>44</v>
      </c>
      <c r="H42" s="40"/>
    </row>
    <row r="43" spans="2:8">
      <c r="B43" s="2" t="s">
        <v>24</v>
      </c>
      <c r="F43" s="2" t="s">
        <v>29</v>
      </c>
      <c r="H43" s="39">
        <f>'Input realized costs for 2017'!H61</f>
        <v>59734</v>
      </c>
    </row>
    <row r="44" spans="2:8">
      <c r="B44" s="2" t="s">
        <v>25</v>
      </c>
      <c r="F44" s="2" t="s">
        <v>47</v>
      </c>
      <c r="H44" s="39">
        <f>'Input realized costs for 2017'!H62</f>
        <v>5</v>
      </c>
    </row>
    <row r="45" spans="2:8">
      <c r="B45" s="2" t="s">
        <v>26</v>
      </c>
      <c r="F45" s="2" t="s">
        <v>48</v>
      </c>
      <c r="H45" s="48">
        <f>'Input realized costs for 2017'!H63</f>
        <v>42538</v>
      </c>
    </row>
    <row r="46" spans="2:8">
      <c r="H46" s="40"/>
    </row>
    <row r="47" spans="2:8">
      <c r="B47" s="44" t="s">
        <v>46</v>
      </c>
      <c r="H47" s="40"/>
    </row>
    <row r="48" spans="2:8">
      <c r="B48" s="30" t="s">
        <v>24</v>
      </c>
      <c r="F48" s="2" t="s">
        <v>29</v>
      </c>
      <c r="H48" s="39">
        <f>'Input realized costs for 2017'!H66</f>
        <v>6900</v>
      </c>
    </row>
    <row r="49" spans="2:8">
      <c r="B49" s="30" t="s">
        <v>25</v>
      </c>
      <c r="F49" s="2" t="s">
        <v>47</v>
      </c>
      <c r="H49" s="39">
        <f>'Input realized costs for 2017'!H67</f>
        <v>4</v>
      </c>
    </row>
    <row r="50" spans="2:8">
      <c r="B50" s="2" t="s">
        <v>26</v>
      </c>
      <c r="F50" s="2" t="s">
        <v>48</v>
      </c>
      <c r="H50" s="48">
        <f>'Input realized costs for 2017'!H68</f>
        <v>42536</v>
      </c>
    </row>
    <row r="52" spans="2:8">
      <c r="H52" s="40"/>
    </row>
    <row r="53" spans="2:8">
      <c r="B53" s="5" t="s">
        <v>454</v>
      </c>
      <c r="H53" s="40"/>
    </row>
    <row r="54" spans="2:8">
      <c r="B54" s="44" t="s">
        <v>44</v>
      </c>
      <c r="H54" s="40"/>
    </row>
    <row r="55" spans="2:8">
      <c r="B55" s="2" t="s">
        <v>24</v>
      </c>
      <c r="F55" s="2" t="s">
        <v>29</v>
      </c>
      <c r="H55" s="39">
        <f>'Input realized costs for 2017'!H73</f>
        <v>6000</v>
      </c>
    </row>
    <row r="56" spans="2:8">
      <c r="B56" s="2" t="s">
        <v>25</v>
      </c>
      <c r="F56" s="2" t="s">
        <v>47</v>
      </c>
      <c r="H56" s="39">
        <f>'Input realized costs for 2017'!H74</f>
        <v>5</v>
      </c>
    </row>
    <row r="57" spans="2:8">
      <c r="B57" s="2" t="s">
        <v>26</v>
      </c>
      <c r="F57" s="2" t="s">
        <v>48</v>
      </c>
      <c r="H57" s="48">
        <f>'Input realized costs for 2017'!H75</f>
        <v>42751</v>
      </c>
    </row>
    <row r="58" spans="2:8">
      <c r="H58" s="40"/>
    </row>
    <row r="59" spans="2:8">
      <c r="B59" s="44" t="s">
        <v>44</v>
      </c>
      <c r="H59" s="40"/>
    </row>
    <row r="60" spans="2:8">
      <c r="B60" s="2" t="s">
        <v>24</v>
      </c>
      <c r="F60" s="2" t="s">
        <v>29</v>
      </c>
      <c r="H60" s="39">
        <f>'Input realized costs for 2017'!H78</f>
        <v>4000</v>
      </c>
    </row>
    <row r="61" spans="2:8">
      <c r="B61" s="2" t="s">
        <v>25</v>
      </c>
      <c r="F61" s="2" t="s">
        <v>47</v>
      </c>
      <c r="H61" s="39">
        <f>'Input realized costs for 2017'!H79</f>
        <v>5</v>
      </c>
    </row>
    <row r="62" spans="2:8">
      <c r="B62" s="2" t="s">
        <v>26</v>
      </c>
      <c r="F62" s="2" t="s">
        <v>48</v>
      </c>
      <c r="H62" s="48">
        <f>'Input realized costs for 2017'!H80</f>
        <v>43050</v>
      </c>
    </row>
    <row r="63" spans="2:8">
      <c r="H63" s="40"/>
    </row>
    <row r="64" spans="2:8">
      <c r="H64" s="40"/>
    </row>
    <row r="65" spans="2:10" s="8" customFormat="1">
      <c r="B65" s="8" t="s">
        <v>157</v>
      </c>
      <c r="H65" s="41"/>
    </row>
    <row r="66" spans="2:10">
      <c r="H66" s="40"/>
    </row>
    <row r="67" spans="2:10">
      <c r="B67" s="1" t="s">
        <v>433</v>
      </c>
      <c r="C67" s="1"/>
      <c r="D67" s="1"/>
      <c r="E67" s="1"/>
      <c r="F67" s="1"/>
    </row>
    <row r="68" spans="2:10">
      <c r="B68" s="1"/>
      <c r="C68" s="1"/>
      <c r="D68" s="1"/>
      <c r="E68" s="1"/>
      <c r="F68" s="1"/>
    </row>
    <row r="69" spans="2:10">
      <c r="B69" s="2" t="s">
        <v>21</v>
      </c>
      <c r="F69" s="2" t="s">
        <v>29</v>
      </c>
      <c r="H69" s="42">
        <f>H28-H29</f>
        <v>60874000</v>
      </c>
    </row>
    <row r="70" spans="2:10">
      <c r="B70" s="2" t="s">
        <v>132</v>
      </c>
      <c r="F70" s="2" t="s">
        <v>29</v>
      </c>
      <c r="H70" s="42">
        <f>H69-H30</f>
        <v>42178000</v>
      </c>
    </row>
    <row r="71" spans="2:10">
      <c r="B71" s="2" t="s">
        <v>39</v>
      </c>
      <c r="F71" s="2" t="s">
        <v>29</v>
      </c>
      <c r="H71" s="42">
        <f>H70/H31</f>
        <v>2811866.6666666665</v>
      </c>
    </row>
    <row r="73" spans="2:10">
      <c r="B73" s="2" t="s">
        <v>458</v>
      </c>
      <c r="F73" s="2" t="s">
        <v>29</v>
      </c>
      <c r="H73" s="50">
        <f>H69-(2015-2010+4.4/12)*H71</f>
        <v>45783648.888888888</v>
      </c>
      <c r="J73" s="2" t="s">
        <v>203</v>
      </c>
    </row>
    <row r="74" spans="2:10">
      <c r="B74" s="2" t="s">
        <v>459</v>
      </c>
      <c r="F74" s="2" t="s">
        <v>29</v>
      </c>
      <c r="H74" s="42">
        <f>H73-(2017-2015)*H71</f>
        <v>40159915.555555552</v>
      </c>
    </row>
    <row r="75" spans="2:10">
      <c r="B75" s="2" t="s">
        <v>460</v>
      </c>
      <c r="F75" s="2" t="s">
        <v>29</v>
      </c>
      <c r="H75" s="42">
        <f>H73-(2018-2015)*H71</f>
        <v>37348048.888888888</v>
      </c>
    </row>
    <row r="76" spans="2:10">
      <c r="B76" s="2" t="s">
        <v>461</v>
      </c>
      <c r="F76" s="2" t="s">
        <v>29</v>
      </c>
      <c r="H76" s="42">
        <f>H73-(2019-2015)*H71</f>
        <v>34536182.222222224</v>
      </c>
    </row>
    <row r="77" spans="2:10">
      <c r="B77" s="2" t="s">
        <v>462</v>
      </c>
      <c r="F77" s="2" t="s">
        <v>29</v>
      </c>
      <c r="H77" s="42">
        <f>AVERAGE(H75,H76)</f>
        <v>35942115.555555552</v>
      </c>
    </row>
    <row r="80" spans="2:10">
      <c r="B80" s="1" t="s">
        <v>159</v>
      </c>
    </row>
    <row r="82" spans="2:10">
      <c r="B82" s="5" t="s">
        <v>434</v>
      </c>
    </row>
    <row r="83" spans="2:10">
      <c r="B83" s="38" t="s">
        <v>43</v>
      </c>
    </row>
    <row r="84" spans="2:10">
      <c r="B84" s="2" t="s">
        <v>158</v>
      </c>
      <c r="F84" s="2" t="s">
        <v>29</v>
      </c>
      <c r="H84" s="42">
        <f>H38/H39</f>
        <v>83665.729729729734</v>
      </c>
    </row>
    <row r="85" spans="2:10">
      <c r="B85" s="2" t="s">
        <v>463</v>
      </c>
      <c r="F85" s="2" t="s">
        <v>29</v>
      </c>
      <c r="H85" s="42">
        <f>H38-(DATE(2018,1,1)-H40)/365.25*H84</f>
        <v>634178.78676212148</v>
      </c>
      <c r="J85" s="77"/>
    </row>
    <row r="87" spans="2:10">
      <c r="B87" s="38" t="s">
        <v>44</v>
      </c>
    </row>
    <row r="88" spans="2:10">
      <c r="B88" s="2" t="s">
        <v>158</v>
      </c>
      <c r="F88" s="2" t="s">
        <v>29</v>
      </c>
      <c r="H88" s="42">
        <f>H43/H44</f>
        <v>11946.8</v>
      </c>
    </row>
    <row r="89" spans="2:10">
      <c r="B89" s="2" t="s">
        <v>463</v>
      </c>
      <c r="F89" s="2" t="s">
        <v>29</v>
      </c>
      <c r="H89" s="42">
        <f>H43-(DATE(2018,1,1)-H45)/365.25*H88</f>
        <v>41319.083093771391</v>
      </c>
    </row>
    <row r="91" spans="2:10">
      <c r="B91" s="38" t="s">
        <v>46</v>
      </c>
    </row>
    <row r="92" spans="2:10">
      <c r="B92" s="2" t="s">
        <v>158</v>
      </c>
      <c r="F92" s="2" t="s">
        <v>29</v>
      </c>
      <c r="H92" s="42">
        <f>H48/H49</f>
        <v>1725</v>
      </c>
    </row>
    <row r="93" spans="2:10">
      <c r="B93" s="2" t="s">
        <v>463</v>
      </c>
      <c r="F93" s="2" t="s">
        <v>29</v>
      </c>
      <c r="H93" s="42">
        <f>H48-(DATE(2018,1,1)-H50)/365.25*H92</f>
        <v>4231.622176591376</v>
      </c>
    </row>
    <row r="96" spans="2:10">
      <c r="B96" s="5" t="s">
        <v>454</v>
      </c>
    </row>
    <row r="97" spans="2:8">
      <c r="B97" s="38" t="s">
        <v>44</v>
      </c>
    </row>
    <row r="98" spans="2:8">
      <c r="B98" s="2" t="s">
        <v>158</v>
      </c>
      <c r="F98" s="2" t="s">
        <v>29</v>
      </c>
      <c r="H98" s="42">
        <f>H55/H56</f>
        <v>1200</v>
      </c>
    </row>
    <row r="99" spans="2:8">
      <c r="B99" s="2" t="s">
        <v>464</v>
      </c>
      <c r="F99" s="2" t="s">
        <v>29</v>
      </c>
      <c r="H99" s="78">
        <f>H55-(DATE(2018,1,1)-H57)/365.25*H98</f>
        <v>4850.1026694045177</v>
      </c>
    </row>
    <row r="100" spans="2:8">
      <c r="B100" s="2" t="s">
        <v>465</v>
      </c>
      <c r="F100" s="2" t="s">
        <v>29</v>
      </c>
      <c r="H100" s="78">
        <f>H55-H99</f>
        <v>1149.8973305954823</v>
      </c>
    </row>
    <row r="101" spans="2:8" ht="12" customHeight="1"/>
    <row r="102" spans="2:8">
      <c r="B102" s="38" t="s">
        <v>44</v>
      </c>
    </row>
    <row r="103" spans="2:8">
      <c r="B103" s="2" t="s">
        <v>158</v>
      </c>
      <c r="F103" s="2" t="s">
        <v>29</v>
      </c>
      <c r="H103" s="42">
        <f>H60/H61</f>
        <v>800</v>
      </c>
    </row>
    <row r="104" spans="2:8">
      <c r="B104" s="2" t="s">
        <v>464</v>
      </c>
      <c r="F104" s="2" t="s">
        <v>29</v>
      </c>
      <c r="H104" s="78">
        <f>H60-(DATE(2018,1,1)-H62)/365.25*H103</f>
        <v>3888.2956878850105</v>
      </c>
    </row>
    <row r="105" spans="2:8" ht="12" customHeight="1">
      <c r="B105" s="2" t="s">
        <v>465</v>
      </c>
      <c r="F105" s="2" t="s">
        <v>29</v>
      </c>
      <c r="H105" s="78">
        <f>H60-H104</f>
        <v>111.70431211498953</v>
      </c>
    </row>
    <row r="106" spans="2:8" ht="12" customHeight="1"/>
    <row r="107" spans="2:8" ht="12" customHeight="1"/>
    <row r="108" spans="2:8" s="8" customFormat="1">
      <c r="B108" s="8" t="s">
        <v>160</v>
      </c>
      <c r="H108" s="41"/>
    </row>
    <row r="109" spans="2:8" ht="12" customHeight="1"/>
    <row r="110" spans="2:8" ht="12" customHeight="1">
      <c r="B110" s="1" t="s">
        <v>161</v>
      </c>
    </row>
    <row r="111" spans="2:8" ht="12" customHeight="1">
      <c r="B111" s="2" t="s">
        <v>466</v>
      </c>
      <c r="F111" s="2" t="s">
        <v>29</v>
      </c>
      <c r="H111" s="42">
        <f>H74+H85+H89+H93+H99+H104</f>
        <v>40848383.445945323</v>
      </c>
    </row>
    <row r="112" spans="2:8" ht="12" customHeight="1">
      <c r="B112" s="2" t="s">
        <v>162</v>
      </c>
      <c r="F112" s="2" t="s">
        <v>29</v>
      </c>
      <c r="H112" s="42">
        <f>SUM(H71,H84,H88,H92,H100,H105)</f>
        <v>2910465.7980391067</v>
      </c>
    </row>
    <row r="113" spans="2:10" ht="12" customHeight="1">
      <c r="B113" s="2" t="s">
        <v>163</v>
      </c>
      <c r="F113" s="2" t="s">
        <v>55</v>
      </c>
      <c r="H113" s="42">
        <f>H17+H20</f>
        <v>6668599</v>
      </c>
    </row>
    <row r="114" spans="2:10" ht="12" customHeight="1">
      <c r="B114" s="2" t="s">
        <v>164</v>
      </c>
      <c r="F114" s="2" t="s">
        <v>55</v>
      </c>
      <c r="H114" s="46">
        <f>H111*H14+H112+H113</f>
        <v>12226040.045336364</v>
      </c>
    </row>
    <row r="115" spans="2:10" ht="12" customHeight="1"/>
    <row r="116" spans="2:10" ht="12" customHeight="1">
      <c r="B116" s="1" t="s">
        <v>165</v>
      </c>
    </row>
    <row r="117" spans="2:10" ht="12" customHeight="1">
      <c r="B117" s="1"/>
    </row>
    <row r="118" spans="2:10" ht="12" customHeight="1">
      <c r="B118" s="5" t="s">
        <v>166</v>
      </c>
    </row>
    <row r="119" spans="2:10" ht="12" customHeight="1">
      <c r="B119" s="2" t="s">
        <v>462</v>
      </c>
      <c r="F119" s="2" t="s">
        <v>29</v>
      </c>
      <c r="H119" s="39">
        <f>H77</f>
        <v>35942115.555555552</v>
      </c>
    </row>
    <row r="120" spans="2:10" ht="12" customHeight="1">
      <c r="B120" s="2" t="s">
        <v>455</v>
      </c>
      <c r="F120" s="2" t="s">
        <v>29</v>
      </c>
      <c r="H120" s="39">
        <f>H71</f>
        <v>2811866.6666666665</v>
      </c>
    </row>
    <row r="121" spans="2:10" ht="12" customHeight="1"/>
    <row r="122" spans="2:10" ht="12" customHeight="1">
      <c r="B122" s="5" t="s">
        <v>167</v>
      </c>
    </row>
    <row r="123" spans="2:10" ht="12" customHeight="1">
      <c r="B123" s="2" t="s">
        <v>467</v>
      </c>
      <c r="F123" s="2" t="s">
        <v>29</v>
      </c>
      <c r="H123" s="42">
        <f>H85+H89+H93+H99+H104</f>
        <v>688467.89038977376</v>
      </c>
      <c r="J123" s="2" t="s">
        <v>349</v>
      </c>
    </row>
    <row r="124" spans="2:10" ht="12" customHeight="1">
      <c r="B124" s="2" t="s">
        <v>348</v>
      </c>
      <c r="F124" s="2" t="s">
        <v>29</v>
      </c>
      <c r="H124" s="42">
        <f>H84+H88+H92+H100+H105</f>
        <v>98599.131372440213</v>
      </c>
    </row>
    <row r="125" spans="2:10" ht="12" customHeight="1"/>
    <row r="126" spans="2:10" ht="12" customHeight="1">
      <c r="B126" s="5" t="s">
        <v>168</v>
      </c>
    </row>
    <row r="127" spans="2:10" ht="12" customHeight="1">
      <c r="B127" s="30" t="s">
        <v>456</v>
      </c>
      <c r="F127" s="2" t="s">
        <v>29</v>
      </c>
      <c r="H127" s="46">
        <f>H119+H123</f>
        <v>36630583.445945323</v>
      </c>
      <c r="J127" s="2" t="s">
        <v>457</v>
      </c>
    </row>
    <row r="128" spans="2:10" ht="12" customHeight="1">
      <c r="B128" s="2" t="s">
        <v>169</v>
      </c>
      <c r="F128" s="2" t="s">
        <v>29</v>
      </c>
      <c r="H128" s="46">
        <f>H120+H124</f>
        <v>2910465.7980391067</v>
      </c>
      <c r="J128" s="2" t="s">
        <v>170</v>
      </c>
    </row>
    <row r="129" spans="2:10" ht="12" customHeight="1">
      <c r="B129" s="2" t="s">
        <v>284</v>
      </c>
      <c r="F129" s="2" t="s">
        <v>55</v>
      </c>
      <c r="H129" s="46">
        <f>H17</f>
        <v>5907455</v>
      </c>
      <c r="J129" s="2" t="s">
        <v>285</v>
      </c>
    </row>
    <row r="130" spans="2:10" ht="12" customHeight="1">
      <c r="B130" s="2" t="s">
        <v>286</v>
      </c>
      <c r="F130" s="2" t="s">
        <v>54</v>
      </c>
      <c r="H130" s="46">
        <f>'Est. production and costs 2019'!H45</f>
        <v>659856</v>
      </c>
      <c r="J130" s="2" t="s">
        <v>287</v>
      </c>
    </row>
    <row r="131" spans="2:10" ht="12" customHeight="1"/>
    <row r="132" spans="2:10" ht="12" customHeight="1"/>
    <row r="133" spans="2:10" ht="12" customHeight="1"/>
    <row r="134" spans="2:10" ht="12" customHeight="1"/>
    <row r="135" spans="2:10" ht="12" customHeight="1"/>
    <row r="136" spans="2:10" ht="12" customHeight="1"/>
    <row r="137" spans="2:10" ht="12" customHeight="1"/>
    <row r="138" spans="2:10" ht="12" customHeight="1"/>
    <row r="139" spans="2:10" ht="12" customHeight="1"/>
    <row r="140" spans="2:10" ht="12" customHeight="1"/>
    <row r="141" spans="2:10" ht="12" customHeight="1"/>
    <row r="142" spans="2:10" ht="12" customHeight="1"/>
    <row r="143" spans="2:10" ht="12" customHeight="1"/>
    <row r="144" spans="2:10"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sheetData>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182"/>
  <sheetViews>
    <sheetView showGridLines="0" zoomScale="85" zoomScaleNormal="85" workbookViewId="0">
      <pane xSplit="6" ySplit="10" topLeftCell="G11" activePane="bottomRight" state="frozen"/>
      <selection pane="topRight" activeCell="G1" sqref="G1"/>
      <selection pane="bottomLeft" activeCell="A11" sqref="A11"/>
      <selection pane="bottomRight" activeCell="G11" sqref="G11"/>
    </sheetView>
  </sheetViews>
  <sheetFormatPr defaultRowHeight="15"/>
  <cols>
    <col min="1" max="1" width="3.7109375" customWidth="1"/>
    <col min="2" max="2" width="49.7109375" customWidth="1"/>
    <col min="3" max="5" width="5.5703125" customWidth="1"/>
    <col min="6" max="6" width="15.28515625" customWidth="1"/>
    <col min="7" max="7" width="3.7109375" customWidth="1"/>
    <col min="8" max="8" width="15" bestFit="1" customWidth="1"/>
    <col min="9" max="9" width="3.7109375" customWidth="1"/>
    <col min="10" max="10" width="25.5703125" customWidth="1"/>
  </cols>
  <sheetData>
    <row r="1" spans="2:11" s="2" customFormat="1" ht="12.75"/>
    <row r="2" spans="2:11" s="26" customFormat="1" ht="18">
      <c r="B2" s="26" t="s">
        <v>112</v>
      </c>
    </row>
    <row r="3" spans="2:11" s="30" customFormat="1" ht="12.75"/>
    <row r="4" spans="2:11" s="30" customFormat="1" ht="12.75">
      <c r="B4" s="1" t="s">
        <v>152</v>
      </c>
      <c r="C4" s="1"/>
      <c r="D4" s="1"/>
    </row>
    <row r="5" spans="2:11" s="30" customFormat="1" ht="12.75">
      <c r="B5" s="30" t="s">
        <v>468</v>
      </c>
      <c r="H5" s="27"/>
    </row>
    <row r="6" spans="2:11" s="30" customFormat="1" ht="12.75">
      <c r="H6" s="27"/>
    </row>
    <row r="7" spans="2:11" s="30" customFormat="1" ht="12.75">
      <c r="B7" s="5" t="s">
        <v>57</v>
      </c>
      <c r="H7" s="27"/>
    </row>
    <row r="8" spans="2:11" s="30" customFormat="1" ht="12.75">
      <c r="B8" s="30" t="s">
        <v>469</v>
      </c>
      <c r="H8" s="27"/>
    </row>
    <row r="9" spans="2:11" s="30" customFormat="1" ht="12.75"/>
    <row r="10" spans="2:11" s="56" customFormat="1" ht="12.75">
      <c r="B10" s="56" t="s">
        <v>10</v>
      </c>
      <c r="F10" s="56" t="s">
        <v>11</v>
      </c>
      <c r="H10" s="56" t="s">
        <v>12</v>
      </c>
      <c r="J10" s="56" t="s">
        <v>14</v>
      </c>
    </row>
    <row r="11" spans="2:11" s="30" customFormat="1" ht="12.75"/>
    <row r="12" spans="2:11" s="30" customFormat="1" ht="12.75"/>
    <row r="13" spans="2:11" s="56" customFormat="1" ht="12.75">
      <c r="B13" s="56" t="s">
        <v>171</v>
      </c>
    </row>
    <row r="14" spans="2:11" s="30" customFormat="1" ht="12.75"/>
    <row r="15" spans="2:11" s="74" customFormat="1" ht="12.75">
      <c r="B15" s="57" t="s">
        <v>204</v>
      </c>
      <c r="C15" s="30"/>
      <c r="D15" s="30"/>
      <c r="E15" s="30"/>
      <c r="F15" s="30"/>
    </row>
    <row r="16" spans="2:11" s="74" customFormat="1" ht="12.75">
      <c r="B16" s="30" t="s">
        <v>31</v>
      </c>
      <c r="C16" s="30"/>
      <c r="D16" s="30"/>
      <c r="E16" s="30"/>
      <c r="F16" s="30" t="s">
        <v>470</v>
      </c>
      <c r="H16" s="79">
        <f>'Realized Fuel costs '!H77</f>
        <v>1.4970000000000001</v>
      </c>
      <c r="K16" s="73"/>
    </row>
    <row r="17" spans="1:11" s="74" customFormat="1" ht="12.75">
      <c r="B17" s="30" t="s">
        <v>31</v>
      </c>
      <c r="C17" s="30"/>
      <c r="D17" s="30"/>
      <c r="E17" s="30"/>
      <c r="F17" s="30" t="s">
        <v>100</v>
      </c>
      <c r="H17" s="79">
        <f>'Realized Fuel costs '!H78</f>
        <v>1.4970000000000001E-3</v>
      </c>
      <c r="K17" s="73"/>
    </row>
    <row r="18" spans="1:11" s="74" customFormat="1" ht="12.75">
      <c r="B18" s="30" t="s">
        <v>31</v>
      </c>
      <c r="C18" s="30"/>
      <c r="D18" s="30"/>
      <c r="E18" s="30"/>
      <c r="F18" s="30" t="s">
        <v>34</v>
      </c>
      <c r="H18" s="79">
        <f>'Realized Fuel costs '!H79</f>
        <v>0.23802300000000001</v>
      </c>
    </row>
    <row r="19" spans="1:11" s="74" customFormat="1" ht="12.75">
      <c r="B19" s="30" t="s">
        <v>36</v>
      </c>
      <c r="C19" s="30"/>
      <c r="D19" s="30"/>
      <c r="E19" s="30"/>
      <c r="F19" s="30" t="s">
        <v>37</v>
      </c>
      <c r="H19" s="90">
        <f>'Realized Fuel costs '!H80</f>
        <v>0.95499999999999996</v>
      </c>
    </row>
    <row r="20" spans="1:11" s="74" customFormat="1" ht="12.75">
      <c r="B20" s="30" t="s">
        <v>35</v>
      </c>
      <c r="C20" s="30"/>
      <c r="D20" s="30"/>
      <c r="E20" s="30"/>
      <c r="F20" s="30" t="s">
        <v>37</v>
      </c>
      <c r="H20" s="90">
        <f>'Realized Fuel costs '!H81</f>
        <v>4.500000000000004E-2</v>
      </c>
      <c r="K20" s="73"/>
    </row>
    <row r="21" spans="1:11" s="74" customFormat="1" ht="12.75">
      <c r="C21" s="30"/>
      <c r="D21" s="30"/>
      <c r="E21" s="30"/>
      <c r="F21" s="30"/>
    </row>
    <row r="22" spans="1:11" s="74" customFormat="1" ht="12.75">
      <c r="A22" s="84"/>
      <c r="B22" s="57" t="s">
        <v>51</v>
      </c>
      <c r="C22" s="30"/>
      <c r="D22" s="30"/>
      <c r="E22" s="30"/>
      <c r="F22" s="30"/>
    </row>
    <row r="23" spans="1:11" s="74" customFormat="1" ht="12.75">
      <c r="B23" s="1" t="s">
        <v>60</v>
      </c>
      <c r="C23" s="30"/>
      <c r="D23" s="30"/>
      <c r="E23" s="30"/>
      <c r="H23" s="80"/>
    </row>
    <row r="24" spans="1:11" s="74" customFormat="1" ht="12.75">
      <c r="B24" s="30" t="s">
        <v>62</v>
      </c>
      <c r="C24" s="30"/>
      <c r="D24" s="30"/>
      <c r="E24" s="30"/>
      <c r="F24" s="30" t="s">
        <v>52</v>
      </c>
      <c r="H24" s="126">
        <f>'Realized Fuel costs '!H15</f>
        <v>61.37</v>
      </c>
    </row>
    <row r="25" spans="1:11" s="74" customFormat="1" ht="12.75">
      <c r="B25" s="30" t="s">
        <v>63</v>
      </c>
      <c r="C25" s="30"/>
      <c r="D25" s="30"/>
      <c r="E25" s="30"/>
      <c r="F25" s="30" t="s">
        <v>52</v>
      </c>
      <c r="H25" s="126">
        <f>'Realized Fuel costs '!H16</f>
        <v>62.566699999999997</v>
      </c>
    </row>
    <row r="26" spans="1:11" s="74" customFormat="1" ht="12.75">
      <c r="B26" s="30" t="s">
        <v>64</v>
      </c>
      <c r="C26" s="30"/>
      <c r="D26" s="30"/>
      <c r="E26" s="30"/>
      <c r="F26" s="30" t="s">
        <v>52</v>
      </c>
      <c r="H26" s="126">
        <f>'Realized Fuel costs '!H17</f>
        <v>58.166699999999999</v>
      </c>
    </row>
    <row r="27" spans="1:11" s="74" customFormat="1" ht="12.75">
      <c r="B27" s="30" t="s">
        <v>65</v>
      </c>
      <c r="C27" s="30"/>
      <c r="D27" s="30"/>
      <c r="E27" s="30"/>
      <c r="F27" s="30" t="s">
        <v>52</v>
      </c>
      <c r="H27" s="126">
        <f>'Realized Fuel costs '!H18</f>
        <v>61.896700000000003</v>
      </c>
    </row>
    <row r="28" spans="1:11" s="74" customFormat="1" ht="12.75">
      <c r="B28" s="30" t="s">
        <v>73</v>
      </c>
      <c r="C28" s="30"/>
      <c r="D28" s="30"/>
      <c r="E28" s="30"/>
      <c r="F28" s="30" t="s">
        <v>52</v>
      </c>
      <c r="H28" s="126">
        <f>'Realized Fuel costs '!H19</f>
        <v>60.69</v>
      </c>
    </row>
    <row r="29" spans="1:11" s="74" customFormat="1" ht="12.75">
      <c r="B29" s="30" t="s">
        <v>80</v>
      </c>
      <c r="C29" s="30"/>
      <c r="D29" s="30"/>
      <c r="E29" s="30"/>
      <c r="F29" s="30" t="s">
        <v>52</v>
      </c>
      <c r="H29" s="126">
        <f>'Realized Fuel costs '!H20</f>
        <v>58.18</v>
      </c>
    </row>
    <row r="30" spans="1:11" s="74" customFormat="1" ht="12.75">
      <c r="B30" s="30" t="s">
        <v>67</v>
      </c>
      <c r="C30" s="30"/>
      <c r="D30" s="30"/>
      <c r="E30" s="30"/>
      <c r="F30" s="30" t="s">
        <v>52</v>
      </c>
      <c r="H30" s="126">
        <f>'Realized Fuel costs '!H21</f>
        <v>61.62</v>
      </c>
    </row>
    <row r="31" spans="1:11" s="74" customFormat="1" ht="12.75">
      <c r="B31" s="30" t="s">
        <v>68</v>
      </c>
      <c r="C31" s="30"/>
      <c r="D31" s="30"/>
      <c r="E31" s="30"/>
      <c r="F31" s="30" t="s">
        <v>52</v>
      </c>
      <c r="H31" s="126">
        <f>'Realized Fuel costs '!H22</f>
        <v>62.646700000000003</v>
      </c>
    </row>
    <row r="32" spans="1:11" s="74" customFormat="1" ht="12.75">
      <c r="B32" s="30" t="s">
        <v>81</v>
      </c>
      <c r="C32" s="30"/>
      <c r="D32" s="30"/>
      <c r="E32" s="30"/>
      <c r="F32" s="30" t="s">
        <v>52</v>
      </c>
      <c r="H32" s="126">
        <f>'Realized Fuel costs '!H23</f>
        <v>66.239999999999995</v>
      </c>
    </row>
    <row r="33" spans="1:8" s="74" customFormat="1" ht="12.75">
      <c r="B33" s="30" t="s">
        <v>82</v>
      </c>
      <c r="C33" s="30"/>
      <c r="D33" s="30"/>
      <c r="E33" s="30"/>
      <c r="F33" s="30" t="s">
        <v>52</v>
      </c>
      <c r="H33" s="126">
        <f>'Realized Fuel costs '!H24</f>
        <v>66.553299999999993</v>
      </c>
    </row>
    <row r="34" spans="1:8" s="74" customFormat="1" ht="12.75">
      <c r="B34" s="30" t="s">
        <v>71</v>
      </c>
      <c r="C34" s="30"/>
      <c r="D34" s="30"/>
      <c r="E34" s="30"/>
      <c r="F34" s="30" t="s">
        <v>52</v>
      </c>
      <c r="H34" s="126">
        <f>'Realized Fuel costs '!H25</f>
        <v>71.296700000000001</v>
      </c>
    </row>
    <row r="35" spans="1:8" s="74" customFormat="1" ht="12.75">
      <c r="B35" s="30" t="s">
        <v>72</v>
      </c>
      <c r="C35" s="30"/>
      <c r="D35" s="30"/>
      <c r="E35" s="30"/>
      <c r="F35" s="30" t="s">
        <v>52</v>
      </c>
      <c r="H35" s="126">
        <f>'Realized Fuel costs '!H26</f>
        <v>71.419300000000007</v>
      </c>
    </row>
    <row r="36" spans="1:8" s="74" customFormat="1" ht="12.75">
      <c r="B36" s="30"/>
      <c r="C36" s="30"/>
      <c r="D36" s="30"/>
      <c r="E36" s="30"/>
      <c r="F36" s="30"/>
      <c r="H36" s="80"/>
    </row>
    <row r="37" spans="1:8" s="74" customFormat="1" ht="12.75">
      <c r="A37" s="84"/>
      <c r="B37" s="1" t="s">
        <v>61</v>
      </c>
      <c r="C37" s="30"/>
      <c r="D37" s="30"/>
      <c r="E37" s="30"/>
      <c r="H37" s="80"/>
    </row>
    <row r="38" spans="1:8" s="74" customFormat="1" ht="12.75">
      <c r="A38" s="84"/>
      <c r="B38" s="30" t="s">
        <v>62</v>
      </c>
      <c r="C38" s="30"/>
      <c r="D38" s="30"/>
      <c r="E38" s="30"/>
      <c r="F38" s="30" t="s">
        <v>75</v>
      </c>
      <c r="H38" s="79">
        <f>'Realized Fuel costs '!H29</f>
        <v>0.59</v>
      </c>
    </row>
    <row r="39" spans="1:8" s="74" customFormat="1" ht="12.75">
      <c r="A39" s="84"/>
      <c r="B39" s="30" t="s">
        <v>63</v>
      </c>
      <c r="C39" s="30"/>
      <c r="D39" s="30"/>
      <c r="E39" s="30"/>
      <c r="F39" s="30" t="s">
        <v>75</v>
      </c>
      <c r="H39" s="79">
        <f>'Realized Fuel costs '!H30</f>
        <v>0.65059999999999996</v>
      </c>
    </row>
    <row r="40" spans="1:8" s="74" customFormat="1" ht="12.75">
      <c r="A40" s="84"/>
      <c r="B40" s="30" t="s">
        <v>64</v>
      </c>
      <c r="C40" s="30"/>
      <c r="D40" s="30"/>
      <c r="E40" s="30"/>
      <c r="F40" s="30" t="s">
        <v>75</v>
      </c>
      <c r="H40" s="79">
        <f>'Realized Fuel costs '!H31</f>
        <v>0.624</v>
      </c>
    </row>
    <row r="41" spans="1:8" s="74" customFormat="1" ht="12.75">
      <c r="A41" s="84"/>
      <c r="B41" s="30" t="s">
        <v>65</v>
      </c>
      <c r="C41" s="30"/>
      <c r="D41" s="30"/>
      <c r="E41" s="30"/>
      <c r="F41" s="30" t="s">
        <v>75</v>
      </c>
      <c r="H41" s="79">
        <f>'Realized Fuel costs '!H32</f>
        <v>0.65</v>
      </c>
    </row>
    <row r="42" spans="1:8" s="74" customFormat="1" ht="12.75">
      <c r="A42" s="84"/>
      <c r="B42" s="30" t="s">
        <v>73</v>
      </c>
      <c r="C42" s="30"/>
      <c r="D42" s="30"/>
      <c r="E42" s="30"/>
      <c r="F42" s="30" t="s">
        <v>75</v>
      </c>
      <c r="H42" s="79">
        <f>'Realized Fuel costs '!H33</f>
        <v>0.66</v>
      </c>
    </row>
    <row r="43" spans="1:8" s="74" customFormat="1" ht="12.75">
      <c r="A43" s="84"/>
      <c r="B43" s="30" t="s">
        <v>80</v>
      </c>
      <c r="C43" s="30"/>
      <c r="D43" s="30"/>
      <c r="E43" s="30"/>
      <c r="F43" s="30" t="s">
        <v>75</v>
      </c>
      <c r="H43" s="79">
        <f>'Realized Fuel costs '!H34</f>
        <v>0.66</v>
      </c>
    </row>
    <row r="44" spans="1:8" s="74" customFormat="1" ht="12.75">
      <c r="A44" s="84"/>
      <c r="B44" s="30" t="s">
        <v>67</v>
      </c>
      <c r="C44" s="30"/>
      <c r="D44" s="30"/>
      <c r="E44" s="30"/>
      <c r="F44" s="30" t="s">
        <v>75</v>
      </c>
      <c r="H44" s="79">
        <f>'Realized Fuel costs '!H35</f>
        <v>0.66</v>
      </c>
    </row>
    <row r="45" spans="1:8" s="74" customFormat="1" ht="12.75">
      <c r="A45" s="84"/>
      <c r="B45" s="30" t="s">
        <v>68</v>
      </c>
      <c r="C45" s="30"/>
      <c r="D45" s="30"/>
      <c r="E45" s="30"/>
      <c r="F45" s="30" t="s">
        <v>75</v>
      </c>
      <c r="H45" s="79">
        <f>'Realized Fuel costs '!H36</f>
        <v>0.66359999999999997</v>
      </c>
    </row>
    <row r="46" spans="1:8" s="74" customFormat="1" ht="12.75">
      <c r="A46" s="84"/>
      <c r="B46" s="30" t="s">
        <v>81</v>
      </c>
      <c r="C46" s="30"/>
      <c r="D46" s="30"/>
      <c r="E46" s="30"/>
      <c r="F46" s="30" t="s">
        <v>75</v>
      </c>
      <c r="H46" s="79">
        <f>'Realized Fuel costs '!H37</f>
        <v>0.67879999999999996</v>
      </c>
    </row>
    <row r="47" spans="1:8" s="74" customFormat="1" ht="12.75">
      <c r="A47" s="84"/>
      <c r="B47" s="30" t="s">
        <v>82</v>
      </c>
      <c r="C47" s="30"/>
      <c r="D47" s="30"/>
      <c r="E47" s="30"/>
      <c r="F47" s="30" t="s">
        <v>75</v>
      </c>
      <c r="H47" s="79">
        <f>'Realized Fuel costs '!H38</f>
        <v>0.71530000000000005</v>
      </c>
    </row>
    <row r="48" spans="1:8" s="74" customFormat="1" ht="12.75">
      <c r="A48" s="84"/>
      <c r="B48" s="30" t="s">
        <v>71</v>
      </c>
      <c r="C48" s="30"/>
      <c r="D48" s="30"/>
      <c r="E48" s="30"/>
      <c r="F48" s="30" t="s">
        <v>75</v>
      </c>
      <c r="H48" s="79">
        <f>'Realized Fuel costs '!H39</f>
        <v>0.72499999999999998</v>
      </c>
    </row>
    <row r="49" spans="1:11" s="74" customFormat="1" ht="12.75">
      <c r="A49" s="84"/>
      <c r="B49" s="30" t="s">
        <v>72</v>
      </c>
      <c r="C49" s="30"/>
      <c r="D49" s="30"/>
      <c r="E49" s="30"/>
      <c r="F49" s="30" t="s">
        <v>75</v>
      </c>
      <c r="H49" s="79">
        <f>'Realized Fuel costs '!H40</f>
        <v>0.70469999999999999</v>
      </c>
    </row>
    <row r="50" spans="1:11" s="74" customFormat="1" ht="12.75"/>
    <row r="51" spans="1:11" s="56" customFormat="1" ht="12.75">
      <c r="B51" s="56" t="s">
        <v>92</v>
      </c>
      <c r="H51" s="81"/>
    </row>
    <row r="52" spans="1:11" s="74" customFormat="1" ht="12.75"/>
    <row r="53" spans="1:11" s="74" customFormat="1" ht="12.75">
      <c r="B53" s="68" t="s">
        <v>93</v>
      </c>
    </row>
    <row r="54" spans="1:11" s="74" customFormat="1" ht="12.75">
      <c r="B54" s="30" t="s">
        <v>62</v>
      </c>
      <c r="F54" s="30" t="s">
        <v>30</v>
      </c>
      <c r="H54" s="82">
        <f>'Realized production'!H26*1000</f>
        <v>2459342.9999999874</v>
      </c>
      <c r="K54" s="73"/>
    </row>
    <row r="55" spans="1:11" s="74" customFormat="1" ht="12.75">
      <c r="B55" s="30" t="s">
        <v>63</v>
      </c>
      <c r="F55" s="30" t="s">
        <v>30</v>
      </c>
      <c r="H55" s="82">
        <f>'Realized production'!H27*1000</f>
        <v>2456125.0000000033</v>
      </c>
    </row>
    <row r="56" spans="1:11" s="74" customFormat="1" ht="12.75">
      <c r="B56" s="30" t="s">
        <v>64</v>
      </c>
      <c r="F56" s="30" t="s">
        <v>30</v>
      </c>
      <c r="H56" s="82">
        <f>'Realized production'!H28*1000</f>
        <v>2811861</v>
      </c>
    </row>
    <row r="57" spans="1:11" s="74" customFormat="1" ht="12.75">
      <c r="B57" s="30" t="s">
        <v>65</v>
      </c>
      <c r="F57" s="30" t="s">
        <v>30</v>
      </c>
      <c r="H57" s="82">
        <f>'Realized production'!H29*1000</f>
        <v>3176981.0000000061</v>
      </c>
    </row>
    <row r="58" spans="1:11" s="74" customFormat="1" ht="12.75">
      <c r="B58" s="30" t="s">
        <v>73</v>
      </c>
      <c r="F58" s="30" t="s">
        <v>30</v>
      </c>
      <c r="H58" s="82">
        <f>'Realized production'!H30*1000</f>
        <v>3397441.0000000056</v>
      </c>
    </row>
    <row r="59" spans="1:11" s="74" customFormat="1" ht="12.75">
      <c r="B59" s="30" t="s">
        <v>80</v>
      </c>
      <c r="F59" s="30" t="s">
        <v>30</v>
      </c>
      <c r="H59" s="82">
        <f>'Realized production'!H31*1000</f>
        <v>3953955.0000000051</v>
      </c>
    </row>
    <row r="60" spans="1:11" s="74" customFormat="1" ht="12.75">
      <c r="B60" s="30" t="s">
        <v>67</v>
      </c>
      <c r="F60" s="30" t="s">
        <v>30</v>
      </c>
      <c r="H60" s="82">
        <f>'Realized production'!H32*1000</f>
        <v>2952050.9999999898</v>
      </c>
    </row>
    <row r="61" spans="1:11" s="74" customFormat="1" ht="12.75">
      <c r="B61" s="30" t="s">
        <v>68</v>
      </c>
      <c r="F61" s="30" t="s">
        <v>30</v>
      </c>
      <c r="H61" s="82">
        <f>'Realized production'!H33*1000</f>
        <v>2418630.9999999967</v>
      </c>
    </row>
    <row r="62" spans="1:11" s="74" customFormat="1" ht="12.75">
      <c r="B62" s="30" t="s">
        <v>81</v>
      </c>
      <c r="F62" s="30" t="s">
        <v>30</v>
      </c>
      <c r="H62" s="82">
        <f>'Realized production'!H34*1000</f>
        <v>1564102.0000000065</v>
      </c>
    </row>
    <row r="63" spans="1:11" s="74" customFormat="1" ht="12.75">
      <c r="B63" s="30" t="s">
        <v>82</v>
      </c>
      <c r="F63" s="30" t="s">
        <v>30</v>
      </c>
      <c r="H63" s="82">
        <f>'Realized production'!H35*1000</f>
        <v>1998286.9999999958</v>
      </c>
    </row>
    <row r="64" spans="1:11" s="74" customFormat="1" ht="12.75">
      <c r="B64" s="30" t="s">
        <v>71</v>
      </c>
      <c r="F64" s="30" t="s">
        <v>30</v>
      </c>
      <c r="H64" s="82">
        <f>'Realized production'!H36*1000</f>
        <v>1732374.0000000049</v>
      </c>
    </row>
    <row r="65" spans="2:8" s="74" customFormat="1" ht="12.75">
      <c r="B65" s="30" t="s">
        <v>72</v>
      </c>
      <c r="F65" s="30" t="s">
        <v>30</v>
      </c>
      <c r="H65" s="82">
        <f>'Realized production'!H37*1000</f>
        <v>2215390.9999999912</v>
      </c>
    </row>
    <row r="66" spans="2:8" s="74" customFormat="1" ht="12.75">
      <c r="B66" s="30"/>
      <c r="F66" s="30"/>
    </row>
    <row r="67" spans="2:8" s="74" customFormat="1" ht="12.75">
      <c r="B67" s="51" t="s">
        <v>94</v>
      </c>
    </row>
    <row r="68" spans="2:8" s="74" customFormat="1" ht="12.75">
      <c r="B68" s="30" t="s">
        <v>62</v>
      </c>
      <c r="F68" s="30" t="s">
        <v>30</v>
      </c>
      <c r="H68" s="82">
        <f>'Realized production'!H41*1000</f>
        <v>8140671.0000000382</v>
      </c>
    </row>
    <row r="69" spans="2:8" s="74" customFormat="1" ht="12.75">
      <c r="B69" s="30" t="s">
        <v>63</v>
      </c>
      <c r="F69" s="30" t="s">
        <v>30</v>
      </c>
      <c r="H69" s="82">
        <f>'Realized production'!H42*1000</f>
        <v>7664803.99999996</v>
      </c>
    </row>
    <row r="70" spans="2:8" s="74" customFormat="1" ht="12.75">
      <c r="B70" s="30" t="s">
        <v>64</v>
      </c>
      <c r="F70" s="30" t="s">
        <v>30</v>
      </c>
      <c r="H70" s="82">
        <f>'Realized production'!H43*1000</f>
        <v>8768074</v>
      </c>
    </row>
    <row r="71" spans="2:8" s="74" customFormat="1" ht="12.75">
      <c r="B71" s="30" t="s">
        <v>65</v>
      </c>
      <c r="F71" s="30" t="s">
        <v>30</v>
      </c>
      <c r="H71" s="82">
        <f>'Realized production'!H44*1000</f>
        <v>8958430.0000000112</v>
      </c>
    </row>
    <row r="72" spans="2:8" s="74" customFormat="1" ht="12.75">
      <c r="B72" s="30" t="s">
        <v>73</v>
      </c>
      <c r="F72" s="30" t="s">
        <v>30</v>
      </c>
      <c r="H72" s="82">
        <f>'Realized production'!H45*1000</f>
        <v>9456691.9999999534</v>
      </c>
    </row>
    <row r="73" spans="2:8" s="74" customFormat="1" ht="12.75">
      <c r="B73" s="30" t="s">
        <v>80</v>
      </c>
      <c r="F73" s="30" t="s">
        <v>30</v>
      </c>
      <c r="H73" s="82">
        <f>'Realized production'!H46*1000</f>
        <v>9271799.0000000503</v>
      </c>
    </row>
    <row r="74" spans="2:8" s="74" customFormat="1" ht="12.75">
      <c r="B74" s="30" t="s">
        <v>67</v>
      </c>
      <c r="F74" s="30" t="s">
        <v>30</v>
      </c>
      <c r="H74" s="82">
        <f>'Realized production'!H47*1000</f>
        <v>9030366.9999999888</v>
      </c>
    </row>
    <row r="75" spans="2:8" s="74" customFormat="1" ht="12.75">
      <c r="B75" s="30" t="s">
        <v>68</v>
      </c>
      <c r="F75" s="30" t="s">
        <v>30</v>
      </c>
      <c r="H75" s="82">
        <f>'Realized production'!H48*1000</f>
        <v>8860882.9999999981</v>
      </c>
    </row>
    <row r="76" spans="2:8" s="74" customFormat="1" ht="12.75">
      <c r="B76" s="30" t="s">
        <v>81</v>
      </c>
      <c r="F76" s="30" t="s">
        <v>30</v>
      </c>
      <c r="H76" s="82">
        <f>'Realized production'!H49*1000</f>
        <v>8311439.0000000075</v>
      </c>
    </row>
    <row r="77" spans="2:8" s="74" customFormat="1" ht="12.75">
      <c r="B77" s="30" t="s">
        <v>82</v>
      </c>
      <c r="F77" s="30" t="s">
        <v>30</v>
      </c>
      <c r="H77" s="82">
        <f>'Realized production'!H50*1000</f>
        <v>8663077.9999999963</v>
      </c>
    </row>
    <row r="78" spans="2:8" s="74" customFormat="1" ht="12.75">
      <c r="B78" s="30" t="s">
        <v>71</v>
      </c>
      <c r="F78" s="30" t="s">
        <v>30</v>
      </c>
      <c r="H78" s="82">
        <f>'Realized production'!H51*1000</f>
        <v>8632467.0000000037</v>
      </c>
    </row>
    <row r="79" spans="2:8" s="74" customFormat="1" ht="12.75">
      <c r="B79" s="30" t="s">
        <v>72</v>
      </c>
      <c r="F79" s="30" t="s">
        <v>30</v>
      </c>
      <c r="H79" s="82">
        <f>'Realized production'!H52*1000</f>
        <v>8644218.9999999925</v>
      </c>
    </row>
    <row r="80" spans="2:8" s="74" customFormat="1" ht="12.75"/>
    <row r="81" spans="2:8" s="74" customFormat="1" ht="12.75">
      <c r="B81" s="51" t="s">
        <v>95</v>
      </c>
    </row>
    <row r="82" spans="2:8" s="74" customFormat="1" ht="12.75">
      <c r="B82" s="30" t="s">
        <v>62</v>
      </c>
      <c r="F82" s="30" t="s">
        <v>30</v>
      </c>
      <c r="H82" s="83">
        <f>H68-H54</f>
        <v>5681328.0000000503</v>
      </c>
    </row>
    <row r="83" spans="2:8" s="74" customFormat="1" ht="12.75">
      <c r="B83" s="30" t="s">
        <v>63</v>
      </c>
      <c r="F83" s="30" t="s">
        <v>30</v>
      </c>
      <c r="H83" s="83">
        <f t="shared" ref="H83:H93" si="0">H69-H55</f>
        <v>5208678.9999999572</v>
      </c>
    </row>
    <row r="84" spans="2:8" s="74" customFormat="1" ht="12.75">
      <c r="B84" s="30" t="s">
        <v>64</v>
      </c>
      <c r="F84" s="30" t="s">
        <v>30</v>
      </c>
      <c r="H84" s="83">
        <f t="shared" si="0"/>
        <v>5956213</v>
      </c>
    </row>
    <row r="85" spans="2:8" s="74" customFormat="1" ht="12.75">
      <c r="B85" s="30" t="s">
        <v>65</v>
      </c>
      <c r="F85" s="30" t="s">
        <v>30</v>
      </c>
      <c r="H85" s="83">
        <f t="shared" si="0"/>
        <v>5781449.0000000056</v>
      </c>
    </row>
    <row r="86" spans="2:8" s="74" customFormat="1" ht="12.75">
      <c r="B86" s="30" t="s">
        <v>73</v>
      </c>
      <c r="F86" s="30" t="s">
        <v>30</v>
      </c>
      <c r="H86" s="83">
        <f t="shared" si="0"/>
        <v>6059250.9999999478</v>
      </c>
    </row>
    <row r="87" spans="2:8" s="74" customFormat="1" ht="12.75">
      <c r="B87" s="30" t="s">
        <v>80</v>
      </c>
      <c r="F87" s="30" t="s">
        <v>30</v>
      </c>
      <c r="H87" s="83">
        <f t="shared" si="0"/>
        <v>5317844.0000000447</v>
      </c>
    </row>
    <row r="88" spans="2:8" s="74" customFormat="1" ht="12.75">
      <c r="B88" s="30" t="s">
        <v>67</v>
      </c>
      <c r="F88" s="30" t="s">
        <v>30</v>
      </c>
      <c r="H88" s="83">
        <f t="shared" si="0"/>
        <v>6078315.9999999991</v>
      </c>
    </row>
    <row r="89" spans="2:8" s="74" customFormat="1" ht="12.75">
      <c r="B89" s="30" t="s">
        <v>68</v>
      </c>
      <c r="F89" s="30" t="s">
        <v>30</v>
      </c>
      <c r="H89" s="83">
        <f t="shared" si="0"/>
        <v>6442252.0000000019</v>
      </c>
    </row>
    <row r="90" spans="2:8" s="74" customFormat="1" ht="12.75">
      <c r="B90" s="30" t="s">
        <v>81</v>
      </c>
      <c r="F90" s="30" t="s">
        <v>30</v>
      </c>
      <c r="H90" s="83">
        <f t="shared" si="0"/>
        <v>6747337.0000000009</v>
      </c>
    </row>
    <row r="91" spans="2:8" s="74" customFormat="1" ht="12.75">
      <c r="B91" s="30" t="s">
        <v>82</v>
      </c>
      <c r="F91" s="30" t="s">
        <v>30</v>
      </c>
      <c r="H91" s="83">
        <f t="shared" si="0"/>
        <v>6664791</v>
      </c>
    </row>
    <row r="92" spans="2:8" s="74" customFormat="1" ht="12.75">
      <c r="B92" s="30" t="s">
        <v>71</v>
      </c>
      <c r="F92" s="30" t="s">
        <v>30</v>
      </c>
      <c r="H92" s="83">
        <f t="shared" si="0"/>
        <v>6900092.9999999991</v>
      </c>
    </row>
    <row r="93" spans="2:8" s="74" customFormat="1" ht="12.75">
      <c r="B93" s="30" t="s">
        <v>72</v>
      </c>
      <c r="F93" s="30" t="s">
        <v>30</v>
      </c>
      <c r="H93" s="83">
        <f t="shared" si="0"/>
        <v>6428828.0000000019</v>
      </c>
    </row>
    <row r="94" spans="2:8" s="74" customFormat="1" ht="12.75"/>
    <row r="95" spans="2:8" s="56" customFormat="1" ht="12.75">
      <c r="B95" s="56" t="s">
        <v>96</v>
      </c>
      <c r="H95" s="81"/>
    </row>
    <row r="96" spans="2:8" s="74" customFormat="1" ht="12.75"/>
    <row r="97" spans="2:8" s="74" customFormat="1" ht="12.75">
      <c r="B97" s="68" t="s">
        <v>60</v>
      </c>
    </row>
    <row r="98" spans="2:8" s="74" customFormat="1" ht="12.75">
      <c r="B98" s="30" t="s">
        <v>62</v>
      </c>
      <c r="F98" s="74" t="s">
        <v>29</v>
      </c>
      <c r="H98" s="83">
        <f>$H$19*H24*$H$17*H82</f>
        <v>498460.97005353798</v>
      </c>
    </row>
    <row r="99" spans="2:8" s="74" customFormat="1" ht="12.75">
      <c r="B99" s="30" t="s">
        <v>63</v>
      </c>
      <c r="F99" s="74" t="s">
        <v>29</v>
      </c>
      <c r="H99" s="83">
        <f t="shared" ref="H99:H109" si="1">$H$19*H25*$H$17*H83</f>
        <v>465903.54483911308</v>
      </c>
    </row>
    <row r="100" spans="2:8" s="74" customFormat="1" ht="12.75">
      <c r="B100" s="30" t="s">
        <v>64</v>
      </c>
      <c r="F100" s="74" t="s">
        <v>29</v>
      </c>
      <c r="H100" s="83">
        <f t="shared" si="1"/>
        <v>495301.69879318489</v>
      </c>
    </row>
    <row r="101" spans="2:8" s="74" customFormat="1" ht="12.75">
      <c r="B101" s="30" t="s">
        <v>65</v>
      </c>
      <c r="F101" s="74" t="s">
        <v>29</v>
      </c>
      <c r="H101" s="83">
        <f t="shared" si="1"/>
        <v>511598.62227094331</v>
      </c>
    </row>
    <row r="102" spans="2:8" s="74" customFormat="1" ht="12.75">
      <c r="B102" s="30" t="s">
        <v>73</v>
      </c>
      <c r="F102" s="74" t="s">
        <v>29</v>
      </c>
      <c r="H102" s="83">
        <f t="shared" si="1"/>
        <v>525728.17514243105</v>
      </c>
    </row>
    <row r="103" spans="2:8" s="74" customFormat="1" ht="12.75">
      <c r="B103" s="30" t="s">
        <v>80</v>
      </c>
      <c r="F103" s="74" t="s">
        <v>29</v>
      </c>
      <c r="H103" s="83">
        <f t="shared" si="1"/>
        <v>442317.8662657729</v>
      </c>
    </row>
    <row r="104" spans="2:8" s="74" customFormat="1" ht="12.75">
      <c r="B104" s="30" t="s">
        <v>67</v>
      </c>
      <c r="F104" s="74" t="s">
        <v>29</v>
      </c>
      <c r="H104" s="83">
        <f t="shared" si="1"/>
        <v>535463.83041694912</v>
      </c>
    </row>
    <row r="105" spans="2:8" s="74" customFormat="1" ht="12.75">
      <c r="B105" s="30" t="s">
        <v>68</v>
      </c>
      <c r="F105" s="74" t="s">
        <v>29</v>
      </c>
      <c r="H105" s="83">
        <f t="shared" si="1"/>
        <v>576980.42573945771</v>
      </c>
    </row>
    <row r="106" spans="2:8" s="74" customFormat="1" ht="12.75">
      <c r="B106" s="30" t="s">
        <v>81</v>
      </c>
      <c r="F106" s="74" t="s">
        <v>29</v>
      </c>
      <c r="H106" s="83">
        <f t="shared" si="1"/>
        <v>638966.21770334884</v>
      </c>
    </row>
    <row r="107" spans="2:8" s="74" customFormat="1" ht="12.75">
      <c r="B107" s="30" t="s">
        <v>82</v>
      </c>
      <c r="F107" s="74" t="s">
        <v>29</v>
      </c>
      <c r="H107" s="83">
        <f t="shared" si="1"/>
        <v>634134.38305050484</v>
      </c>
    </row>
    <row r="108" spans="2:8" s="74" customFormat="1" ht="12.75">
      <c r="B108" s="30" t="s">
        <v>71</v>
      </c>
      <c r="F108" s="74" t="s">
        <v>29</v>
      </c>
      <c r="H108" s="83">
        <f t="shared" si="1"/>
        <v>703314.45748901635</v>
      </c>
    </row>
    <row r="109" spans="2:8" s="74" customFormat="1" ht="12.75">
      <c r="B109" s="30" t="s">
        <v>72</v>
      </c>
      <c r="F109" s="74" t="s">
        <v>29</v>
      </c>
      <c r="H109" s="83">
        <f t="shared" si="1"/>
        <v>656406.03870558541</v>
      </c>
    </row>
    <row r="110" spans="2:8" s="74" customFormat="1" ht="12.75"/>
    <row r="111" spans="2:8" s="74" customFormat="1" ht="12.75">
      <c r="B111" s="68" t="s">
        <v>61</v>
      </c>
    </row>
    <row r="112" spans="2:8" s="74" customFormat="1" ht="12.75">
      <c r="B112" s="30" t="s">
        <v>62</v>
      </c>
      <c r="F112" s="74" t="s">
        <v>29</v>
      </c>
      <c r="H112" s="83">
        <f>$H$20*H38*$H$18*H82</f>
        <v>35903.212802143549</v>
      </c>
    </row>
    <row r="113" spans="2:8" s="74" customFormat="1" ht="12.75">
      <c r="B113" s="30" t="s">
        <v>63</v>
      </c>
      <c r="F113" s="74" t="s">
        <v>29</v>
      </c>
      <c r="H113" s="83">
        <f t="shared" ref="H113:H123" si="2">$H$20*H39*$H$18*H83</f>
        <v>36297.197203140648</v>
      </c>
    </row>
    <row r="114" spans="2:8" s="74" customFormat="1" ht="12.75">
      <c r="B114" s="30" t="s">
        <v>64</v>
      </c>
      <c r="F114" s="74" t="s">
        <v>29</v>
      </c>
      <c r="H114" s="83">
        <f t="shared" si="2"/>
        <v>39809.456488123957</v>
      </c>
    </row>
    <row r="115" spans="2:8" s="74" customFormat="1" ht="12.75">
      <c r="B115" s="30" t="s">
        <v>65</v>
      </c>
      <c r="F115" s="74" t="s">
        <v>29</v>
      </c>
      <c r="H115" s="83">
        <f t="shared" si="2"/>
        <v>40251.446683314825</v>
      </c>
    </row>
    <row r="116" spans="2:8" s="74" customFormat="1" ht="12.75">
      <c r="B116" s="30" t="s">
        <v>73</v>
      </c>
      <c r="F116" s="74" t="s">
        <v>29</v>
      </c>
      <c r="H116" s="83">
        <f t="shared" si="2"/>
        <v>42834.560692957777</v>
      </c>
    </row>
    <row r="117" spans="2:8" s="74" customFormat="1" ht="12.75">
      <c r="B117" s="30" t="s">
        <v>80</v>
      </c>
      <c r="F117" s="74" t="s">
        <v>29</v>
      </c>
      <c r="H117" s="83">
        <f t="shared" si="2"/>
        <v>37593.344717636755</v>
      </c>
    </row>
    <row r="118" spans="2:8" s="74" customFormat="1" ht="12.75">
      <c r="B118" s="30" t="s">
        <v>67</v>
      </c>
      <c r="F118" s="74" t="s">
        <v>29</v>
      </c>
      <c r="H118" s="83">
        <f t="shared" si="2"/>
        <v>42969.336575259636</v>
      </c>
    </row>
    <row r="119" spans="2:8" s="74" customFormat="1" ht="12.75">
      <c r="B119" s="30" t="s">
        <v>68</v>
      </c>
      <c r="F119" s="74" t="s">
        <v>29</v>
      </c>
      <c r="H119" s="83">
        <f t="shared" si="2"/>
        <v>45790.514661484201</v>
      </c>
    </row>
    <row r="120" spans="2:8" s="74" customFormat="1" ht="12.75">
      <c r="B120" s="30" t="s">
        <v>81</v>
      </c>
      <c r="F120" s="74" t="s">
        <v>29</v>
      </c>
      <c r="H120" s="83">
        <f t="shared" si="2"/>
        <v>49057.529524064099</v>
      </c>
    </row>
    <row r="121" spans="2:8" s="74" customFormat="1" ht="12.75">
      <c r="B121" s="30" t="s">
        <v>82</v>
      </c>
      <c r="F121" s="74" t="s">
        <v>29</v>
      </c>
      <c r="H121" s="83">
        <f t="shared" si="2"/>
        <v>51062.984956010427</v>
      </c>
    </row>
    <row r="122" spans="2:8" s="74" customFormat="1" ht="12.75">
      <c r="B122" s="30" t="s">
        <v>71</v>
      </c>
      <c r="F122" s="74" t="s">
        <v>29</v>
      </c>
      <c r="H122" s="83">
        <f t="shared" si="2"/>
        <v>53582.674779034918</v>
      </c>
    </row>
    <row r="123" spans="2:8" s="74" customFormat="1" ht="12.75">
      <c r="B123" s="30" t="s">
        <v>72</v>
      </c>
      <c r="F123" s="74" t="s">
        <v>29</v>
      </c>
      <c r="H123" s="83">
        <f t="shared" si="2"/>
        <v>48525.220389955859</v>
      </c>
    </row>
    <row r="124" spans="2:8" s="74" customFormat="1" ht="12.75"/>
    <row r="125" spans="2:8" s="74" customFormat="1" ht="12.75">
      <c r="B125" s="51" t="s">
        <v>97</v>
      </c>
    </row>
    <row r="126" spans="2:8" s="74" customFormat="1" ht="12.75">
      <c r="B126" s="30" t="s">
        <v>62</v>
      </c>
      <c r="F126" s="74" t="s">
        <v>29</v>
      </c>
      <c r="H126" s="83">
        <f>H98+H112</f>
        <v>534364.18285568152</v>
      </c>
    </row>
    <row r="127" spans="2:8" s="74" customFormat="1" ht="12.75">
      <c r="B127" s="30" t="s">
        <v>63</v>
      </c>
      <c r="F127" s="74" t="s">
        <v>29</v>
      </c>
      <c r="H127" s="83">
        <f t="shared" ref="H127:H137" si="3">H99+H113</f>
        <v>502200.74204225373</v>
      </c>
    </row>
    <row r="128" spans="2:8" s="74" customFormat="1" ht="12.75">
      <c r="B128" s="30" t="s">
        <v>64</v>
      </c>
      <c r="F128" s="74" t="s">
        <v>29</v>
      </c>
      <c r="H128" s="83">
        <f t="shared" si="3"/>
        <v>535111.15528130881</v>
      </c>
    </row>
    <row r="129" spans="2:8" s="74" customFormat="1" ht="12.75">
      <c r="B129" s="30" t="s">
        <v>65</v>
      </c>
      <c r="F129" s="74" t="s">
        <v>29</v>
      </c>
      <c r="H129" s="83">
        <f t="shared" si="3"/>
        <v>551850.06895425811</v>
      </c>
    </row>
    <row r="130" spans="2:8" s="74" customFormat="1" ht="12.75">
      <c r="B130" s="30" t="s">
        <v>73</v>
      </c>
      <c r="F130" s="74" t="s">
        <v>29</v>
      </c>
      <c r="H130" s="83">
        <f t="shared" si="3"/>
        <v>568562.73583538877</v>
      </c>
    </row>
    <row r="131" spans="2:8" s="74" customFormat="1" ht="12.75">
      <c r="B131" s="30" t="s">
        <v>80</v>
      </c>
      <c r="F131" s="74" t="s">
        <v>29</v>
      </c>
      <c r="H131" s="83">
        <f t="shared" si="3"/>
        <v>479911.21098340966</v>
      </c>
    </row>
    <row r="132" spans="2:8" s="74" customFormat="1" ht="12.75">
      <c r="B132" s="30" t="s">
        <v>67</v>
      </c>
      <c r="F132" s="74" t="s">
        <v>29</v>
      </c>
      <c r="H132" s="83">
        <f t="shared" si="3"/>
        <v>578433.1669922088</v>
      </c>
    </row>
    <row r="133" spans="2:8" s="74" customFormat="1" ht="12.75">
      <c r="B133" s="30" t="s">
        <v>68</v>
      </c>
      <c r="F133" s="74" t="s">
        <v>29</v>
      </c>
      <c r="H133" s="83">
        <f t="shared" si="3"/>
        <v>622770.94040094188</v>
      </c>
    </row>
    <row r="134" spans="2:8" s="74" customFormat="1" ht="12.75">
      <c r="B134" s="30" t="s">
        <v>81</v>
      </c>
      <c r="F134" s="74" t="s">
        <v>29</v>
      </c>
      <c r="H134" s="83">
        <f t="shared" si="3"/>
        <v>688023.74722741288</v>
      </c>
    </row>
    <row r="135" spans="2:8" s="74" customFormat="1" ht="12.75">
      <c r="B135" s="30" t="s">
        <v>82</v>
      </c>
      <c r="F135" s="74" t="s">
        <v>29</v>
      </c>
      <c r="H135" s="83">
        <f t="shared" si="3"/>
        <v>685197.36800651532</v>
      </c>
    </row>
    <row r="136" spans="2:8" s="74" customFormat="1" ht="12.75">
      <c r="B136" s="30" t="s">
        <v>71</v>
      </c>
      <c r="F136" s="74" t="s">
        <v>29</v>
      </c>
      <c r="H136" s="83">
        <f t="shared" si="3"/>
        <v>756897.13226805127</v>
      </c>
    </row>
    <row r="137" spans="2:8" s="74" customFormat="1" ht="12.75">
      <c r="B137" s="30" t="s">
        <v>72</v>
      </c>
      <c r="F137" s="74" t="s">
        <v>29</v>
      </c>
      <c r="H137" s="83">
        <f t="shared" si="3"/>
        <v>704931.25909554132</v>
      </c>
    </row>
    <row r="138" spans="2:8" s="74" customFormat="1" ht="12.75">
      <c r="B138" s="51" t="s">
        <v>98</v>
      </c>
      <c r="F138" s="74" t="s">
        <v>29</v>
      </c>
      <c r="H138" s="85">
        <f>SUM(H126:H137)</f>
        <v>7208253.7099429723</v>
      </c>
    </row>
    <row r="139" spans="2:8" s="74" customFormat="1" ht="12.75"/>
    <row r="140" spans="2:8" s="56" customFormat="1" ht="12.75">
      <c r="B140" s="56" t="s">
        <v>117</v>
      </c>
      <c r="H140" s="81"/>
    </row>
    <row r="141" spans="2:8" s="74" customFormat="1" ht="12.75"/>
    <row r="142" spans="2:8" s="74" customFormat="1" ht="12.75">
      <c r="B142" s="68" t="s">
        <v>121</v>
      </c>
    </row>
    <row r="143" spans="2:8" s="74" customFormat="1" ht="12.75">
      <c r="B143" s="30" t="s">
        <v>62</v>
      </c>
      <c r="F143" s="74" t="s">
        <v>53</v>
      </c>
      <c r="H143" s="79">
        <f>'Realized Fuel costs '!H106</f>
        <v>5.7379581636642654E-2</v>
      </c>
    </row>
    <row r="144" spans="2:8" s="74" customFormat="1" ht="12.75">
      <c r="B144" s="30" t="s">
        <v>63</v>
      </c>
      <c r="F144" s="74" t="s">
        <v>53</v>
      </c>
      <c r="H144" s="79">
        <f>'Realized Fuel costs '!H107</f>
        <v>6.2781527761552616E-2</v>
      </c>
    </row>
    <row r="145" spans="2:8" s="74" customFormat="1" ht="12.75">
      <c r="B145" s="30" t="s">
        <v>64</v>
      </c>
      <c r="F145" s="74" t="s">
        <v>53</v>
      </c>
      <c r="H145" s="79">
        <f>'Realized Fuel costs '!H108</f>
        <v>6.3833409279241707E-2</v>
      </c>
    </row>
    <row r="146" spans="2:8" s="74" customFormat="1" ht="12.75">
      <c r="B146" s="30" t="s">
        <v>65</v>
      </c>
      <c r="F146" s="74" t="s">
        <v>53</v>
      </c>
      <c r="H146" s="79">
        <f>'Realized Fuel costs '!H109</f>
        <v>6.5435032004036026E-2</v>
      </c>
    </row>
    <row r="147" spans="2:8" s="74" customFormat="1" ht="12.75">
      <c r="B147" s="30" t="s">
        <v>73</v>
      </c>
      <c r="F147" s="74" t="s">
        <v>53</v>
      </c>
      <c r="H147" s="79">
        <f>'Realized Fuel costs '!H110</f>
        <v>6.0972548409537447E-2</v>
      </c>
    </row>
    <row r="148" spans="2:8" s="74" customFormat="1" ht="12.75">
      <c r="B148" s="30" t="s">
        <v>80</v>
      </c>
      <c r="F148" s="74" t="s">
        <v>53</v>
      </c>
      <c r="H148" s="79">
        <f>'Realized Fuel costs '!H111</f>
        <v>6.478059981177442E-2</v>
      </c>
    </row>
    <row r="149" spans="2:8" s="74" customFormat="1" ht="12.75">
      <c r="B149" s="30" t="s">
        <v>67</v>
      </c>
      <c r="F149" s="74" t="s">
        <v>53</v>
      </c>
      <c r="H149" s="79">
        <f>'Realized Fuel costs '!H112</f>
        <v>6.3682486421800952E-2</v>
      </c>
    </row>
    <row r="150" spans="2:8" s="74" customFormat="1" ht="12.75">
      <c r="B150" s="30" t="s">
        <v>68</v>
      </c>
      <c r="F150" s="74" t="s">
        <v>53</v>
      </c>
      <c r="H150" s="79">
        <f>'Realized Fuel costs '!H113</f>
        <v>6.1247147240189585E-2</v>
      </c>
    </row>
    <row r="151" spans="2:8" s="74" customFormat="1" ht="12.75">
      <c r="B151" s="30" t="s">
        <v>81</v>
      </c>
      <c r="F151" s="74" t="s">
        <v>53</v>
      </c>
      <c r="H151" s="79">
        <f>'Realized Fuel costs '!H114</f>
        <v>6.4584823250047399E-2</v>
      </c>
    </row>
    <row r="152" spans="2:8" s="74" customFormat="1" ht="12.75">
      <c r="B152" s="30" t="s">
        <v>82</v>
      </c>
      <c r="F152" s="74" t="s">
        <v>53</v>
      </c>
      <c r="H152" s="79">
        <f>'Realized Fuel costs '!H115</f>
        <v>6.5607153147713759E-2</v>
      </c>
    </row>
    <row r="153" spans="2:8" s="74" customFormat="1" ht="12.75">
      <c r="B153" s="30" t="s">
        <v>71</v>
      </c>
      <c r="F153" s="74" t="s">
        <v>53</v>
      </c>
      <c r="H153" s="79">
        <f>'Realized Fuel costs '!H116</f>
        <v>6.9204062405618966E-2</v>
      </c>
    </row>
    <row r="154" spans="2:8" s="74" customFormat="1" ht="12.75">
      <c r="B154" s="30" t="s">
        <v>72</v>
      </c>
      <c r="F154" s="74" t="s">
        <v>53</v>
      </c>
      <c r="H154" s="79">
        <f>'Realized Fuel costs '!H117</f>
        <v>6.9773372277531762E-2</v>
      </c>
    </row>
    <row r="155" spans="2:8" s="74" customFormat="1" ht="12.75"/>
    <row r="156" spans="2:8" s="74" customFormat="1" ht="12.75">
      <c r="B156" s="51" t="s">
        <v>122</v>
      </c>
    </row>
    <row r="157" spans="2:8" s="74" customFormat="1" ht="12.75">
      <c r="B157" s="30" t="s">
        <v>62</v>
      </c>
      <c r="F157" s="74" t="s">
        <v>29</v>
      </c>
      <c r="H157" s="83">
        <f>H68*H143</f>
        <v>467108.2962215516</v>
      </c>
    </row>
    <row r="158" spans="2:8" s="74" customFormat="1" ht="12.75">
      <c r="B158" s="30" t="s">
        <v>63</v>
      </c>
      <c r="F158" s="74" t="s">
        <v>29</v>
      </c>
      <c r="H158" s="83">
        <f t="shared" ref="H158:H168" si="4">H69*H144</f>
        <v>481208.10511285701</v>
      </c>
    </row>
    <row r="159" spans="2:8" s="74" customFormat="1" ht="12.75">
      <c r="B159" s="30" t="s">
        <v>64</v>
      </c>
      <c r="F159" s="74" t="s">
        <v>29</v>
      </c>
      <c r="H159" s="83">
        <f t="shared" si="4"/>
        <v>559696.05623267801</v>
      </c>
    </row>
    <row r="160" spans="2:8" s="74" customFormat="1" ht="12.75">
      <c r="B160" s="30" t="s">
        <v>65</v>
      </c>
      <c r="F160" s="74" t="s">
        <v>29</v>
      </c>
      <c r="H160" s="83">
        <f t="shared" si="4"/>
        <v>586195.15375591721</v>
      </c>
    </row>
    <row r="161" spans="2:8" s="74" customFormat="1" ht="12.75">
      <c r="B161" s="30" t="s">
        <v>73</v>
      </c>
      <c r="F161" s="74" t="s">
        <v>29</v>
      </c>
      <c r="H161" s="83">
        <f t="shared" si="4"/>
        <v>576598.61076408264</v>
      </c>
    </row>
    <row r="162" spans="2:8" s="74" customFormat="1" ht="12.75">
      <c r="B162" s="30" t="s">
        <v>80</v>
      </c>
      <c r="F162" s="74" t="s">
        <v>29</v>
      </c>
      <c r="H162" s="83">
        <f t="shared" si="4"/>
        <v>600632.70055421349</v>
      </c>
    </row>
    <row r="163" spans="2:8" s="74" customFormat="1" ht="12.75">
      <c r="B163" s="30" t="s">
        <v>67</v>
      </c>
      <c r="F163" s="74" t="s">
        <v>29</v>
      </c>
      <c r="H163" s="83">
        <f t="shared" si="4"/>
        <v>575076.22386137873</v>
      </c>
    </row>
    <row r="164" spans="2:8" s="74" customFormat="1" ht="12.75">
      <c r="B164" s="30" t="s">
        <v>68</v>
      </c>
      <c r="F164" s="74" t="s">
        <v>29</v>
      </c>
      <c r="H164" s="83">
        <f t="shared" si="4"/>
        <v>542703.80577909271</v>
      </c>
    </row>
    <row r="165" spans="2:8" s="74" customFormat="1" ht="12.75">
      <c r="B165" s="30" t="s">
        <v>81</v>
      </c>
      <c r="F165" s="74" t="s">
        <v>29</v>
      </c>
      <c r="H165" s="83">
        <f t="shared" si="4"/>
        <v>536792.81876855122</v>
      </c>
    </row>
    <row r="166" spans="2:8" s="74" customFormat="1" ht="12.75">
      <c r="B166" s="30" t="s">
        <v>82</v>
      </c>
      <c r="F166" s="74" t="s">
        <v>29</v>
      </c>
      <c r="H166" s="83">
        <f t="shared" si="4"/>
        <v>568359.88507658953</v>
      </c>
    </row>
    <row r="167" spans="2:8" s="74" customFormat="1" ht="12.75">
      <c r="B167" s="30" t="s">
        <v>71</v>
      </c>
      <c r="F167" s="74" t="s">
        <v>29</v>
      </c>
      <c r="H167" s="83">
        <f t="shared" si="4"/>
        <v>597401.78498244658</v>
      </c>
    </row>
    <row r="168" spans="2:8" s="74" customFormat="1" ht="12.75">
      <c r="B168" s="30" t="s">
        <v>72</v>
      </c>
      <c r="F168" s="74" t="s">
        <v>29</v>
      </c>
      <c r="H168" s="83">
        <f t="shared" si="4"/>
        <v>603136.31033551286</v>
      </c>
    </row>
    <row r="169" spans="2:8" s="74" customFormat="1" ht="12.75">
      <c r="B169" s="51" t="s">
        <v>123</v>
      </c>
      <c r="F169" s="74" t="s">
        <v>29</v>
      </c>
      <c r="H169" s="85">
        <f>SUM(H157:H168)</f>
        <v>6694909.7514448725</v>
      </c>
    </row>
    <row r="170" spans="2:8" s="74" customFormat="1" ht="12.75"/>
    <row r="171" spans="2:8" s="74" customFormat="1" ht="12.75"/>
    <row r="172" spans="2:8" s="74" customFormat="1" ht="12.75"/>
    <row r="173" spans="2:8" s="74" customFormat="1" ht="12.75"/>
    <row r="174" spans="2:8" s="86" customFormat="1" ht="12.75"/>
    <row r="175" spans="2:8" s="86" customFormat="1" ht="12.75"/>
    <row r="176" spans="2:8" s="86" customFormat="1" ht="12.75"/>
    <row r="177" s="86" customFormat="1" ht="12.75"/>
    <row r="178" s="86" customFormat="1" ht="12.75"/>
    <row r="179" s="86" customFormat="1" ht="12.75"/>
    <row r="180" s="86" customFormat="1" ht="12.75"/>
    <row r="181" s="86" customFormat="1" ht="12.75"/>
    <row r="182" s="86" customFormat="1" ht="12.75"/>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165"/>
  <sheetViews>
    <sheetView showGridLines="0" zoomScale="85" zoomScaleNormal="85" workbookViewId="0">
      <pane xSplit="6" ySplit="8" topLeftCell="G9" activePane="bottomRight" state="frozen"/>
      <selection pane="topRight" activeCell="G1" sqref="G1"/>
      <selection pane="bottomLeft" activeCell="A11" sqref="A11"/>
      <selection pane="bottomRight" activeCell="G9" sqref="G9"/>
    </sheetView>
  </sheetViews>
  <sheetFormatPr defaultRowHeight="15"/>
  <cols>
    <col min="1" max="1" width="4.28515625" customWidth="1"/>
    <col min="2" max="2" width="81.85546875" customWidth="1"/>
    <col min="3" max="5" width="5.5703125" customWidth="1"/>
    <col min="6" max="6" width="23.140625" customWidth="1"/>
    <col min="7" max="7" width="4.140625" customWidth="1"/>
    <col min="8" max="8" width="20.42578125" customWidth="1"/>
    <col min="9" max="9" width="4.140625" customWidth="1"/>
    <col min="10" max="10" width="30.42578125" customWidth="1"/>
  </cols>
  <sheetData>
    <row r="2" spans="2:10" s="26" customFormat="1" ht="18">
      <c r="B2" s="26" t="s">
        <v>176</v>
      </c>
    </row>
    <row r="3" spans="2:10" s="2" customFormat="1" ht="12.75"/>
    <row r="4" spans="2:10" s="2" customFormat="1" ht="12.75">
      <c r="B4" s="1" t="s">
        <v>152</v>
      </c>
      <c r="C4" s="1"/>
      <c r="D4" s="1"/>
    </row>
    <row r="5" spans="2:10" s="2" customFormat="1" ht="12.75">
      <c r="B5" s="30" t="s">
        <v>88</v>
      </c>
      <c r="C5" s="35"/>
      <c r="D5" s="3"/>
      <c r="H5" s="27"/>
    </row>
    <row r="6" spans="2:10" s="2" customFormat="1" ht="12.75">
      <c r="B6" s="30"/>
      <c r="C6" s="3"/>
      <c r="D6" s="3"/>
      <c r="H6" s="27"/>
    </row>
    <row r="7" spans="2:10" s="2" customFormat="1" ht="12.75">
      <c r="B7" s="5"/>
      <c r="C7" s="3"/>
      <c r="D7" s="3"/>
    </row>
    <row r="8" spans="2:10" s="8" customFormat="1" ht="12.75">
      <c r="B8" s="8" t="s">
        <v>10</v>
      </c>
      <c r="F8" s="8" t="s">
        <v>11</v>
      </c>
      <c r="H8" s="56" t="s">
        <v>12</v>
      </c>
      <c r="J8" s="8" t="s">
        <v>14</v>
      </c>
    </row>
    <row r="9" spans="2:10" s="2" customFormat="1" ht="12.75"/>
    <row r="10" spans="2:10" s="74" customFormat="1" ht="12.75"/>
    <row r="11" spans="2:10" s="56" customFormat="1" ht="12.75">
      <c r="B11" s="56" t="s">
        <v>193</v>
      </c>
    </row>
    <row r="12" spans="2:10" s="74" customFormat="1" ht="12.75"/>
    <row r="13" spans="2:10" s="74" customFormat="1" ht="12.75">
      <c r="B13" s="68" t="s">
        <v>397</v>
      </c>
    </row>
    <row r="14" spans="2:10" s="74" customFormat="1" ht="12.75">
      <c r="B14" s="149" t="s">
        <v>471</v>
      </c>
      <c r="F14" s="74" t="s">
        <v>37</v>
      </c>
      <c r="H14" s="49">
        <f>Parameters!L20</f>
        <v>6.0000000000000001E-3</v>
      </c>
    </row>
    <row r="15" spans="2:10" s="74" customFormat="1" ht="12.75">
      <c r="B15" s="149" t="s">
        <v>472</v>
      </c>
      <c r="F15" s="74" t="s">
        <v>37</v>
      </c>
      <c r="H15" s="49">
        <f>Parameters!L21</f>
        <v>3.5000000000000003E-2</v>
      </c>
    </row>
    <row r="16" spans="2:10" s="74" customFormat="1" ht="12.75"/>
    <row r="17" spans="2:10" s="74" customFormat="1" ht="12.75">
      <c r="B17" s="68" t="s">
        <v>473</v>
      </c>
    </row>
    <row r="18" spans="2:10" s="74" customFormat="1" ht="12.75">
      <c r="B18" s="74" t="s">
        <v>124</v>
      </c>
      <c r="F18" s="74" t="s">
        <v>53</v>
      </c>
      <c r="H18" s="87">
        <f>'Realized Fuel costs '!H103</f>
        <v>0.10879999999999999</v>
      </c>
      <c r="J18" s="30" t="s">
        <v>478</v>
      </c>
    </row>
    <row r="19" spans="2:10" s="74" customFormat="1" ht="12.75">
      <c r="B19" s="74" t="s">
        <v>125</v>
      </c>
      <c r="F19" s="74" t="s">
        <v>30</v>
      </c>
      <c r="H19" s="88">
        <f>'Realized Fuel costs '!H84+'Realized Fuel costs '!H85</f>
        <v>105500000</v>
      </c>
      <c r="J19" s="30" t="s">
        <v>478</v>
      </c>
    </row>
    <row r="20" spans="2:10" s="74" customFormat="1" ht="12.75">
      <c r="B20" s="74" t="s">
        <v>126</v>
      </c>
      <c r="F20" s="74" t="s">
        <v>30</v>
      </c>
      <c r="H20" s="88">
        <f>'Realized production'!H53*1000</f>
        <v>104402922.99999999</v>
      </c>
    </row>
    <row r="21" spans="2:10" s="74" customFormat="1" ht="12.75">
      <c r="B21" s="74" t="s">
        <v>173</v>
      </c>
      <c r="F21" s="74" t="s">
        <v>55</v>
      </c>
      <c r="H21" s="42">
        <f>(H19-H20)*H18</f>
        <v>119361.97760000161</v>
      </c>
      <c r="J21" s="149" t="s">
        <v>476</v>
      </c>
    </row>
    <row r="22" spans="2:10" s="74" customFormat="1" ht="12.75"/>
    <row r="23" spans="2:10" s="74" customFormat="1" ht="12.75">
      <c r="B23" s="68" t="s">
        <v>172</v>
      </c>
    </row>
    <row r="24" spans="2:10" s="74" customFormat="1" ht="12.75">
      <c r="B24" s="74" t="s">
        <v>89</v>
      </c>
      <c r="F24" s="74" t="s">
        <v>55</v>
      </c>
      <c r="H24" s="88">
        <f>'Estimated costs of 2017'!H48</f>
        <v>12389749.258285575</v>
      </c>
    </row>
    <row r="25" spans="2:10" s="74" customFormat="1" ht="12.75">
      <c r="B25" s="74" t="s">
        <v>90</v>
      </c>
      <c r="F25" s="74" t="s">
        <v>55</v>
      </c>
      <c r="H25" s="88">
        <f>'Realized costs of 2017'!H114</f>
        <v>12226040.045336364</v>
      </c>
      <c r="J25" s="55"/>
    </row>
    <row r="26" spans="2:10" s="74" customFormat="1" ht="12.75">
      <c r="B26" s="93" t="s">
        <v>201</v>
      </c>
      <c r="F26" s="93" t="s">
        <v>37</v>
      </c>
      <c r="H26" s="96">
        <f>Parameters!H33</f>
        <v>0.5</v>
      </c>
      <c r="J26" s="55"/>
    </row>
    <row r="27" spans="2:10" s="74" customFormat="1" ht="12.75">
      <c r="B27" s="74" t="s">
        <v>174</v>
      </c>
      <c r="F27" s="74" t="s">
        <v>55</v>
      </c>
      <c r="H27" s="42">
        <f>(H25-H24)*H26</f>
        <v>-81854.606474605389</v>
      </c>
      <c r="J27" s="149" t="s">
        <v>475</v>
      </c>
    </row>
    <row r="28" spans="2:10" s="74" customFormat="1" ht="12.75"/>
    <row r="29" spans="2:10" s="74" customFormat="1" ht="12.75">
      <c r="B29" s="68" t="s">
        <v>175</v>
      </c>
    </row>
    <row r="30" spans="2:10" s="74" customFormat="1" ht="12.75">
      <c r="B30" s="74" t="s">
        <v>127</v>
      </c>
      <c r="F30" s="74" t="s">
        <v>55</v>
      </c>
      <c r="H30" s="88">
        <f>'Calculation fuel costs 2017'!H169</f>
        <v>6694909.7514448725</v>
      </c>
    </row>
    <row r="31" spans="2:10" s="74" customFormat="1" ht="12.75">
      <c r="B31" s="74" t="s">
        <v>128</v>
      </c>
      <c r="F31" s="74" t="s">
        <v>55</v>
      </c>
      <c r="H31" s="88">
        <f>'Calculation fuel costs 2017'!H138</f>
        <v>7208253.7099429723</v>
      </c>
      <c r="J31" s="55"/>
    </row>
    <row r="32" spans="2:10" s="74" customFormat="1" ht="12.75">
      <c r="B32" s="149" t="s">
        <v>418</v>
      </c>
      <c r="F32" s="74" t="s">
        <v>55</v>
      </c>
      <c r="H32" s="42">
        <f>H31-H30</f>
        <v>513343.95849809982</v>
      </c>
      <c r="J32" s="149" t="s">
        <v>477</v>
      </c>
    </row>
    <row r="33" spans="2:8" s="74" customFormat="1" ht="12" customHeight="1">
      <c r="B33" s="68"/>
    </row>
    <row r="34" spans="2:8" s="74" customFormat="1" ht="12.75">
      <c r="B34" s="68" t="s">
        <v>206</v>
      </c>
    </row>
    <row r="35" spans="2:8" s="74" customFormat="1" ht="12.75">
      <c r="B35" s="149" t="s">
        <v>474</v>
      </c>
      <c r="F35" s="93" t="s">
        <v>54</v>
      </c>
      <c r="H35" s="46">
        <f>H21*(1+$H$14)*(1+$H$15)</f>
        <v>124280.88469689767</v>
      </c>
    </row>
    <row r="36" spans="2:8" s="74" customFormat="1" ht="12.75">
      <c r="B36" s="93" t="s">
        <v>208</v>
      </c>
      <c r="F36" s="93" t="s">
        <v>54</v>
      </c>
      <c r="H36" s="46">
        <f>H27*(1+$H$14)*(1+$H$15)</f>
        <v>-85227.834807423875</v>
      </c>
    </row>
    <row r="37" spans="2:8" s="74" customFormat="1" ht="12.75">
      <c r="B37" s="93" t="s">
        <v>209</v>
      </c>
      <c r="F37" s="93" t="s">
        <v>54</v>
      </c>
      <c r="H37" s="46">
        <f>H32*(1+$H$14)*(1+$H$15)</f>
        <v>534498.86302780651</v>
      </c>
    </row>
    <row r="38" spans="2:8" s="74" customFormat="1" ht="12.75"/>
    <row r="39" spans="2:8" s="74" customFormat="1" ht="12.75"/>
    <row r="40" spans="2:8" s="74" customFormat="1" ht="12.75"/>
    <row r="41" spans="2:8" s="74" customFormat="1" ht="12.75"/>
    <row r="42" spans="2:8" s="74" customFormat="1" ht="12.75"/>
    <row r="43" spans="2:8" s="74" customFormat="1" ht="12.75"/>
    <row r="44" spans="2:8" s="74" customFormat="1" ht="12.75"/>
    <row r="45" spans="2:8" s="74" customFormat="1" ht="12.75"/>
    <row r="46" spans="2:8" s="74" customFormat="1" ht="12.75"/>
    <row r="47" spans="2:8" s="74" customFormat="1" ht="12.75"/>
    <row r="48" spans="2:8" s="74" customFormat="1" ht="12.75"/>
    <row r="49" s="74" customFormat="1" ht="12.75"/>
    <row r="50" s="74" customFormat="1" ht="12.75"/>
    <row r="51" s="74" customFormat="1" ht="12.75"/>
    <row r="52" s="74" customFormat="1" ht="12.75"/>
    <row r="53" s="74" customFormat="1" ht="12.75"/>
    <row r="54" s="74" customFormat="1" ht="12.75"/>
    <row r="55" s="74" customFormat="1" ht="12.75"/>
    <row r="56" s="74" customFormat="1" ht="12.75"/>
    <row r="57" s="74" customFormat="1" ht="12.75"/>
    <row r="58" s="74" customFormat="1" ht="12.75"/>
    <row r="59" s="74" customFormat="1" ht="12.75"/>
    <row r="60" s="74" customFormat="1" ht="12.75"/>
    <row r="61" s="74" customFormat="1" ht="12.75"/>
    <row r="62" s="74" customFormat="1" ht="12.75"/>
    <row r="63" s="74" customFormat="1" ht="12.75"/>
    <row r="64" s="74" customFormat="1" ht="12.75"/>
    <row r="65" s="74" customFormat="1" ht="12.75"/>
    <row r="66" s="74" customFormat="1" ht="12.75"/>
    <row r="67" s="74" customFormat="1" ht="12.75"/>
    <row r="68" s="74" customFormat="1" ht="12.75"/>
    <row r="69" s="74" customFormat="1" ht="12.75"/>
    <row r="70" s="74" customFormat="1" ht="12.75"/>
    <row r="71" s="74" customFormat="1" ht="12.75"/>
    <row r="72" s="74" customFormat="1" ht="12.75"/>
    <row r="73" s="74" customFormat="1" ht="12.75"/>
    <row r="74" s="74" customFormat="1" ht="12.75"/>
    <row r="75" s="74" customFormat="1" ht="12.75"/>
    <row r="76" s="74" customFormat="1" ht="12.75"/>
    <row r="77" s="74" customFormat="1" ht="12.75"/>
    <row r="78" s="74" customFormat="1" ht="12.75"/>
    <row r="79" s="74" customFormat="1" ht="12.75"/>
    <row r="80" s="74" customFormat="1" ht="12.75"/>
    <row r="81" s="74" customFormat="1" ht="12.75"/>
    <row r="82" s="74" customFormat="1" ht="12.75"/>
    <row r="83" s="74" customFormat="1" ht="12.75"/>
    <row r="84" s="74" customFormat="1" ht="12.75"/>
    <row r="85" s="74" customFormat="1" ht="12.75"/>
    <row r="86" s="74" customFormat="1" ht="12.75"/>
    <row r="87" s="74" customFormat="1" ht="12.75"/>
    <row r="88" s="74" customFormat="1" ht="12.75"/>
    <row r="89" s="74" customFormat="1" ht="12.75"/>
    <row r="90" s="74" customFormat="1" ht="12.75"/>
    <row r="91" s="74" customFormat="1" ht="12.75"/>
    <row r="92" s="74" customFormat="1" ht="12.75"/>
    <row r="93" s="74" customFormat="1" ht="12.75"/>
    <row r="94" s="74" customFormat="1" ht="12.75"/>
    <row r="95" s="74" customFormat="1" ht="12.75"/>
    <row r="96" s="74" customFormat="1" ht="12.75"/>
    <row r="97" s="74" customFormat="1" ht="12.75"/>
    <row r="98" s="74" customFormat="1" ht="12.75"/>
    <row r="99" s="74" customFormat="1" ht="12.75"/>
    <row r="100" s="74" customFormat="1" ht="12.75"/>
    <row r="101" s="74" customFormat="1" ht="12.75"/>
    <row r="102" s="74" customFormat="1" ht="12.75"/>
    <row r="103" s="74" customFormat="1" ht="12.75"/>
    <row r="104" s="74" customFormat="1" ht="12.75"/>
    <row r="105" s="74" customFormat="1" ht="12.75"/>
    <row r="106" s="74" customFormat="1" ht="12.75"/>
    <row r="107" s="74" customFormat="1" ht="12.75"/>
    <row r="108" s="74" customFormat="1" ht="12.75"/>
    <row r="109" s="74" customFormat="1" ht="12.75"/>
    <row r="110" s="74" customFormat="1" ht="12.75"/>
    <row r="111" s="74" customFormat="1" ht="12.75"/>
    <row r="112" s="74" customFormat="1" ht="12.75"/>
    <row r="113" s="74" customFormat="1" ht="12.75"/>
    <row r="114" s="74" customFormat="1" ht="12.75"/>
    <row r="115" s="74" customFormat="1" ht="12.75"/>
    <row r="116" s="74" customFormat="1" ht="12.75"/>
    <row r="117" s="74" customFormat="1" ht="12.75"/>
    <row r="118" s="74" customFormat="1" ht="12.75"/>
    <row r="119" s="74" customFormat="1" ht="12.75"/>
    <row r="120" s="74" customFormat="1" ht="12.75"/>
    <row r="121" s="74" customFormat="1" ht="12.75"/>
    <row r="122" s="74" customFormat="1" ht="12.75"/>
    <row r="123" s="74" customFormat="1" ht="12.75"/>
    <row r="124" s="74" customFormat="1" ht="12.75"/>
    <row r="125" s="74" customFormat="1" ht="12.75"/>
    <row r="126" s="74" customFormat="1" ht="12.75"/>
    <row r="127" s="74" customFormat="1" ht="12.75"/>
    <row r="128" s="74" customFormat="1" ht="12.75"/>
    <row r="129" s="74" customFormat="1" ht="12.75"/>
    <row r="130" s="74" customFormat="1" ht="12.75"/>
    <row r="131" s="74" customFormat="1" ht="12.75"/>
    <row r="132" s="74" customFormat="1" ht="12.75"/>
    <row r="133" s="74" customFormat="1" ht="12.75"/>
    <row r="134" s="74" customFormat="1" ht="12.75"/>
    <row r="135" s="74" customFormat="1" ht="12.75"/>
    <row r="136" s="74" customFormat="1" ht="12.75"/>
    <row r="137" s="74" customFormat="1" ht="12.75"/>
    <row r="138" s="74" customFormat="1" ht="12.75"/>
    <row r="139" s="74" customFormat="1" ht="12.75"/>
    <row r="140" s="74" customFormat="1" ht="12.75"/>
    <row r="141" s="74" customFormat="1" ht="12.75"/>
    <row r="142" s="74" customFormat="1" ht="12.75"/>
    <row r="143" s="74" customFormat="1" ht="12.75"/>
    <row r="144" s="74" customFormat="1" ht="12.75"/>
    <row r="145" s="74" customFormat="1" ht="12.75"/>
    <row r="146" s="74" customFormat="1" ht="12.75"/>
    <row r="147" s="74" customFormat="1" ht="12.75"/>
    <row r="148" s="74" customFormat="1" ht="12.75"/>
    <row r="149" s="74" customFormat="1" ht="12.75"/>
    <row r="150" s="74" customFormat="1" ht="12.75"/>
    <row r="151" s="74" customFormat="1" ht="12.75"/>
    <row r="152" s="74" customFormat="1" ht="12.75"/>
    <row r="153" s="74" customFormat="1" ht="12.75"/>
    <row r="154" s="74" customFormat="1" ht="12.75"/>
    <row r="155" s="74" customFormat="1" ht="12.75"/>
    <row r="156" s="74" customFormat="1" ht="12.75"/>
    <row r="157" s="74" customFormat="1" ht="12.75"/>
    <row r="158" s="74" customFormat="1" ht="12.75"/>
    <row r="159" s="74" customFormat="1" ht="12.75"/>
    <row r="160" s="74" customFormat="1" ht="12.75"/>
    <row r="161" s="74" customFormat="1" ht="12.75"/>
    <row r="162" s="74" customFormat="1" ht="12.75"/>
    <row r="163" s="74" customFormat="1" ht="12.75"/>
    <row r="164" s="74" customFormat="1" ht="12.75"/>
    <row r="165" s="74" customFormat="1" ht="12.7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184"/>
  <sheetViews>
    <sheetView showGridLines="0" zoomScale="85" zoomScaleNormal="85" workbookViewId="0">
      <pane xSplit="6" ySplit="11" topLeftCell="G12" activePane="bottomRight" state="frozen"/>
      <selection pane="topRight" activeCell="G1" sqref="G1"/>
      <selection pane="bottomLeft" activeCell="A11" sqref="A11"/>
      <selection pane="bottomRight" activeCell="G12" sqref="G12"/>
    </sheetView>
  </sheetViews>
  <sheetFormatPr defaultRowHeight="15"/>
  <cols>
    <col min="1" max="1" width="4.28515625" customWidth="1"/>
    <col min="2" max="2" width="81.85546875" customWidth="1"/>
    <col min="3" max="5" width="5.5703125" customWidth="1"/>
    <col min="6" max="6" width="23.140625" customWidth="1"/>
    <col min="7" max="7" width="4.140625" customWidth="1"/>
    <col min="8" max="8" width="20.42578125" customWidth="1"/>
    <col min="9" max="9" width="4.140625" customWidth="1"/>
    <col min="10" max="10" width="30.42578125" customWidth="1"/>
  </cols>
  <sheetData>
    <row r="2" spans="2:10" s="26" customFormat="1" ht="18">
      <c r="B2" s="26" t="s">
        <v>177</v>
      </c>
    </row>
    <row r="3" spans="2:10" s="2" customFormat="1" ht="12.75"/>
    <row r="4" spans="2:10" s="2" customFormat="1" ht="12.75">
      <c r="B4" s="1" t="s">
        <v>152</v>
      </c>
      <c r="C4" s="1"/>
      <c r="D4" s="1"/>
    </row>
    <row r="5" spans="2:10" s="2" customFormat="1" ht="12.75">
      <c r="B5" s="30" t="s">
        <v>178</v>
      </c>
      <c r="D5" s="3"/>
      <c r="H5" s="27"/>
      <c r="J5" s="35"/>
    </row>
    <row r="6" spans="2:10" s="2" customFormat="1" ht="12.75">
      <c r="B6" s="30"/>
      <c r="C6" s="3"/>
      <c r="D6" s="3"/>
      <c r="H6" s="27"/>
    </row>
    <row r="7" spans="2:10" s="2" customFormat="1" ht="12.75">
      <c r="B7" s="5" t="s">
        <v>57</v>
      </c>
      <c r="C7" s="3"/>
      <c r="D7" s="3"/>
      <c r="H7" s="27"/>
    </row>
    <row r="8" spans="2:10" s="2" customFormat="1" ht="12.75">
      <c r="B8" s="2" t="s">
        <v>432</v>
      </c>
      <c r="C8" s="3"/>
      <c r="D8" s="3"/>
    </row>
    <row r="9" spans="2:10" s="2" customFormat="1" ht="12.75">
      <c r="B9" s="5"/>
      <c r="C9" s="3"/>
      <c r="D9" s="3"/>
    </row>
    <row r="10" spans="2:10" s="2" customFormat="1" ht="12.75">
      <c r="B10" s="5"/>
      <c r="C10" s="3"/>
      <c r="D10" s="3"/>
    </row>
    <row r="11" spans="2:10" s="8" customFormat="1" ht="12.75">
      <c r="B11" s="8" t="s">
        <v>10</v>
      </c>
      <c r="F11" s="8" t="s">
        <v>11</v>
      </c>
      <c r="H11" s="56" t="s">
        <v>12</v>
      </c>
      <c r="J11" s="8" t="s">
        <v>14</v>
      </c>
    </row>
    <row r="12" spans="2:10" s="2" customFormat="1" ht="12.75"/>
    <row r="13" spans="2:10" s="74" customFormat="1" ht="12.75"/>
    <row r="14" spans="2:10" s="56" customFormat="1" ht="12.75">
      <c r="B14" s="56" t="s">
        <v>171</v>
      </c>
    </row>
    <row r="15" spans="2:10" s="74" customFormat="1" ht="12.75"/>
    <row r="16" spans="2:10" s="74" customFormat="1" ht="12.75">
      <c r="B16" s="68" t="s">
        <v>397</v>
      </c>
    </row>
    <row r="17" spans="2:10" s="74" customFormat="1" ht="12.75">
      <c r="B17" s="149" t="s">
        <v>335</v>
      </c>
      <c r="F17" s="74" t="s">
        <v>37</v>
      </c>
      <c r="H17" s="49">
        <f>Parameters!L20</f>
        <v>6.0000000000000001E-3</v>
      </c>
    </row>
    <row r="18" spans="2:10" s="74" customFormat="1" ht="12.75">
      <c r="B18" s="149" t="s">
        <v>336</v>
      </c>
      <c r="F18" s="74" t="s">
        <v>37</v>
      </c>
      <c r="H18" s="49">
        <f>Parameters!L21</f>
        <v>3.5000000000000003E-2</v>
      </c>
    </row>
    <row r="19" spans="2:10" s="74" customFormat="1" ht="12.75">
      <c r="B19" s="149" t="s">
        <v>398</v>
      </c>
      <c r="F19" s="74" t="s">
        <v>37</v>
      </c>
      <c r="H19" s="49">
        <f>Parameters!M28</f>
        <v>6.3200000000000006E-2</v>
      </c>
    </row>
    <row r="20" spans="2:10" s="74" customFormat="1" ht="12.75"/>
    <row r="21" spans="2:10" s="74" customFormat="1" ht="12.75">
      <c r="B21" s="68" t="s">
        <v>179</v>
      </c>
    </row>
    <row r="22" spans="2:10" s="74" customFormat="1" ht="12.75">
      <c r="B22" s="30" t="s">
        <v>456</v>
      </c>
      <c r="F22" s="74" t="s">
        <v>29</v>
      </c>
      <c r="H22" s="88">
        <f>'Realized costs of 2017'!H127</f>
        <v>36630583.445945323</v>
      </c>
      <c r="J22" s="30"/>
    </row>
    <row r="23" spans="2:10" s="74" customFormat="1" ht="12.75">
      <c r="B23" s="2" t="s">
        <v>169</v>
      </c>
      <c r="F23" s="74" t="s">
        <v>29</v>
      </c>
      <c r="H23" s="88">
        <f>'Realized costs of 2017'!H128</f>
        <v>2910465.7980391067</v>
      </c>
      <c r="J23" s="30"/>
    </row>
    <row r="24" spans="2:10" s="74" customFormat="1" ht="12.75">
      <c r="B24" s="2" t="s">
        <v>284</v>
      </c>
      <c r="C24" s="2"/>
      <c r="D24" s="2"/>
      <c r="E24" s="2"/>
      <c r="F24" s="2" t="s">
        <v>55</v>
      </c>
      <c r="G24" s="2"/>
      <c r="H24" s="88">
        <f>'Realized costs of 2017'!H129</f>
        <v>5907455</v>
      </c>
    </row>
    <row r="25" spans="2:10" s="74" customFormat="1" ht="12.75">
      <c r="B25" s="2" t="s">
        <v>312</v>
      </c>
      <c r="C25" s="2"/>
      <c r="D25" s="2"/>
      <c r="E25" s="2"/>
      <c r="F25" s="2" t="s">
        <v>54</v>
      </c>
      <c r="G25" s="2"/>
      <c r="H25" s="88">
        <f>'Realized costs of 2017'!H130</f>
        <v>659856</v>
      </c>
    </row>
    <row r="26" spans="2:10" s="74" customFormat="1" ht="12.75"/>
    <row r="27" spans="2:10" s="74" customFormat="1" ht="12.75">
      <c r="B27" s="68" t="s">
        <v>181</v>
      </c>
    </row>
    <row r="28" spans="2:10" s="74" customFormat="1" ht="12.75"/>
    <row r="29" spans="2:10" s="74" customFormat="1" ht="12.75">
      <c r="B29" s="89" t="s">
        <v>183</v>
      </c>
    </row>
    <row r="30" spans="2:10" s="74" customFormat="1" ht="12.75">
      <c r="B30" s="74" t="s">
        <v>184</v>
      </c>
      <c r="F30" s="74" t="s">
        <v>29</v>
      </c>
      <c r="H30" s="39">
        <f>'Est. production and costs 2019'!H33</f>
        <v>7200000</v>
      </c>
    </row>
    <row r="31" spans="2:10" s="74" customFormat="1" ht="12.75">
      <c r="B31" s="64" t="s">
        <v>25</v>
      </c>
      <c r="F31" s="64" t="s">
        <v>47</v>
      </c>
      <c r="H31" s="39">
        <f>'Est. production and costs 2019'!H34</f>
        <v>15</v>
      </c>
    </row>
    <row r="32" spans="2:10" s="74" customFormat="1" ht="12.75">
      <c r="B32" s="64" t="s">
        <v>26</v>
      </c>
      <c r="F32" s="64" t="s">
        <v>48</v>
      </c>
      <c r="H32" s="48">
        <f>'Est. production and costs 2019'!H35</f>
        <v>43466</v>
      </c>
    </row>
    <row r="33" spans="2:10" s="74" customFormat="1" ht="12.75">
      <c r="B33" s="64"/>
    </row>
    <row r="34" spans="2:10" s="74" customFormat="1" ht="12.75">
      <c r="B34" s="89" t="s">
        <v>151</v>
      </c>
    </row>
    <row r="35" spans="2:10" s="74" customFormat="1" ht="12.75">
      <c r="B35" s="74" t="s">
        <v>184</v>
      </c>
      <c r="F35" s="74" t="s">
        <v>29</v>
      </c>
      <c r="H35" s="39">
        <f>'Est. production and costs 2019'!H37</f>
        <v>14790000</v>
      </c>
    </row>
    <row r="36" spans="2:10" s="74" customFormat="1" ht="12.75">
      <c r="B36" s="64" t="s">
        <v>25</v>
      </c>
      <c r="F36" s="64" t="s">
        <v>47</v>
      </c>
      <c r="H36" s="39">
        <f>'Est. production and costs 2019'!H38</f>
        <v>15</v>
      </c>
    </row>
    <row r="37" spans="2:10" s="74" customFormat="1" ht="12.75">
      <c r="B37" s="64" t="s">
        <v>26</v>
      </c>
      <c r="F37" s="64" t="s">
        <v>48</v>
      </c>
      <c r="H37" s="48">
        <f>'Est. production and costs 2019'!H39</f>
        <v>43709</v>
      </c>
    </row>
    <row r="38" spans="2:10" s="74" customFormat="1" ht="12.75"/>
    <row r="39" spans="2:10" s="74" customFormat="1" ht="12.75">
      <c r="B39" s="68" t="s">
        <v>228</v>
      </c>
      <c r="F39" s="93" t="s">
        <v>29</v>
      </c>
      <c r="H39" s="39">
        <f>'Est. production and costs 2019'!H52</f>
        <v>523680</v>
      </c>
    </row>
    <row r="40" spans="2:10" s="74" customFormat="1" ht="12.75"/>
    <row r="41" spans="2:10" s="74" customFormat="1" ht="12.75">
      <c r="B41" s="68" t="s">
        <v>190</v>
      </c>
    </row>
    <row r="42" spans="2:10" s="74" customFormat="1" ht="12.75">
      <c r="B42" s="2" t="s">
        <v>229</v>
      </c>
      <c r="C42" s="2"/>
      <c r="D42" s="2"/>
      <c r="E42" s="2"/>
      <c r="F42" s="2" t="s">
        <v>113</v>
      </c>
      <c r="H42" s="92">
        <f>'Realized Fuel costs '!H91</f>
        <v>1.5760000000000001E-3</v>
      </c>
    </row>
    <row r="43" spans="2:10" s="74" customFormat="1" ht="12.75">
      <c r="B43" s="2" t="s">
        <v>235</v>
      </c>
      <c r="C43" s="2"/>
      <c r="D43" s="2"/>
      <c r="E43" s="2"/>
      <c r="F43" s="2" t="s">
        <v>37</v>
      </c>
      <c r="H43" s="49">
        <f>'Realized Fuel costs '!H93</f>
        <v>0.97770000000000001</v>
      </c>
    </row>
    <row r="44" spans="2:10" s="74" customFormat="1" ht="12.75">
      <c r="B44" s="2" t="s">
        <v>236</v>
      </c>
      <c r="C44" s="2"/>
      <c r="D44" s="2"/>
      <c r="E44" s="2"/>
      <c r="F44" s="2" t="s">
        <v>37</v>
      </c>
      <c r="H44" s="49">
        <f>'Realized Fuel costs '!H94</f>
        <v>2.23E-2</v>
      </c>
    </row>
    <row r="45" spans="2:10" s="74" customFormat="1" ht="12.75">
      <c r="B45" s="2" t="s">
        <v>237</v>
      </c>
      <c r="C45" s="2"/>
      <c r="D45" s="2"/>
      <c r="E45" s="2"/>
      <c r="F45" s="2" t="s">
        <v>37</v>
      </c>
      <c r="H45" s="127">
        <v>1</v>
      </c>
    </row>
    <row r="46" spans="2:10" s="74" customFormat="1" ht="12.75">
      <c r="B46" s="2" t="s">
        <v>191</v>
      </c>
      <c r="C46" s="2"/>
      <c r="D46" s="2"/>
      <c r="E46" s="2"/>
      <c r="F46" s="2" t="s">
        <v>52</v>
      </c>
      <c r="H46" s="91">
        <f>'Realized Fuel costs '!H97</f>
        <v>90.216700000000003</v>
      </c>
      <c r="J46" s="93" t="s">
        <v>198</v>
      </c>
    </row>
    <row r="47" spans="2:10" s="74" customFormat="1" ht="12.75">
      <c r="B47" s="2" t="s">
        <v>192</v>
      </c>
      <c r="C47" s="2"/>
      <c r="D47" s="2"/>
      <c r="E47" s="2"/>
      <c r="F47" s="2" t="s">
        <v>52</v>
      </c>
      <c r="H47" s="91">
        <f>'Realized Fuel costs '!H99</f>
        <v>128.79000000000002</v>
      </c>
      <c r="J47" s="93" t="s">
        <v>198</v>
      </c>
    </row>
    <row r="48" spans="2:10" s="74" customFormat="1" ht="12.75">
      <c r="B48" s="2" t="s">
        <v>230</v>
      </c>
      <c r="C48" s="2"/>
      <c r="D48" s="2"/>
      <c r="E48" s="2"/>
      <c r="F48" s="2" t="s">
        <v>113</v>
      </c>
      <c r="H48" s="92">
        <f>'Est. production and costs 2019'!H27</f>
        <v>1.6050000000000001E-3</v>
      </c>
      <c r="J48" s="93"/>
    </row>
    <row r="49" spans="2:8" s="74" customFormat="1" ht="12.75"/>
    <row r="50" spans="2:8" s="74" customFormat="1" ht="12.75">
      <c r="B50" s="68" t="s">
        <v>231</v>
      </c>
    </row>
    <row r="51" spans="2:8" s="74" customFormat="1" ht="12.75">
      <c r="B51" s="104" t="s">
        <v>250</v>
      </c>
      <c r="F51" s="93" t="s">
        <v>30</v>
      </c>
      <c r="H51" s="39">
        <f>'Est. production and costs 2019'!J13*1000</f>
        <v>71281000</v>
      </c>
    </row>
    <row r="52" spans="2:8" s="74" customFormat="1" ht="12.75">
      <c r="B52" s="104" t="s">
        <v>221</v>
      </c>
      <c r="F52" s="93" t="s">
        <v>30</v>
      </c>
      <c r="H52" s="39">
        <f>'Est. production and costs 2019'!J14*1000</f>
        <v>12456000</v>
      </c>
    </row>
    <row r="53" spans="2:8" s="74" customFormat="1" ht="12.75">
      <c r="B53" s="104" t="s">
        <v>79</v>
      </c>
      <c r="F53" s="93" t="s">
        <v>30</v>
      </c>
      <c r="H53" s="39">
        <f>'Est. production and costs 2019'!J15*1000</f>
        <v>30701000</v>
      </c>
    </row>
    <row r="54" spans="2:8" s="74" customFormat="1" ht="12.75">
      <c r="B54" s="104" t="s">
        <v>222</v>
      </c>
      <c r="F54" s="93" t="s">
        <v>30</v>
      </c>
      <c r="H54" s="39">
        <f>'Est. production and costs 2019'!J16*1000</f>
        <v>2637000</v>
      </c>
    </row>
    <row r="55" spans="2:8" s="74" customFormat="1" ht="12.75">
      <c r="B55" s="104" t="s">
        <v>224</v>
      </c>
      <c r="F55" s="93" t="s">
        <v>30</v>
      </c>
      <c r="H55" s="42">
        <f>SUM(H51:H54)</f>
        <v>117075000</v>
      </c>
    </row>
    <row r="56" spans="2:8" s="74" customFormat="1" ht="12.75">
      <c r="B56" s="89"/>
    </row>
    <row r="57" spans="2:8" s="74" customFormat="1" ht="12.75"/>
    <row r="58" spans="2:8" s="56" customFormat="1" ht="12.75">
      <c r="B58" s="56" t="s">
        <v>186</v>
      </c>
    </row>
    <row r="59" spans="2:8" s="74" customFormat="1" ht="12.75"/>
    <row r="60" spans="2:8" s="74" customFormat="1" ht="12.75">
      <c r="B60" s="68" t="s">
        <v>194</v>
      </c>
    </row>
    <row r="61" spans="2:8" s="74" customFormat="1" ht="12.75">
      <c r="B61" s="93" t="s">
        <v>195</v>
      </c>
      <c r="F61" s="93" t="s">
        <v>54</v>
      </c>
      <c r="H61" s="42">
        <f>H24*(1+H17)*(1+H18)+H25</f>
        <v>6810757.2205499997</v>
      </c>
    </row>
    <row r="62" spans="2:8" s="74" customFormat="1" ht="12.75">
      <c r="B62" s="93" t="s">
        <v>17</v>
      </c>
      <c r="F62" s="74" t="s">
        <v>29</v>
      </c>
      <c r="H62" s="42">
        <f>H22*H19+H23</f>
        <v>5225518.6718228515</v>
      </c>
    </row>
    <row r="63" spans="2:8" s="74" customFormat="1" ht="12.75">
      <c r="B63" s="93" t="s">
        <v>196</v>
      </c>
      <c r="F63" s="93" t="s">
        <v>54</v>
      </c>
      <c r="H63" s="46">
        <f>H61+H62</f>
        <v>12036275.89237285</v>
      </c>
    </row>
    <row r="64" spans="2:8" s="74" customFormat="1" ht="12.75"/>
    <row r="65" spans="2:10" s="74" customFormat="1" ht="12.75"/>
    <row r="66" spans="2:10" s="74" customFormat="1" ht="12.75">
      <c r="B66" s="68" t="s">
        <v>182</v>
      </c>
    </row>
    <row r="67" spans="2:10" s="74" customFormat="1" ht="12.75"/>
    <row r="68" spans="2:10" s="74" customFormat="1" ht="12.75">
      <c r="B68" s="89" t="s">
        <v>183</v>
      </c>
    </row>
    <row r="69" spans="2:10" s="74" customFormat="1" ht="12.75">
      <c r="B69" s="2" t="s">
        <v>158</v>
      </c>
      <c r="C69" s="2"/>
      <c r="D69" s="2"/>
      <c r="E69" s="2"/>
      <c r="F69" s="2" t="s">
        <v>29</v>
      </c>
      <c r="G69" s="2"/>
      <c r="H69" s="42">
        <f>H30/H31</f>
        <v>480000</v>
      </c>
    </row>
    <row r="70" spans="2:10" s="74" customFormat="1" ht="12.75">
      <c r="B70" s="2" t="s">
        <v>479</v>
      </c>
      <c r="C70" s="2"/>
      <c r="D70" s="2"/>
      <c r="E70" s="2"/>
      <c r="F70" s="2" t="s">
        <v>29</v>
      </c>
      <c r="G70" s="2"/>
      <c r="H70" s="78">
        <f>H30-(DATE(2020,1,1)-H32)/365.25*H69</f>
        <v>6720328.542094456</v>
      </c>
    </row>
    <row r="71" spans="2:10" s="74" customFormat="1" ht="12.75">
      <c r="B71" s="2" t="s">
        <v>185</v>
      </c>
      <c r="C71" s="2"/>
      <c r="D71" s="2"/>
      <c r="E71" s="2"/>
      <c r="F71" s="2" t="s">
        <v>29</v>
      </c>
      <c r="G71" s="2"/>
      <c r="H71" s="78">
        <f>H30-H70</f>
        <v>479671.45790554397</v>
      </c>
    </row>
    <row r="72" spans="2:10" s="74" customFormat="1" ht="12.75"/>
    <row r="73" spans="2:10" s="74" customFormat="1" ht="12.75">
      <c r="B73" s="89" t="s">
        <v>151</v>
      </c>
    </row>
    <row r="74" spans="2:10" s="74" customFormat="1" ht="12.75">
      <c r="B74" s="2" t="s">
        <v>158</v>
      </c>
      <c r="C74" s="2"/>
      <c r="D74" s="2"/>
      <c r="E74" s="2"/>
      <c r="F74" s="2" t="s">
        <v>29</v>
      </c>
      <c r="G74" s="2"/>
      <c r="H74" s="42">
        <f>H35/H36</f>
        <v>986000</v>
      </c>
    </row>
    <row r="75" spans="2:10" s="74" customFormat="1" ht="12.75">
      <c r="B75" s="2" t="s">
        <v>479</v>
      </c>
      <c r="C75" s="2"/>
      <c r="D75" s="2"/>
      <c r="E75" s="2"/>
      <c r="F75" s="2" t="s">
        <v>29</v>
      </c>
      <c r="G75" s="2"/>
      <c r="H75" s="78">
        <f>H35-(DATE(2020,1,1)-H37)/365.25*H74</f>
        <v>14460658.453114305</v>
      </c>
    </row>
    <row r="76" spans="2:10" s="74" customFormat="1" ht="12.75">
      <c r="B76" s="2" t="s">
        <v>185</v>
      </c>
      <c r="C76" s="2"/>
      <c r="D76" s="2"/>
      <c r="E76" s="2"/>
      <c r="F76" s="2" t="s">
        <v>29</v>
      </c>
      <c r="G76" s="2"/>
      <c r="H76" s="78">
        <f>H35-H75</f>
        <v>329341.54688569531</v>
      </c>
    </row>
    <row r="77" spans="2:10" s="74" customFormat="1" ht="12.75"/>
    <row r="78" spans="2:10" s="74" customFormat="1" ht="12.75">
      <c r="B78" s="93" t="s">
        <v>197</v>
      </c>
      <c r="F78" s="93" t="s">
        <v>54</v>
      </c>
      <c r="H78" s="46">
        <f>(H70+H75)/2*H19+H71+H76</f>
        <v>1478332.1938398364</v>
      </c>
      <c r="J78" s="104" t="s">
        <v>480</v>
      </c>
    </row>
    <row r="79" spans="2:10" s="74" customFormat="1" ht="12.75">
      <c r="B79" s="93" t="s">
        <v>232</v>
      </c>
      <c r="F79" s="93" t="s">
        <v>54</v>
      </c>
      <c r="H79" s="46">
        <f>H39</f>
        <v>523680</v>
      </c>
    </row>
    <row r="80" spans="2:10" s="74" customFormat="1" ht="12.75"/>
    <row r="81" spans="2:8" s="74" customFormat="1" ht="12.75">
      <c r="B81" s="68" t="s">
        <v>233</v>
      </c>
    </row>
    <row r="82" spans="2:8" s="74" customFormat="1" ht="12.75">
      <c r="B82" s="68"/>
    </row>
    <row r="83" spans="2:8" s="74" customFormat="1" ht="12.75">
      <c r="B83" s="68" t="s">
        <v>238</v>
      </c>
    </row>
    <row r="84" spans="2:8" s="74" customFormat="1" ht="12.75">
      <c r="B84" s="93" t="s">
        <v>239</v>
      </c>
      <c r="F84" s="93" t="s">
        <v>30</v>
      </c>
      <c r="H84" s="39">
        <f>H51</f>
        <v>71281000</v>
      </c>
    </row>
    <row r="85" spans="2:8" s="74" customFormat="1" ht="12.75">
      <c r="B85" s="93" t="s">
        <v>240</v>
      </c>
      <c r="F85" s="93" t="s">
        <v>30</v>
      </c>
      <c r="H85" s="39">
        <f>H52</f>
        <v>12456000</v>
      </c>
    </row>
    <row r="86" spans="2:8" s="74" customFormat="1" ht="12.75">
      <c r="B86" s="68"/>
    </row>
    <row r="87" spans="2:8" s="74" customFormat="1" ht="12.75">
      <c r="B87" s="93" t="s">
        <v>241</v>
      </c>
      <c r="F87" s="93" t="s">
        <v>37</v>
      </c>
      <c r="H87" s="94">
        <f>(H84*H43+H45*H85)/(H84+H85)</f>
        <v>0.98101715729008687</v>
      </c>
    </row>
    <row r="88" spans="2:8" s="74" customFormat="1" ht="12.75">
      <c r="B88" s="93" t="s">
        <v>242</v>
      </c>
      <c r="F88" s="93" t="s">
        <v>37</v>
      </c>
      <c r="H88" s="94">
        <f>(H84*H44)/(H84+H85)</f>
        <v>1.898284270991318E-2</v>
      </c>
    </row>
    <row r="89" spans="2:8" s="74" customFormat="1" ht="12.75">
      <c r="B89" s="68"/>
    </row>
    <row r="90" spans="2:8" s="74" customFormat="1" ht="12.75">
      <c r="B90" s="93" t="s">
        <v>199</v>
      </c>
      <c r="F90" s="93" t="s">
        <v>37</v>
      </c>
      <c r="H90" s="94">
        <f>(H84+H85)/(H55)</f>
        <v>0.71524236600469782</v>
      </c>
    </row>
    <row r="91" spans="2:8" s="74" customFormat="1" ht="12.75">
      <c r="B91" s="93" t="s">
        <v>200</v>
      </c>
      <c r="F91" s="93" t="s">
        <v>243</v>
      </c>
      <c r="H91" s="95">
        <f>(H87*H46+H88*H47)*H90*H48</f>
        <v>0.10440609826336932</v>
      </c>
    </row>
    <row r="92" spans="2:8" s="74" customFormat="1" ht="12.75"/>
    <row r="93" spans="2:8" s="74" customFormat="1" ht="12.75"/>
    <row r="94" spans="2:8" s="74" customFormat="1" ht="12.75"/>
    <row r="95" spans="2:8" s="74" customFormat="1" ht="12.75"/>
    <row r="96" spans="2:8" s="74" customFormat="1" ht="12.75"/>
    <row r="97" s="74" customFormat="1" ht="12.75"/>
    <row r="98" s="74" customFormat="1" ht="12.75"/>
    <row r="99" s="74" customFormat="1" ht="12.75"/>
    <row r="100" s="74" customFormat="1" ht="12.75"/>
    <row r="101" s="74" customFormat="1" ht="12.75"/>
    <row r="102" s="74" customFormat="1" ht="12.75"/>
    <row r="103" s="74" customFormat="1" ht="12.75"/>
    <row r="104" s="74" customFormat="1" ht="12.75"/>
    <row r="105" s="74" customFormat="1" ht="12.75"/>
    <row r="106" s="74" customFormat="1" ht="12.75"/>
    <row r="107" s="74" customFormat="1" ht="12.75"/>
    <row r="108" s="74" customFormat="1" ht="12.75"/>
    <row r="109" s="74" customFormat="1" ht="12.75"/>
    <row r="110" s="74" customFormat="1" ht="12.75"/>
    <row r="111" s="74" customFormat="1" ht="12.75"/>
    <row r="112" s="74" customFormat="1" ht="12.75"/>
    <row r="113" s="74" customFormat="1" ht="12.75"/>
    <row r="114" s="74" customFormat="1" ht="12.75"/>
    <row r="115" s="74" customFormat="1" ht="12.75"/>
    <row r="116" s="74" customFormat="1" ht="12.75"/>
    <row r="117" s="74" customFormat="1" ht="12.75"/>
    <row r="118" s="74" customFormat="1" ht="12.75"/>
    <row r="119" s="74" customFormat="1" ht="12.75"/>
    <row r="120" s="74" customFormat="1" ht="12.75"/>
    <row r="121" s="74" customFormat="1" ht="12.75"/>
    <row r="122" s="74" customFormat="1" ht="12.75"/>
    <row r="123" s="74" customFormat="1" ht="12.75"/>
    <row r="124" s="74" customFormat="1" ht="12.75"/>
    <row r="125" s="74" customFormat="1" ht="12.75"/>
    <row r="126" s="74" customFormat="1" ht="12.75"/>
    <row r="127" s="74" customFormat="1" ht="12.75"/>
    <row r="128" s="74" customFormat="1" ht="12.75"/>
    <row r="129" s="74" customFormat="1" ht="12.75"/>
    <row r="130" s="74" customFormat="1" ht="12.75"/>
    <row r="131" s="74" customFormat="1" ht="12.75"/>
    <row r="132" s="74" customFormat="1" ht="12.75"/>
    <row r="133" s="74" customFormat="1" ht="12.75"/>
    <row r="134" s="74" customFormat="1" ht="12.75"/>
    <row r="135" s="74" customFormat="1" ht="12.75"/>
    <row r="136" s="74" customFormat="1" ht="12.75"/>
    <row r="137" s="74" customFormat="1" ht="12.75"/>
    <row r="138" s="74" customFormat="1" ht="12.75"/>
    <row r="139" s="74" customFormat="1" ht="12.75"/>
    <row r="140" s="74" customFormat="1" ht="12.75"/>
    <row r="141" s="74" customFormat="1" ht="12.75"/>
    <row r="142" s="74" customFormat="1" ht="12.75"/>
    <row r="143" s="74" customFormat="1" ht="12.75"/>
    <row r="144" s="74" customFormat="1" ht="12.75"/>
    <row r="145" s="74" customFormat="1" ht="12.75"/>
    <row r="146" s="74" customFormat="1" ht="12.75"/>
    <row r="147" s="74" customFormat="1" ht="12.75"/>
    <row r="148" s="74" customFormat="1" ht="12.75"/>
    <row r="149" s="74" customFormat="1" ht="12.75"/>
    <row r="150" s="74" customFormat="1" ht="12.75"/>
    <row r="151" s="74" customFormat="1" ht="12.75"/>
    <row r="152" s="74" customFormat="1" ht="12.75"/>
    <row r="153" s="74" customFormat="1" ht="12.75"/>
    <row r="154" s="74" customFormat="1" ht="12.75"/>
    <row r="155" s="74" customFormat="1" ht="12.75"/>
    <row r="156" s="74" customFormat="1" ht="12.75"/>
    <row r="157" s="74" customFormat="1" ht="12.75"/>
    <row r="158" s="74" customFormat="1" ht="12.75"/>
    <row r="159" s="74" customFormat="1" ht="12.75"/>
    <row r="160" s="74" customFormat="1" ht="12.75"/>
    <row r="161" s="74" customFormat="1" ht="12.75"/>
    <row r="162" s="74" customFormat="1" ht="12.75"/>
    <row r="163" s="74" customFormat="1" ht="12.75"/>
    <row r="164" s="74" customFormat="1" ht="12.75"/>
    <row r="165" s="74" customFormat="1" ht="12.75"/>
    <row r="166" s="74" customFormat="1" ht="12.75"/>
    <row r="167" s="74" customFormat="1" ht="12.75"/>
    <row r="168" s="74" customFormat="1" ht="12.75"/>
    <row r="169" s="74" customFormat="1" ht="12.75"/>
    <row r="170" s="74" customFormat="1" ht="12.75"/>
    <row r="171" s="74" customFormat="1" ht="12.75"/>
    <row r="172" s="74" customFormat="1" ht="12.75"/>
    <row r="173" s="74" customFormat="1" ht="12.75"/>
    <row r="174" s="74" customFormat="1" ht="12.75"/>
    <row r="175" s="74" customFormat="1" ht="12.75"/>
    <row r="176" s="74" customFormat="1" ht="12.75"/>
    <row r="177" s="74" customFormat="1" ht="12.75"/>
    <row r="178" s="74" customFormat="1" ht="12.75"/>
    <row r="179" s="74" customFormat="1" ht="12.75"/>
    <row r="180" s="74" customFormat="1" ht="12.75"/>
    <row r="181" s="74" customFormat="1" ht="12.75"/>
    <row r="182" s="74" customFormat="1" ht="12.75"/>
    <row r="183" s="74" customFormat="1" ht="12.75"/>
    <row r="184" s="74" customFormat="1" ht="12.7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F36"/>
  <sheetViews>
    <sheetView showGridLines="0" zoomScale="85" zoomScaleNormal="85" workbookViewId="0">
      <pane ySplit="3" topLeftCell="A4" activePane="bottomLeft" state="frozen"/>
      <selection activeCell="A4" sqref="A4"/>
      <selection pane="bottomLeft" activeCell="A4" sqref="A4"/>
    </sheetView>
  </sheetViews>
  <sheetFormatPr defaultRowHeight="12.75"/>
  <cols>
    <col min="1" max="1" width="2.855468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6" s="13" customFormat="1" ht="18">
      <c r="B2" s="4" t="s">
        <v>356</v>
      </c>
      <c r="D2" s="32"/>
    </row>
    <row r="4" spans="2:6" s="8" customFormat="1">
      <c r="B4" s="8" t="s">
        <v>321</v>
      </c>
    </row>
    <row r="6" spans="2:6">
      <c r="B6" s="30" t="s">
        <v>4</v>
      </c>
    </row>
    <row r="7" spans="2:6">
      <c r="B7" s="2" t="s">
        <v>427</v>
      </c>
    </row>
    <row r="8" spans="2:6">
      <c r="B8" s="2" t="s">
        <v>428</v>
      </c>
    </row>
    <row r="11" spans="2:6" s="8" customFormat="1">
      <c r="B11" s="8" t="s">
        <v>357</v>
      </c>
    </row>
    <row r="12" spans="2:6">
      <c r="C12" s="9"/>
    </row>
    <row r="13" spans="2:6">
      <c r="B13" s="1" t="s">
        <v>404</v>
      </c>
      <c r="C13" s="9"/>
      <c r="D13" s="1" t="s">
        <v>129</v>
      </c>
      <c r="F13" s="14"/>
    </row>
    <row r="14" spans="2:6">
      <c r="C14" s="9"/>
    </row>
    <row r="15" spans="2:6">
      <c r="B15" s="15">
        <v>123</v>
      </c>
      <c r="C15" s="9"/>
      <c r="D15" s="30" t="s">
        <v>406</v>
      </c>
    </row>
    <row r="16" spans="2:6">
      <c r="B16" s="16">
        <f>B15</f>
        <v>123</v>
      </c>
      <c r="C16" s="9"/>
      <c r="D16" s="2" t="s">
        <v>407</v>
      </c>
    </row>
    <row r="17" spans="2:6">
      <c r="B17" s="17">
        <f>B16+B15</f>
        <v>246</v>
      </c>
      <c r="C17" s="9"/>
      <c r="D17" s="2" t="s">
        <v>370</v>
      </c>
    </row>
    <row r="18" spans="2:6">
      <c r="B18" s="18">
        <f>B16+B17</f>
        <v>369</v>
      </c>
      <c r="C18" s="9"/>
      <c r="D18" s="30" t="s">
        <v>371</v>
      </c>
      <c r="E18" s="14"/>
      <c r="F18" s="6"/>
    </row>
    <row r="19" spans="2:6">
      <c r="B19" s="19"/>
      <c r="C19" s="9"/>
      <c r="D19" s="30" t="s">
        <v>372</v>
      </c>
      <c r="E19" s="14"/>
    </row>
    <row r="20" spans="2:6">
      <c r="B20" s="9"/>
      <c r="C20" s="9"/>
    </row>
    <row r="21" spans="2:6">
      <c r="B21" s="20" t="s">
        <v>358</v>
      </c>
      <c r="C21" s="9"/>
    </row>
    <row r="22" spans="2:6">
      <c r="B22" s="21">
        <f>B18+16</f>
        <v>385</v>
      </c>
      <c r="C22" s="9"/>
      <c r="D22" s="2" t="s">
        <v>369</v>
      </c>
    </row>
    <row r="23" spans="2:6">
      <c r="B23" s="22">
        <f>B16*PI()</f>
        <v>386.41589639154455</v>
      </c>
      <c r="C23" s="23"/>
      <c r="D23" s="2" t="s">
        <v>408</v>
      </c>
    </row>
    <row r="24" spans="2:6">
      <c r="B24" s="23"/>
      <c r="C24" s="23"/>
    </row>
    <row r="26" spans="2:6">
      <c r="B26" s="1" t="s">
        <v>405</v>
      </c>
    </row>
    <row r="27" spans="2:6">
      <c r="B27" s="1"/>
    </row>
    <row r="28" spans="2:6">
      <c r="B28" s="5" t="s">
        <v>365</v>
      </c>
    </row>
    <row r="29" spans="2:6">
      <c r="B29" s="130" t="s">
        <v>359</v>
      </c>
      <c r="C29" s="9"/>
      <c r="D29" s="30" t="s">
        <v>361</v>
      </c>
    </row>
    <row r="30" spans="2:6">
      <c r="B30" s="28" t="s">
        <v>1</v>
      </c>
      <c r="C30" s="9"/>
      <c r="D30" s="30" t="s">
        <v>362</v>
      </c>
    </row>
    <row r="31" spans="2:6">
      <c r="B31" s="131" t="s">
        <v>360</v>
      </c>
      <c r="C31" s="9"/>
      <c r="D31" s="30" t="s">
        <v>363</v>
      </c>
    </row>
    <row r="32" spans="2:6">
      <c r="B32" s="22" t="s">
        <v>360</v>
      </c>
      <c r="C32" s="9"/>
      <c r="D32" s="30" t="s">
        <v>364</v>
      </c>
    </row>
    <row r="33" spans="2:4">
      <c r="C33" s="9"/>
      <c r="D33" s="3"/>
    </row>
    <row r="34" spans="2:4">
      <c r="B34" s="5" t="s">
        <v>366</v>
      </c>
      <c r="C34" s="9"/>
      <c r="D34" s="3"/>
    </row>
    <row r="35" spans="2:4">
      <c r="B35" s="29" t="s">
        <v>2</v>
      </c>
      <c r="C35" s="9"/>
      <c r="D35" s="30" t="s">
        <v>368</v>
      </c>
    </row>
    <row r="36" spans="2:4">
      <c r="B36" s="132" t="s">
        <v>367</v>
      </c>
      <c r="D36" s="30" t="s">
        <v>409</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36"/>
  <sheetViews>
    <sheetView showGridLines="0" zoomScale="85" zoomScaleNormal="85" workbookViewId="0">
      <pane ySplit="3" topLeftCell="A4" activePane="bottomLeft" state="frozen"/>
      <selection activeCell="A4" sqref="A4"/>
      <selection pane="bottomLeft" activeCell="E25" sqref="E25"/>
    </sheetView>
  </sheetViews>
  <sheetFormatPr defaultRowHeight="12.75"/>
  <cols>
    <col min="1" max="1" width="2.85546875" style="2" customWidth="1"/>
    <col min="2" max="2" width="7.5703125" style="2" customWidth="1"/>
    <col min="3" max="5" width="40.7109375" style="2" customWidth="1"/>
    <col min="6" max="6" width="4.5703125" style="2" customWidth="1"/>
    <col min="7" max="16384" width="9.140625" style="2"/>
  </cols>
  <sheetData>
    <row r="2" spans="2:6" s="13" customFormat="1" ht="18">
      <c r="B2" s="4" t="s">
        <v>403</v>
      </c>
    </row>
    <row r="4" spans="2:6" s="8" customFormat="1">
      <c r="B4" s="8" t="s">
        <v>373</v>
      </c>
    </row>
    <row r="5" spans="2:6">
      <c r="B5" s="146"/>
      <c r="C5" s="146"/>
      <c r="D5" s="146"/>
      <c r="E5" s="146"/>
      <c r="F5" s="146"/>
    </row>
    <row r="6" spans="2:6">
      <c r="B6" s="147" t="s">
        <v>410</v>
      </c>
      <c r="C6" s="145"/>
      <c r="D6" s="145"/>
      <c r="E6" s="145"/>
      <c r="F6" s="145"/>
    </row>
    <row r="7" spans="2:6">
      <c r="B7" s="147" t="s">
        <v>411</v>
      </c>
      <c r="C7" s="146"/>
      <c r="D7" s="146"/>
      <c r="E7" s="146"/>
      <c r="F7" s="146"/>
    </row>
    <row r="9" spans="2:6">
      <c r="B9" s="24" t="s">
        <v>385</v>
      </c>
      <c r="C9" s="24" t="s">
        <v>412</v>
      </c>
      <c r="D9" s="24" t="s">
        <v>401</v>
      </c>
      <c r="E9" s="24" t="s">
        <v>374</v>
      </c>
    </row>
    <row r="10" spans="2:6">
      <c r="B10" s="25"/>
      <c r="C10" s="31" t="s">
        <v>399</v>
      </c>
      <c r="D10" s="31" t="s">
        <v>400</v>
      </c>
      <c r="E10" s="31" t="s">
        <v>402</v>
      </c>
    </row>
    <row r="11" spans="2:6" ht="25.5">
      <c r="B11" s="34">
        <v>1</v>
      </c>
      <c r="C11" s="134" t="s">
        <v>144</v>
      </c>
      <c r="D11" s="116" t="s">
        <v>387</v>
      </c>
      <c r="E11" s="116"/>
    </row>
    <row r="12" spans="2:6" ht="25.5">
      <c r="B12" s="7">
        <v>2</v>
      </c>
      <c r="C12" s="116" t="s">
        <v>147</v>
      </c>
      <c r="D12" s="116" t="s">
        <v>292</v>
      </c>
      <c r="E12" s="117" t="s">
        <v>352</v>
      </c>
    </row>
    <row r="13" spans="2:6" ht="25.5">
      <c r="B13" s="7">
        <v>3</v>
      </c>
      <c r="C13" s="116" t="s">
        <v>293</v>
      </c>
      <c r="D13" s="116" t="s">
        <v>218</v>
      </c>
      <c r="E13" s="116" t="s">
        <v>353</v>
      </c>
    </row>
    <row r="14" spans="2:6" ht="25.5">
      <c r="B14" s="7">
        <v>4</v>
      </c>
      <c r="C14" s="118" t="s">
        <v>295</v>
      </c>
      <c r="D14" s="116" t="s">
        <v>294</v>
      </c>
      <c r="E14" s="116" t="s">
        <v>421</v>
      </c>
    </row>
    <row r="15" spans="2:6" ht="25.5">
      <c r="B15" s="7">
        <v>5</v>
      </c>
      <c r="C15" s="141" t="s">
        <v>41</v>
      </c>
      <c r="D15" s="116" t="s">
        <v>296</v>
      </c>
      <c r="E15" s="116" t="s">
        <v>354</v>
      </c>
    </row>
    <row r="16" spans="2:6">
      <c r="B16" s="7">
        <v>6</v>
      </c>
      <c r="C16" s="116" t="s">
        <v>42</v>
      </c>
      <c r="D16" s="116" t="s">
        <v>297</v>
      </c>
      <c r="E16" s="116" t="s">
        <v>354</v>
      </c>
    </row>
    <row r="17" spans="2:5" ht="38.25">
      <c r="B17" s="7">
        <v>7</v>
      </c>
      <c r="C17" s="118" t="s">
        <v>299</v>
      </c>
      <c r="D17" s="116" t="s">
        <v>298</v>
      </c>
      <c r="E17" s="116" t="s">
        <v>355</v>
      </c>
    </row>
    <row r="18" spans="2:5" ht="25.5">
      <c r="B18" s="7">
        <v>8</v>
      </c>
      <c r="C18" s="134" t="s">
        <v>300</v>
      </c>
      <c r="D18" s="116" t="s">
        <v>395</v>
      </c>
      <c r="E18" s="116"/>
    </row>
    <row r="19" spans="2:5">
      <c r="B19" s="7">
        <v>9</v>
      </c>
      <c r="C19" s="134" t="s">
        <v>301</v>
      </c>
      <c r="D19" s="116"/>
      <c r="E19" s="133"/>
    </row>
    <row r="20" spans="2:5" ht="25.5">
      <c r="B20" s="7">
        <v>10</v>
      </c>
      <c r="C20" s="134" t="s">
        <v>289</v>
      </c>
      <c r="D20" s="116" t="s">
        <v>289</v>
      </c>
      <c r="E20" s="116"/>
    </row>
    <row r="21" spans="2:5">
      <c r="B21" s="7">
        <v>11</v>
      </c>
      <c r="C21" s="134" t="s">
        <v>303</v>
      </c>
      <c r="D21" s="118" t="s">
        <v>302</v>
      </c>
      <c r="E21" s="116"/>
    </row>
    <row r="22" spans="2:5" ht="25.5">
      <c r="B22" s="7">
        <v>12</v>
      </c>
      <c r="C22" s="134" t="s">
        <v>304</v>
      </c>
      <c r="D22" s="116" t="s">
        <v>305</v>
      </c>
      <c r="E22" s="116"/>
    </row>
    <row r="23" spans="2:5" ht="25.5">
      <c r="B23" s="7">
        <v>13</v>
      </c>
      <c r="C23" s="154" t="s">
        <v>306</v>
      </c>
      <c r="D23" s="143" t="s">
        <v>259</v>
      </c>
      <c r="E23" s="116"/>
    </row>
    <row r="24" spans="2:5" ht="25.5">
      <c r="B24" s="7">
        <v>14</v>
      </c>
      <c r="C24" s="134" t="s">
        <v>245</v>
      </c>
      <c r="D24" s="116" t="s">
        <v>245</v>
      </c>
      <c r="E24" s="116"/>
    </row>
    <row r="25" spans="2:5">
      <c r="B25" s="7">
        <v>15</v>
      </c>
      <c r="C25" s="134" t="s">
        <v>307</v>
      </c>
      <c r="D25" s="116"/>
      <c r="E25" s="133"/>
    </row>
    <row r="26" spans="2:5" ht="25.5">
      <c r="B26" s="7">
        <v>16</v>
      </c>
      <c r="C26" s="144" t="s">
        <v>393</v>
      </c>
      <c r="D26" s="116" t="s">
        <v>308</v>
      </c>
      <c r="E26" s="116"/>
    </row>
    <row r="27" spans="2:5" ht="25.5">
      <c r="B27" s="7">
        <v>17</v>
      </c>
      <c r="C27" s="143" t="s">
        <v>269</v>
      </c>
      <c r="D27" s="116" t="s">
        <v>269</v>
      </c>
      <c r="E27" s="116"/>
    </row>
    <row r="28" spans="2:5" ht="25.5">
      <c r="B28" s="7">
        <v>18</v>
      </c>
      <c r="C28" s="142" t="s">
        <v>274</v>
      </c>
      <c r="D28" s="116" t="s">
        <v>309</v>
      </c>
      <c r="E28" s="116"/>
    </row>
    <row r="29" spans="2:5" ht="38.25">
      <c r="B29" s="7">
        <v>19</v>
      </c>
      <c r="C29" s="137" t="s">
        <v>388</v>
      </c>
      <c r="D29" s="116" t="s">
        <v>389</v>
      </c>
      <c r="E29" s="116" t="s">
        <v>394</v>
      </c>
    </row>
    <row r="30" spans="2:5" ht="25.5">
      <c r="B30" s="7">
        <v>20</v>
      </c>
      <c r="C30" s="142" t="s">
        <v>386</v>
      </c>
      <c r="D30" s="116" t="s">
        <v>310</v>
      </c>
      <c r="E30" s="116"/>
    </row>
    <row r="31" spans="2:5" ht="38.25">
      <c r="B31" s="7">
        <v>21</v>
      </c>
      <c r="C31" s="137" t="s">
        <v>205</v>
      </c>
      <c r="D31" s="116" t="s">
        <v>311</v>
      </c>
      <c r="E31" s="116" t="s">
        <v>396</v>
      </c>
    </row>
    <row r="32" spans="2:5" ht="25.5">
      <c r="B32" s="7">
        <v>22</v>
      </c>
      <c r="C32" s="116" t="s">
        <v>315</v>
      </c>
      <c r="D32" s="116" t="s">
        <v>315</v>
      </c>
      <c r="E32" s="136" t="s">
        <v>314</v>
      </c>
    </row>
    <row r="33" spans="2:5" ht="38.25">
      <c r="B33" s="7">
        <v>23</v>
      </c>
      <c r="C33" s="136" t="s">
        <v>390</v>
      </c>
      <c r="D33" s="116"/>
      <c r="E33" s="116" t="s">
        <v>333</v>
      </c>
    </row>
    <row r="34" spans="2:5" ht="25.5">
      <c r="B34" s="7">
        <v>24</v>
      </c>
      <c r="C34" s="136" t="s">
        <v>391</v>
      </c>
      <c r="D34" s="116"/>
      <c r="E34" s="134" t="s">
        <v>337</v>
      </c>
    </row>
    <row r="35" spans="2:5" ht="38.25">
      <c r="B35" s="7">
        <v>25</v>
      </c>
      <c r="C35" s="136" t="s">
        <v>392</v>
      </c>
      <c r="D35" s="116"/>
      <c r="E35" s="152" t="s">
        <v>420</v>
      </c>
    </row>
    <row r="36" spans="2:5">
      <c r="B36" s="7">
        <v>26</v>
      </c>
      <c r="C36" s="136"/>
      <c r="D36" s="116"/>
      <c r="E36" s="135"/>
    </row>
  </sheetData>
  <hyperlinks>
    <hyperlink ref="E31"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J37"/>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activeCell="G10" sqref="G10"/>
    </sheetView>
  </sheetViews>
  <sheetFormatPr defaultRowHeight="12.75"/>
  <cols>
    <col min="1" max="1" width="4" style="2" customWidth="1"/>
    <col min="2" max="2" width="62.28515625" style="2" customWidth="1"/>
    <col min="3" max="5" width="4.5703125" style="2" customWidth="1"/>
    <col min="6" max="6" width="20.140625" style="2" bestFit="1" customWidth="1"/>
    <col min="7" max="7" width="2.7109375" style="2" customWidth="1"/>
    <col min="8" max="8" width="17.140625" style="2" customWidth="1"/>
    <col min="9" max="9" width="2.7109375" style="2" customWidth="1"/>
    <col min="10" max="10" width="13.7109375" style="2" customWidth="1"/>
    <col min="11" max="11" width="2.7109375" style="2" customWidth="1"/>
    <col min="12" max="21" width="12.5703125" style="2" customWidth="1"/>
    <col min="22" max="24" width="2.7109375" style="2" customWidth="1"/>
    <col min="25" max="39" width="13.7109375" style="2" customWidth="1"/>
    <col min="40" max="16384" width="9.140625" style="2"/>
  </cols>
  <sheetData>
    <row r="2" spans="2:10" s="26" customFormat="1" ht="18">
      <c r="B2" s="26" t="s">
        <v>5</v>
      </c>
    </row>
    <row r="4" spans="2:10">
      <c r="B4" s="1" t="s">
        <v>6</v>
      </c>
      <c r="C4" s="1"/>
      <c r="D4" s="1"/>
    </row>
    <row r="5" spans="2:10">
      <c r="B5" s="30" t="s">
        <v>7</v>
      </c>
      <c r="C5" s="3"/>
      <c r="D5" s="3"/>
      <c r="H5" s="27"/>
    </row>
    <row r="6" spans="2:10">
      <c r="B6" s="30"/>
      <c r="C6" s="3"/>
      <c r="D6" s="3"/>
      <c r="H6" s="27"/>
    </row>
    <row r="8" spans="2:10" s="8" customFormat="1">
      <c r="B8" s="8" t="s">
        <v>129</v>
      </c>
      <c r="F8" s="8" t="s">
        <v>0</v>
      </c>
      <c r="H8" s="8" t="s">
        <v>12</v>
      </c>
      <c r="J8" s="8" t="s">
        <v>14</v>
      </c>
    </row>
    <row r="11" spans="2:10" s="8" customFormat="1">
      <c r="B11" s="8" t="s">
        <v>214</v>
      </c>
    </row>
    <row r="13" spans="2:10">
      <c r="B13" s="1" t="s">
        <v>210</v>
      </c>
    </row>
    <row r="14" spans="2:10">
      <c r="B14" s="2" t="s">
        <v>246</v>
      </c>
      <c r="F14" s="2" t="s">
        <v>30</v>
      </c>
      <c r="H14" s="39">
        <f>'Est. production and costs 2019'!H21</f>
        <v>33338000</v>
      </c>
    </row>
    <row r="15" spans="2:10">
      <c r="B15" s="2" t="s">
        <v>288</v>
      </c>
      <c r="F15" s="2" t="s">
        <v>30</v>
      </c>
      <c r="H15" s="39">
        <f>'Est. production and costs 2019'!H20</f>
        <v>83737000</v>
      </c>
    </row>
    <row r="16" spans="2:10">
      <c r="B16" s="2" t="s">
        <v>211</v>
      </c>
      <c r="F16" s="2" t="s">
        <v>30</v>
      </c>
      <c r="H16" s="42">
        <f>H14+H15</f>
        <v>117075000</v>
      </c>
    </row>
    <row r="18" spans="2:10">
      <c r="B18" s="93" t="s">
        <v>200</v>
      </c>
      <c r="C18" s="74"/>
      <c r="D18" s="74"/>
      <c r="E18" s="74"/>
      <c r="F18" s="93" t="s">
        <v>54</v>
      </c>
      <c r="G18" s="74"/>
      <c r="H18" s="97">
        <f>'Cost base production price 2019'!H91</f>
        <v>0.10440609826336932</v>
      </c>
    </row>
    <row r="20" spans="2:10">
      <c r="B20" s="1" t="s">
        <v>212</v>
      </c>
    </row>
    <row r="21" spans="2:10">
      <c r="B21" s="93" t="s">
        <v>194</v>
      </c>
      <c r="F21" s="2" t="s">
        <v>54</v>
      </c>
      <c r="H21" s="39">
        <f>'Cost base production price 2019'!H63</f>
        <v>12036275.89237285</v>
      </c>
    </row>
    <row r="22" spans="2:10">
      <c r="B22" s="93" t="s">
        <v>197</v>
      </c>
      <c r="F22" s="2" t="s">
        <v>54</v>
      </c>
      <c r="H22" s="39">
        <f>'Cost base production price 2019'!H78</f>
        <v>1478332.1938398364</v>
      </c>
    </row>
    <row r="23" spans="2:10">
      <c r="B23" s="93" t="s">
        <v>232</v>
      </c>
      <c r="F23" s="2" t="s">
        <v>54</v>
      </c>
      <c r="H23" s="39">
        <f>'Cost base production price 2019'!H79</f>
        <v>523680</v>
      </c>
    </row>
    <row r="25" spans="2:10">
      <c r="B25" s="1" t="s">
        <v>213</v>
      </c>
    </row>
    <row r="26" spans="2:10">
      <c r="B26" s="93" t="s">
        <v>207</v>
      </c>
      <c r="C26" s="74"/>
      <c r="D26" s="74"/>
      <c r="E26" s="74"/>
      <c r="F26" s="93" t="s">
        <v>54</v>
      </c>
      <c r="G26" s="74"/>
      <c r="H26" s="39">
        <f>'Income corrections 2017'!H35</f>
        <v>124280.88469689767</v>
      </c>
    </row>
    <row r="27" spans="2:10">
      <c r="B27" s="93" t="s">
        <v>208</v>
      </c>
      <c r="C27" s="74"/>
      <c r="D27" s="74"/>
      <c r="E27" s="74"/>
      <c r="F27" s="93" t="s">
        <v>54</v>
      </c>
      <c r="G27" s="74"/>
      <c r="H27" s="39">
        <f>'Income corrections 2017'!H36</f>
        <v>-85227.834807423875</v>
      </c>
    </row>
    <row r="28" spans="2:10">
      <c r="B28" s="93" t="s">
        <v>209</v>
      </c>
      <c r="C28" s="74"/>
      <c r="D28" s="74"/>
      <c r="E28" s="74"/>
      <c r="F28" s="93" t="s">
        <v>54</v>
      </c>
      <c r="G28" s="74"/>
      <c r="H28" s="39">
        <f>'Income corrections 2017'!H37</f>
        <v>534498.86302780651</v>
      </c>
      <c r="J28" s="128"/>
    </row>
    <row r="30" spans="2:10">
      <c r="B30" s="1" t="s">
        <v>280</v>
      </c>
    </row>
    <row r="31" spans="2:10">
      <c r="B31" s="104" t="s">
        <v>281</v>
      </c>
      <c r="C31" s="74"/>
      <c r="D31" s="74"/>
      <c r="E31" s="74"/>
      <c r="F31" s="93" t="s">
        <v>54</v>
      </c>
      <c r="G31" s="74"/>
      <c r="H31" s="39">
        <f>'WACC Correction over 2018'!H26</f>
        <v>-35420.161922644358</v>
      </c>
    </row>
    <row r="33" spans="2:10">
      <c r="B33" s="1" t="s">
        <v>215</v>
      </c>
    </row>
    <row r="34" spans="2:10">
      <c r="B34" s="30" t="s">
        <v>217</v>
      </c>
      <c r="F34" s="2" t="s">
        <v>54</v>
      </c>
      <c r="H34" s="42">
        <f>SUM(H21:H23,H26:H28,H31)</f>
        <v>14576419.837207323</v>
      </c>
    </row>
    <row r="35" spans="2:10">
      <c r="B35" s="2" t="s">
        <v>216</v>
      </c>
      <c r="F35" s="2" t="s">
        <v>54</v>
      </c>
      <c r="H35" s="54">
        <f>H34/H16</f>
        <v>0.12450497405259298</v>
      </c>
      <c r="J35" s="129"/>
    </row>
    <row r="36" spans="2:10">
      <c r="B36" s="2" t="s">
        <v>200</v>
      </c>
      <c r="F36" s="2" t="s">
        <v>54</v>
      </c>
      <c r="H36" s="54">
        <f>H18</f>
        <v>0.10440609826336932</v>
      </c>
      <c r="J36" s="129"/>
    </row>
    <row r="37" spans="2:10">
      <c r="B37" s="2" t="s">
        <v>422</v>
      </c>
      <c r="F37" s="2" t="s">
        <v>54</v>
      </c>
      <c r="H37" s="54">
        <f>H35+H36</f>
        <v>0.22891107231596231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90" zoomScaleNormal="90" workbookViewId="0"/>
  </sheetViews>
  <sheetFormatPr defaultRowHeight="12.75"/>
  <cols>
    <col min="1" max="16384" width="9.140625" style="29"/>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33"/>
  <sheetViews>
    <sheetView showGridLines="0" zoomScale="85" zoomScaleNormal="85" workbookViewId="0">
      <pane xSplit="6" ySplit="14" topLeftCell="G15" activePane="bottomRight" state="frozen"/>
      <selection activeCell="Q51" sqref="Q51"/>
      <selection pane="topRight" activeCell="Q51" sqref="Q51"/>
      <selection pane="bottomLeft" activeCell="Q51" sqref="Q51"/>
      <selection pane="bottomRight" activeCell="G15" sqref="G15"/>
    </sheetView>
  </sheetViews>
  <sheetFormatPr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4" width="16.140625" style="2" customWidth="1"/>
    <col min="15" max="15" width="2.7109375" style="2" customWidth="1"/>
    <col min="16" max="16" width="17.140625" style="2" customWidth="1"/>
    <col min="17" max="17" width="2.7109375" style="2" customWidth="1"/>
    <col min="18" max="18" width="13.7109375" style="2" customWidth="1"/>
    <col min="19" max="19" width="2.7109375" style="2" customWidth="1"/>
    <col min="20" max="34" width="13.7109375" style="2" customWidth="1"/>
    <col min="35" max="16384" width="9.140625" style="2"/>
  </cols>
  <sheetData>
    <row r="2" spans="2:18" s="26" customFormat="1" ht="18">
      <c r="B2" s="26" t="s">
        <v>345</v>
      </c>
    </row>
    <row r="4" spans="2:18">
      <c r="B4" s="36" t="s">
        <v>320</v>
      </c>
      <c r="C4" s="1"/>
      <c r="D4" s="1"/>
      <c r="L4" s="121"/>
    </row>
    <row r="5" spans="2:18">
      <c r="B5" s="30" t="s">
        <v>346</v>
      </c>
      <c r="C5" s="30"/>
      <c r="D5" s="30"/>
      <c r="H5" s="27"/>
    </row>
    <row r="6" spans="2:18">
      <c r="B6" s="30"/>
      <c r="C6" s="30"/>
      <c r="D6" s="30"/>
      <c r="H6" s="27"/>
    </row>
    <row r="7" spans="2:18">
      <c r="B7" s="37" t="s">
        <v>321</v>
      </c>
      <c r="C7" s="30"/>
      <c r="D7" s="30"/>
      <c r="H7" s="27"/>
    </row>
    <row r="8" spans="2:18">
      <c r="B8" s="5" t="s">
        <v>322</v>
      </c>
      <c r="C8" s="30"/>
      <c r="D8" s="30"/>
    </row>
    <row r="9" spans="2:18">
      <c r="B9" s="5" t="s">
        <v>323</v>
      </c>
      <c r="C9" s="30"/>
      <c r="D9" s="30"/>
    </row>
    <row r="11" spans="2:18">
      <c r="B11" s="5" t="s">
        <v>429</v>
      </c>
    </row>
    <row r="13" spans="2:18" s="8" customFormat="1">
      <c r="B13" s="8" t="s">
        <v>129</v>
      </c>
      <c r="F13" s="8" t="s">
        <v>324</v>
      </c>
      <c r="H13" s="8" t="s">
        <v>12</v>
      </c>
      <c r="J13" s="8" t="s">
        <v>325</v>
      </c>
      <c r="P13" s="8" t="s">
        <v>326</v>
      </c>
      <c r="R13" s="8" t="s">
        <v>327</v>
      </c>
    </row>
    <row r="16" spans="2:18" s="8" customFormat="1">
      <c r="B16" s="8" t="s">
        <v>328</v>
      </c>
      <c r="L16" s="8" t="s">
        <v>329</v>
      </c>
      <c r="M16" s="8" t="s">
        <v>330</v>
      </c>
      <c r="N16" s="8" t="s">
        <v>331</v>
      </c>
    </row>
    <row r="18" spans="2:18">
      <c r="B18" s="2" t="s">
        <v>332</v>
      </c>
      <c r="F18" s="2" t="s">
        <v>37</v>
      </c>
      <c r="L18" s="122">
        <f>-1*0.9%</f>
        <v>-9.0000000000000011E-3</v>
      </c>
      <c r="M18" s="122">
        <f>-1*0.4%</f>
        <v>-4.0000000000000001E-3</v>
      </c>
      <c r="N18" s="122">
        <f>-1*0.5%</f>
        <v>-5.0000000000000001E-3</v>
      </c>
      <c r="P18" s="2" t="s">
        <v>390</v>
      </c>
      <c r="R18" s="30"/>
    </row>
    <row r="19" spans="2:18">
      <c r="B19" s="2" t="s">
        <v>334</v>
      </c>
      <c r="F19" s="2" t="s">
        <v>37</v>
      </c>
      <c r="L19" s="122">
        <v>6.0000000000000001E-3</v>
      </c>
      <c r="M19" s="122">
        <v>2E-3</v>
      </c>
      <c r="N19" s="122">
        <f>-1*0.9%</f>
        <v>-9.0000000000000011E-3</v>
      </c>
    </row>
    <row r="20" spans="2:18">
      <c r="B20" s="2" t="s">
        <v>335</v>
      </c>
      <c r="F20" s="2" t="s">
        <v>37</v>
      </c>
      <c r="L20" s="122">
        <v>6.0000000000000001E-3</v>
      </c>
      <c r="M20" s="122">
        <f>-1*1.3%</f>
        <v>-1.3000000000000001E-2</v>
      </c>
      <c r="N20" s="122">
        <v>2.1000000000000001E-2</v>
      </c>
    </row>
    <row r="21" spans="2:18">
      <c r="B21" s="2" t="s">
        <v>336</v>
      </c>
      <c r="F21" s="2" t="s">
        <v>37</v>
      </c>
      <c r="L21" s="122">
        <v>3.5000000000000003E-2</v>
      </c>
      <c r="M21" s="122">
        <v>4.3999999999999997E-2</v>
      </c>
      <c r="N21" s="122">
        <v>1.0999999999999999E-2</v>
      </c>
      <c r="P21" s="2" t="s">
        <v>391</v>
      </c>
    </row>
    <row r="24" spans="2:18" s="8" customFormat="1" ht="38.25">
      <c r="B24" s="8" t="s">
        <v>338</v>
      </c>
      <c r="L24" s="123" t="s">
        <v>339</v>
      </c>
      <c r="M24" s="123" t="s">
        <v>340</v>
      </c>
      <c r="N24" s="123" t="s">
        <v>341</v>
      </c>
    </row>
    <row r="26" spans="2:18">
      <c r="B26" s="2" t="s">
        <v>342</v>
      </c>
      <c r="F26" s="2" t="s">
        <v>37</v>
      </c>
      <c r="L26" s="124">
        <v>6.5699999999999995E-2</v>
      </c>
      <c r="M26" s="124">
        <v>6.4799999999999996E-2</v>
      </c>
      <c r="N26" s="124">
        <v>6.7400000000000002E-2</v>
      </c>
      <c r="P26" s="138" t="s">
        <v>388</v>
      </c>
    </row>
    <row r="27" spans="2:18">
      <c r="B27" s="2" t="s">
        <v>343</v>
      </c>
      <c r="F27" s="2" t="s">
        <v>37</v>
      </c>
      <c r="L27" s="124">
        <v>6.4899999999999999E-2</v>
      </c>
      <c r="M27" s="124">
        <v>6.4000000000000001E-2</v>
      </c>
      <c r="N27" s="124">
        <v>6.6600000000000006E-2</v>
      </c>
    </row>
    <row r="28" spans="2:18">
      <c r="B28" s="2" t="s">
        <v>344</v>
      </c>
      <c r="F28" s="2" t="s">
        <v>37</v>
      </c>
      <c r="L28" s="124">
        <v>6.4100000000000004E-2</v>
      </c>
      <c r="M28" s="124">
        <v>6.3200000000000006E-2</v>
      </c>
      <c r="N28" s="124">
        <v>6.5799999999999997E-2</v>
      </c>
    </row>
    <row r="29" spans="2:18">
      <c r="F29" s="2" t="s">
        <v>37</v>
      </c>
    </row>
    <row r="31" spans="2:18" s="8" customFormat="1">
      <c r="B31" s="8" t="s">
        <v>347</v>
      </c>
    </row>
    <row r="33" spans="2:18">
      <c r="B33" s="2" t="s">
        <v>347</v>
      </c>
      <c r="F33" s="2" t="s">
        <v>37</v>
      </c>
      <c r="H33" s="122">
        <v>0.5</v>
      </c>
      <c r="R33" s="3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2:N47"/>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activeCell="G10" sqref="G10"/>
    </sheetView>
  </sheetViews>
  <sheetFormatPr defaultRowHeight="12.75"/>
  <cols>
    <col min="1" max="1" width="4" style="2" customWidth="1"/>
    <col min="2" max="2" width="46.42578125" style="2" customWidth="1"/>
    <col min="3" max="5" width="4.5703125" style="2" customWidth="1"/>
    <col min="6" max="6" width="20.28515625" style="2" bestFit="1" customWidth="1"/>
    <col min="7" max="7" width="2.7109375" style="2" customWidth="1"/>
    <col min="8" max="8" width="15.85546875" style="2" bestFit="1" customWidth="1"/>
    <col min="9" max="9" width="2.7109375" style="2" customWidth="1"/>
    <col min="10" max="10" width="41.28515625" style="2" customWidth="1"/>
    <col min="11" max="11" width="2.7109375" style="2" customWidth="1"/>
    <col min="12" max="12" width="30" style="2" customWidth="1"/>
    <col min="13" max="13" width="2.7109375" style="2" customWidth="1"/>
    <col min="14" max="28" width="13.7109375" style="2" customWidth="1"/>
    <col min="29" max="16384" width="9.140625" style="2"/>
  </cols>
  <sheetData>
    <row r="2" spans="2:14" s="26" customFormat="1" ht="18">
      <c r="B2" s="26" t="s">
        <v>107</v>
      </c>
    </row>
    <row r="4" spans="2:14">
      <c r="B4" s="1" t="s">
        <v>8</v>
      </c>
      <c r="C4" s="1"/>
      <c r="D4" s="1"/>
    </row>
    <row r="5" spans="2:14">
      <c r="B5" s="30" t="s">
        <v>146</v>
      </c>
      <c r="C5" s="3"/>
      <c r="D5" s="3"/>
      <c r="H5" s="27"/>
    </row>
    <row r="6" spans="2:14">
      <c r="B6" s="30"/>
      <c r="C6" s="3"/>
      <c r="D6" s="3"/>
      <c r="H6" s="27"/>
      <c r="N6" s="35"/>
    </row>
    <row r="8" spans="2:14" s="8" customFormat="1">
      <c r="B8" s="8" t="s">
        <v>10</v>
      </c>
      <c r="F8" s="8" t="s">
        <v>11</v>
      </c>
      <c r="H8" s="8" t="s">
        <v>12</v>
      </c>
      <c r="J8" s="8" t="s">
        <v>13</v>
      </c>
      <c r="L8" s="8" t="s">
        <v>14</v>
      </c>
    </row>
    <row r="11" spans="2:14" s="8" customFormat="1">
      <c r="B11" s="8" t="s">
        <v>15</v>
      </c>
    </row>
    <row r="13" spans="2:14">
      <c r="B13" s="1" t="s">
        <v>142</v>
      </c>
    </row>
    <row r="14" spans="2:14">
      <c r="B14" s="2" t="s">
        <v>133</v>
      </c>
      <c r="F14" s="2" t="s">
        <v>86</v>
      </c>
      <c r="H14" s="45">
        <v>72167</v>
      </c>
      <c r="J14" s="2" t="s">
        <v>144</v>
      </c>
    </row>
    <row r="15" spans="2:14">
      <c r="B15" s="2" t="s">
        <v>134</v>
      </c>
      <c r="F15" s="2" t="s">
        <v>86</v>
      </c>
      <c r="H15" s="45">
        <v>1157715</v>
      </c>
    </row>
    <row r="16" spans="2:14">
      <c r="B16" s="2" t="s">
        <v>135</v>
      </c>
      <c r="F16" s="2" t="s">
        <v>86</v>
      </c>
      <c r="H16" s="45">
        <v>218670</v>
      </c>
    </row>
    <row r="17" spans="1:10">
      <c r="B17" s="2" t="s">
        <v>136</v>
      </c>
      <c r="F17" s="2" t="s">
        <v>86</v>
      </c>
      <c r="H17" s="45">
        <v>75527</v>
      </c>
    </row>
    <row r="18" spans="1:10">
      <c r="B18" s="2" t="s">
        <v>131</v>
      </c>
      <c r="F18" s="2" t="s">
        <v>86</v>
      </c>
      <c r="H18" s="42">
        <f>SUM(H14:H17)</f>
        <v>1524079</v>
      </c>
    </row>
    <row r="19" spans="1:10">
      <c r="H19" s="40"/>
    </row>
    <row r="20" spans="1:10">
      <c r="B20" s="1" t="s">
        <v>143</v>
      </c>
    </row>
    <row r="21" spans="1:10">
      <c r="B21" s="2" t="s">
        <v>137</v>
      </c>
      <c r="F21" s="2" t="s">
        <v>86</v>
      </c>
      <c r="H21" s="45">
        <v>2543192</v>
      </c>
      <c r="J21" s="2" t="s">
        <v>144</v>
      </c>
    </row>
    <row r="22" spans="1:10">
      <c r="A22" s="9"/>
      <c r="B22" s="33" t="s">
        <v>138</v>
      </c>
      <c r="F22" s="2" t="s">
        <v>86</v>
      </c>
      <c r="H22" s="50">
        <v>912901.35</v>
      </c>
      <c r="J22" s="2" t="s">
        <v>247</v>
      </c>
    </row>
    <row r="23" spans="1:10">
      <c r="B23" s="2" t="s">
        <v>139</v>
      </c>
      <c r="F23" s="2" t="s">
        <v>86</v>
      </c>
      <c r="H23" s="45">
        <v>147456</v>
      </c>
    </row>
    <row r="24" spans="1:10">
      <c r="B24" s="2" t="s">
        <v>140</v>
      </c>
      <c r="F24" s="2" t="s">
        <v>86</v>
      </c>
      <c r="H24" s="45">
        <v>264506</v>
      </c>
    </row>
    <row r="25" spans="1:10">
      <c r="B25" s="2" t="s">
        <v>141</v>
      </c>
      <c r="F25" s="2" t="s">
        <v>86</v>
      </c>
      <c r="H25" s="45">
        <v>211778</v>
      </c>
    </row>
    <row r="26" spans="1:10">
      <c r="B26" s="2" t="s">
        <v>131</v>
      </c>
      <c r="F26" s="2" t="s">
        <v>86</v>
      </c>
      <c r="H26" s="42">
        <f>SUM(H21:H25)</f>
        <v>4079833.35</v>
      </c>
    </row>
    <row r="28" spans="1:10">
      <c r="B28" s="30" t="s">
        <v>145</v>
      </c>
      <c r="F28" s="2" t="s">
        <v>86</v>
      </c>
      <c r="H28" s="45">
        <v>284000</v>
      </c>
      <c r="J28" s="2" t="s">
        <v>144</v>
      </c>
    </row>
    <row r="29" spans="1:10">
      <c r="H29" s="40"/>
    </row>
    <row r="30" spans="1:10">
      <c r="B30" s="2" t="s">
        <v>16</v>
      </c>
      <c r="F30" s="2" t="s">
        <v>86</v>
      </c>
      <c r="H30" s="42">
        <f>SUM(H18,H26,H28)</f>
        <v>5887912.3499999996</v>
      </c>
    </row>
    <row r="33" spans="2:12">
      <c r="B33" s="1" t="s">
        <v>27</v>
      </c>
    </row>
    <row r="34" spans="2:12">
      <c r="B34" s="2" t="s">
        <v>130</v>
      </c>
      <c r="F34" s="2" t="s">
        <v>86</v>
      </c>
      <c r="H34" s="45">
        <v>761144</v>
      </c>
      <c r="J34" s="98" t="s">
        <v>293</v>
      </c>
      <c r="L34" s="35"/>
    </row>
    <row r="37" spans="2:12" s="8" customFormat="1">
      <c r="B37" s="8" t="s">
        <v>17</v>
      </c>
    </row>
    <row r="39" spans="2:12">
      <c r="B39" s="1" t="s">
        <v>18</v>
      </c>
      <c r="J39" s="35"/>
    </row>
    <row r="40" spans="2:12">
      <c r="B40" s="2" t="s">
        <v>19</v>
      </c>
      <c r="F40" s="2" t="s">
        <v>29</v>
      </c>
      <c r="H40" s="45">
        <v>61734000</v>
      </c>
      <c r="J40" s="2" t="s">
        <v>40</v>
      </c>
    </row>
    <row r="41" spans="2:12">
      <c r="B41" s="2" t="s">
        <v>20</v>
      </c>
      <c r="F41" s="2" t="s">
        <v>29</v>
      </c>
      <c r="H41" s="45">
        <v>860000</v>
      </c>
      <c r="J41" s="2" t="s">
        <v>40</v>
      </c>
    </row>
    <row r="42" spans="2:12">
      <c r="B42" s="2" t="s">
        <v>22</v>
      </c>
      <c r="F42" s="2" t="s">
        <v>29</v>
      </c>
      <c r="H42" s="45">
        <v>18696000</v>
      </c>
      <c r="J42" s="2" t="s">
        <v>41</v>
      </c>
    </row>
    <row r="43" spans="2:12">
      <c r="B43" s="2" t="s">
        <v>23</v>
      </c>
      <c r="F43" s="2" t="s">
        <v>28</v>
      </c>
      <c r="H43" s="45">
        <v>15</v>
      </c>
      <c r="J43" s="2" t="s">
        <v>41</v>
      </c>
    </row>
    <row r="46" spans="2:12">
      <c r="J46" s="6"/>
    </row>
    <row r="47" spans="2:12">
      <c r="J47" s="9"/>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2:L80"/>
  <sheetViews>
    <sheetView showGridLines="0" zoomScale="85" zoomScaleNormal="85" workbookViewId="0">
      <pane xSplit="6" ySplit="14" topLeftCell="G15" activePane="bottomRight" state="frozen"/>
      <selection activeCell="Q51" sqref="Q51"/>
      <selection pane="topRight" activeCell="Q51" sqref="Q51"/>
      <selection pane="bottomLeft" activeCell="Q51" sqref="Q51"/>
      <selection pane="bottomRight" activeCell="G15" sqref="G15"/>
    </sheetView>
  </sheetViews>
  <sheetFormatPr defaultRowHeight="12.75"/>
  <cols>
    <col min="1" max="1" width="4" style="2" customWidth="1"/>
    <col min="2" max="2" width="49.28515625" style="2" customWidth="1"/>
    <col min="3" max="5" width="4.5703125" style="2" customWidth="1"/>
    <col min="6" max="6" width="20.28515625" style="2" bestFit="1" customWidth="1"/>
    <col min="7" max="7" width="2.7109375" style="2" customWidth="1"/>
    <col min="8" max="8" width="15.85546875" style="2" bestFit="1" customWidth="1"/>
    <col min="9" max="9" width="2.7109375" style="2" customWidth="1"/>
    <col min="10" max="10" width="54.42578125" style="2" customWidth="1"/>
    <col min="11" max="11" width="2.7109375" style="2" customWidth="1"/>
    <col min="12" max="12" width="33" style="2" customWidth="1"/>
    <col min="13" max="13" width="2.7109375" style="2" customWidth="1"/>
    <col min="14" max="28" width="13.7109375" style="2" customWidth="1"/>
    <col min="29" max="16384" width="9.140625" style="2"/>
  </cols>
  <sheetData>
    <row r="2" spans="2:12" s="26" customFormat="1" ht="18">
      <c r="B2" s="26" t="s">
        <v>108</v>
      </c>
    </row>
    <row r="4" spans="2:12">
      <c r="B4" s="1" t="s">
        <v>8</v>
      </c>
      <c r="C4" s="1"/>
      <c r="D4" s="1"/>
    </row>
    <row r="5" spans="2:12">
      <c r="B5" s="30" t="s">
        <v>9</v>
      </c>
      <c r="C5" s="3"/>
      <c r="D5" s="3"/>
      <c r="H5" s="27"/>
    </row>
    <row r="6" spans="2:12">
      <c r="B6" s="30" t="s">
        <v>430</v>
      </c>
      <c r="C6" s="3"/>
      <c r="D6" s="3"/>
      <c r="H6" s="27"/>
    </row>
    <row r="7" spans="2:12">
      <c r="B7" s="5"/>
      <c r="C7" s="3"/>
      <c r="D7" s="3"/>
      <c r="H7" s="27"/>
    </row>
    <row r="8" spans="2:12">
      <c r="B8" s="5" t="s">
        <v>57</v>
      </c>
      <c r="C8" s="3"/>
      <c r="D8" s="3"/>
    </row>
    <row r="9" spans="2:12">
      <c r="B9" s="2" t="s">
        <v>431</v>
      </c>
    </row>
    <row r="10" spans="2:12">
      <c r="B10" s="2" t="s">
        <v>432</v>
      </c>
    </row>
    <row r="13" spans="2:12" s="8" customFormat="1">
      <c r="B13" s="8" t="s">
        <v>10</v>
      </c>
      <c r="F13" s="8" t="s">
        <v>11</v>
      </c>
      <c r="H13" s="8" t="s">
        <v>12</v>
      </c>
      <c r="J13" s="8" t="s">
        <v>13</v>
      </c>
      <c r="L13" s="8" t="s">
        <v>14</v>
      </c>
    </row>
    <row r="16" spans="2:12" s="8" customFormat="1">
      <c r="B16" s="8" t="s">
        <v>15</v>
      </c>
    </row>
    <row r="18" spans="1:10">
      <c r="B18" s="1" t="s">
        <v>142</v>
      </c>
    </row>
    <row r="19" spans="1:10">
      <c r="B19" s="2" t="s">
        <v>133</v>
      </c>
      <c r="F19" s="2" t="s">
        <v>55</v>
      </c>
      <c r="H19" s="45">
        <v>98637</v>
      </c>
      <c r="J19" s="2" t="s">
        <v>147</v>
      </c>
    </row>
    <row r="20" spans="1:10">
      <c r="B20" s="2" t="s">
        <v>134</v>
      </c>
      <c r="F20" s="2" t="s">
        <v>55</v>
      </c>
      <c r="H20" s="45">
        <v>1129370</v>
      </c>
    </row>
    <row r="21" spans="1:10">
      <c r="B21" s="2" t="s">
        <v>135</v>
      </c>
      <c r="F21" s="2" t="s">
        <v>55</v>
      </c>
      <c r="H21" s="45">
        <v>199239</v>
      </c>
    </row>
    <row r="22" spans="1:10">
      <c r="B22" s="2" t="s">
        <v>136</v>
      </c>
      <c r="F22" s="2" t="s">
        <v>55</v>
      </c>
      <c r="H22" s="45">
        <v>331433</v>
      </c>
    </row>
    <row r="23" spans="1:10">
      <c r="B23" s="2" t="s">
        <v>131</v>
      </c>
      <c r="F23" s="2" t="s">
        <v>55</v>
      </c>
      <c r="H23" s="42">
        <f>SUM(H19:H22)</f>
        <v>1758679</v>
      </c>
    </row>
    <row r="24" spans="1:10">
      <c r="H24" s="40"/>
    </row>
    <row r="25" spans="1:10">
      <c r="B25" s="1" t="s">
        <v>143</v>
      </c>
    </row>
    <row r="26" spans="1:10">
      <c r="B26" s="2" t="s">
        <v>137</v>
      </c>
      <c r="F26" s="2" t="s">
        <v>55</v>
      </c>
      <c r="H26" s="45">
        <v>1983362</v>
      </c>
      <c r="J26" s="2" t="s">
        <v>147</v>
      </c>
    </row>
    <row r="27" spans="1:10">
      <c r="A27" s="9"/>
      <c r="B27" s="33" t="s">
        <v>138</v>
      </c>
      <c r="F27" s="2" t="s">
        <v>55</v>
      </c>
      <c r="H27" s="45">
        <v>924584</v>
      </c>
    </row>
    <row r="28" spans="1:10">
      <c r="B28" s="2" t="s">
        <v>139</v>
      </c>
      <c r="F28" s="2" t="s">
        <v>55</v>
      </c>
      <c r="H28" s="45">
        <v>60258</v>
      </c>
    </row>
    <row r="29" spans="1:10">
      <c r="B29" s="2" t="s">
        <v>140</v>
      </c>
      <c r="F29" s="2" t="s">
        <v>55</v>
      </c>
      <c r="H29" s="45">
        <v>454820</v>
      </c>
    </row>
    <row r="30" spans="1:10">
      <c r="B30" s="2" t="s">
        <v>141</v>
      </c>
      <c r="F30" s="2" t="s">
        <v>55</v>
      </c>
      <c r="H30" s="45">
        <v>223752</v>
      </c>
    </row>
    <row r="31" spans="1:10">
      <c r="B31" s="2" t="s">
        <v>131</v>
      </c>
      <c r="F31" s="2" t="s">
        <v>55</v>
      </c>
      <c r="H31" s="42">
        <f>SUM(H26:H30)</f>
        <v>3646776</v>
      </c>
    </row>
    <row r="32" spans="1:10">
      <c r="H32" s="40"/>
    </row>
    <row r="33" spans="2:12">
      <c r="B33" s="30" t="s">
        <v>248</v>
      </c>
      <c r="F33" s="2" t="s">
        <v>55</v>
      </c>
      <c r="H33" s="45">
        <v>502000</v>
      </c>
      <c r="J33" s="98" t="s">
        <v>293</v>
      </c>
      <c r="L33" s="35"/>
    </row>
    <row r="34" spans="2:12">
      <c r="H34" s="40"/>
    </row>
    <row r="35" spans="2:12">
      <c r="B35" s="2" t="s">
        <v>16</v>
      </c>
      <c r="F35" s="2" t="s">
        <v>55</v>
      </c>
      <c r="H35" s="42">
        <f>SUM(H23,H31,H33)</f>
        <v>5907455</v>
      </c>
    </row>
    <row r="38" spans="2:12">
      <c r="B38" s="1" t="s">
        <v>27</v>
      </c>
      <c r="J38" s="14"/>
    </row>
    <row r="39" spans="2:12">
      <c r="B39" s="2" t="s">
        <v>130</v>
      </c>
      <c r="F39" s="2" t="s">
        <v>55</v>
      </c>
      <c r="H39" s="45">
        <v>761144</v>
      </c>
      <c r="J39" s="98" t="s">
        <v>293</v>
      </c>
      <c r="L39" s="35"/>
    </row>
    <row r="40" spans="2:12" ht="13.5" customHeight="1">
      <c r="J40" s="53"/>
    </row>
    <row r="42" spans="2:12" s="8" customFormat="1">
      <c r="B42" s="8" t="s">
        <v>17</v>
      </c>
    </row>
    <row r="44" spans="2:12" s="1" customFormat="1">
      <c r="B44" s="1" t="s">
        <v>433</v>
      </c>
      <c r="J44" s="55"/>
    </row>
    <row r="45" spans="2:12" s="1" customFormat="1">
      <c r="J45" s="55"/>
    </row>
    <row r="46" spans="2:12">
      <c r="B46" s="2" t="s">
        <v>19</v>
      </c>
      <c r="F46" s="2" t="s">
        <v>29</v>
      </c>
      <c r="H46" s="75">
        <v>61734000</v>
      </c>
      <c r="J46" s="2" t="s">
        <v>40</v>
      </c>
    </row>
    <row r="47" spans="2:12">
      <c r="B47" s="2" t="s">
        <v>20</v>
      </c>
      <c r="F47" s="2" t="s">
        <v>29</v>
      </c>
      <c r="H47" s="75">
        <v>860000</v>
      </c>
      <c r="J47" s="2" t="s">
        <v>40</v>
      </c>
    </row>
    <row r="48" spans="2:12">
      <c r="B48" s="2" t="s">
        <v>22</v>
      </c>
      <c r="F48" s="2" t="s">
        <v>29</v>
      </c>
      <c r="H48" s="75">
        <v>18696000</v>
      </c>
      <c r="J48" s="2" t="s">
        <v>41</v>
      </c>
    </row>
    <row r="49" spans="2:10">
      <c r="B49" s="2" t="s">
        <v>23</v>
      </c>
      <c r="F49" s="2" t="s">
        <v>28</v>
      </c>
      <c r="H49" s="75">
        <v>15</v>
      </c>
      <c r="J49" s="2" t="s">
        <v>41</v>
      </c>
    </row>
    <row r="52" spans="2:10">
      <c r="B52" s="1" t="s">
        <v>159</v>
      </c>
    </row>
    <row r="54" spans="2:10">
      <c r="B54" s="5" t="s">
        <v>434</v>
      </c>
    </row>
    <row r="55" spans="2:10">
      <c r="B55" s="44" t="s">
        <v>43</v>
      </c>
    </row>
    <row r="56" spans="2:10">
      <c r="B56" s="2" t="s">
        <v>24</v>
      </c>
      <c r="F56" s="2" t="s">
        <v>29</v>
      </c>
      <c r="H56" s="75">
        <v>773908</v>
      </c>
      <c r="J56" s="2" t="s">
        <v>45</v>
      </c>
    </row>
    <row r="57" spans="2:10">
      <c r="B57" s="2" t="s">
        <v>25</v>
      </c>
      <c r="F57" s="2" t="s">
        <v>47</v>
      </c>
      <c r="H57" s="76">
        <v>9.25</v>
      </c>
      <c r="J57" s="2" t="s">
        <v>45</v>
      </c>
    </row>
    <row r="58" spans="2:10">
      <c r="B58" s="2" t="s">
        <v>26</v>
      </c>
      <c r="F58" s="2" t="s">
        <v>48</v>
      </c>
      <c r="H58" s="47">
        <v>42491</v>
      </c>
      <c r="J58" s="2" t="s">
        <v>45</v>
      </c>
    </row>
    <row r="60" spans="2:10">
      <c r="B60" s="44" t="s">
        <v>44</v>
      </c>
    </row>
    <row r="61" spans="2:10">
      <c r="B61" s="2" t="s">
        <v>24</v>
      </c>
      <c r="F61" s="2" t="s">
        <v>29</v>
      </c>
      <c r="H61" s="75">
        <v>59734</v>
      </c>
      <c r="J61" s="35"/>
    </row>
    <row r="62" spans="2:10">
      <c r="B62" s="2" t="s">
        <v>25</v>
      </c>
      <c r="F62" s="2" t="s">
        <v>47</v>
      </c>
      <c r="H62" s="75">
        <v>5</v>
      </c>
    </row>
    <row r="63" spans="2:10">
      <c r="B63" s="2" t="s">
        <v>26</v>
      </c>
      <c r="F63" s="2" t="s">
        <v>48</v>
      </c>
      <c r="H63" s="47">
        <v>42538</v>
      </c>
    </row>
    <row r="65" spans="2:10">
      <c r="B65" s="44" t="s">
        <v>46</v>
      </c>
    </row>
    <row r="66" spans="2:10">
      <c r="B66" s="30" t="s">
        <v>24</v>
      </c>
      <c r="F66" s="2" t="s">
        <v>29</v>
      </c>
      <c r="H66" s="75">
        <v>6900</v>
      </c>
    </row>
    <row r="67" spans="2:10">
      <c r="B67" s="30" t="s">
        <v>25</v>
      </c>
      <c r="F67" s="2" t="s">
        <v>47</v>
      </c>
      <c r="H67" s="75">
        <v>4</v>
      </c>
    </row>
    <row r="68" spans="2:10">
      <c r="B68" s="2" t="s">
        <v>26</v>
      </c>
      <c r="F68" s="2" t="s">
        <v>48</v>
      </c>
      <c r="H68" s="47">
        <v>42536</v>
      </c>
    </row>
    <row r="71" spans="2:10">
      <c r="B71" s="5" t="s">
        <v>56</v>
      </c>
    </row>
    <row r="72" spans="2:10">
      <c r="B72" s="44" t="s">
        <v>44</v>
      </c>
    </row>
    <row r="73" spans="2:10">
      <c r="B73" s="2" t="s">
        <v>24</v>
      </c>
      <c r="F73" s="2" t="s">
        <v>29</v>
      </c>
      <c r="H73" s="75">
        <v>6000</v>
      </c>
      <c r="J73" s="98" t="s">
        <v>293</v>
      </c>
    </row>
    <row r="74" spans="2:10">
      <c r="B74" s="2" t="s">
        <v>25</v>
      </c>
      <c r="F74" s="2" t="s">
        <v>47</v>
      </c>
      <c r="H74" s="75">
        <v>5</v>
      </c>
      <c r="J74" s="35"/>
    </row>
    <row r="75" spans="2:10">
      <c r="B75" s="2" t="s">
        <v>26</v>
      </c>
      <c r="F75" s="2" t="s">
        <v>48</v>
      </c>
      <c r="H75" s="47">
        <v>42751</v>
      </c>
      <c r="J75" s="35"/>
    </row>
    <row r="77" spans="2:10">
      <c r="B77" s="44" t="s">
        <v>44</v>
      </c>
    </row>
    <row r="78" spans="2:10">
      <c r="B78" s="2" t="s">
        <v>24</v>
      </c>
      <c r="F78" s="2" t="s">
        <v>29</v>
      </c>
      <c r="H78" s="45">
        <v>4000</v>
      </c>
      <c r="J78" s="98" t="s">
        <v>293</v>
      </c>
    </row>
    <row r="79" spans="2:10">
      <c r="B79" s="2" t="s">
        <v>25</v>
      </c>
      <c r="F79" s="2" t="s">
        <v>47</v>
      </c>
      <c r="H79" s="45">
        <v>5</v>
      </c>
      <c r="J79" s="35"/>
    </row>
    <row r="80" spans="2:10">
      <c r="B80" s="2" t="s">
        <v>26</v>
      </c>
      <c r="F80" s="2" t="s">
        <v>48</v>
      </c>
      <c r="H80" s="47">
        <v>43050</v>
      </c>
      <c r="J80" s="3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M121"/>
  <sheetViews>
    <sheetView showGridLines="0" zoomScale="85" zoomScaleNormal="85" workbookViewId="0">
      <pane xSplit="6" ySplit="10" topLeftCell="G11" activePane="bottomRight" state="frozen"/>
      <selection pane="topRight" activeCell="G1" sqref="G1"/>
      <selection pane="bottomLeft" activeCell="A16" sqref="A16"/>
      <selection pane="bottomRight" activeCell="G11" sqref="G11"/>
    </sheetView>
  </sheetViews>
  <sheetFormatPr defaultRowHeight="15"/>
  <cols>
    <col min="1" max="1" width="3.5703125" customWidth="1"/>
    <col min="2" max="2" width="45.5703125" customWidth="1"/>
    <col min="3" max="5" width="4.140625" customWidth="1"/>
    <col min="6" max="6" width="13" customWidth="1"/>
    <col min="7" max="7" width="3.7109375" customWidth="1"/>
    <col min="8" max="8" width="12.85546875" customWidth="1"/>
    <col min="9" max="9" width="3.7109375" customWidth="1"/>
    <col min="10" max="10" width="43.85546875" customWidth="1"/>
    <col min="11" max="11" width="4.140625" customWidth="1"/>
    <col min="12" max="12" width="22.85546875" customWidth="1"/>
  </cols>
  <sheetData>
    <row r="1" spans="2:12" s="2" customFormat="1" ht="12.75"/>
    <row r="2" spans="2:12" s="26" customFormat="1" ht="18">
      <c r="B2" s="26" t="s">
        <v>87</v>
      </c>
    </row>
    <row r="3" spans="2:12" s="2" customFormat="1" ht="12.75"/>
    <row r="4" spans="2:12" s="30" customFormat="1" ht="12.75">
      <c r="B4" s="1" t="s">
        <v>8</v>
      </c>
      <c r="C4" s="1"/>
      <c r="D4" s="1"/>
    </row>
    <row r="5" spans="2:12" s="30" customFormat="1" ht="12.75">
      <c r="B5" s="30" t="s">
        <v>437</v>
      </c>
      <c r="C5" s="1"/>
      <c r="D5" s="1"/>
    </row>
    <row r="6" spans="2:12" s="30" customFormat="1" ht="12.75">
      <c r="B6" s="30" t="s">
        <v>436</v>
      </c>
    </row>
    <row r="7" spans="2:12" s="30" customFormat="1" ht="12.75">
      <c r="B7" s="30" t="s">
        <v>435</v>
      </c>
    </row>
    <row r="8" spans="2:12" s="30" customFormat="1" ht="12.75"/>
    <row r="9" spans="2:12" s="30" customFormat="1" ht="12.75"/>
    <row r="10" spans="2:12" s="56" customFormat="1" ht="12.75">
      <c r="B10" s="56" t="s">
        <v>10</v>
      </c>
      <c r="F10" s="56" t="s">
        <v>11</v>
      </c>
      <c r="H10" s="56" t="s">
        <v>12</v>
      </c>
      <c r="J10" s="56" t="s">
        <v>13</v>
      </c>
      <c r="L10" s="56" t="s">
        <v>14</v>
      </c>
    </row>
    <row r="11" spans="2:12" s="30" customFormat="1" ht="12.75"/>
    <row r="12" spans="2:12" s="56" customFormat="1" ht="12.75">
      <c r="B12" s="56" t="s">
        <v>438</v>
      </c>
    </row>
    <row r="13" spans="2:12" s="64" customFormat="1" ht="12.75"/>
    <row r="14" spans="2:12" s="64" customFormat="1" ht="12.75">
      <c r="B14" s="57" t="s">
        <v>60</v>
      </c>
    </row>
    <row r="15" spans="2:12" s="64" customFormat="1" ht="12.75">
      <c r="B15" s="30" t="s">
        <v>62</v>
      </c>
      <c r="F15" s="30" t="s">
        <v>52</v>
      </c>
      <c r="H15" s="58">
        <v>61.37</v>
      </c>
      <c r="J15" s="30" t="s">
        <v>74</v>
      </c>
    </row>
    <row r="16" spans="2:12" s="64" customFormat="1" ht="12.75">
      <c r="B16" s="30" t="s">
        <v>63</v>
      </c>
      <c r="F16" s="30" t="s">
        <v>52</v>
      </c>
      <c r="H16" s="58">
        <v>62.566699999999997</v>
      </c>
    </row>
    <row r="17" spans="2:10" s="64" customFormat="1" ht="12.75">
      <c r="B17" s="30" t="s">
        <v>64</v>
      </c>
      <c r="F17" s="30" t="s">
        <v>52</v>
      </c>
      <c r="H17" s="58">
        <v>58.166699999999999</v>
      </c>
    </row>
    <row r="18" spans="2:10" s="64" customFormat="1" ht="12.75">
      <c r="B18" s="30" t="s">
        <v>65</v>
      </c>
      <c r="F18" s="30" t="s">
        <v>52</v>
      </c>
      <c r="H18" s="58">
        <v>61.896700000000003</v>
      </c>
    </row>
    <row r="19" spans="2:10" s="64" customFormat="1" ht="12.75">
      <c r="B19" s="59" t="s">
        <v>73</v>
      </c>
      <c r="F19" s="30" t="s">
        <v>52</v>
      </c>
      <c r="H19" s="58">
        <v>60.69</v>
      </c>
    </row>
    <row r="20" spans="2:10" s="64" customFormat="1" ht="12.75">
      <c r="B20" s="30" t="s">
        <v>66</v>
      </c>
      <c r="F20" s="30" t="s">
        <v>52</v>
      </c>
      <c r="H20" s="58">
        <v>58.18</v>
      </c>
    </row>
    <row r="21" spans="2:10" s="64" customFormat="1" ht="12.75">
      <c r="B21" s="30" t="s">
        <v>67</v>
      </c>
      <c r="F21" s="30" t="s">
        <v>52</v>
      </c>
      <c r="H21" s="58">
        <v>61.62</v>
      </c>
    </row>
    <row r="22" spans="2:10" s="64" customFormat="1" ht="12.75">
      <c r="B22" s="30" t="s">
        <v>68</v>
      </c>
      <c r="F22" s="30" t="s">
        <v>52</v>
      </c>
      <c r="H22" s="58">
        <v>62.646700000000003</v>
      </c>
    </row>
    <row r="23" spans="2:10" s="64" customFormat="1" ht="12.75">
      <c r="B23" s="30" t="s">
        <v>69</v>
      </c>
      <c r="F23" s="30" t="s">
        <v>52</v>
      </c>
      <c r="H23" s="58">
        <v>66.239999999999995</v>
      </c>
    </row>
    <row r="24" spans="2:10" s="64" customFormat="1" ht="12.75">
      <c r="B24" s="30" t="s">
        <v>70</v>
      </c>
      <c r="F24" s="30" t="s">
        <v>52</v>
      </c>
      <c r="H24" s="58">
        <v>66.553299999999993</v>
      </c>
    </row>
    <row r="25" spans="2:10" s="64" customFormat="1" ht="12.75">
      <c r="B25" s="30" t="s">
        <v>71</v>
      </c>
      <c r="F25" s="30" t="s">
        <v>52</v>
      </c>
      <c r="H25" s="58">
        <v>71.296700000000001</v>
      </c>
    </row>
    <row r="26" spans="2:10" s="64" customFormat="1" ht="12.75">
      <c r="B26" s="30" t="s">
        <v>72</v>
      </c>
      <c r="F26" s="30" t="s">
        <v>52</v>
      </c>
      <c r="H26" s="58">
        <v>71.419300000000007</v>
      </c>
    </row>
    <row r="27" spans="2:10" s="64" customFormat="1" ht="12.75">
      <c r="B27" s="30"/>
    </row>
    <row r="28" spans="2:10" s="64" customFormat="1" ht="12.75">
      <c r="B28" s="57" t="s">
        <v>61</v>
      </c>
    </row>
    <row r="29" spans="2:10" s="64" customFormat="1" ht="12.75">
      <c r="B29" s="30" t="s">
        <v>62</v>
      </c>
      <c r="F29" s="30" t="s">
        <v>75</v>
      </c>
      <c r="H29" s="60">
        <v>0.59</v>
      </c>
      <c r="J29" s="30" t="s">
        <v>74</v>
      </c>
    </row>
    <row r="30" spans="2:10" s="64" customFormat="1" ht="12.75">
      <c r="B30" s="30" t="s">
        <v>63</v>
      </c>
      <c r="F30" s="30" t="s">
        <v>75</v>
      </c>
      <c r="H30" s="60">
        <v>0.65059999999999996</v>
      </c>
    </row>
    <row r="31" spans="2:10" s="64" customFormat="1" ht="12.75">
      <c r="B31" s="30" t="s">
        <v>64</v>
      </c>
      <c r="F31" s="30" t="s">
        <v>75</v>
      </c>
      <c r="H31" s="60">
        <v>0.624</v>
      </c>
    </row>
    <row r="32" spans="2:10" s="64" customFormat="1" ht="12.75">
      <c r="B32" s="30" t="s">
        <v>65</v>
      </c>
      <c r="F32" s="30" t="s">
        <v>75</v>
      </c>
      <c r="H32" s="60">
        <v>0.65</v>
      </c>
    </row>
    <row r="33" spans="2:13" s="64" customFormat="1" ht="12.75">
      <c r="B33" s="59" t="s">
        <v>73</v>
      </c>
      <c r="F33" s="30" t="s">
        <v>75</v>
      </c>
      <c r="H33" s="60">
        <v>0.66</v>
      </c>
    </row>
    <row r="34" spans="2:13" s="64" customFormat="1" ht="12.75">
      <c r="B34" s="30" t="s">
        <v>66</v>
      </c>
      <c r="F34" s="30" t="s">
        <v>75</v>
      </c>
      <c r="H34" s="60">
        <v>0.66</v>
      </c>
    </row>
    <row r="35" spans="2:13" s="64" customFormat="1" ht="12.75">
      <c r="B35" s="30" t="s">
        <v>67</v>
      </c>
      <c r="F35" s="30" t="s">
        <v>75</v>
      </c>
      <c r="H35" s="60">
        <v>0.66</v>
      </c>
    </row>
    <row r="36" spans="2:13" s="64" customFormat="1" ht="12.75">
      <c r="B36" s="30" t="s">
        <v>68</v>
      </c>
      <c r="F36" s="30" t="s">
        <v>75</v>
      </c>
      <c r="H36" s="60">
        <v>0.66359999999999997</v>
      </c>
    </row>
    <row r="37" spans="2:13" s="64" customFormat="1" ht="12.75">
      <c r="B37" s="30" t="s">
        <v>69</v>
      </c>
      <c r="F37" s="30" t="s">
        <v>75</v>
      </c>
      <c r="H37" s="60">
        <v>0.67879999999999996</v>
      </c>
    </row>
    <row r="38" spans="2:13" s="64" customFormat="1" ht="12.75">
      <c r="B38" s="30" t="s">
        <v>70</v>
      </c>
      <c r="F38" s="30" t="s">
        <v>75</v>
      </c>
      <c r="H38" s="60">
        <v>0.71530000000000005</v>
      </c>
    </row>
    <row r="39" spans="2:13" s="64" customFormat="1" ht="12.75">
      <c r="B39" s="30" t="s">
        <v>71</v>
      </c>
      <c r="F39" s="30" t="s">
        <v>75</v>
      </c>
      <c r="H39" s="60">
        <v>0.72499999999999998</v>
      </c>
    </row>
    <row r="40" spans="2:13" s="64" customFormat="1" ht="12.75">
      <c r="B40" s="30" t="s">
        <v>72</v>
      </c>
      <c r="F40" s="30" t="s">
        <v>75</v>
      </c>
      <c r="H40" s="60">
        <v>0.70469999999999999</v>
      </c>
    </row>
    <row r="41" spans="2:13" s="64" customFormat="1" ht="12.75">
      <c r="B41" s="30"/>
    </row>
    <row r="42" spans="2:13" s="56" customFormat="1" ht="12.75">
      <c r="B42" s="56" t="s">
        <v>439</v>
      </c>
    </row>
    <row r="43" spans="2:13" s="64" customFormat="1" ht="12.75"/>
    <row r="44" spans="2:13" s="64" customFormat="1" ht="12.75">
      <c r="B44" s="57" t="s">
        <v>60</v>
      </c>
    </row>
    <row r="45" spans="2:13" s="64" customFormat="1" ht="12.75">
      <c r="B45" s="30" t="s">
        <v>62</v>
      </c>
      <c r="F45" s="30" t="s">
        <v>76</v>
      </c>
      <c r="H45" s="61">
        <v>9476.64</v>
      </c>
      <c r="J45" s="30" t="s">
        <v>350</v>
      </c>
      <c r="L45" s="115" t="s">
        <v>351</v>
      </c>
      <c r="M45" s="115"/>
    </row>
    <row r="46" spans="2:13" s="64" customFormat="1" ht="12.75">
      <c r="B46" s="30" t="s">
        <v>63</v>
      </c>
      <c r="F46" s="30" t="s">
        <v>76</v>
      </c>
      <c r="H46" s="61">
        <v>8230.6200000000008</v>
      </c>
      <c r="L46" s="115"/>
      <c r="M46" s="115"/>
    </row>
    <row r="47" spans="2:13" s="64" customFormat="1" ht="12.75">
      <c r="B47" s="30" t="s">
        <v>64</v>
      </c>
      <c r="F47" s="30" t="s">
        <v>76</v>
      </c>
      <c r="H47" s="61">
        <v>9042.5300000000007</v>
      </c>
      <c r="L47" s="115"/>
      <c r="M47" s="115"/>
    </row>
    <row r="48" spans="2:13" s="64" customFormat="1" ht="12.75">
      <c r="B48" s="30" t="s">
        <v>65</v>
      </c>
      <c r="F48" s="30" t="s">
        <v>76</v>
      </c>
      <c r="H48" s="61">
        <v>8742.7199999999993</v>
      </c>
      <c r="L48" s="115"/>
      <c r="M48" s="115"/>
    </row>
    <row r="49" spans="2:13" s="64" customFormat="1" ht="12.75">
      <c r="B49" s="59" t="s">
        <v>73</v>
      </c>
      <c r="F49" s="30" t="s">
        <v>76</v>
      </c>
      <c r="H49" s="61">
        <v>9136.83</v>
      </c>
      <c r="L49" s="115"/>
      <c r="M49" s="115"/>
    </row>
    <row r="50" spans="2:13" s="64" customFormat="1" ht="12.75">
      <c r="B50" s="30" t="s">
        <v>66</v>
      </c>
      <c r="F50" s="30" t="s">
        <v>76</v>
      </c>
      <c r="H50" s="61">
        <v>8198.2199999999993</v>
      </c>
      <c r="L50" s="115"/>
      <c r="M50" s="115"/>
    </row>
    <row r="51" spans="2:13" s="64" customFormat="1" ht="12.75">
      <c r="B51" s="30" t="s">
        <v>67</v>
      </c>
      <c r="F51" s="30" t="s">
        <v>76</v>
      </c>
      <c r="H51" s="61">
        <v>9730.36</v>
      </c>
      <c r="L51" s="115"/>
      <c r="M51" s="115"/>
    </row>
    <row r="52" spans="2:13" s="64" customFormat="1" ht="12.75">
      <c r="B52" s="30" t="s">
        <v>68</v>
      </c>
      <c r="F52" s="30" t="s">
        <v>76</v>
      </c>
      <c r="H52" s="61">
        <v>10269.07</v>
      </c>
      <c r="L52" s="115"/>
      <c r="M52" s="115"/>
    </row>
    <row r="53" spans="2:13" s="64" customFormat="1" ht="12.75">
      <c r="B53" s="30" t="s">
        <v>69</v>
      </c>
      <c r="F53" s="30" t="s">
        <v>76</v>
      </c>
      <c r="H53" s="61">
        <v>10023.209999999999</v>
      </c>
      <c r="L53" s="115"/>
      <c r="M53" s="115"/>
    </row>
    <row r="54" spans="2:13" s="64" customFormat="1" ht="12.75">
      <c r="B54" s="30" t="s">
        <v>70</v>
      </c>
      <c r="F54" s="30" t="s">
        <v>76</v>
      </c>
      <c r="H54" s="61">
        <v>10425.11</v>
      </c>
      <c r="L54" s="115"/>
      <c r="M54" s="115"/>
    </row>
    <row r="55" spans="2:13" s="64" customFormat="1" ht="12.75">
      <c r="B55" s="30" t="s">
        <v>71</v>
      </c>
      <c r="F55" s="30" t="s">
        <v>76</v>
      </c>
      <c r="H55" s="61">
        <v>10444.01</v>
      </c>
      <c r="L55" s="115"/>
      <c r="M55" s="115"/>
    </row>
    <row r="56" spans="2:13" s="64" customFormat="1" ht="12.75">
      <c r="B56" s="30" t="s">
        <v>72</v>
      </c>
      <c r="F56" s="30" t="s">
        <v>76</v>
      </c>
      <c r="H56" s="61">
        <v>10189.64</v>
      </c>
      <c r="L56" s="115"/>
      <c r="M56" s="115"/>
    </row>
    <row r="57" spans="2:13" s="64" customFormat="1" ht="12.75">
      <c r="B57" s="30"/>
    </row>
    <row r="58" spans="2:13" s="64" customFormat="1" ht="12.75">
      <c r="B58" s="57" t="s">
        <v>61</v>
      </c>
    </row>
    <row r="59" spans="2:13" s="64" customFormat="1" ht="12.75">
      <c r="B59" s="30" t="s">
        <v>62</v>
      </c>
      <c r="F59" s="30" t="s">
        <v>77</v>
      </c>
      <c r="H59" s="61">
        <v>6388</v>
      </c>
      <c r="J59" s="30" t="s">
        <v>350</v>
      </c>
      <c r="L59" s="115" t="s">
        <v>351</v>
      </c>
    </row>
    <row r="60" spans="2:13" s="64" customFormat="1" ht="12.75">
      <c r="B60" s="30" t="s">
        <v>63</v>
      </c>
      <c r="F60" s="30" t="s">
        <v>77</v>
      </c>
      <c r="H60" s="61">
        <v>3620</v>
      </c>
      <c r="L60" s="35"/>
    </row>
    <row r="61" spans="2:13" s="64" customFormat="1" ht="12.75">
      <c r="B61" s="30" t="s">
        <v>64</v>
      </c>
      <c r="F61" s="30" t="s">
        <v>77</v>
      </c>
      <c r="H61" s="61">
        <v>15488</v>
      </c>
      <c r="L61" s="35"/>
    </row>
    <row r="62" spans="2:13" s="64" customFormat="1" ht="12.75">
      <c r="B62" s="30" t="s">
        <v>65</v>
      </c>
      <c r="F62" s="30" t="s">
        <v>77</v>
      </c>
      <c r="H62" s="61">
        <v>6799</v>
      </c>
    </row>
    <row r="63" spans="2:13" s="64" customFormat="1" ht="12.75">
      <c r="B63" s="59" t="s">
        <v>73</v>
      </c>
      <c r="F63" s="30" t="s">
        <v>77</v>
      </c>
      <c r="H63" s="61">
        <v>11756</v>
      </c>
      <c r="L63" s="35"/>
    </row>
    <row r="64" spans="2:13" s="64" customFormat="1" ht="12.75">
      <c r="B64" s="30" t="s">
        <v>66</v>
      </c>
      <c r="F64" s="30" t="s">
        <v>77</v>
      </c>
      <c r="H64" s="61">
        <v>11772</v>
      </c>
      <c r="L64" s="35"/>
    </row>
    <row r="65" spans="2:12" s="64" customFormat="1" ht="12.75">
      <c r="B65" s="30" t="s">
        <v>67</v>
      </c>
      <c r="F65" s="30" t="s">
        <v>77</v>
      </c>
      <c r="H65" s="61">
        <v>19642.21</v>
      </c>
      <c r="L65" s="35"/>
    </row>
    <row r="66" spans="2:12" s="64" customFormat="1" ht="12.75">
      <c r="B66" s="30" t="s">
        <v>68</v>
      </c>
      <c r="F66" s="30" t="s">
        <v>77</v>
      </c>
      <c r="H66" s="61">
        <v>27822.79</v>
      </c>
      <c r="L66" s="35"/>
    </row>
    <row r="67" spans="2:12" s="64" customFormat="1" ht="12.75">
      <c r="B67" s="30" t="s">
        <v>69</v>
      </c>
      <c r="F67" s="30" t="s">
        <v>77</v>
      </c>
      <c r="H67" s="61">
        <v>32912</v>
      </c>
    </row>
    <row r="68" spans="2:12" s="64" customFormat="1" ht="12.75">
      <c r="B68" s="30" t="s">
        <v>70</v>
      </c>
      <c r="F68" s="30" t="s">
        <v>77</v>
      </c>
      <c r="H68" s="61">
        <v>11860</v>
      </c>
    </row>
    <row r="69" spans="2:12" s="64" customFormat="1" ht="12.75">
      <c r="B69" s="30" t="s">
        <v>71</v>
      </c>
      <c r="F69" s="30" t="s">
        <v>77</v>
      </c>
      <c r="H69" s="61">
        <v>6768</v>
      </c>
    </row>
    <row r="70" spans="2:12" s="64" customFormat="1" ht="12.75">
      <c r="B70" s="30" t="s">
        <v>72</v>
      </c>
      <c r="F70" s="30" t="s">
        <v>77</v>
      </c>
      <c r="H70" s="61">
        <v>9960.7199999999993</v>
      </c>
    </row>
    <row r="71" spans="2:12" s="64" customFormat="1" ht="12.75"/>
    <row r="72" spans="2:12" s="56" customFormat="1" ht="12.75">
      <c r="B72" s="56" t="s">
        <v>440</v>
      </c>
    </row>
    <row r="73" spans="2:12" s="30" customFormat="1" ht="12.75"/>
    <row r="74" spans="2:12" s="30" customFormat="1" ht="12.75">
      <c r="B74" s="30" t="s">
        <v>317</v>
      </c>
      <c r="F74" s="30" t="s">
        <v>318</v>
      </c>
      <c r="H74" s="120">
        <v>159</v>
      </c>
    </row>
    <row r="75" spans="2:12" s="30" customFormat="1" ht="12.75"/>
    <row r="76" spans="2:12" s="30" customFormat="1" ht="12.75">
      <c r="B76" s="57" t="s">
        <v>419</v>
      </c>
      <c r="J76" s="59"/>
    </row>
    <row r="77" spans="2:12" s="30" customFormat="1" ht="12.75">
      <c r="B77" s="30" t="s">
        <v>31</v>
      </c>
      <c r="F77" s="30" t="s">
        <v>32</v>
      </c>
      <c r="H77" s="65">
        <v>1.4970000000000001</v>
      </c>
      <c r="J77" s="30" t="s">
        <v>110</v>
      </c>
      <c r="L77" s="35"/>
    </row>
    <row r="78" spans="2:12" s="30" customFormat="1" ht="12.75">
      <c r="B78" s="30" t="s">
        <v>188</v>
      </c>
      <c r="F78" s="30" t="s">
        <v>99</v>
      </c>
      <c r="H78" s="69">
        <f>H77/1000</f>
        <v>1.4970000000000001E-3</v>
      </c>
      <c r="L78" s="6"/>
    </row>
    <row r="79" spans="2:12" s="30" customFormat="1" ht="12.75">
      <c r="B79" s="30" t="s">
        <v>189</v>
      </c>
      <c r="F79" s="30" t="s">
        <v>34</v>
      </c>
      <c r="H79" s="69">
        <f>H78*H74</f>
        <v>0.23802300000000001</v>
      </c>
      <c r="J79" s="59"/>
    </row>
    <row r="80" spans="2:12" s="30" customFormat="1" ht="12.75">
      <c r="B80" s="30" t="s">
        <v>36</v>
      </c>
      <c r="F80" s="30" t="s">
        <v>37</v>
      </c>
      <c r="H80" s="66">
        <v>0.95499999999999996</v>
      </c>
      <c r="J80" s="30" t="s">
        <v>110</v>
      </c>
    </row>
    <row r="81" spans="2:12" s="30" customFormat="1" ht="12.75">
      <c r="B81" s="30" t="s">
        <v>35</v>
      </c>
      <c r="F81" s="30" t="s">
        <v>37</v>
      </c>
      <c r="H81" s="66">
        <v>4.500000000000004E-2</v>
      </c>
      <c r="J81" s="30" t="s">
        <v>110</v>
      </c>
    </row>
    <row r="82" spans="2:12" s="30" customFormat="1" ht="12.75">
      <c r="H82" s="67"/>
    </row>
    <row r="83" spans="2:12" s="30" customFormat="1" ht="12.75">
      <c r="B83" s="1" t="s">
        <v>114</v>
      </c>
      <c r="H83" s="67"/>
    </row>
    <row r="84" spans="2:12" s="30" customFormat="1" ht="12.75">
      <c r="B84" s="30" t="s">
        <v>115</v>
      </c>
      <c r="F84" s="30" t="s">
        <v>30</v>
      </c>
      <c r="H84" s="61">
        <v>33900000</v>
      </c>
      <c r="J84" s="30" t="s">
        <v>110</v>
      </c>
    </row>
    <row r="85" spans="2:12" s="30" customFormat="1" ht="12.75">
      <c r="B85" s="30" t="s">
        <v>116</v>
      </c>
      <c r="F85" s="30" t="s">
        <v>30</v>
      </c>
      <c r="H85" s="61">
        <v>71600000</v>
      </c>
      <c r="J85" s="30" t="s">
        <v>110</v>
      </c>
    </row>
    <row r="86" spans="2:12" s="30" customFormat="1" ht="12.75"/>
    <row r="87" spans="2:12" s="56" customFormat="1" ht="12.75">
      <c r="B87" s="56" t="s">
        <v>109</v>
      </c>
    </row>
    <row r="88" spans="2:12" s="64" customFormat="1" ht="12.75">
      <c r="B88" s="30"/>
    </row>
    <row r="89" spans="2:12" s="30" customFormat="1" ht="12.75">
      <c r="B89" s="57" t="s">
        <v>234</v>
      </c>
      <c r="J89" s="59"/>
    </row>
    <row r="90" spans="2:12" s="30" customFormat="1" ht="12.75">
      <c r="B90" s="30" t="s">
        <v>31</v>
      </c>
      <c r="F90" s="30" t="s">
        <v>32</v>
      </c>
      <c r="H90" s="70">
        <v>1.5760000000000001</v>
      </c>
      <c r="J90" s="30" t="s">
        <v>103</v>
      </c>
      <c r="L90" s="30" t="s">
        <v>187</v>
      </c>
    </row>
    <row r="91" spans="2:12" s="30" customFormat="1" ht="12.75">
      <c r="B91" s="30" t="s">
        <v>188</v>
      </c>
      <c r="F91" s="30" t="s">
        <v>33</v>
      </c>
      <c r="H91" s="69">
        <f>H90/1000</f>
        <v>1.5760000000000001E-3</v>
      </c>
    </row>
    <row r="92" spans="2:12" s="30" customFormat="1" ht="12.75">
      <c r="B92" s="30" t="s">
        <v>189</v>
      </c>
      <c r="F92" s="30" t="s">
        <v>34</v>
      </c>
      <c r="H92" s="69">
        <f>H91*H74</f>
        <v>0.25058400000000003</v>
      </c>
      <c r="J92" s="59"/>
    </row>
    <row r="93" spans="2:12" s="30" customFormat="1" ht="12.75">
      <c r="B93" s="30" t="s">
        <v>36</v>
      </c>
      <c r="F93" s="30" t="s">
        <v>37</v>
      </c>
      <c r="H93" s="62">
        <v>0.97770000000000001</v>
      </c>
      <c r="J93" s="30" t="s">
        <v>103</v>
      </c>
    </row>
    <row r="94" spans="2:12" s="30" customFormat="1" ht="12.75">
      <c r="B94" s="30" t="s">
        <v>102</v>
      </c>
      <c r="F94" s="30" t="s">
        <v>37</v>
      </c>
      <c r="H94" s="62">
        <v>2.23E-2</v>
      </c>
      <c r="J94" s="30" t="s">
        <v>103</v>
      </c>
    </row>
    <row r="95" spans="2:12" s="30" customFormat="1" ht="12.75"/>
    <row r="96" spans="2:12" s="30" customFormat="1" ht="12.75">
      <c r="B96" s="57" t="s">
        <v>101</v>
      </c>
    </row>
    <row r="97" spans="2:12" s="30" customFormat="1" ht="12.75">
      <c r="B97" s="30" t="s">
        <v>414</v>
      </c>
      <c r="F97" s="30" t="s">
        <v>52</v>
      </c>
      <c r="H97" s="65">
        <v>90.216700000000003</v>
      </c>
      <c r="J97" s="55"/>
      <c r="L97" s="30" t="s">
        <v>415</v>
      </c>
    </row>
    <row r="98" spans="2:12" s="30" customFormat="1" ht="12.75">
      <c r="B98" s="30" t="s">
        <v>416</v>
      </c>
      <c r="F98" s="30" t="s">
        <v>75</v>
      </c>
      <c r="H98" s="65">
        <v>0.81</v>
      </c>
      <c r="J98" s="55"/>
      <c r="L98" s="30" t="s">
        <v>415</v>
      </c>
    </row>
    <row r="99" spans="2:12" s="64" customFormat="1" ht="12.75">
      <c r="B99" s="30" t="s">
        <v>416</v>
      </c>
      <c r="F99" s="30" t="s">
        <v>52</v>
      </c>
      <c r="H99" s="148">
        <f>H98*H74</f>
        <v>128.79000000000002</v>
      </c>
    </row>
    <row r="100" spans="2:12" s="64" customFormat="1" ht="12.75"/>
    <row r="101" spans="2:12" s="56" customFormat="1" ht="12.75">
      <c r="B101" s="56" t="s">
        <v>118</v>
      </c>
    </row>
    <row r="102" spans="2:12" s="64" customFormat="1" ht="12.75"/>
    <row r="103" spans="2:12" s="64" customFormat="1" ht="12.75">
      <c r="B103" s="30" t="s">
        <v>119</v>
      </c>
      <c r="F103" s="30" t="s">
        <v>53</v>
      </c>
      <c r="H103" s="60">
        <v>0.10879999999999999</v>
      </c>
      <c r="J103" s="30" t="s">
        <v>110</v>
      </c>
      <c r="K103" s="30"/>
    </row>
    <row r="104" spans="2:12" s="64" customFormat="1" ht="12.75">
      <c r="F104" s="30"/>
      <c r="H104" s="63"/>
      <c r="J104" s="30"/>
      <c r="K104" s="30"/>
    </row>
    <row r="105" spans="2:12" s="64" customFormat="1" ht="12.75">
      <c r="B105" s="68" t="s">
        <v>120</v>
      </c>
      <c r="F105" s="30"/>
      <c r="J105" s="30"/>
      <c r="K105" s="30"/>
    </row>
    <row r="106" spans="2:12" s="64" customFormat="1" ht="12.75">
      <c r="B106" s="30" t="s">
        <v>62</v>
      </c>
      <c r="F106" s="30" t="s">
        <v>53</v>
      </c>
      <c r="H106" s="60">
        <v>5.7379581636642654E-2</v>
      </c>
      <c r="J106" s="30" t="s">
        <v>290</v>
      </c>
      <c r="K106" s="30"/>
    </row>
    <row r="107" spans="2:12" s="64" customFormat="1" ht="12.75">
      <c r="B107" s="30" t="s">
        <v>63</v>
      </c>
      <c r="F107" s="30" t="s">
        <v>53</v>
      </c>
      <c r="H107" s="60">
        <v>6.2781527761552616E-2</v>
      </c>
      <c r="J107" s="30" t="s">
        <v>290</v>
      </c>
      <c r="K107" s="30"/>
    </row>
    <row r="108" spans="2:12" s="64" customFormat="1" ht="12.75">
      <c r="B108" s="30" t="s">
        <v>64</v>
      </c>
      <c r="F108" s="30" t="s">
        <v>53</v>
      </c>
      <c r="H108" s="60">
        <v>6.3833409279241707E-2</v>
      </c>
      <c r="J108" s="30" t="s">
        <v>290</v>
      </c>
      <c r="K108" s="30"/>
    </row>
    <row r="109" spans="2:12" s="64" customFormat="1" ht="12.75">
      <c r="B109" s="30" t="s">
        <v>65</v>
      </c>
      <c r="F109" s="30" t="s">
        <v>53</v>
      </c>
      <c r="H109" s="60">
        <v>6.5435032004036026E-2</v>
      </c>
      <c r="J109" s="30" t="s">
        <v>290</v>
      </c>
      <c r="K109" s="30"/>
    </row>
    <row r="110" spans="2:12" s="64" customFormat="1" ht="12.75">
      <c r="B110" s="59" t="s">
        <v>73</v>
      </c>
      <c r="F110" s="30" t="s">
        <v>53</v>
      </c>
      <c r="H110" s="60">
        <v>6.0972548409537447E-2</v>
      </c>
      <c r="J110" s="30" t="s">
        <v>290</v>
      </c>
      <c r="K110" s="30"/>
    </row>
    <row r="111" spans="2:12" s="64" customFormat="1" ht="12.75">
      <c r="B111" s="30" t="s">
        <v>66</v>
      </c>
      <c r="F111" s="30" t="s">
        <v>53</v>
      </c>
      <c r="H111" s="60">
        <v>6.478059981177442E-2</v>
      </c>
      <c r="J111" s="30" t="s">
        <v>290</v>
      </c>
      <c r="K111" s="30"/>
    </row>
    <row r="112" spans="2:12" s="64" customFormat="1" ht="12.75">
      <c r="B112" s="30" t="s">
        <v>67</v>
      </c>
      <c r="F112" s="30" t="s">
        <v>53</v>
      </c>
      <c r="H112" s="60">
        <v>6.3682486421800952E-2</v>
      </c>
      <c r="J112" s="30" t="s">
        <v>290</v>
      </c>
      <c r="K112" s="30"/>
    </row>
    <row r="113" spans="2:12" s="64" customFormat="1" ht="12.75">
      <c r="B113" s="30" t="s">
        <v>68</v>
      </c>
      <c r="F113" s="30" t="s">
        <v>53</v>
      </c>
      <c r="H113" s="60">
        <v>6.1247147240189585E-2</v>
      </c>
      <c r="J113" s="30" t="s">
        <v>290</v>
      </c>
      <c r="K113" s="30"/>
    </row>
    <row r="114" spans="2:12" s="64" customFormat="1" ht="12.75">
      <c r="B114" s="30" t="s">
        <v>69</v>
      </c>
      <c r="F114" s="30" t="s">
        <v>53</v>
      </c>
      <c r="H114" s="60">
        <v>6.4584823250047399E-2</v>
      </c>
      <c r="J114" s="30" t="s">
        <v>290</v>
      </c>
      <c r="K114" s="30"/>
      <c r="L114" s="35"/>
    </row>
    <row r="115" spans="2:12" s="64" customFormat="1" ht="12.75">
      <c r="B115" s="30" t="s">
        <v>70</v>
      </c>
      <c r="F115" s="30" t="s">
        <v>53</v>
      </c>
      <c r="H115" s="60">
        <v>6.5607153147713759E-2</v>
      </c>
      <c r="J115" s="30" t="s">
        <v>290</v>
      </c>
      <c r="K115" s="30"/>
      <c r="L115" s="35"/>
    </row>
    <row r="116" spans="2:12" s="64" customFormat="1" ht="12.75">
      <c r="B116" s="30" t="s">
        <v>71</v>
      </c>
      <c r="F116" s="30" t="s">
        <v>53</v>
      </c>
      <c r="H116" s="60">
        <v>6.9204062405618966E-2</v>
      </c>
      <c r="J116" s="30" t="s">
        <v>290</v>
      </c>
      <c r="K116" s="30"/>
      <c r="L116" s="35"/>
    </row>
    <row r="117" spans="2:12" s="64" customFormat="1" ht="12.75">
      <c r="B117" s="30" t="s">
        <v>72</v>
      </c>
      <c r="F117" s="30" t="s">
        <v>53</v>
      </c>
      <c r="H117" s="60">
        <v>6.9773372277531762E-2</v>
      </c>
      <c r="J117" s="30" t="s">
        <v>290</v>
      </c>
      <c r="K117" s="30"/>
      <c r="L117" s="35"/>
    </row>
    <row r="118" spans="2:12" s="64" customFormat="1" ht="12.75">
      <c r="F118" s="30"/>
    </row>
    <row r="119" spans="2:12" s="64" customFormat="1" ht="12.75"/>
    <row r="120" spans="2:12" s="64" customFormat="1" ht="12.75"/>
    <row r="121" spans="2:12" s="64" customFormat="1" ht="12.7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9CDAB9D1-B815-4B0E-93E7-4496A7FE99F6}">
  <ds:schemaRef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18</vt:i4>
      </vt:variant>
    </vt:vector>
  </HeadingPairs>
  <TitlesOfParts>
    <vt:vector size="18" baseType="lpstr">
      <vt:lpstr>Title page</vt:lpstr>
      <vt:lpstr>Explanation</vt:lpstr>
      <vt:lpstr>Sources and applications</vt:lpstr>
      <vt:lpstr>Production price 2019</vt:lpstr>
      <vt:lpstr>Input --&gt;</vt:lpstr>
      <vt:lpstr>Parameters</vt:lpstr>
      <vt:lpstr>Input estimated costs for 2017</vt:lpstr>
      <vt:lpstr>Input realized costs for 2017</vt:lpstr>
      <vt:lpstr>Realized Fuel costs </vt:lpstr>
      <vt:lpstr>Realized production</vt:lpstr>
      <vt:lpstr>Est. production and costs 2019</vt:lpstr>
      <vt:lpstr>WACC Correction over 2018</vt:lpstr>
      <vt:lpstr>Calculations --&gt;</vt:lpstr>
      <vt:lpstr>Estimated costs of 2017</vt:lpstr>
      <vt:lpstr>Realized costs of 2017</vt:lpstr>
      <vt:lpstr>Calculation fuel costs 2017</vt:lpstr>
      <vt:lpstr>Income corrections 2017</vt:lpstr>
      <vt:lpstr>Cost base production price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2018-12-14T09:36:54Z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