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8_{A0A7D802-4B3E-40A6-B9B1-2E812CA4203E}" xr6:coauthVersionLast="45" xr6:coauthVersionMax="45" xr10:uidLastSave="{00000000-0000-0000-0000-000000000000}"/>
  <bookViews>
    <workbookView xWindow="960" yWindow="0" windowWidth="11430" windowHeight="13530" tabRatio="861" xr2:uid="{00000000-000D-0000-FFFF-FFFF00000000}"/>
  </bookViews>
  <sheets>
    <sheet name="Cover sheet" sheetId="9" r:id="rId1"/>
    <sheet name="Explanation" sheetId="10" r:id="rId2"/>
    <sheet name="Sources and specifics" sheetId="11" r:id="rId3"/>
    <sheet name="Result" sheetId="21" r:id="rId4"/>
    <sheet name="Input --&gt;" sheetId="13" r:id="rId5"/>
    <sheet name="Fuel prices" sheetId="25" r:id="rId6"/>
    <sheet name="Input production data" sheetId="18" r:id="rId7"/>
    <sheet name="Parameters in tariff decisions" sheetId="24" r:id="rId8"/>
    <sheet name="Calculations --&gt;" sheetId="15" r:id="rId9"/>
    <sheet name="Fuel component correction" sheetId="2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4" i="21" l="1"/>
  <c r="H36" i="21"/>
  <c r="J25" i="25" l="1"/>
  <c r="J21" i="25"/>
  <c r="J17" i="25"/>
  <c r="T28" i="25" l="1"/>
  <c r="T24" i="25"/>
  <c r="N17" i="25"/>
  <c r="N25" i="25"/>
  <c r="T30" i="25" s="1"/>
  <c r="N21" i="25"/>
  <c r="P21" i="25" s="1"/>
  <c r="T18" i="25" l="1"/>
  <c r="T20" i="25" s="1"/>
  <c r="P17" i="25"/>
  <c r="T26" i="25"/>
  <c r="T22" i="25"/>
  <c r="P25" i="25"/>
  <c r="P27" i="25"/>
  <c r="P23" i="25" l="1"/>
  <c r="N35" i="25" l="1"/>
  <c r="Q16" i="18" l="1"/>
  <c r="P16" i="18"/>
  <c r="O16" i="18"/>
  <c r="N16" i="18"/>
  <c r="M16" i="18"/>
  <c r="L16" i="18"/>
  <c r="H22" i="21" l="1"/>
  <c r="H21" i="21"/>
  <c r="H20" i="21"/>
  <c r="H19" i="21"/>
  <c r="H23" i="21" l="1"/>
  <c r="H24" i="21"/>
  <c r="H41" i="21"/>
  <c r="H43" i="21"/>
  <c r="Q27" i="22"/>
  <c r="P27" i="22"/>
  <c r="O27" i="22"/>
  <c r="N27" i="22"/>
  <c r="M27" i="22"/>
  <c r="L27" i="22"/>
  <c r="H18" i="22"/>
  <c r="H28" i="21"/>
  <c r="H29" i="21"/>
  <c r="Q30" i="22"/>
  <c r="P29" i="25"/>
  <c r="P30" i="22"/>
  <c r="O30" i="22"/>
  <c r="N30" i="22"/>
  <c r="M30" i="22"/>
  <c r="L30" i="22"/>
  <c r="P19" i="25"/>
  <c r="H30" i="21" l="1"/>
  <c r="H35" i="21" s="1"/>
  <c r="Q36" i="22"/>
  <c r="P36" i="22"/>
  <c r="O36" i="22"/>
  <c r="N36" i="22"/>
  <c r="M36" i="22"/>
  <c r="L36" i="22"/>
  <c r="Q24" i="22"/>
  <c r="Q23" i="22"/>
  <c r="P24" i="22"/>
  <c r="P23" i="22"/>
  <c r="O24" i="22"/>
  <c r="O23" i="22"/>
  <c r="N24" i="22"/>
  <c r="N23" i="22"/>
  <c r="M24" i="22"/>
  <c r="L24" i="22"/>
  <c r="M23" i="22"/>
  <c r="L23" i="22"/>
  <c r="N35" i="22" l="1"/>
  <c r="N37" i="22" s="1"/>
  <c r="N40" i="22" s="1"/>
  <c r="P35" i="22"/>
  <c r="P37" i="22" s="1"/>
  <c r="P40" i="22" s="1"/>
  <c r="O35" i="22"/>
  <c r="O37" i="22" s="1"/>
  <c r="O40" i="22" s="1"/>
  <c r="Q35" i="22"/>
  <c r="Q37" i="22" s="1"/>
  <c r="Q40" i="22" s="1"/>
  <c r="L35" i="22"/>
  <c r="L37" i="22" s="1"/>
  <c r="L40" i="22" s="1"/>
  <c r="M35" i="22"/>
  <c r="M37" i="22" s="1"/>
  <c r="M40" i="22" s="1"/>
  <c r="H41" i="22" l="1"/>
  <c r="H42" i="22"/>
  <c r="H43" i="22" l="1"/>
  <c r="H27" i="21" l="1"/>
  <c r="H31" i="21" s="1"/>
  <c r="H42" i="21" s="1"/>
  <c r="H44" i="21" s="1"/>
  <c r="B20" i="10"/>
  <c r="B27" i="10" s="1"/>
  <c r="B21" i="10" l="1"/>
  <c r="B22" i="10" l="1"/>
  <c r="B2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6" authorId="0" shapeId="0" xr:uid="{00000000-0006-0000-0100-000001000000}">
      <text>
        <r>
          <rPr>
            <sz val="8"/>
            <color indexed="81"/>
            <rFont val="Tahoma"/>
            <family val="2"/>
          </rPr>
          <t>At all times a (group of) pink cell(s) needs an explanantion on its special nature. This explanation will be added through this remark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L30" authorId="0" shapeId="0" xr:uid="{00000000-0006-0000-0900-000001000000}">
      <text>
        <r>
          <rPr>
            <sz val="8"/>
            <color indexed="81"/>
            <rFont val="Tahoma"/>
            <family val="2"/>
          </rPr>
          <t>Please note: cells link to corresponding rows on sheet 'fuel prices'.</t>
        </r>
      </text>
    </comment>
  </commentList>
</comments>
</file>

<file path=xl/sharedStrings.xml><?xml version="1.0" encoding="utf-8"?>
<sst xmlns="http://schemas.openxmlformats.org/spreadsheetml/2006/main" count="335" uniqueCount="236">
  <si>
    <t>Data</t>
  </si>
  <si>
    <t>Input --&gt;</t>
  </si>
  <si>
    <t>About this file</t>
  </si>
  <si>
    <t>Case number</t>
  </si>
  <si>
    <t>File title</t>
  </si>
  <si>
    <t>Other remarks</t>
  </si>
  <si>
    <t>About the status of this file</t>
  </si>
  <si>
    <t>Final version? (y/n)</t>
  </si>
  <si>
    <t>Is this file legally part of the decision(s) listed above? (y/n)</t>
  </si>
  <si>
    <t>When applicable</t>
  </si>
  <si>
    <t xml:space="preserve">Explanation on how this file works </t>
  </si>
  <si>
    <t>Cell colors (for numbers)</t>
  </si>
  <si>
    <t>Description</t>
  </si>
  <si>
    <t>Data and input (source required)</t>
  </si>
  <si>
    <t>Calculated value</t>
  </si>
  <si>
    <t>Result/calculated value that is referred to on another sheet</t>
  </si>
  <si>
    <t>Empty cell (not zero) used in a formula range</t>
  </si>
  <si>
    <t>Value or calculation that needs special attention or explanation</t>
  </si>
  <si>
    <t>Sheet tab colors</t>
  </si>
  <si>
    <t>Sheet with result/output</t>
  </si>
  <si>
    <t>Sheet with input</t>
  </si>
  <si>
    <t>Sheet with calculations</t>
  </si>
  <si>
    <t>Model sheets</t>
  </si>
  <si>
    <t>Result</t>
  </si>
  <si>
    <t>Calculation</t>
  </si>
  <si>
    <t>Explanatory sheets</t>
  </si>
  <si>
    <t>Explanation</t>
  </si>
  <si>
    <t>Empty sheet used for indexing</t>
  </si>
  <si>
    <t>Standardized sheets with general information on this file</t>
  </si>
  <si>
    <t>Special attention:</t>
  </si>
  <si>
    <t>Source overview and specific applications</t>
  </si>
  <si>
    <t>Source overview</t>
  </si>
  <si>
    <t>Each input sheet contains a column 'Source', in which the sources are referred to by their shortened name. These sources are further explained in the table below.</t>
  </si>
  <si>
    <t>No.</t>
  </si>
  <si>
    <t>Shortened name</t>
  </si>
  <si>
    <t>External file name</t>
  </si>
  <si>
    <t>Additional information on this source</t>
  </si>
  <si>
    <t>As referred to in Source column</t>
  </si>
  <si>
    <t>Exact file name</t>
  </si>
  <si>
    <t>Date received, email, URL, file location</t>
  </si>
  <si>
    <t>Case number or reference ACM</t>
  </si>
  <si>
    <t>Unit</t>
  </si>
  <si>
    <t>Constant</t>
  </si>
  <si>
    <t>Row total</t>
  </si>
  <si>
    <t>Remarks</t>
  </si>
  <si>
    <t>Source</t>
  </si>
  <si>
    <t>FIN</t>
  </si>
  <si>
    <t>Explanation of the calculation</t>
  </si>
  <si>
    <t xml:space="preserve">The variable usage tariff is adapted by making two corrections: </t>
  </si>
  <si>
    <t>kWh</t>
  </si>
  <si>
    <t>%</t>
  </si>
  <si>
    <t>Total fuel price correction</t>
  </si>
  <si>
    <t>USD</t>
  </si>
  <si>
    <t>Add-on per kWh for fuel price correction</t>
  </si>
  <si>
    <t>Calculation of correction for fuel price differences</t>
  </si>
  <si>
    <t>USD, pl 2020</t>
  </si>
  <si>
    <t>Remark</t>
  </si>
  <si>
    <t>Input data on production</t>
  </si>
  <si>
    <t xml:space="preserve">Description data </t>
  </si>
  <si>
    <t>Explanatory notes</t>
  </si>
  <si>
    <t xml:space="preserve">Decision &amp; period: </t>
  </si>
  <si>
    <t>Production price decision SEC 2020</t>
  </si>
  <si>
    <t>[1]</t>
  </si>
  <si>
    <t>[2]</t>
  </si>
  <si>
    <t>[3]</t>
  </si>
  <si>
    <t>[4]</t>
  </si>
  <si>
    <t>Parameters that follow from ACM tariff decisions</t>
  </si>
  <si>
    <t>Parameters on production and distribution</t>
  </si>
  <si>
    <t>Production parameters</t>
  </si>
  <si>
    <t>Estimated fuel efficiency</t>
  </si>
  <si>
    <t>Estimated fuel component</t>
  </si>
  <si>
    <t>Estimated fuel component SEC</t>
  </si>
  <si>
    <t>Calculation of difference between estimated and realized fuel component</t>
  </si>
  <si>
    <t>Fuel component = estimated fuel efficiency x estimated share production by fuel x fuel price</t>
  </si>
  <si>
    <t xml:space="preserve">For the production price decisions, ACM makes an estimate of what the fuel costs will be for the producer based on the most recent fuel price. </t>
  </si>
  <si>
    <t>Production price decision input</t>
  </si>
  <si>
    <t>Estimated share production by fuel</t>
  </si>
  <si>
    <t>Most recent fuel price</t>
  </si>
  <si>
    <t>Calculation fuel correction</t>
  </si>
  <si>
    <t>Realized fuel component</t>
  </si>
  <si>
    <t>Data on fuel and production</t>
  </si>
  <si>
    <t xml:space="preserve">Year: 
Month: </t>
  </si>
  <si>
    <t>For the estimated fuel component, the most recent fuel price at the time of the usage tariff decision is used. The realized fuel component uses the most recent fuel price at that month, regularly this is month t-2.</t>
  </si>
  <si>
    <t>Difference in fuel component</t>
  </si>
  <si>
    <t>Difference in monthly fuel component</t>
  </si>
  <si>
    <t>Realized production</t>
  </si>
  <si>
    <t>Total realized monthly production</t>
  </si>
  <si>
    <t>Calculation of fuel component correction</t>
  </si>
  <si>
    <t>Monthly difference to be reimbursed</t>
  </si>
  <si>
    <t>Total amount fuel component correction</t>
  </si>
  <si>
    <t>Rekenmodel SEC 2020</t>
  </si>
  <si>
    <t>ACM/19/035837, ACM/UIT/524810</t>
  </si>
  <si>
    <t>Based on CPI CBS, see source [4] for details on the determination of estimated inflation.</t>
  </si>
  <si>
    <t>Monthly production</t>
  </si>
  <si>
    <t>Fuel invoices</t>
  </si>
  <si>
    <t>File name invoice</t>
  </si>
  <si>
    <t>Date of invoice</t>
  </si>
  <si>
    <t>November</t>
  </si>
  <si>
    <t>December</t>
  </si>
  <si>
    <t>January</t>
  </si>
  <si>
    <t>February</t>
  </si>
  <si>
    <t>Relevant month</t>
  </si>
  <si>
    <t>Input data on fuel prices</t>
  </si>
  <si>
    <t>Volume 
(liters)</t>
  </si>
  <si>
    <t>Unit price
(USD/liter)</t>
  </si>
  <si>
    <t>Line total
(USD)</t>
  </si>
  <si>
    <t>Weighted average fuel price for relevant month (USD/unit)</t>
  </si>
  <si>
    <t>Realized production of electricity</t>
  </si>
  <si>
    <t>Total monthly production</t>
  </si>
  <si>
    <t>The monthly fuel prices are the basis for the correction of the fuel component.</t>
  </si>
  <si>
    <t>September</t>
  </si>
  <si>
    <t>October</t>
  </si>
  <si>
    <t>Cover sheet</t>
  </si>
  <si>
    <t>Production by solar</t>
  </si>
  <si>
    <t>Production by fuel</t>
  </si>
  <si>
    <t>Belongs to decision(s):</t>
  </si>
  <si>
    <t>Reference number of decision(s)</t>
  </si>
  <si>
    <t>Relationship to other calculation files</t>
  </si>
  <si>
    <t>Contains business-confidential information? (y/n)</t>
  </si>
  <si>
    <t>Objections and appeals can be filed against the decision to which this file belongs.</t>
  </si>
  <si>
    <t>Explanatory notes to this file</t>
  </si>
  <si>
    <t>Legend for the cell and sheet colors</t>
  </si>
  <si>
    <t>Value that is taken from another sheet or cell without calculation</t>
  </si>
  <si>
    <t>Input or calculation that is not yet up-to-date or work in progress</t>
  </si>
  <si>
    <t>Sheet that is not yet up-to-date/work in progress</t>
  </si>
  <si>
    <t>In the overview below, ACM lists the sources that are used for data and calculations in this file.</t>
  </si>
  <si>
    <t>The realized fuel component can vary monthly, due to variations in the fuel price. The difference between the estimated and realized fuel component is calculated here.</t>
  </si>
  <si>
    <t>The most recent fuel price in month t is assumed to be the weighted average fuel price of month t-2.</t>
  </si>
  <si>
    <t>Positive number indicates SEC has had higher purchasing costs than estimated, so SEC receives a positive reimbursement from the fuel correction.</t>
  </si>
  <si>
    <t>Volume (gallons)</t>
  </si>
  <si>
    <t>Unit price (USD/gallon)</t>
  </si>
  <si>
    <t>US gallon to liter</t>
  </si>
  <si>
    <t>Unit price 
(USD/US gallon)</t>
  </si>
  <si>
    <t>Has been or will be published? (y/n)</t>
  </si>
  <si>
    <t>Estimated share of production by fuel</t>
  </si>
  <si>
    <t>The sources for this data are the fuel invoices from SEC. Every invoice forms a row in the calculation below.</t>
  </si>
  <si>
    <t>It uses this estimate to determine what monthly renumeration the producer will receive from the distributor. This is the estimated fuel component.</t>
  </si>
  <si>
    <t>ACM/21/050792</t>
  </si>
  <si>
    <t>Rekenmodel bij aanpassing variabel gebruikstarief elektriciteit SEC 1 juli 2021</t>
  </si>
  <si>
    <t>Beschikking tot vaststelling van het maximale variabele gebruikstarief van elektriciteit per 1 juli 2021 voor Saba Electric Company N.V.</t>
  </si>
  <si>
    <t>This file is based on the fuel calculation that was used for SEC for the tariff per 1 January 2021</t>
  </si>
  <si>
    <t>1. The fuel component is updated. This means that the production price as set in the tariff decision as of January 1, 2021 is updated to match the actual fuel prices more closely.</t>
  </si>
  <si>
    <t>2. The difference between the realized fuel component paid by the distributor and the estimated fuel component for November 2020 to April 2021, will be corrected in the tariff for July-December 2021.</t>
  </si>
  <si>
    <t>For both above mentioned corrections, other values and parameters will remain as were determined in the tariff decision for 2021.</t>
  </si>
  <si>
    <t>On this sheet, two corrections are applied to calculate the new variable usage tariff of SEC for the period July to December 2021.</t>
  </si>
  <si>
    <t>First, ACM presents an updated estimation of the production price per 1 July 2021, then ACM calculates the effect (per kWh) of the correction for fuel price differences over November 2020 - April 2021.</t>
  </si>
  <si>
    <t>New variable usage tariff per 1 July 2021</t>
  </si>
  <si>
    <t>Updated estimation of production price per 1 July 2021</t>
  </si>
  <si>
    <t>Production price excluding fuel 2021</t>
  </si>
  <si>
    <t>Estimated fuel efficiency for 2021</t>
  </si>
  <si>
    <t>Estimated share production by fuel for 2021</t>
  </si>
  <si>
    <t>Estimate for fuel component per 1 July 2021</t>
  </si>
  <si>
    <t>Estimation of production price per 1 July 2021</t>
  </si>
  <si>
    <t>Estimated production volume 2021</t>
  </si>
  <si>
    <t>Part of electricity distribution first half of 2021</t>
  </si>
  <si>
    <t>Estimated production volume July to December 2021</t>
  </si>
  <si>
    <t>Calculation new variable usage tariff per 1 July 2021</t>
  </si>
  <si>
    <t>Estimated network loss 2021</t>
  </si>
  <si>
    <t>This correction reimburses fuel price differences over the period November 2020 - April 2021.</t>
  </si>
  <si>
    <t>USD, pl 2021</t>
  </si>
  <si>
    <t>Weighted average fuel price in December 2020, basis for fuel component in February 2021.</t>
  </si>
  <si>
    <t>Weighted average fuel price in October 2020, basis for fuel component in December 2020.</t>
  </si>
  <si>
    <t>In this sheet ACM imports the realized production of SEC for the period November 2020 to April 2021</t>
  </si>
  <si>
    <t>November 2020</t>
  </si>
  <si>
    <t>December 2020</t>
  </si>
  <si>
    <t>January 2021</t>
  </si>
  <si>
    <t>February 2021</t>
  </si>
  <si>
    <t>March 2021</t>
  </si>
  <si>
    <t>April 2021</t>
  </si>
  <si>
    <t>Production price decision SEC 2021</t>
  </si>
  <si>
    <t>Estimated total production 2021</t>
  </si>
  <si>
    <t>Estimated inflation for 2021</t>
  </si>
  <si>
    <t>2020
November</t>
  </si>
  <si>
    <t>2020
December</t>
  </si>
  <si>
    <t>2021
January</t>
  </si>
  <si>
    <t>2021
February</t>
  </si>
  <si>
    <t>2021
March</t>
  </si>
  <si>
    <t>2021
April</t>
  </si>
  <si>
    <t>Correction amount for November - December 2020</t>
  </si>
  <si>
    <t>Correction amount for January - April 2021</t>
  </si>
  <si>
    <t>Rekenmodel SEC 2021</t>
  </si>
  <si>
    <t>ACM/20/040017, ACM/UIT/546132</t>
  </si>
  <si>
    <t>Calculation variable usage tariff electricity SEC as of July 1, 2020</t>
  </si>
  <si>
    <t>ACM/20/038681, ACM/UIT/536686</t>
  </si>
  <si>
    <t>ACM/20/040017,ACM/UIT/546131</t>
  </si>
  <si>
    <t>This document contains the model that the Authority for Consumers &amp; Markets (ACM) uses to calculate the adjustment of the variable usage tariff for electricity of Saba Electric Company N.V. (SEC) per July 1, 2021.</t>
  </si>
  <si>
    <t xml:space="preserve">https://www.acm.nl/nl/publicaties/beschikking-productieprijs-elektriciteit-2020-saba-sec-caribisch-nederland </t>
  </si>
  <si>
    <t xml:space="preserve">https://www.acm.nl/nl/publicaties/beschikking-productieprijs-elektriciteit-2021-saba-sec-caribisch-nederland </t>
  </si>
  <si>
    <t xml:space="preserve">https://www.acm.nl/nl/publicaties/beschikking-variabel-tarief-elektriciteit-1-juli-2020-saba-caribisch-nederland </t>
  </si>
  <si>
    <t xml:space="preserve">https://www.acm.nl/nl/publicaties/beschikking-distributietarieven-elektriciteit-2021-saba-sec-caribisch-nederland </t>
  </si>
  <si>
    <t>Description result</t>
  </si>
  <si>
    <t>Description calculation</t>
  </si>
  <si>
    <t>Corrections per kWh - Profit sharing: network losses 2019</t>
  </si>
  <si>
    <t>USD/kWh, pl 2021</t>
  </si>
  <si>
    <t>[5]</t>
  </si>
  <si>
    <t xml:space="preserve">https://www.acm.nl/nl/publicaties/beschikking-distributietarieven-elektriciteit-2020-saba-sec-caribisch-nederland </t>
  </si>
  <si>
    <t>ACM/19/035837, ACM/UIT/524811</t>
  </si>
  <si>
    <t>The production price decisions for 2020 and 2021 and the tariff decisions for January 2020, July 2020 and January 2021 are used as the basis for the correction for the period November 2020 to April 2021. Sources are indicated in row 14.</t>
  </si>
  <si>
    <t>[6] Monthly production</t>
  </si>
  <si>
    <t xml:space="preserve"> </t>
  </si>
  <si>
    <t>Attachment in e-mail from SEC to ACM, dated May 7, 2021</t>
  </si>
  <si>
    <t>SEC did not purchase any fuel in February. Therefore, the most recent fuel price of January 2021 is used for February 2021. This fuel price is the basis for the fuel component in April 2021.</t>
  </si>
  <si>
    <t>SEC did not purchase any fuel in January. Therefore, the most recent fuel price of December 2020 is used for January 2021. This fuel price is the basis for the fuel component in March 2021.</t>
  </si>
  <si>
    <t>SEC did not purchase any fuel in November. Therefore, the most recent fuel price of October 2020 is used for November 2020. This fuel price is the basis for the fuel component in January 2021.</t>
  </si>
  <si>
    <t>SEC did not purchase any fuel in September. Therefore, the most recent fuel price of August 2020 is used for September 2020. This fuel price is the basis for the fuel component in November 2020.</t>
  </si>
  <si>
    <t>This invoice from August 2020 is used as the most recent fuel price for September, as SEC did not purchase any fuel in September 2020.</t>
  </si>
  <si>
    <t>August</t>
  </si>
  <si>
    <t>Most recent fuel price, based on invoice of April 23, 2021</t>
  </si>
  <si>
    <t xml:space="preserve">In this sheet ACM imports the data from the tariff decisions for 2020 and 2021 (both production price decisions and usage tariff decisions). </t>
  </si>
  <si>
    <t>Usage tariffs decision SEC July - Dec 2020</t>
  </si>
  <si>
    <t>Usage tariffs decision SEC 2020</t>
  </si>
  <si>
    <t>Usage tariffs decision SEC 2021</t>
  </si>
  <si>
    <t>Estimations in usage tariff decision</t>
  </si>
  <si>
    <t>Usage tariffs decision SEC Jan - Jun 2020</t>
  </si>
  <si>
    <t>Usage tariffs decision SEC Jan - Jun 2021</t>
  </si>
  <si>
    <t>Total corrections to be added on variable usage tariff 2020</t>
  </si>
  <si>
    <t>Parameters</t>
  </si>
  <si>
    <t>USD/kWh, pl 2020</t>
  </si>
  <si>
    <t xml:space="preserve">Total correction of the variable usage tariff to be applied in 2020 was mistakenly not taken into account when setting the tariff per 1 July 2020. </t>
  </si>
  <si>
    <t>Total 2020 corrections per kWh to be added on variable usage tariff 2021</t>
  </si>
  <si>
    <t>Total corrections per kWh in variable usage tariff per 1 July 2021</t>
  </si>
  <si>
    <t>We use this factor, because half of the total corrections on the variable usage tariff was reimbursed in the 2020 tariff for January to June.</t>
  </si>
  <si>
    <t>Corrections applied to January-December 2020 but were mistakenly only included in the tariff for January-June 2020.</t>
  </si>
  <si>
    <t>Corrections per kWh apply to January-December 2021.</t>
  </si>
  <si>
    <t>For SEC, ACM assumed an even distribution of production between the first and second half of the year.</t>
  </si>
  <si>
    <t>#</t>
  </si>
  <si>
    <t>Correction on variable usage tariff</t>
  </si>
  <si>
    <t>Total corrections to be added on variable usage tariff 2021</t>
  </si>
  <si>
    <t>Factor corrections network losses 2017-2018 and non-received tariff income 2018</t>
  </si>
  <si>
    <t>Yes</t>
  </si>
  <si>
    <t>ACM/UIT/553802</t>
  </si>
  <si>
    <t>No</t>
  </si>
  <si>
    <t>liter/kWh</t>
  </si>
  <si>
    <t>USD/liter, pl 2021</t>
  </si>
  <si>
    <t>USD/kWh</t>
  </si>
  <si>
    <t>USD/liter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</si>
</sst>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0_ ;_ * \-#,##0.0000_ ;_ * &quot;-&quot;??_ ;_ @_ "/>
    <numFmt numFmtId="166" formatCode="_ * #,##0.0000_ ;_ * \-#,##0.0000_ ;_ * &quot;-&quot;_ ;_ @_ "/>
    <numFmt numFmtId="167" formatCode="_(* #,##0.00_);_(* \(#,##0.00\);_(* &quot;-&quot;??_);_(@_)"/>
    <numFmt numFmtId="168" formatCode="_ * #,##0.0_ ;_ * \-#,##0.0_ ;_ * &quot;-&quot;_ ;_ @_ "/>
    <numFmt numFmtId="169" formatCode="_ * #,##0.0_ ;_ * \-#,##0.0_ ;_ * &quot;-&quot;??_ ;_ @_ "/>
  </numFmts>
  <fonts count="32"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rgb="FF00B0F0"/>
      <name val="Arial"/>
      <family val="2"/>
    </font>
    <font>
      <sz val="9.5"/>
      <color theme="1"/>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s>
  <cellStyleXfs count="70">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18" borderId="1">
      <alignment vertical="top"/>
    </xf>
    <xf numFmtId="49" fontId="6" fillId="0" borderId="0">
      <alignment vertical="top"/>
    </xf>
    <xf numFmtId="41" fontId="5" fillId="11" borderId="0">
      <alignment vertical="top"/>
    </xf>
    <xf numFmtId="41" fontId="5" fillId="10" borderId="0">
      <alignment vertical="top"/>
    </xf>
    <xf numFmtId="41" fontId="5" fillId="9" borderId="0">
      <alignment vertical="top"/>
    </xf>
    <xf numFmtId="41" fontId="5" fillId="45" borderId="0">
      <alignment vertical="top"/>
    </xf>
    <xf numFmtId="41" fontId="5" fillId="8" borderId="0">
      <alignment vertical="top"/>
    </xf>
    <xf numFmtId="41" fontId="5" fillId="12" borderId="0">
      <alignment vertical="top"/>
    </xf>
    <xf numFmtId="49" fontId="11" fillId="0" borderId="0">
      <alignment vertical="top"/>
    </xf>
    <xf numFmtId="49" fontId="10" fillId="0" borderId="0">
      <alignment vertical="top"/>
    </xf>
    <xf numFmtId="0" fontId="16" fillId="14" borderId="3" applyNumberFormat="0" applyAlignment="0" applyProtection="0"/>
    <xf numFmtId="0" fontId="17" fillId="15" borderId="4" applyNumberFormat="0" applyAlignment="0" applyProtection="0"/>
    <xf numFmtId="0" fontId="18" fillId="15" borderId="3" applyNumberFormat="0" applyAlignment="0" applyProtection="0"/>
    <xf numFmtId="0" fontId="19" fillId="0" borderId="5" applyNumberFormat="0" applyFill="0" applyAlignment="0" applyProtection="0"/>
    <xf numFmtId="0" fontId="13" fillId="16" borderId="6" applyNumberFormat="0" applyAlignment="0" applyProtection="0"/>
    <xf numFmtId="0" fontId="15" fillId="17"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8" fillId="42"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3" borderId="0" applyNumberFormat="0">
      <alignment vertical="top"/>
    </xf>
    <xf numFmtId="43" fontId="5" fillId="10" borderId="0" applyFont="0" applyFill="0" applyBorder="0" applyAlignment="0" applyProtection="0">
      <alignment vertical="top"/>
    </xf>
    <xf numFmtId="10" fontId="5" fillId="0" borderId="0" applyFont="0" applyFill="0" applyBorder="0" applyAlignment="0" applyProtection="0">
      <alignment vertical="top"/>
    </xf>
    <xf numFmtId="41" fontId="5" fillId="44" borderId="0">
      <alignment vertical="top"/>
    </xf>
    <xf numFmtId="49" fontId="6" fillId="18" borderId="1">
      <alignment vertical="top"/>
    </xf>
    <xf numFmtId="43" fontId="5" fillId="44" borderId="0">
      <alignment vertical="top"/>
    </xf>
    <xf numFmtId="167" fontId="5" fillId="0" borderId="0" applyFont="0" applyFill="0" applyBorder="0" applyAlignment="0" applyProtection="0"/>
    <xf numFmtId="0" fontId="5" fillId="0" borderId="0"/>
  </cellStyleXfs>
  <cellXfs count="76">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9" fillId="5" borderId="1" xfId="5">
      <alignment vertical="top"/>
    </xf>
    <xf numFmtId="49" fontId="6" fillId="18" borderId="1" xfId="6">
      <alignment vertical="top"/>
    </xf>
    <xf numFmtId="0" fontId="5" fillId="0" borderId="0" xfId="4" applyFill="1">
      <alignment vertical="top"/>
    </xf>
    <xf numFmtId="0" fontId="5" fillId="0" borderId="2" xfId="4" applyBorder="1" applyAlignment="1">
      <alignment horizontal="left" vertical="top" wrapText="1"/>
    </xf>
    <xf numFmtId="0" fontId="8" fillId="6" borderId="1" xfId="4" applyFont="1" applyFill="1" applyBorder="1">
      <alignment vertical="top"/>
    </xf>
    <xf numFmtId="0" fontId="11" fillId="0" borderId="0" xfId="4" applyFont="1" applyFill="1">
      <alignment vertical="top"/>
    </xf>
    <xf numFmtId="0" fontId="5" fillId="7" borderId="0" xfId="4" applyFill="1">
      <alignment vertical="top"/>
    </xf>
    <xf numFmtId="1" fontId="5" fillId="0" borderId="0" xfId="4" applyNumberFormat="1" applyFill="1">
      <alignment vertical="top"/>
    </xf>
    <xf numFmtId="0" fontId="13" fillId="6" borderId="1" xfId="4" applyFont="1" applyFill="1" applyBorder="1">
      <alignment vertical="top"/>
    </xf>
    <xf numFmtId="49" fontId="7" fillId="18" borderId="2" xfId="6" applyFont="1" applyBorder="1">
      <alignment vertical="top"/>
    </xf>
    <xf numFmtId="0" fontId="9" fillId="5" borderId="1" xfId="5" applyNumberFormat="1">
      <alignment vertical="top"/>
    </xf>
    <xf numFmtId="0" fontId="14" fillId="0" borderId="0" xfId="4" applyFont="1">
      <alignment vertical="top"/>
    </xf>
    <xf numFmtId="0" fontId="5" fillId="13" borderId="0" xfId="4" applyFill="1">
      <alignment vertical="top"/>
    </xf>
    <xf numFmtId="0" fontId="5" fillId="0" borderId="0" xfId="4" applyAlignment="1">
      <alignment vertical="top"/>
    </xf>
    <xf numFmtId="0" fontId="5" fillId="0" borderId="0" xfId="4" applyFont="1">
      <alignment vertical="top"/>
    </xf>
    <xf numFmtId="49" fontId="5" fillId="18" borderId="2" xfId="6" applyFont="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6" fillId="0" borderId="0" xfId="7">
      <alignment vertical="top"/>
    </xf>
    <xf numFmtId="49" fontId="10" fillId="0" borderId="0" xfId="15">
      <alignment vertical="top"/>
    </xf>
    <xf numFmtId="41" fontId="5" fillId="11" borderId="0" xfId="8">
      <alignment vertical="top"/>
    </xf>
    <xf numFmtId="9" fontId="5" fillId="0" borderId="0" xfId="4" applyNumberFormat="1">
      <alignment vertical="top"/>
    </xf>
    <xf numFmtId="41" fontId="5" fillId="9" borderId="0" xfId="10">
      <alignment vertical="top"/>
    </xf>
    <xf numFmtId="41" fontId="5" fillId="8" borderId="0" xfId="12">
      <alignment vertical="top"/>
    </xf>
    <xf numFmtId="41" fontId="5" fillId="45" borderId="0" xfId="11">
      <alignment vertical="top"/>
    </xf>
    <xf numFmtId="0" fontId="5" fillId="0" borderId="2" xfId="4" applyFont="1" applyBorder="1" applyAlignment="1">
      <alignment horizontal="left" vertical="top" wrapText="1"/>
    </xf>
    <xf numFmtId="41" fontId="5" fillId="12" borderId="0" xfId="13">
      <alignment vertical="top"/>
    </xf>
    <xf numFmtId="41" fontId="5" fillId="10" borderId="0" xfId="9">
      <alignment vertical="top"/>
    </xf>
    <xf numFmtId="0" fontId="30" fillId="0" borderId="0" xfId="4" applyFont="1">
      <alignment vertical="top"/>
    </xf>
    <xf numFmtId="49" fontId="5" fillId="18" borderId="0" xfId="6" applyFont="1" applyBorder="1">
      <alignment vertical="top"/>
    </xf>
    <xf numFmtId="165" fontId="5" fillId="10" borderId="0" xfId="9" applyNumberFormat="1">
      <alignment vertical="top"/>
    </xf>
    <xf numFmtId="164" fontId="5" fillId="10" borderId="0" xfId="9" applyNumberFormat="1">
      <alignment vertical="top"/>
    </xf>
    <xf numFmtId="10" fontId="5" fillId="12" borderId="0" xfId="64" applyFill="1">
      <alignment vertical="top"/>
    </xf>
    <xf numFmtId="49" fontId="6" fillId="18" borderId="1" xfId="6" applyAlignment="1">
      <alignment vertical="top" wrapText="1"/>
    </xf>
    <xf numFmtId="0" fontId="6" fillId="18" borderId="1" xfId="6" applyNumberFormat="1" applyAlignment="1">
      <alignment vertical="top" wrapText="1"/>
    </xf>
    <xf numFmtId="0" fontId="10" fillId="0" borderId="0" xfId="4" applyFont="1" applyAlignment="1">
      <alignment horizontal="left" vertical="top"/>
    </xf>
    <xf numFmtId="0" fontId="5" fillId="0" borderId="0" xfId="4" applyAlignment="1">
      <alignment vertical="top" wrapText="1"/>
    </xf>
    <xf numFmtId="49" fontId="21" fillId="0" borderId="2" xfId="61" applyBorder="1" applyAlignment="1">
      <alignment vertical="top"/>
    </xf>
    <xf numFmtId="10" fontId="5" fillId="45" borderId="0" xfId="64" applyFill="1">
      <alignment vertical="top"/>
    </xf>
    <xf numFmtId="165" fontId="5" fillId="45" borderId="0" xfId="63" applyNumberFormat="1" applyFill="1">
      <alignment vertical="top"/>
    </xf>
    <xf numFmtId="10" fontId="5" fillId="45" borderId="0" xfId="64" applyNumberFormat="1" applyFill="1">
      <alignment vertical="top"/>
    </xf>
    <xf numFmtId="49" fontId="6" fillId="18" borderId="1" xfId="6" applyNumberFormat="1">
      <alignment vertical="top"/>
    </xf>
    <xf numFmtId="49" fontId="5" fillId="0" borderId="0" xfId="4" applyNumberFormat="1">
      <alignment vertical="top"/>
    </xf>
    <xf numFmtId="14" fontId="5" fillId="45" borderId="0" xfId="11" applyNumberFormat="1">
      <alignment vertical="top"/>
    </xf>
    <xf numFmtId="164" fontId="5" fillId="45" borderId="0" xfId="11" applyNumberFormat="1">
      <alignment vertical="top"/>
    </xf>
    <xf numFmtId="165" fontId="5" fillId="45" borderId="0" xfId="11" applyNumberFormat="1">
      <alignment vertical="top"/>
    </xf>
    <xf numFmtId="49" fontId="6" fillId="18" borderId="1" xfId="66">
      <alignment vertical="top"/>
    </xf>
    <xf numFmtId="10" fontId="5" fillId="12" borderId="0" xfId="13" applyNumberFormat="1">
      <alignment vertical="top"/>
    </xf>
    <xf numFmtId="165" fontId="5" fillId="12" borderId="0" xfId="63" applyNumberFormat="1" applyFill="1">
      <alignment vertical="top"/>
    </xf>
    <xf numFmtId="166" fontId="5" fillId="10" borderId="0" xfId="9" applyNumberFormat="1">
      <alignment vertical="top"/>
    </xf>
    <xf numFmtId="0" fontId="5" fillId="0" borderId="2" xfId="4" applyFont="1" applyBorder="1" applyAlignment="1">
      <alignment horizontal="left" vertical="top" wrapText="1"/>
    </xf>
    <xf numFmtId="165" fontId="5" fillId="10" borderId="0" xfId="63" applyNumberFormat="1">
      <alignment vertical="top"/>
    </xf>
    <xf numFmtId="165" fontId="5" fillId="11" borderId="0" xfId="63" applyNumberFormat="1" applyFill="1">
      <alignment vertical="top"/>
    </xf>
    <xf numFmtId="164" fontId="5" fillId="12" borderId="0" xfId="63" applyNumberFormat="1" applyFill="1">
      <alignment vertical="top"/>
    </xf>
    <xf numFmtId="0" fontId="5" fillId="0" borderId="0" xfId="4" applyFont="1" applyAlignment="1">
      <alignment vertical="top"/>
    </xf>
    <xf numFmtId="164" fontId="5" fillId="10" borderId="0" xfId="63" applyNumberFormat="1">
      <alignment vertical="top"/>
    </xf>
    <xf numFmtId="164" fontId="5" fillId="11" borderId="0" xfId="63" applyNumberFormat="1" applyFill="1">
      <alignment vertical="top"/>
    </xf>
    <xf numFmtId="166" fontId="5" fillId="9" borderId="0" xfId="10" applyNumberFormat="1">
      <alignment vertical="top"/>
    </xf>
    <xf numFmtId="164" fontId="5" fillId="43" borderId="0" xfId="62" applyNumberFormat="1">
      <alignment vertical="top"/>
    </xf>
    <xf numFmtId="166" fontId="5" fillId="45" borderId="0" xfId="11" applyNumberFormat="1">
      <alignment vertical="top"/>
    </xf>
    <xf numFmtId="41" fontId="5" fillId="45" borderId="0" xfId="11" applyNumberFormat="1">
      <alignment vertical="top"/>
    </xf>
    <xf numFmtId="166" fontId="5" fillId="12" borderId="0" xfId="13" applyNumberFormat="1">
      <alignment vertical="top"/>
    </xf>
    <xf numFmtId="0" fontId="5" fillId="0" borderId="12" xfId="4" applyFill="1" applyBorder="1">
      <alignment vertical="top"/>
    </xf>
    <xf numFmtId="49" fontId="5" fillId="0" borderId="2" xfId="61" applyFont="1" applyBorder="1" applyAlignment="1">
      <alignment vertical="top"/>
    </xf>
    <xf numFmtId="168" fontId="5" fillId="45" borderId="0" xfId="11" applyNumberFormat="1">
      <alignment vertical="top"/>
    </xf>
    <xf numFmtId="169" fontId="5" fillId="12" borderId="0" xfId="63" applyNumberFormat="1" applyFill="1">
      <alignment vertical="top"/>
    </xf>
    <xf numFmtId="0" fontId="31" fillId="0" borderId="2" xfId="0" applyFont="1" applyBorder="1">
      <alignment vertical="top"/>
    </xf>
    <xf numFmtId="0" fontId="5" fillId="0" borderId="0" xfId="4" applyFont="1" applyFill="1" applyBorder="1" applyAlignment="1">
      <alignment horizontal="left" vertical="top" wrapText="1"/>
    </xf>
  </cellXfs>
  <cellStyles count="70">
    <cellStyle name="_kop1 Bladtitel" xfId="5" xr:uid="{00000000-0005-0000-0000-000000000000}"/>
    <cellStyle name="_kop2 Bloktitel" xfId="6" xr:uid="{00000000-0005-0000-0000-000001000000}"/>
    <cellStyle name="_kop2 Bloktitel 2" xfId="66" xr:uid="{00000000-0005-0000-0000-000002000000}"/>
    <cellStyle name="_kop3 Subkop" xfId="7" xr:uid="{00000000-0005-0000-0000-000003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D000000}"/>
    <cellStyle name="Cel Berekening" xfId="9" xr:uid="{00000000-0005-0000-0000-00001E000000}"/>
    <cellStyle name="Cel Bijzonderheid" xfId="10" xr:uid="{00000000-0005-0000-0000-00001F000000}"/>
    <cellStyle name="Cel Dataverzoek" xfId="65" xr:uid="{00000000-0005-0000-0000-000020000000}"/>
    <cellStyle name="Cel Input" xfId="11" xr:uid="{00000000-0005-0000-0000-000021000000}"/>
    <cellStyle name="Cel Input Data" xfId="67" xr:uid="{00000000-0005-0000-0000-000022000000}"/>
    <cellStyle name="Cel n.v.t. (leeg)" xfId="62" xr:uid="{00000000-0005-0000-0000-000023000000}"/>
    <cellStyle name="Cel PM extern" xfId="12" xr:uid="{00000000-0005-0000-0000-000024000000}"/>
    <cellStyle name="Cel Verwijzing" xfId="13" xr:uid="{00000000-0005-0000-0000-000025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2" xfId="68" xr:uid="{00000000-0005-0000-0000-000030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8000000}"/>
    <cellStyle name="Procent" xfId="27" builtinId="5" hidden="1"/>
    <cellStyle name="Procent" xfId="64" builtinId="5"/>
    <cellStyle name="Standaard" xfId="0" builtinId="0" customBuiltin="1"/>
    <cellStyle name="Standaard 2" xfId="69" xr:uid="{00000000-0005-0000-0000-00003C000000}"/>
    <cellStyle name="Standaard ACM-DE" xfId="4" xr:uid="{00000000-0005-0000-0000-00003D000000}"/>
    <cellStyle name="Titel" xfId="28" builtinId="15" hidden="1"/>
    <cellStyle name="Toelichting" xfId="15" xr:uid="{00000000-0005-0000-0000-00003F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beschikking-variabel-tarief-elektriciteit-1-juli-2020-saba-caribisch-nederland" TargetMode="External"/><Relationship Id="rId2" Type="http://schemas.openxmlformats.org/officeDocument/2006/relationships/hyperlink" Target="https://www.acm.nl/nl/publicaties/beschikking-productieprijs-elektriciteit-2021-saba-sec-caribisch-nederland" TargetMode="External"/><Relationship Id="rId1" Type="http://schemas.openxmlformats.org/officeDocument/2006/relationships/hyperlink" Target="https://www.acm.nl/nl/publicaties/beschikking-productieprijs-elektriciteit-2020-saba-sec-caribisch-nederland" TargetMode="External"/><Relationship Id="rId6" Type="http://schemas.openxmlformats.org/officeDocument/2006/relationships/printerSettings" Target="../printerSettings/printerSettings3.bin"/><Relationship Id="rId5" Type="http://schemas.openxmlformats.org/officeDocument/2006/relationships/hyperlink" Target="https://www.acm.nl/nl/publicaties/beschikking-distributietarieven-elektriciteit-2020-saba-sec-caribisch-nederland" TargetMode="External"/><Relationship Id="rId4" Type="http://schemas.openxmlformats.org/officeDocument/2006/relationships/hyperlink" Target="https://www.acm.nl/nl/publicaties/beschikking-distributietarieven-elektriciteit-2021-saba-sec-caribisch-neder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D34"/>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8" customFormat="1" ht="18" x14ac:dyDescent="0.2">
      <c r="B2" s="8" t="s">
        <v>112</v>
      </c>
    </row>
    <row r="6" spans="2:3" x14ac:dyDescent="0.2">
      <c r="B6" s="3"/>
    </row>
    <row r="13" spans="2:3" s="9" customFormat="1" x14ac:dyDescent="0.2">
      <c r="B13" s="9" t="s">
        <v>2</v>
      </c>
    </row>
    <row r="14" spans="2:3" s="10" customFormat="1" x14ac:dyDescent="0.2"/>
    <row r="15" spans="2:3" x14ac:dyDescent="0.2">
      <c r="B15" s="33" t="s">
        <v>3</v>
      </c>
      <c r="C15" s="11" t="s">
        <v>137</v>
      </c>
    </row>
    <row r="16" spans="2:3" x14ac:dyDescent="0.2">
      <c r="B16" s="33" t="s">
        <v>4</v>
      </c>
      <c r="C16" s="74" t="s">
        <v>138</v>
      </c>
    </row>
    <row r="17" spans="2:4" ht="25.5" x14ac:dyDescent="0.2">
      <c r="B17" s="58" t="s">
        <v>115</v>
      </c>
      <c r="C17" s="58" t="s">
        <v>139</v>
      </c>
    </row>
    <row r="18" spans="2:4" x14ac:dyDescent="0.2">
      <c r="B18" s="58" t="s">
        <v>116</v>
      </c>
      <c r="C18" s="58" t="s">
        <v>230</v>
      </c>
    </row>
    <row r="19" spans="2:4" x14ac:dyDescent="0.2">
      <c r="B19" s="58" t="s">
        <v>117</v>
      </c>
      <c r="C19" s="33" t="s">
        <v>140</v>
      </c>
    </row>
    <row r="20" spans="2:4" x14ac:dyDescent="0.2">
      <c r="B20" s="33" t="s">
        <v>5</v>
      </c>
      <c r="C20" s="11"/>
    </row>
    <row r="23" spans="2:4" s="9" customFormat="1" x14ac:dyDescent="0.2">
      <c r="B23" s="9" t="s">
        <v>6</v>
      </c>
    </row>
    <row r="25" spans="2:4" x14ac:dyDescent="0.2">
      <c r="B25" s="33" t="s">
        <v>7</v>
      </c>
      <c r="C25" s="11" t="s">
        <v>229</v>
      </c>
    </row>
    <row r="26" spans="2:4" x14ac:dyDescent="0.2">
      <c r="B26" s="58" t="s">
        <v>133</v>
      </c>
      <c r="C26" s="11" t="s">
        <v>229</v>
      </c>
    </row>
    <row r="27" spans="2:4" ht="25.5" x14ac:dyDescent="0.2">
      <c r="B27" s="33" t="s">
        <v>8</v>
      </c>
      <c r="C27" s="11" t="s">
        <v>229</v>
      </c>
    </row>
    <row r="28" spans="2:4" ht="25.5" x14ac:dyDescent="0.2">
      <c r="B28" s="58" t="s">
        <v>118</v>
      </c>
      <c r="C28" s="11" t="s">
        <v>231</v>
      </c>
    </row>
    <row r="29" spans="2:4" x14ac:dyDescent="0.2">
      <c r="B29" s="33" t="s">
        <v>5</v>
      </c>
      <c r="C29" s="11"/>
    </row>
    <row r="31" spans="2:4" ht="12.75" customHeight="1" x14ac:dyDescent="0.2">
      <c r="B31" s="75" t="s">
        <v>119</v>
      </c>
      <c r="C31" s="75"/>
      <c r="D31" s="6"/>
    </row>
    <row r="32" spans="2:4" x14ac:dyDescent="0.2">
      <c r="B32" s="25"/>
      <c r="C32" s="25"/>
      <c r="D32" s="6"/>
    </row>
    <row r="34" spans="2:2" x14ac:dyDescent="0.2">
      <c r="B34" s="2" t="s">
        <v>46</v>
      </c>
    </row>
  </sheetData>
  <mergeCells count="1">
    <mergeCell ref="B31:C31"/>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2:U47"/>
  <sheetViews>
    <sheetView showGridLines="0" zoomScale="85" zoomScaleNormal="85" workbookViewId="0">
      <pane xSplit="6" ySplit="15" topLeftCell="G16" activePane="bottomRight" state="frozen"/>
      <selection activeCell="R6" sqref="R6"/>
      <selection pane="topRight" activeCell="R6" sqref="R6"/>
      <selection pane="bottomLeft" activeCell="R6" sqref="R6"/>
      <selection pane="bottomRight" activeCell="G16" sqref="G16"/>
    </sheetView>
  </sheetViews>
  <sheetFormatPr defaultRowHeight="12.75" x14ac:dyDescent="0.2"/>
  <cols>
    <col min="1" max="1" width="4.7109375" style="2" customWidth="1"/>
    <col min="2" max="2" width="48.140625" style="2" customWidth="1"/>
    <col min="3" max="3" width="4.7109375" style="2" customWidth="1"/>
    <col min="4" max="5" width="4.5703125" style="2" customWidth="1"/>
    <col min="6" max="6" width="16.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3.42578125" style="2" customWidth="1"/>
    <col min="18" max="20" width="2.7109375" style="2" customWidth="1"/>
    <col min="21" max="35" width="13.7109375" style="2" customWidth="1"/>
    <col min="36" max="16384" width="9.140625" style="2"/>
  </cols>
  <sheetData>
    <row r="2" spans="2:21" s="18" customFormat="1" ht="18" x14ac:dyDescent="0.2">
      <c r="B2" s="18" t="s">
        <v>72</v>
      </c>
    </row>
    <row r="4" spans="2:21" x14ac:dyDescent="0.2">
      <c r="B4" s="26" t="s">
        <v>191</v>
      </c>
      <c r="C4" s="1"/>
      <c r="D4" s="1"/>
    </row>
    <row r="5" spans="2:21" x14ac:dyDescent="0.2">
      <c r="B5" s="21" t="s">
        <v>74</v>
      </c>
      <c r="C5" s="3"/>
      <c r="D5" s="3"/>
      <c r="H5" s="19"/>
    </row>
    <row r="6" spans="2:21" x14ac:dyDescent="0.2">
      <c r="B6" s="21" t="s">
        <v>136</v>
      </c>
      <c r="C6" s="3"/>
      <c r="D6" s="3"/>
      <c r="H6" s="19"/>
    </row>
    <row r="7" spans="2:21" x14ac:dyDescent="0.2">
      <c r="B7" s="62" t="s">
        <v>126</v>
      </c>
      <c r="C7" s="3"/>
      <c r="D7" s="3"/>
      <c r="H7" s="19"/>
    </row>
    <row r="8" spans="2:21" x14ac:dyDescent="0.2">
      <c r="B8" s="22"/>
      <c r="C8" s="3"/>
      <c r="D8" s="3"/>
      <c r="H8" s="19"/>
    </row>
    <row r="9" spans="2:21" x14ac:dyDescent="0.2">
      <c r="B9" s="27" t="s">
        <v>59</v>
      </c>
      <c r="C9" s="3"/>
      <c r="D9" s="3"/>
      <c r="H9" s="19"/>
    </row>
    <row r="10" spans="2:21" x14ac:dyDescent="0.2">
      <c r="B10" s="43" t="s">
        <v>73</v>
      </c>
      <c r="C10" s="3"/>
      <c r="D10" s="3"/>
    </row>
    <row r="11" spans="2:21" x14ac:dyDescent="0.2">
      <c r="B11" s="5" t="s">
        <v>82</v>
      </c>
      <c r="C11" s="3"/>
      <c r="D11" s="3"/>
    </row>
    <row r="12" spans="2:21" x14ac:dyDescent="0.2">
      <c r="B12" s="5"/>
      <c r="C12" s="3"/>
      <c r="D12" s="3"/>
    </row>
    <row r="14" spans="2:21" s="9" customFormat="1" ht="25.5" x14ac:dyDescent="0.2">
      <c r="B14" s="9" t="s">
        <v>12</v>
      </c>
      <c r="F14" s="9" t="s">
        <v>41</v>
      </c>
      <c r="H14" s="9" t="s">
        <v>42</v>
      </c>
      <c r="J14" s="41" t="s">
        <v>81</v>
      </c>
      <c r="L14" s="41" t="s">
        <v>172</v>
      </c>
      <c r="M14" s="41" t="s">
        <v>173</v>
      </c>
      <c r="N14" s="41" t="s">
        <v>174</v>
      </c>
      <c r="O14" s="41" t="s">
        <v>175</v>
      </c>
      <c r="P14" s="41" t="s">
        <v>176</v>
      </c>
      <c r="Q14" s="41" t="s">
        <v>177</v>
      </c>
      <c r="U14" s="9" t="s">
        <v>44</v>
      </c>
    </row>
    <row r="16" spans="2:21" s="9" customFormat="1" x14ac:dyDescent="0.2">
      <c r="B16" s="9" t="s">
        <v>216</v>
      </c>
    </row>
    <row r="18" spans="2:21" x14ac:dyDescent="0.2">
      <c r="B18" s="2" t="s">
        <v>171</v>
      </c>
      <c r="F18" s="2" t="s">
        <v>50</v>
      </c>
      <c r="H18" s="55">
        <f>'Parameters in tariff decisions'!P33</f>
        <v>-1.6E-2</v>
      </c>
    </row>
    <row r="20" spans="2:21" s="9" customFormat="1" x14ac:dyDescent="0.2">
      <c r="B20" s="9" t="s">
        <v>80</v>
      </c>
    </row>
    <row r="22" spans="2:21" x14ac:dyDescent="0.2">
      <c r="B22" s="1" t="s">
        <v>75</v>
      </c>
    </row>
    <row r="23" spans="2:21" x14ac:dyDescent="0.2">
      <c r="B23" s="2" t="s">
        <v>69</v>
      </c>
      <c r="F23" s="2" t="s">
        <v>232</v>
      </c>
      <c r="L23" s="56">
        <f>'Parameters in tariff decisions'!$L$19</f>
        <v>0.23135346900146023</v>
      </c>
      <c r="M23" s="56">
        <f>'Parameters in tariff decisions'!$L$19</f>
        <v>0.23135346900146023</v>
      </c>
      <c r="N23" s="56">
        <f>'Parameters in tariff decisions'!$M$19</f>
        <v>0.27004207133895602</v>
      </c>
      <c r="O23" s="56">
        <f>'Parameters in tariff decisions'!$M$19</f>
        <v>0.27004207133895602</v>
      </c>
      <c r="P23" s="56">
        <f>'Parameters in tariff decisions'!$M$19</f>
        <v>0.27004207133895602</v>
      </c>
      <c r="Q23" s="56">
        <f>'Parameters in tariff decisions'!$M$19</f>
        <v>0.27004207133895602</v>
      </c>
    </row>
    <row r="24" spans="2:21" x14ac:dyDescent="0.2">
      <c r="B24" s="22" t="s">
        <v>76</v>
      </c>
      <c r="F24" s="2" t="s">
        <v>50</v>
      </c>
      <c r="L24" s="40">
        <f>'Parameters in tariff decisions'!$L$20</f>
        <v>0.62142327748557913</v>
      </c>
      <c r="M24" s="40">
        <f>'Parameters in tariff decisions'!$L$20</f>
        <v>0.62142327748557913</v>
      </c>
      <c r="N24" s="40">
        <f>'Parameters in tariff decisions'!$M$20</f>
        <v>0.63999992823770191</v>
      </c>
      <c r="O24" s="40">
        <f>'Parameters in tariff decisions'!$M$20</f>
        <v>0.63999992823770191</v>
      </c>
      <c r="P24" s="40">
        <f>'Parameters in tariff decisions'!$M$20</f>
        <v>0.63999992823770191</v>
      </c>
      <c r="Q24" s="40">
        <f>'Parameters in tariff decisions'!$M$20</f>
        <v>0.63999992823770191</v>
      </c>
    </row>
    <row r="26" spans="2:21" x14ac:dyDescent="0.2">
      <c r="B26" s="1" t="s">
        <v>85</v>
      </c>
    </row>
    <row r="27" spans="2:21" x14ac:dyDescent="0.2">
      <c r="B27" s="2" t="s">
        <v>86</v>
      </c>
      <c r="F27" s="2" t="s">
        <v>49</v>
      </c>
      <c r="L27" s="34">
        <f>'Input production data'!L16</f>
        <v>717953</v>
      </c>
      <c r="M27" s="34">
        <f>'Input production data'!M16</f>
        <v>721641</v>
      </c>
      <c r="N27" s="34">
        <f>'Input production data'!N16</f>
        <v>690822</v>
      </c>
      <c r="O27" s="34">
        <f>'Input production data'!O16</f>
        <v>638715</v>
      </c>
      <c r="P27" s="34">
        <f>'Input production data'!P16</f>
        <v>716250</v>
      </c>
      <c r="Q27" s="34">
        <f>'Input production data'!Q16</f>
        <v>705224</v>
      </c>
    </row>
    <row r="29" spans="2:21" x14ac:dyDescent="0.2">
      <c r="B29" s="1" t="s">
        <v>77</v>
      </c>
    </row>
    <row r="30" spans="2:21" x14ac:dyDescent="0.2">
      <c r="B30" s="2" t="s">
        <v>77</v>
      </c>
      <c r="F30" s="2" t="s">
        <v>235</v>
      </c>
      <c r="L30" s="65">
        <f>'Fuel prices'!T20</f>
        <v>0.52747233694351492</v>
      </c>
      <c r="M30" s="65">
        <f>'Fuel prices'!T22</f>
        <v>0.4924695400060603</v>
      </c>
      <c r="N30" s="65">
        <f>'Fuel prices'!T24</f>
        <v>0.4924695400060603</v>
      </c>
      <c r="O30" s="65">
        <f>'Fuel prices'!T26</f>
        <v>0.56619995981921956</v>
      </c>
      <c r="P30" s="65">
        <f>'Fuel prices'!T28</f>
        <v>0.56619995981921956</v>
      </c>
      <c r="Q30" s="65">
        <f>'Fuel prices'!T30</f>
        <v>0.56619995981921956</v>
      </c>
      <c r="U30" s="2" t="s">
        <v>127</v>
      </c>
    </row>
    <row r="32" spans="2:21" s="9" customFormat="1" x14ac:dyDescent="0.2">
      <c r="B32" s="9" t="s">
        <v>78</v>
      </c>
    </row>
    <row r="34" spans="2:21" x14ac:dyDescent="0.2">
      <c r="B34" s="1" t="s">
        <v>84</v>
      </c>
    </row>
    <row r="35" spans="2:21" x14ac:dyDescent="0.2">
      <c r="B35" s="22" t="s">
        <v>79</v>
      </c>
      <c r="F35" s="2" t="s">
        <v>234</v>
      </c>
      <c r="L35" s="57">
        <f t="shared" ref="L35:Q35" si="0">L23*L24*L30</f>
        <v>7.5833870259571334E-2</v>
      </c>
      <c r="M35" s="57">
        <f t="shared" si="0"/>
        <v>7.0801573064502882E-2</v>
      </c>
      <c r="N35" s="57">
        <f t="shared" si="0"/>
        <v>8.5111987035442579E-2</v>
      </c>
      <c r="O35" s="57">
        <f t="shared" si="0"/>
        <v>9.7854587390335854E-2</v>
      </c>
      <c r="P35" s="57">
        <f t="shared" si="0"/>
        <v>9.7854587390335854E-2</v>
      </c>
      <c r="Q35" s="57">
        <f t="shared" si="0"/>
        <v>9.7854587390335854E-2</v>
      </c>
    </row>
    <row r="36" spans="2:21" x14ac:dyDescent="0.2">
      <c r="B36" s="22" t="s">
        <v>70</v>
      </c>
      <c r="F36" s="2" t="s">
        <v>234</v>
      </c>
      <c r="L36" s="56">
        <f>'Parameters in tariff decisions'!$N$23</f>
        <v>6.3638620226843162E-2</v>
      </c>
      <c r="M36" s="56">
        <f>'Parameters in tariff decisions'!$N$23</f>
        <v>6.3638620226843162E-2</v>
      </c>
      <c r="N36" s="56">
        <f>'Parameters in tariff decisions'!$P$23</f>
        <v>8.5111987035442579E-2</v>
      </c>
      <c r="O36" s="56">
        <f>'Parameters in tariff decisions'!$P$23</f>
        <v>8.5111987035442579E-2</v>
      </c>
      <c r="P36" s="56">
        <f>'Parameters in tariff decisions'!$P$23</f>
        <v>8.5111987035442579E-2</v>
      </c>
      <c r="Q36" s="56">
        <f>'Parameters in tariff decisions'!$P$23</f>
        <v>8.5111987035442579E-2</v>
      </c>
    </row>
    <row r="37" spans="2:21" x14ac:dyDescent="0.2">
      <c r="B37" s="2" t="s">
        <v>83</v>
      </c>
      <c r="F37" s="2" t="s">
        <v>234</v>
      </c>
      <c r="L37" s="57">
        <f t="shared" ref="L37:Q37" si="1">L35-L36</f>
        <v>1.2195250032728172E-2</v>
      </c>
      <c r="M37" s="57">
        <f t="shared" si="1"/>
        <v>7.1629528376597196E-3</v>
      </c>
      <c r="N37" s="57">
        <f t="shared" si="1"/>
        <v>0</v>
      </c>
      <c r="O37" s="57">
        <f t="shared" si="1"/>
        <v>1.2742600354893274E-2</v>
      </c>
      <c r="P37" s="57">
        <f t="shared" si="1"/>
        <v>1.2742600354893274E-2</v>
      </c>
      <c r="Q37" s="57">
        <f t="shared" si="1"/>
        <v>1.2742600354893274E-2</v>
      </c>
      <c r="U37" s="22" t="s">
        <v>128</v>
      </c>
    </row>
    <row r="39" spans="2:21" x14ac:dyDescent="0.2">
      <c r="B39" s="1" t="s">
        <v>87</v>
      </c>
    </row>
    <row r="40" spans="2:21" x14ac:dyDescent="0.2">
      <c r="B40" s="22" t="s">
        <v>88</v>
      </c>
      <c r="F40" s="2" t="s">
        <v>52</v>
      </c>
      <c r="L40" s="35">
        <f t="shared" ref="L40:Q40" si="2">L37*L27</f>
        <v>8755.6163467472888</v>
      </c>
      <c r="M40" s="35">
        <f t="shared" si="2"/>
        <v>5169.0804487215973</v>
      </c>
      <c r="N40" s="35">
        <f t="shared" si="2"/>
        <v>0</v>
      </c>
      <c r="O40" s="35">
        <f t="shared" si="2"/>
        <v>8138.889985675658</v>
      </c>
      <c r="P40" s="35">
        <f t="shared" si="2"/>
        <v>9126.8875041923075</v>
      </c>
      <c r="Q40" s="35">
        <f t="shared" si="2"/>
        <v>8986.3875926792552</v>
      </c>
    </row>
    <row r="41" spans="2:21" x14ac:dyDescent="0.2">
      <c r="B41" s="22" t="s">
        <v>178</v>
      </c>
      <c r="F41" s="2" t="s">
        <v>55</v>
      </c>
      <c r="H41" s="63">
        <f>L40+M40</f>
        <v>13924.696795468886</v>
      </c>
    </row>
    <row r="42" spans="2:21" x14ac:dyDescent="0.2">
      <c r="B42" s="22" t="s">
        <v>179</v>
      </c>
      <c r="F42" s="2" t="s">
        <v>159</v>
      </c>
      <c r="H42" s="63">
        <f>SUM(N40:Q40)</f>
        <v>26252.165082547217</v>
      </c>
    </row>
    <row r="43" spans="2:21" x14ac:dyDescent="0.2">
      <c r="B43" s="2" t="s">
        <v>89</v>
      </c>
      <c r="F43" s="2" t="s">
        <v>159</v>
      </c>
      <c r="H43" s="64">
        <f>H41*(1+H18)+H42</f>
        <v>39954.066729288599</v>
      </c>
    </row>
    <row r="47" spans="2:21" x14ac:dyDescent="0.2">
      <c r="B47" s="2" t="s">
        <v>46</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H45"/>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8" customFormat="1" ht="18" x14ac:dyDescent="0.2">
      <c r="B2" s="8" t="s">
        <v>120</v>
      </c>
    </row>
    <row r="3" spans="2:8" x14ac:dyDescent="0.2">
      <c r="B3" s="36"/>
    </row>
    <row r="4" spans="2:8" s="9" customFormat="1" x14ac:dyDescent="0.2">
      <c r="B4" s="9" t="s">
        <v>10</v>
      </c>
    </row>
    <row r="6" spans="2:8" x14ac:dyDescent="0.2">
      <c r="B6" s="22" t="s">
        <v>185</v>
      </c>
    </row>
    <row r="7" spans="2:8" x14ac:dyDescent="0.2">
      <c r="B7" s="22"/>
      <c r="H7" s="29"/>
    </row>
    <row r="8" spans="2:8" x14ac:dyDescent="0.2">
      <c r="B8" s="1" t="s">
        <v>47</v>
      </c>
    </row>
    <row r="9" spans="2:8" x14ac:dyDescent="0.2">
      <c r="B9" s="22" t="s">
        <v>48</v>
      </c>
    </row>
    <row r="10" spans="2:8" x14ac:dyDescent="0.2">
      <c r="B10" s="22" t="s">
        <v>141</v>
      </c>
    </row>
    <row r="11" spans="2:8" x14ac:dyDescent="0.2">
      <c r="B11" s="22" t="s">
        <v>142</v>
      </c>
    </row>
    <row r="12" spans="2:8" x14ac:dyDescent="0.2">
      <c r="B12" s="22" t="s">
        <v>143</v>
      </c>
    </row>
    <row r="15" spans="2:8" s="9" customFormat="1" x14ac:dyDescent="0.2">
      <c r="B15" s="9" t="s">
        <v>121</v>
      </c>
    </row>
    <row r="16" spans="2:8" x14ac:dyDescent="0.2">
      <c r="C16" s="10"/>
    </row>
    <row r="17" spans="2:6" x14ac:dyDescent="0.2">
      <c r="B17" s="26" t="s">
        <v>11</v>
      </c>
      <c r="C17" s="10"/>
      <c r="D17" s="26" t="s">
        <v>12</v>
      </c>
      <c r="F17" s="13"/>
    </row>
    <row r="18" spans="2:6" x14ac:dyDescent="0.2">
      <c r="C18" s="10"/>
    </row>
    <row r="19" spans="2:6" x14ac:dyDescent="0.2">
      <c r="B19" s="32">
        <v>123</v>
      </c>
      <c r="C19" s="10"/>
      <c r="D19" s="22" t="s">
        <v>13</v>
      </c>
    </row>
    <row r="20" spans="2:6" x14ac:dyDescent="0.2">
      <c r="B20" s="34">
        <f>B19</f>
        <v>123</v>
      </c>
      <c r="C20" s="10"/>
      <c r="D20" s="2" t="s">
        <v>122</v>
      </c>
    </row>
    <row r="21" spans="2:6" x14ac:dyDescent="0.2">
      <c r="B21" s="35">
        <f>B20+B19</f>
        <v>246</v>
      </c>
      <c r="C21" s="10"/>
      <c r="D21" s="2" t="s">
        <v>14</v>
      </c>
    </row>
    <row r="22" spans="2:6" x14ac:dyDescent="0.2">
      <c r="B22" s="28">
        <f>B20+B21</f>
        <v>369</v>
      </c>
      <c r="C22" s="10"/>
      <c r="D22" s="22" t="s">
        <v>15</v>
      </c>
      <c r="E22" s="13"/>
      <c r="F22" s="6"/>
    </row>
    <row r="23" spans="2:6" x14ac:dyDescent="0.2">
      <c r="B23" s="14"/>
      <c r="C23" s="10"/>
      <c r="D23" s="22" t="s">
        <v>16</v>
      </c>
      <c r="E23" s="13"/>
    </row>
    <row r="24" spans="2:6" x14ac:dyDescent="0.2">
      <c r="B24" s="10"/>
      <c r="C24" s="10"/>
    </row>
    <row r="25" spans="2:6" x14ac:dyDescent="0.2">
      <c r="B25" s="27" t="s">
        <v>29</v>
      </c>
      <c r="C25" s="10"/>
    </row>
    <row r="26" spans="2:6" x14ac:dyDescent="0.2">
      <c r="B26" s="30">
        <f>B22+16</f>
        <v>385</v>
      </c>
      <c r="C26" s="10"/>
      <c r="D26" s="2" t="s">
        <v>17</v>
      </c>
    </row>
    <row r="27" spans="2:6" x14ac:dyDescent="0.2">
      <c r="B27" s="31">
        <f>B20*PI()</f>
        <v>386.41589639154455</v>
      </c>
      <c r="C27" s="15"/>
      <c r="D27" s="2" t="s">
        <v>123</v>
      </c>
    </row>
    <row r="28" spans="2:6" x14ac:dyDescent="0.2">
      <c r="B28" s="15"/>
      <c r="C28" s="15"/>
    </row>
    <row r="30" spans="2:6" x14ac:dyDescent="0.2">
      <c r="B30" s="26" t="s">
        <v>18</v>
      </c>
    </row>
    <row r="31" spans="2:6" x14ac:dyDescent="0.2">
      <c r="B31" s="1"/>
    </row>
    <row r="32" spans="2:6" x14ac:dyDescent="0.2">
      <c r="B32" s="27" t="s">
        <v>22</v>
      </c>
    </row>
    <row r="33" spans="2:4" x14ac:dyDescent="0.2">
      <c r="B33" s="28" t="s">
        <v>23</v>
      </c>
      <c r="C33" s="10"/>
      <c r="D33" s="22" t="s">
        <v>19</v>
      </c>
    </row>
    <row r="34" spans="2:4" x14ac:dyDescent="0.2">
      <c r="B34" s="32" t="s">
        <v>0</v>
      </c>
      <c r="C34" s="10"/>
      <c r="D34" s="22" t="s">
        <v>20</v>
      </c>
    </row>
    <row r="35" spans="2:4" x14ac:dyDescent="0.2">
      <c r="B35" s="35" t="s">
        <v>24</v>
      </c>
      <c r="C35" s="10"/>
      <c r="D35" s="22" t="s">
        <v>21</v>
      </c>
    </row>
    <row r="36" spans="2:4" x14ac:dyDescent="0.2">
      <c r="B36" s="31" t="s">
        <v>24</v>
      </c>
      <c r="C36" s="10"/>
      <c r="D36" s="22" t="s">
        <v>124</v>
      </c>
    </row>
    <row r="37" spans="2:4" x14ac:dyDescent="0.2">
      <c r="C37" s="10"/>
      <c r="D37" s="3"/>
    </row>
    <row r="38" spans="2:4" x14ac:dyDescent="0.2">
      <c r="B38" s="27" t="s">
        <v>25</v>
      </c>
      <c r="C38" s="10"/>
      <c r="D38" s="3"/>
    </row>
    <row r="39" spans="2:4" x14ac:dyDescent="0.2">
      <c r="B39" s="20" t="s">
        <v>1</v>
      </c>
      <c r="C39" s="10"/>
      <c r="D39" s="22" t="s">
        <v>27</v>
      </c>
    </row>
    <row r="40" spans="2:4" x14ac:dyDescent="0.2">
      <c r="B40" s="37" t="s">
        <v>26</v>
      </c>
      <c r="D40" s="22" t="s">
        <v>28</v>
      </c>
    </row>
    <row r="45" spans="2:4" x14ac:dyDescent="0.2">
      <c r="B45" s="2" t="s">
        <v>46</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F20"/>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7.5703125" style="2" customWidth="1"/>
    <col min="3" max="3" width="37.42578125" style="2" customWidth="1"/>
    <col min="4" max="5" width="36.28515625" style="2" customWidth="1"/>
    <col min="6" max="6" width="94.85546875" style="2" customWidth="1"/>
    <col min="7" max="7" width="4.5703125" style="2" customWidth="1"/>
    <col min="8" max="16384" width="9.140625" style="2"/>
  </cols>
  <sheetData>
    <row r="2" spans="2:6" s="12" customFormat="1" ht="18" x14ac:dyDescent="0.2">
      <c r="B2" s="4" t="s">
        <v>30</v>
      </c>
    </row>
    <row r="4" spans="2:6" s="9" customFormat="1" x14ac:dyDescent="0.2">
      <c r="B4" s="9" t="s">
        <v>31</v>
      </c>
    </row>
    <row r="6" spans="2:6" x14ac:dyDescent="0.2">
      <c r="B6" s="5" t="s">
        <v>125</v>
      </c>
    </row>
    <row r="7" spans="2:6" x14ac:dyDescent="0.2">
      <c r="B7" s="5" t="s">
        <v>32</v>
      </c>
    </row>
    <row r="9" spans="2:6" x14ac:dyDescent="0.2">
      <c r="B9" s="16" t="s">
        <v>33</v>
      </c>
      <c r="C9" s="16" t="s">
        <v>34</v>
      </c>
      <c r="D9" s="16" t="s">
        <v>35</v>
      </c>
      <c r="E9" s="16" t="s">
        <v>40</v>
      </c>
      <c r="F9" s="16" t="s">
        <v>36</v>
      </c>
    </row>
    <row r="10" spans="2:6" x14ac:dyDescent="0.2">
      <c r="B10" s="17"/>
      <c r="C10" s="23" t="s">
        <v>37</v>
      </c>
      <c r="D10" s="23" t="s">
        <v>38</v>
      </c>
      <c r="E10" s="23" t="s">
        <v>9</v>
      </c>
      <c r="F10" s="23" t="s">
        <v>39</v>
      </c>
    </row>
    <row r="11" spans="2:6" x14ac:dyDescent="0.2">
      <c r="B11" s="24">
        <v>1</v>
      </c>
      <c r="C11" s="7" t="s">
        <v>61</v>
      </c>
      <c r="D11" s="7" t="s">
        <v>90</v>
      </c>
      <c r="E11" t="s">
        <v>91</v>
      </c>
      <c r="F11" s="45" t="s">
        <v>186</v>
      </c>
    </row>
    <row r="12" spans="2:6" x14ac:dyDescent="0.2">
      <c r="B12" s="24">
        <v>2</v>
      </c>
      <c r="C12" s="7" t="s">
        <v>169</v>
      </c>
      <c r="D12" s="7" t="s">
        <v>180</v>
      </c>
      <c r="E12" s="7" t="s">
        <v>181</v>
      </c>
      <c r="F12" s="45" t="s">
        <v>187</v>
      </c>
    </row>
    <row r="13" spans="2:6" x14ac:dyDescent="0.2">
      <c r="B13" s="24">
        <v>3</v>
      </c>
      <c r="C13" s="7" t="s">
        <v>209</v>
      </c>
      <c r="D13" s="24" t="s">
        <v>182</v>
      </c>
      <c r="E13" s="7" t="s">
        <v>183</v>
      </c>
      <c r="F13" s="45" t="s">
        <v>188</v>
      </c>
    </row>
    <row r="14" spans="2:6" x14ac:dyDescent="0.2">
      <c r="B14" s="24">
        <v>4</v>
      </c>
      <c r="C14" s="7" t="s">
        <v>213</v>
      </c>
      <c r="D14" s="7" t="s">
        <v>90</v>
      </c>
      <c r="E14" s="7" t="s">
        <v>196</v>
      </c>
      <c r="F14" s="45" t="s">
        <v>195</v>
      </c>
    </row>
    <row r="15" spans="2:6" x14ac:dyDescent="0.2">
      <c r="B15" s="24">
        <v>5</v>
      </c>
      <c r="C15" s="7" t="s">
        <v>214</v>
      </c>
      <c r="D15" s="7" t="s">
        <v>180</v>
      </c>
      <c r="E15" s="7" t="s">
        <v>184</v>
      </c>
      <c r="F15" s="45" t="s">
        <v>189</v>
      </c>
    </row>
    <row r="16" spans="2:6" x14ac:dyDescent="0.2">
      <c r="B16" s="24">
        <v>6</v>
      </c>
      <c r="C16" s="24" t="s">
        <v>93</v>
      </c>
      <c r="D16" s="24"/>
      <c r="E16" s="70" t="s">
        <v>199</v>
      </c>
      <c r="F16" s="7" t="s">
        <v>200</v>
      </c>
    </row>
    <row r="17" spans="2:6" x14ac:dyDescent="0.2">
      <c r="B17" s="24">
        <v>7</v>
      </c>
      <c r="C17" s="7" t="s">
        <v>94</v>
      </c>
      <c r="D17" s="24"/>
      <c r="E17" s="24"/>
      <c r="F17" s="71" t="s">
        <v>200</v>
      </c>
    </row>
    <row r="18" spans="2:6" x14ac:dyDescent="0.2">
      <c r="B18" s="27"/>
    </row>
    <row r="19" spans="2:6" x14ac:dyDescent="0.2">
      <c r="E19" s="44"/>
    </row>
    <row r="20" spans="2:6" x14ac:dyDescent="0.2">
      <c r="B20" s="2" t="s">
        <v>46</v>
      </c>
    </row>
  </sheetData>
  <hyperlinks>
    <hyperlink ref="F11" r:id="rId1" xr:uid="{00000000-0004-0000-0200-000000000000}"/>
    <hyperlink ref="F12" r:id="rId2" xr:uid="{00000000-0004-0000-0200-000001000000}"/>
    <hyperlink ref="F13" r:id="rId3" xr:uid="{00000000-0004-0000-0200-000002000000}"/>
    <hyperlink ref="F15" r:id="rId4" xr:uid="{00000000-0004-0000-0200-000003000000}"/>
    <hyperlink ref="F14" r:id="rId5" xr:uid="{00000000-0004-0000-0200-000004000000}"/>
  </hyperlinks>
  <pageMargins left="0.75" right="0.75" top="1" bottom="1" header="0.5" footer="0.5"/>
  <pageSetup paperSize="9" orientation="portrait"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B2:J49"/>
  <sheetViews>
    <sheetView showGridLines="0" zoomScale="85" zoomScaleNormal="85" workbookViewId="0">
      <pane xSplit="6" ySplit="10" topLeftCell="G11" activePane="bottomRight" state="frozen"/>
      <selection activeCell="O39" sqref="O39"/>
      <selection pane="topRight" activeCell="O39" sqref="O39"/>
      <selection pane="bottomLeft" activeCell="O39" sqref="O39"/>
      <selection pane="bottomRight" activeCell="G11" sqref="G11"/>
    </sheetView>
  </sheetViews>
  <sheetFormatPr defaultRowHeight="12.75" x14ac:dyDescent="0.2"/>
  <cols>
    <col min="1" max="1" width="4.7109375" style="2" customWidth="1"/>
    <col min="2" max="2" width="57.5703125" style="2" customWidth="1"/>
    <col min="3" max="5" width="4.7109375" style="2" customWidth="1"/>
    <col min="6" max="6" width="18" style="2" customWidth="1"/>
    <col min="7" max="7" width="2.7109375" style="2" customWidth="1"/>
    <col min="8" max="8" width="13.7109375" style="2" customWidth="1"/>
    <col min="9" max="9" width="2.7109375" style="2" customWidth="1"/>
    <col min="10" max="22" width="13.7109375" style="2" customWidth="1"/>
    <col min="23" max="16384" width="9.140625" style="2"/>
  </cols>
  <sheetData>
    <row r="2" spans="2:10" s="18" customFormat="1" ht="18" x14ac:dyDescent="0.2">
      <c r="B2" s="18" t="s">
        <v>23</v>
      </c>
    </row>
    <row r="4" spans="2:10" x14ac:dyDescent="0.2">
      <c r="B4" s="26" t="s">
        <v>190</v>
      </c>
      <c r="C4" s="1"/>
      <c r="D4" s="1"/>
    </row>
    <row r="5" spans="2:10" x14ac:dyDescent="0.2">
      <c r="B5" s="22" t="s">
        <v>144</v>
      </c>
      <c r="C5" s="3"/>
      <c r="D5" s="3"/>
      <c r="H5" s="19"/>
    </row>
    <row r="6" spans="2:10" x14ac:dyDescent="0.2">
      <c r="B6" s="22" t="s">
        <v>145</v>
      </c>
      <c r="C6" s="3"/>
      <c r="D6" s="3"/>
      <c r="H6" s="19"/>
    </row>
    <row r="7" spans="2:10" x14ac:dyDescent="0.2">
      <c r="B7" s="22"/>
      <c r="C7" s="3"/>
      <c r="D7" s="3"/>
      <c r="H7" s="19"/>
    </row>
    <row r="8" spans="2:10" x14ac:dyDescent="0.2">
      <c r="B8" s="19"/>
    </row>
    <row r="9" spans="2:10" s="9" customFormat="1" x14ac:dyDescent="0.2">
      <c r="B9" s="9" t="s">
        <v>12</v>
      </c>
      <c r="F9" s="9" t="s">
        <v>41</v>
      </c>
      <c r="H9" s="9" t="s">
        <v>42</v>
      </c>
      <c r="J9" s="9" t="s">
        <v>56</v>
      </c>
    </row>
    <row r="12" spans="2:10" s="9" customFormat="1" x14ac:dyDescent="0.2">
      <c r="B12" s="9" t="s">
        <v>146</v>
      </c>
    </row>
    <row r="14" spans="2:10" x14ac:dyDescent="0.2">
      <c r="B14" s="26" t="s">
        <v>216</v>
      </c>
    </row>
    <row r="15" spans="2:10" x14ac:dyDescent="0.2">
      <c r="B15" s="2" t="s">
        <v>171</v>
      </c>
      <c r="F15" s="2" t="s">
        <v>50</v>
      </c>
      <c r="H15" s="55">
        <v>-1.6E-2</v>
      </c>
    </row>
    <row r="16" spans="2:10" x14ac:dyDescent="0.2">
      <c r="B16" s="2" t="s">
        <v>228</v>
      </c>
      <c r="F16" s="2" t="s">
        <v>225</v>
      </c>
      <c r="H16" s="73">
        <v>0.5</v>
      </c>
      <c r="J16" s="2" t="s">
        <v>221</v>
      </c>
    </row>
    <row r="18" spans="2:10" x14ac:dyDescent="0.2">
      <c r="B18" s="1" t="s">
        <v>147</v>
      </c>
    </row>
    <row r="19" spans="2:10" x14ac:dyDescent="0.2">
      <c r="B19" s="22" t="s">
        <v>148</v>
      </c>
      <c r="F19" s="2" t="s">
        <v>193</v>
      </c>
      <c r="H19" s="56">
        <f>'Parameters in tariff decisions'!P24</f>
        <v>0.18266952656267721</v>
      </c>
    </row>
    <row r="20" spans="2:10" x14ac:dyDescent="0.2">
      <c r="B20" s="2" t="s">
        <v>149</v>
      </c>
      <c r="F20" s="2" t="s">
        <v>232</v>
      </c>
      <c r="H20" s="56">
        <f>'Parameters in tariff decisions'!M19</f>
        <v>0.27004207133895602</v>
      </c>
    </row>
    <row r="21" spans="2:10" x14ac:dyDescent="0.2">
      <c r="B21" s="22" t="s">
        <v>150</v>
      </c>
      <c r="F21" s="2" t="s">
        <v>50</v>
      </c>
      <c r="H21" s="40">
        <f>'Parameters in tariff decisions'!M20</f>
        <v>0.63999992823770191</v>
      </c>
    </row>
    <row r="22" spans="2:10" x14ac:dyDescent="0.2">
      <c r="B22" s="22" t="s">
        <v>207</v>
      </c>
      <c r="F22" s="2" t="s">
        <v>233</v>
      </c>
      <c r="H22" s="56">
        <f>'Fuel prices'!N35</f>
        <v>0.6907306653008507</v>
      </c>
    </row>
    <row r="23" spans="2:10" x14ac:dyDescent="0.2">
      <c r="B23" s="22" t="s">
        <v>151</v>
      </c>
      <c r="F23" s="2" t="s">
        <v>193</v>
      </c>
      <c r="H23" s="57">
        <f>H20*H21*H22</f>
        <v>0.11937684395535443</v>
      </c>
    </row>
    <row r="24" spans="2:10" x14ac:dyDescent="0.2">
      <c r="B24" s="2" t="s">
        <v>152</v>
      </c>
      <c r="F24" s="2" t="s">
        <v>193</v>
      </c>
      <c r="H24" s="59">
        <f>H19+H23</f>
        <v>0.30204637051803163</v>
      </c>
    </row>
    <row r="26" spans="2:10" x14ac:dyDescent="0.2">
      <c r="B26" s="26" t="s">
        <v>54</v>
      </c>
    </row>
    <row r="27" spans="2:10" x14ac:dyDescent="0.2">
      <c r="B27" s="2" t="s">
        <v>51</v>
      </c>
      <c r="F27" s="2" t="s">
        <v>159</v>
      </c>
      <c r="H27" s="61">
        <f>'Fuel component correction'!H43</f>
        <v>39954.066729288599</v>
      </c>
      <c r="J27" s="2" t="s">
        <v>158</v>
      </c>
    </row>
    <row r="28" spans="2:10" x14ac:dyDescent="0.2">
      <c r="B28" s="2" t="s">
        <v>153</v>
      </c>
      <c r="F28" s="2" t="s">
        <v>49</v>
      </c>
      <c r="H28" s="34">
        <f>'Parameters in tariff decisions'!P25</f>
        <v>8763212.9773076437</v>
      </c>
    </row>
    <row r="29" spans="2:10" x14ac:dyDescent="0.2">
      <c r="B29" s="2" t="s">
        <v>154</v>
      </c>
      <c r="F29" s="2" t="s">
        <v>50</v>
      </c>
      <c r="H29" s="40">
        <f>'Parameters in tariff decisions'!P26</f>
        <v>0.5</v>
      </c>
      <c r="J29" s="22"/>
    </row>
    <row r="30" spans="2:10" x14ac:dyDescent="0.2">
      <c r="B30" s="2" t="s">
        <v>155</v>
      </c>
      <c r="F30" s="2" t="s">
        <v>49</v>
      </c>
      <c r="H30" s="35">
        <f>H28*(1-H29)</f>
        <v>4381606.4886538219</v>
      </c>
    </row>
    <row r="31" spans="2:10" x14ac:dyDescent="0.2">
      <c r="B31" s="2" t="s">
        <v>53</v>
      </c>
      <c r="F31" s="2" t="s">
        <v>193</v>
      </c>
      <c r="H31" s="59">
        <f>H27/H30</f>
        <v>9.1185885434371464E-3</v>
      </c>
    </row>
    <row r="33" spans="2:10" x14ac:dyDescent="0.2">
      <c r="B33" s="1" t="s">
        <v>226</v>
      </c>
    </row>
    <row r="34" spans="2:10" x14ac:dyDescent="0.2">
      <c r="B34" s="2" t="s">
        <v>215</v>
      </c>
      <c r="F34" s="2" t="s">
        <v>217</v>
      </c>
      <c r="H34" s="34">
        <f>'Parameters in tariff decisions'!O29</f>
        <v>230057.70244409135</v>
      </c>
      <c r="J34" t="s">
        <v>218</v>
      </c>
    </row>
    <row r="35" spans="2:10" x14ac:dyDescent="0.2">
      <c r="B35" s="2" t="s">
        <v>219</v>
      </c>
      <c r="F35" s="2" t="s">
        <v>193</v>
      </c>
      <c r="H35" s="59">
        <f>(H34*(1+H15)*H16)/H30</f>
        <v>2.583262323889525E-2</v>
      </c>
    </row>
    <row r="36" spans="2:10" x14ac:dyDescent="0.2">
      <c r="B36" s="2" t="s">
        <v>192</v>
      </c>
      <c r="F36" s="2" t="s">
        <v>193</v>
      </c>
      <c r="H36" s="69">
        <f>'Parameters in tariff decisions'!P30</f>
        <v>2.9443573965367998E-3</v>
      </c>
    </row>
    <row r="39" spans="2:10" s="9" customFormat="1" x14ac:dyDescent="0.2">
      <c r="B39" s="9" t="s">
        <v>156</v>
      </c>
    </row>
    <row r="41" spans="2:10" x14ac:dyDescent="0.2">
      <c r="B41" s="2" t="s">
        <v>147</v>
      </c>
      <c r="F41" s="2" t="s">
        <v>193</v>
      </c>
      <c r="H41" s="56">
        <f>H24</f>
        <v>0.30204637051803163</v>
      </c>
    </row>
    <row r="42" spans="2:10" x14ac:dyDescent="0.2">
      <c r="B42" s="2" t="s">
        <v>220</v>
      </c>
      <c r="F42" s="2" t="s">
        <v>193</v>
      </c>
      <c r="H42" s="59">
        <f>H31+H35+H36</f>
        <v>3.7895569178869194E-2</v>
      </c>
    </row>
    <row r="43" spans="2:10" x14ac:dyDescent="0.2">
      <c r="B43" s="2" t="s">
        <v>157</v>
      </c>
      <c r="F43" s="2" t="s">
        <v>50</v>
      </c>
      <c r="H43" s="55">
        <f>'Parameters in tariff decisions'!P32</f>
        <v>7.9277824895729071E-2</v>
      </c>
    </row>
    <row r="44" spans="2:10" x14ac:dyDescent="0.2">
      <c r="B44" s="2" t="s">
        <v>146</v>
      </c>
      <c r="F44" s="2" t="s">
        <v>193</v>
      </c>
      <c r="H44" s="60">
        <f>(H41+H42)/(1-H43)</f>
        <v>0.36921228671222428</v>
      </c>
    </row>
    <row r="45" spans="2:10" x14ac:dyDescent="0.2">
      <c r="B45" s="6"/>
    </row>
    <row r="49" spans="2:2" x14ac:dyDescent="0.2">
      <c r="B49" s="2" t="s">
        <v>46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
  <sheetViews>
    <sheetView showGridLines="0" zoomScale="85" zoomScaleNormal="85" workbookViewId="0"/>
  </sheetViews>
  <sheetFormatPr defaultRowHeight="12.75" x14ac:dyDescent="0.2"/>
  <cols>
    <col min="1" max="16384" width="9.140625" style="2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FFE1"/>
  </sheetPr>
  <dimension ref="A2:GE43"/>
  <sheetViews>
    <sheetView showGridLines="0" zoomScale="85" zoomScaleNormal="85" workbookViewId="0">
      <pane xSplit="4" ySplit="10" topLeftCell="E11" activePane="bottomRight" state="frozen"/>
      <selection pane="topRight" activeCell="E1" sqref="E1"/>
      <selection pane="bottomLeft" activeCell="A13" sqref="A13"/>
      <selection pane="bottomRight" activeCell="E11" sqref="E11"/>
    </sheetView>
  </sheetViews>
  <sheetFormatPr defaultRowHeight="12.75" x14ac:dyDescent="0.2"/>
  <cols>
    <col min="1" max="1" width="4.7109375" style="2" customWidth="1"/>
    <col min="2" max="2" width="48.28515625" style="2" customWidth="1"/>
    <col min="3" max="3" width="14.85546875" style="2" customWidth="1"/>
    <col min="4" max="5" width="4.5703125" style="2" customWidth="1"/>
    <col min="6" max="6" width="9.5703125" style="2" bestFit="1" customWidth="1"/>
    <col min="7" max="7" width="4.5703125" style="2" customWidth="1"/>
    <col min="8" max="8" width="19.140625" style="2" customWidth="1"/>
    <col min="9" max="9" width="2.7109375" style="2" customWidth="1"/>
    <col min="10" max="10" width="19.140625" style="2" customWidth="1"/>
    <col min="11" max="11" width="2.7109375" style="2" customWidth="1"/>
    <col min="12" max="12" width="19.140625" style="2" customWidth="1"/>
    <col min="13" max="13" width="2.7109375" style="2" customWidth="1"/>
    <col min="14" max="14" width="13.7109375" style="2" customWidth="1"/>
    <col min="15" max="15" width="2.7109375" style="2" customWidth="1"/>
    <col min="16" max="16" width="13.7109375" style="2" customWidth="1"/>
    <col min="17" max="17" width="2.7109375" style="2" customWidth="1"/>
    <col min="18" max="18" width="14.5703125" style="2" customWidth="1"/>
    <col min="19" max="19" width="3" style="2" customWidth="1"/>
    <col min="20" max="20" width="28.5703125" style="2" bestFit="1" customWidth="1"/>
    <col min="21" max="22" width="2.85546875" style="2" customWidth="1"/>
    <col min="23" max="24" width="14.5703125" style="2" customWidth="1"/>
    <col min="25" max="36" width="13.7109375" style="2" customWidth="1"/>
    <col min="37" max="16384" width="9.140625" style="2"/>
  </cols>
  <sheetData>
    <row r="2" spans="1:187" s="18" customFormat="1" ht="18" x14ac:dyDescent="0.2">
      <c r="B2" s="18" t="s">
        <v>102</v>
      </c>
    </row>
    <row r="4" spans="1:187" x14ac:dyDescent="0.2">
      <c r="B4" s="26" t="s">
        <v>58</v>
      </c>
      <c r="C4" s="1"/>
      <c r="D4" s="1"/>
    </row>
    <row r="5" spans="1:187" x14ac:dyDescent="0.2">
      <c r="B5" s="22" t="s">
        <v>109</v>
      </c>
      <c r="C5" s="3"/>
      <c r="D5" s="3"/>
      <c r="N5" s="19"/>
    </row>
    <row r="6" spans="1:187" x14ac:dyDescent="0.2">
      <c r="B6" s="22" t="s">
        <v>135</v>
      </c>
      <c r="C6" s="3"/>
      <c r="D6" s="3"/>
      <c r="N6" s="19"/>
    </row>
    <row r="7" spans="1:187" x14ac:dyDescent="0.2">
      <c r="B7" s="22"/>
      <c r="C7" s="3"/>
      <c r="D7" s="3"/>
      <c r="N7" s="19"/>
    </row>
    <row r="9" spans="1:187" s="9" customFormat="1" ht="25.5" x14ac:dyDescent="0.2">
      <c r="B9" s="9" t="s">
        <v>12</v>
      </c>
      <c r="F9" s="9" t="s">
        <v>42</v>
      </c>
      <c r="H9" s="41" t="s">
        <v>129</v>
      </c>
      <c r="J9" s="41" t="s">
        <v>103</v>
      </c>
      <c r="L9" s="41" t="s">
        <v>132</v>
      </c>
      <c r="N9" s="41" t="s">
        <v>104</v>
      </c>
      <c r="P9" s="41" t="s">
        <v>105</v>
      </c>
      <c r="R9" s="9" t="s">
        <v>101</v>
      </c>
      <c r="T9" s="41" t="s">
        <v>106</v>
      </c>
      <c r="W9" s="49" t="s">
        <v>44</v>
      </c>
    </row>
    <row r="12" spans="1:187" x14ac:dyDescent="0.2">
      <c r="B12" s="1" t="s">
        <v>131</v>
      </c>
      <c r="F12" s="53">
        <v>3.7854117839999999</v>
      </c>
    </row>
    <row r="14" spans="1:187" customFormat="1" x14ac:dyDescent="0.2">
      <c r="A14" s="9"/>
      <c r="B14" s="9" t="s">
        <v>94</v>
      </c>
      <c r="C14" s="9"/>
      <c r="D14" s="9"/>
      <c r="E14" s="9"/>
      <c r="F14" s="9"/>
      <c r="G14" s="9"/>
      <c r="H14" s="9"/>
      <c r="I14" s="9"/>
      <c r="J14" s="9"/>
      <c r="K14" s="9"/>
      <c r="L14" s="9"/>
      <c r="M14" s="9"/>
      <c r="N14" s="9"/>
      <c r="O14" s="9"/>
      <c r="P14" s="9"/>
      <c r="Q14" s="9"/>
      <c r="R14" s="9"/>
      <c r="S14" s="9"/>
      <c r="T14" s="9"/>
      <c r="U14" s="9"/>
      <c r="V14" s="9"/>
      <c r="W14" s="4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row>
    <row r="15" spans="1:187" customFormat="1" x14ac:dyDescent="0.2">
      <c r="A15" s="2"/>
      <c r="B15" s="2"/>
      <c r="C15" s="2"/>
      <c r="D15" s="2"/>
      <c r="E15" s="2"/>
      <c r="F15" s="2"/>
      <c r="G15" s="2"/>
      <c r="H15" s="2"/>
      <c r="I15" s="2"/>
      <c r="J15" s="2"/>
      <c r="K15" s="2"/>
      <c r="L15" s="2"/>
      <c r="M15" s="2"/>
      <c r="N15" s="2"/>
      <c r="O15" s="2"/>
      <c r="P15" s="2"/>
      <c r="Q15" s="2"/>
      <c r="R15" s="2"/>
      <c r="S15" s="2"/>
      <c r="T15" s="2"/>
      <c r="U15" s="2"/>
      <c r="V15" s="2"/>
      <c r="W15" s="5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row>
    <row r="16" spans="1:187" customFormat="1" x14ac:dyDescent="0.2">
      <c r="A16" s="2"/>
      <c r="B16" s="1" t="s">
        <v>95</v>
      </c>
      <c r="C16" s="1" t="s">
        <v>96</v>
      </c>
      <c r="D16" s="2"/>
      <c r="E16" s="2"/>
      <c r="F16" s="2"/>
      <c r="G16" s="2"/>
      <c r="H16" s="2"/>
      <c r="I16" s="2"/>
      <c r="J16" s="2"/>
      <c r="K16" s="2"/>
      <c r="L16" s="2"/>
      <c r="M16" s="2"/>
      <c r="N16" s="2"/>
      <c r="O16" s="2"/>
      <c r="P16" s="2"/>
      <c r="Q16" s="2"/>
      <c r="R16" s="2"/>
      <c r="S16" s="2"/>
      <c r="T16" s="2"/>
      <c r="U16" s="2"/>
      <c r="V16" s="2"/>
      <c r="W16" s="5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row>
    <row r="17" spans="1:187" customFormat="1" x14ac:dyDescent="0.2">
      <c r="A17" s="2"/>
      <c r="B17" s="32" t="s">
        <v>94</v>
      </c>
      <c r="C17" s="51">
        <v>44064</v>
      </c>
      <c r="D17" s="2"/>
      <c r="E17" s="2"/>
      <c r="F17" s="2"/>
      <c r="G17" s="2"/>
      <c r="H17" s="32">
        <v>78000</v>
      </c>
      <c r="I17" s="2"/>
      <c r="J17" s="35">
        <f>H17*$F$12</f>
        <v>295262.119152</v>
      </c>
      <c r="K17" s="2"/>
      <c r="L17" s="53">
        <v>1.9966999999999999</v>
      </c>
      <c r="M17" s="2"/>
      <c r="N17" s="38">
        <f>L17/$F$12</f>
        <v>0.52747233694351492</v>
      </c>
      <c r="O17" s="2"/>
      <c r="P17" s="39">
        <f>J17*N17</f>
        <v>155742.6</v>
      </c>
      <c r="Q17" s="2"/>
      <c r="R17" s="32" t="s">
        <v>206</v>
      </c>
      <c r="S17" s="2"/>
      <c r="T17" s="2"/>
      <c r="U17" s="2"/>
      <c r="V17" s="2"/>
      <c r="W17" s="50" t="s">
        <v>205</v>
      </c>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row>
    <row r="18" spans="1:187" customFormat="1" x14ac:dyDescent="0.2">
      <c r="A18" s="2"/>
      <c r="B18" s="1"/>
      <c r="C18" s="1"/>
      <c r="D18" s="2"/>
      <c r="E18" s="2"/>
      <c r="F18" s="2"/>
      <c r="G18" s="2"/>
      <c r="H18" s="2"/>
      <c r="I18" s="2"/>
      <c r="J18" s="2"/>
      <c r="K18" s="2"/>
      <c r="L18" s="2"/>
      <c r="M18" s="2"/>
      <c r="N18" s="2"/>
      <c r="O18" s="2"/>
      <c r="P18" s="2"/>
      <c r="Q18" s="2"/>
      <c r="R18" s="2"/>
      <c r="S18" s="2"/>
      <c r="T18" s="38">
        <f>SUMPRODUCT(J17:J17,N17:N17)/SUMPRODUCT(J17:J17)</f>
        <v>0.52747233694351492</v>
      </c>
      <c r="U18" s="2"/>
      <c r="V18" s="2"/>
      <c r="W18" s="50"/>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row>
    <row r="19" spans="1:187" customFormat="1" x14ac:dyDescent="0.2">
      <c r="A19" s="2"/>
      <c r="B19" s="66" t="s">
        <v>110</v>
      </c>
      <c r="C19" s="66"/>
      <c r="D19" s="2"/>
      <c r="E19" s="2"/>
      <c r="F19" s="2"/>
      <c r="G19" s="2"/>
      <c r="H19" s="66"/>
      <c r="I19" s="2"/>
      <c r="J19" s="66"/>
      <c r="K19" s="2"/>
      <c r="L19" s="66"/>
      <c r="M19" s="2"/>
      <c r="N19" s="66"/>
      <c r="O19" s="2"/>
      <c r="P19" s="39">
        <f>J19*N19</f>
        <v>0</v>
      </c>
      <c r="Q19" s="2"/>
      <c r="R19" s="32" t="s">
        <v>110</v>
      </c>
      <c r="S19" s="2"/>
      <c r="T19" s="2"/>
      <c r="U19" s="2"/>
      <c r="V19" s="2"/>
      <c r="W19" s="50"/>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row>
    <row r="20" spans="1:187" x14ac:dyDescent="0.2">
      <c r="T20" s="65">
        <f>T18</f>
        <v>0.52747233694351492</v>
      </c>
      <c r="W20" s="50" t="s">
        <v>204</v>
      </c>
    </row>
    <row r="21" spans="1:187" customFormat="1" x14ac:dyDescent="0.2">
      <c r="A21" s="2"/>
      <c r="B21" s="32" t="s">
        <v>94</v>
      </c>
      <c r="C21" s="51">
        <v>44133</v>
      </c>
      <c r="D21" s="2"/>
      <c r="E21" s="2"/>
      <c r="F21" s="2"/>
      <c r="G21" s="2"/>
      <c r="H21" s="52">
        <v>78000</v>
      </c>
      <c r="I21" s="2"/>
      <c r="J21" s="35">
        <f>H21*$F$12</f>
        <v>295262.119152</v>
      </c>
      <c r="K21" s="2"/>
      <c r="L21" s="53">
        <v>1.8642000000000001</v>
      </c>
      <c r="M21" s="2"/>
      <c r="N21" s="38">
        <f>L21/$F$12</f>
        <v>0.4924695400060603</v>
      </c>
      <c r="O21" s="2"/>
      <c r="P21" s="39">
        <f>J21*N21</f>
        <v>145407.6</v>
      </c>
      <c r="Q21" s="2"/>
      <c r="R21" s="32" t="s">
        <v>111</v>
      </c>
      <c r="S21" s="2"/>
      <c r="T21" s="2"/>
      <c r="U21" s="2"/>
      <c r="V21" s="2"/>
      <c r="W21" s="50"/>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row>
    <row r="22" spans="1:187" x14ac:dyDescent="0.2">
      <c r="T22" s="38">
        <f>SUMPRODUCT(J21:J21,N21:N21)/SUMPRODUCT(J21:J21)</f>
        <v>0.4924695400060603</v>
      </c>
      <c r="W22" s="50" t="s">
        <v>161</v>
      </c>
    </row>
    <row r="23" spans="1:187" customFormat="1" x14ac:dyDescent="0.2">
      <c r="A23" s="2"/>
      <c r="B23" s="66" t="s">
        <v>97</v>
      </c>
      <c r="C23" s="66"/>
      <c r="D23" s="2"/>
      <c r="E23" s="2"/>
      <c r="F23" s="2"/>
      <c r="G23" s="2"/>
      <c r="H23" s="66"/>
      <c r="I23" s="2"/>
      <c r="J23" s="66"/>
      <c r="K23" s="2"/>
      <c r="L23" s="66"/>
      <c r="M23" s="2"/>
      <c r="N23" s="66"/>
      <c r="O23" s="2"/>
      <c r="P23" s="39">
        <f>J23*N23</f>
        <v>0</v>
      </c>
      <c r="Q23" s="2"/>
      <c r="R23" s="32" t="s">
        <v>97</v>
      </c>
      <c r="S23" s="2"/>
      <c r="T23" s="2"/>
      <c r="U23" s="2"/>
      <c r="V23" s="2"/>
      <c r="W23" s="50"/>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row>
    <row r="24" spans="1:187" x14ac:dyDescent="0.2">
      <c r="T24" s="65">
        <f>N21</f>
        <v>0.4924695400060603</v>
      </c>
      <c r="W24" s="50" t="s">
        <v>203</v>
      </c>
    </row>
    <row r="25" spans="1:187" customFormat="1" x14ac:dyDescent="0.2">
      <c r="A25" s="2"/>
      <c r="B25" s="32" t="s">
        <v>94</v>
      </c>
      <c r="C25" s="51">
        <v>44168</v>
      </c>
      <c r="D25" s="2"/>
      <c r="E25" s="2"/>
      <c r="F25" s="2"/>
      <c r="G25" s="2"/>
      <c r="H25" s="52">
        <v>97500</v>
      </c>
      <c r="I25" s="2"/>
      <c r="J25" s="35">
        <f>H25*$F$12</f>
        <v>369077.64893999998</v>
      </c>
      <c r="K25" s="2"/>
      <c r="L25" s="67">
        <v>2.1433</v>
      </c>
      <c r="M25" s="2"/>
      <c r="N25" s="38">
        <f>L25/$F$12</f>
        <v>0.56619995981921956</v>
      </c>
      <c r="O25" s="2"/>
      <c r="P25" s="39">
        <f>J25*N25</f>
        <v>208971.75</v>
      </c>
      <c r="Q25" s="2"/>
      <c r="R25" s="32" t="s">
        <v>98</v>
      </c>
      <c r="S25" s="2"/>
      <c r="T25" s="2"/>
      <c r="U25" s="2"/>
      <c r="V25" s="2"/>
      <c r="W25" s="50"/>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row>
    <row r="26" spans="1:187" x14ac:dyDescent="0.2">
      <c r="T26" s="38">
        <f>SUMPRODUCT(J25,N25)/SUMPRODUCT(J25)</f>
        <v>0.56619995981921956</v>
      </c>
      <c r="W26" s="50" t="s">
        <v>160</v>
      </c>
    </row>
    <row r="27" spans="1:187" customFormat="1" x14ac:dyDescent="0.2">
      <c r="A27" s="2"/>
      <c r="B27" s="66" t="s">
        <v>99</v>
      </c>
      <c r="C27" s="66"/>
      <c r="D27" s="2"/>
      <c r="E27" s="2"/>
      <c r="F27" s="2"/>
      <c r="G27" s="2"/>
      <c r="H27" s="66"/>
      <c r="I27" s="2"/>
      <c r="J27" s="66"/>
      <c r="K27" s="2"/>
      <c r="L27" s="66"/>
      <c r="M27" s="2"/>
      <c r="N27" s="66"/>
      <c r="O27" s="2"/>
      <c r="P27" s="39">
        <f>J27*N27</f>
        <v>0</v>
      </c>
      <c r="Q27" s="2"/>
      <c r="R27" s="32" t="s">
        <v>99</v>
      </c>
      <c r="S27" s="2"/>
      <c r="T27" s="2"/>
      <c r="U27" s="2"/>
      <c r="V27" s="2"/>
      <c r="W27" s="50"/>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row>
    <row r="28" spans="1:187" x14ac:dyDescent="0.2">
      <c r="T28" s="65">
        <f>N25</f>
        <v>0.56619995981921956</v>
      </c>
      <c r="W28" s="50" t="s">
        <v>202</v>
      </c>
    </row>
    <row r="29" spans="1:187" customFormat="1" x14ac:dyDescent="0.2">
      <c r="A29" s="2"/>
      <c r="B29" s="66" t="s">
        <v>100</v>
      </c>
      <c r="C29" s="66"/>
      <c r="D29" s="2"/>
      <c r="E29" s="2"/>
      <c r="F29" s="2"/>
      <c r="G29" s="2"/>
      <c r="H29" s="66"/>
      <c r="I29" s="2"/>
      <c r="J29" s="66"/>
      <c r="K29" s="2"/>
      <c r="L29" s="66"/>
      <c r="M29" s="2"/>
      <c r="N29" s="66"/>
      <c r="O29" s="2"/>
      <c r="P29" s="39">
        <f>J29*N29</f>
        <v>0</v>
      </c>
      <c r="Q29" s="2"/>
      <c r="R29" s="32" t="s">
        <v>100</v>
      </c>
      <c r="S29" s="2"/>
      <c r="T29" s="2"/>
      <c r="U29" s="2"/>
      <c r="V29" s="2"/>
      <c r="W29" s="50"/>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row>
    <row r="30" spans="1:187" x14ac:dyDescent="0.2">
      <c r="T30" s="65">
        <f>N25</f>
        <v>0.56619995981921956</v>
      </c>
      <c r="W30" s="50" t="s">
        <v>201</v>
      </c>
    </row>
    <row r="31" spans="1:187" x14ac:dyDescent="0.2">
      <c r="W31" s="50"/>
    </row>
    <row r="32" spans="1:187" s="9" customFormat="1" ht="25.5" x14ac:dyDescent="0.2">
      <c r="B32" s="9" t="s">
        <v>77</v>
      </c>
      <c r="J32" s="41"/>
      <c r="L32" s="41" t="s">
        <v>130</v>
      </c>
      <c r="N32" s="41" t="s">
        <v>104</v>
      </c>
    </row>
    <row r="33" spans="1:187" x14ac:dyDescent="0.2">
      <c r="W33" s="50"/>
    </row>
    <row r="34" spans="1:187" customFormat="1" x14ac:dyDescent="0.2">
      <c r="A34" s="2"/>
      <c r="B34" s="1" t="s">
        <v>95</v>
      </c>
      <c r="C34" s="1" t="s">
        <v>96</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row>
    <row r="35" spans="1:187" x14ac:dyDescent="0.2">
      <c r="B35" s="32" t="s">
        <v>94</v>
      </c>
      <c r="C35" s="51">
        <v>44309</v>
      </c>
      <c r="L35" s="53">
        <v>2.6147</v>
      </c>
      <c r="N35" s="57">
        <f>L35/F12</f>
        <v>0.6907306653008507</v>
      </c>
    </row>
    <row r="36" spans="1:187" customFormat="1" x14ac:dyDescent="0.2">
      <c r="A36" s="2"/>
      <c r="B36" s="2"/>
      <c r="C36" s="2"/>
      <c r="D36" s="2"/>
      <c r="E36" s="2"/>
      <c r="F36" s="2"/>
      <c r="G36" s="2"/>
      <c r="H36" s="2"/>
      <c r="I36" s="2"/>
      <c r="J36" s="2"/>
      <c r="K36" s="2"/>
      <c r="L36" s="2"/>
      <c r="M36" s="2"/>
      <c r="N36" s="2"/>
      <c r="O36" s="2"/>
      <c r="P36" s="2"/>
      <c r="Q36" s="2"/>
      <c r="R36" s="2"/>
      <c r="S36" s="2"/>
      <c r="T36" s="2"/>
      <c r="U36" s="2"/>
      <c r="V36" s="2"/>
      <c r="W36" s="50"/>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row>
    <row r="37" spans="1:187" customFormat="1" x14ac:dyDescent="0.2">
      <c r="A37" s="2"/>
      <c r="B37" s="2"/>
      <c r="C37" s="2"/>
      <c r="D37" s="2"/>
      <c r="E37" s="2"/>
      <c r="F37" s="2"/>
      <c r="G37" s="2"/>
      <c r="H37" s="2"/>
      <c r="I37" s="2"/>
      <c r="J37" s="2"/>
      <c r="K37" s="2"/>
      <c r="L37" s="2"/>
      <c r="M37" s="2"/>
      <c r="N37" s="2"/>
      <c r="O37" s="2"/>
      <c r="P37" s="2"/>
      <c r="Q37" s="2"/>
      <c r="R37" s="2"/>
      <c r="S37" s="2"/>
      <c r="T37" s="2"/>
      <c r="U37" s="2"/>
      <c r="V37" s="2"/>
      <c r="W37" s="50"/>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row>
    <row r="38" spans="1:187" customFormat="1" x14ac:dyDescent="0.2">
      <c r="A38" s="2"/>
      <c r="B38" s="2" t="s">
        <v>46</v>
      </c>
      <c r="C38" s="2"/>
      <c r="D38" s="2"/>
      <c r="E38" s="2"/>
      <c r="F38" s="2"/>
      <c r="G38" s="2"/>
      <c r="H38" s="2"/>
      <c r="I38" s="2"/>
      <c r="J38" s="2"/>
      <c r="K38" s="2"/>
      <c r="L38" s="2"/>
      <c r="M38" s="2"/>
      <c r="N38" s="2"/>
      <c r="O38" s="2"/>
      <c r="P38" s="2"/>
      <c r="Q38" s="2"/>
      <c r="R38" s="2"/>
      <c r="S38" s="2"/>
      <c r="T38" s="2"/>
      <c r="U38" s="2"/>
      <c r="V38" s="2"/>
      <c r="W38" s="50"/>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row>
    <row r="39" spans="1:187" customFormat="1" x14ac:dyDescent="0.2">
      <c r="A39" s="2"/>
      <c r="B39" s="2"/>
      <c r="C39" s="2"/>
      <c r="D39" s="2"/>
      <c r="E39" s="2"/>
      <c r="F39" s="2"/>
      <c r="G39" s="2"/>
      <c r="H39" s="2"/>
      <c r="I39" s="2"/>
      <c r="J39" s="2"/>
      <c r="K39" s="2"/>
      <c r="L39" s="2"/>
      <c r="M39" s="2"/>
      <c r="N39" s="2"/>
      <c r="O39" s="2"/>
      <c r="P39" s="2"/>
      <c r="Q39" s="2"/>
      <c r="R39" s="2"/>
      <c r="S39" s="2"/>
      <c r="T39" s="2"/>
      <c r="U39" s="2"/>
      <c r="V39" s="2"/>
      <c r="W39" s="50"/>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row>
    <row r="40" spans="1:187" customFormat="1" x14ac:dyDescent="0.2">
      <c r="A40" s="2"/>
      <c r="B40" s="2"/>
      <c r="C40" s="2"/>
      <c r="D40" s="2"/>
      <c r="E40" s="2"/>
      <c r="F40" s="2"/>
      <c r="G40" s="2"/>
      <c r="H40" s="2"/>
      <c r="I40" s="2"/>
      <c r="J40" s="2"/>
      <c r="K40" s="2"/>
      <c r="L40" s="2"/>
      <c r="M40" s="2"/>
      <c r="N40" s="2"/>
      <c r="O40" s="2"/>
      <c r="P40" s="2"/>
      <c r="Q40" s="2"/>
      <c r="R40" s="2"/>
      <c r="S40" s="2"/>
      <c r="T40" s="2"/>
      <c r="U40" s="2"/>
      <c r="V40" s="2"/>
      <c r="W40" s="50"/>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row>
    <row r="41" spans="1:187" customFormat="1" x14ac:dyDescent="0.2">
      <c r="A41" s="2"/>
      <c r="B41" s="2"/>
      <c r="C41" s="2"/>
      <c r="D41" s="2"/>
      <c r="E41" s="2"/>
      <c r="F41" s="2"/>
      <c r="G41" s="2"/>
      <c r="H41" s="2"/>
      <c r="I41" s="2"/>
      <c r="J41" s="2"/>
      <c r="K41" s="2"/>
      <c r="L41" s="2"/>
      <c r="M41" s="2"/>
      <c r="N41" s="2"/>
      <c r="O41" s="2"/>
      <c r="P41" s="2"/>
      <c r="Q41" s="2"/>
      <c r="R41" s="2"/>
      <c r="S41" s="2"/>
      <c r="T41" s="2"/>
      <c r="U41" s="2"/>
      <c r="V41" s="2"/>
      <c r="W41" s="50"/>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row>
    <row r="42" spans="1:187" customFormat="1" x14ac:dyDescent="0.2">
      <c r="A42" s="2"/>
      <c r="B42" s="2"/>
      <c r="C42" s="2"/>
      <c r="D42" s="2"/>
      <c r="E42" s="2"/>
      <c r="F42" s="2"/>
      <c r="G42" s="2"/>
      <c r="H42" s="2"/>
      <c r="I42" s="2"/>
      <c r="J42" s="2"/>
      <c r="K42" s="2"/>
      <c r="L42" s="2"/>
      <c r="M42" s="2"/>
      <c r="N42" s="2"/>
      <c r="O42" s="2"/>
      <c r="P42" s="2"/>
      <c r="Q42" s="2"/>
      <c r="R42" s="2"/>
      <c r="S42" s="2"/>
      <c r="T42" s="2"/>
      <c r="U42" s="2"/>
      <c r="V42" s="2"/>
      <c r="W42" s="50"/>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row>
    <row r="43" spans="1:187" customFormat="1" x14ac:dyDescent="0.2">
      <c r="A43" s="2"/>
      <c r="B43" s="2"/>
      <c r="C43" s="2"/>
      <c r="D43" s="2"/>
      <c r="E43" s="2"/>
      <c r="F43" s="2"/>
      <c r="G43" s="2"/>
      <c r="H43" s="2"/>
      <c r="I43" s="2"/>
      <c r="J43" s="2"/>
      <c r="K43" s="2"/>
      <c r="L43" s="2"/>
      <c r="M43" s="2"/>
      <c r="N43" s="2"/>
      <c r="O43" s="2"/>
      <c r="P43" s="2"/>
      <c r="Q43" s="2"/>
      <c r="R43" s="2"/>
      <c r="S43" s="2"/>
      <c r="T43" s="2"/>
      <c r="U43" s="2"/>
      <c r="V43" s="2"/>
      <c r="W43" s="50"/>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1FFE1"/>
  </sheetPr>
  <dimension ref="B2:U19"/>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37.7109375" style="2" customWidth="1"/>
    <col min="3" max="3" width="4.7109375" style="2" customWidth="1"/>
    <col min="4" max="5" width="4.5703125" style="2" customWidth="1"/>
    <col min="6" max="6" width="11.28515625" style="2" customWidth="1"/>
    <col min="7" max="7" width="2.7109375" style="2" customWidth="1"/>
    <col min="8" max="8" width="11.42578125" style="2" customWidth="1"/>
    <col min="9" max="9" width="2.7109375" style="2" customWidth="1"/>
    <col min="10" max="10" width="11.42578125" style="2" customWidth="1"/>
    <col min="11" max="11" width="2.7109375" style="2" customWidth="1"/>
    <col min="12" max="17" width="16.710937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21" s="18" customFormat="1" ht="18" x14ac:dyDescent="0.2">
      <c r="B2" s="18" t="s">
        <v>57</v>
      </c>
    </row>
    <row r="4" spans="2:21" x14ac:dyDescent="0.2">
      <c r="B4" s="26" t="s">
        <v>58</v>
      </c>
      <c r="C4" s="1"/>
      <c r="D4" s="1"/>
    </row>
    <row r="5" spans="2:21" x14ac:dyDescent="0.2">
      <c r="B5" s="22" t="s">
        <v>162</v>
      </c>
      <c r="C5" s="3"/>
      <c r="D5" s="3"/>
      <c r="H5" s="19"/>
    </row>
    <row r="6" spans="2:21" x14ac:dyDescent="0.2">
      <c r="B6" s="5"/>
      <c r="C6" s="3"/>
      <c r="D6" s="3"/>
    </row>
    <row r="8" spans="2:21" s="9" customFormat="1" x14ac:dyDescent="0.2">
      <c r="B8" s="9" t="s">
        <v>12</v>
      </c>
      <c r="F8" s="9" t="s">
        <v>41</v>
      </c>
      <c r="H8" s="9" t="s">
        <v>42</v>
      </c>
      <c r="J8" s="9" t="s">
        <v>43</v>
      </c>
      <c r="L8" s="54" t="s">
        <v>163</v>
      </c>
      <c r="M8" s="54" t="s">
        <v>164</v>
      </c>
      <c r="N8" s="54" t="s">
        <v>165</v>
      </c>
      <c r="O8" s="54" t="s">
        <v>166</v>
      </c>
      <c r="P8" s="54" t="s">
        <v>167</v>
      </c>
      <c r="Q8" s="54" t="s">
        <v>168</v>
      </c>
      <c r="S8" s="9" t="s">
        <v>45</v>
      </c>
      <c r="U8" s="9" t="s">
        <v>44</v>
      </c>
    </row>
    <row r="11" spans="2:21" s="9" customFormat="1" x14ac:dyDescent="0.2">
      <c r="B11" s="9" t="s">
        <v>93</v>
      </c>
    </row>
    <row r="13" spans="2:21" x14ac:dyDescent="0.2">
      <c r="B13" s="1" t="s">
        <v>107</v>
      </c>
    </row>
    <row r="14" spans="2:21" x14ac:dyDescent="0.2">
      <c r="B14" s="22" t="s">
        <v>113</v>
      </c>
      <c r="F14" s="2" t="s">
        <v>49</v>
      </c>
      <c r="L14" s="32">
        <v>189021</v>
      </c>
      <c r="M14" s="32">
        <v>253524</v>
      </c>
      <c r="N14" s="32">
        <v>151740</v>
      </c>
      <c r="O14" s="32">
        <v>264279</v>
      </c>
      <c r="P14" s="32">
        <v>308214</v>
      </c>
      <c r="Q14" s="32">
        <v>274578</v>
      </c>
      <c r="S14" s="22" t="s">
        <v>198</v>
      </c>
    </row>
    <row r="15" spans="2:21" x14ac:dyDescent="0.2">
      <c r="B15" s="22" t="s">
        <v>114</v>
      </c>
      <c r="F15" s="2" t="s">
        <v>49</v>
      </c>
      <c r="L15" s="32">
        <v>528932</v>
      </c>
      <c r="M15" s="32">
        <v>468117</v>
      </c>
      <c r="N15" s="32">
        <v>539082</v>
      </c>
      <c r="O15" s="32">
        <v>374436</v>
      </c>
      <c r="P15" s="32">
        <v>408036</v>
      </c>
      <c r="Q15" s="32">
        <v>430646</v>
      </c>
      <c r="S15" s="22" t="s">
        <v>198</v>
      </c>
    </row>
    <row r="16" spans="2:21" x14ac:dyDescent="0.2">
      <c r="B16" s="2" t="s">
        <v>108</v>
      </c>
      <c r="F16" s="2" t="s">
        <v>49</v>
      </c>
      <c r="L16" s="35">
        <f t="shared" ref="L16:Q16" si="0">L14+L15</f>
        <v>717953</v>
      </c>
      <c r="M16" s="35">
        <f t="shared" si="0"/>
        <v>721641</v>
      </c>
      <c r="N16" s="35">
        <f t="shared" si="0"/>
        <v>690822</v>
      </c>
      <c r="O16" s="35">
        <f t="shared" si="0"/>
        <v>638715</v>
      </c>
      <c r="P16" s="35">
        <f t="shared" si="0"/>
        <v>716250</v>
      </c>
      <c r="Q16" s="35">
        <f t="shared" si="0"/>
        <v>705224</v>
      </c>
    </row>
    <row r="19" spans="2:2" x14ac:dyDescent="0.2">
      <c r="B19" s="2" t="s">
        <v>46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R36"/>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x14ac:dyDescent="0.2"/>
  <cols>
    <col min="1" max="1" width="4.7109375" style="2" customWidth="1"/>
    <col min="2" max="2" width="55.7109375" style="2" customWidth="1"/>
    <col min="3" max="3" width="4.7109375" style="2" customWidth="1"/>
    <col min="4" max="5" width="4.5703125" style="2" customWidth="1"/>
    <col min="6" max="6" width="15.85546875" style="2" customWidth="1"/>
    <col min="7" max="7" width="2.7109375" style="2" customWidth="1"/>
    <col min="8" max="8" width="12.85546875" style="2" customWidth="1"/>
    <col min="9" max="9" width="2.7109375" style="2" customWidth="1"/>
    <col min="10" max="10" width="11.85546875" style="2" customWidth="1"/>
    <col min="11" max="11" width="2.28515625" style="2" customWidth="1"/>
    <col min="12" max="15" width="20.5703125" style="2" customWidth="1"/>
    <col min="16" max="16" width="21.140625" style="2" customWidth="1"/>
    <col min="17" max="17" width="2.7109375" style="2" customWidth="1"/>
    <col min="18" max="32" width="13.7109375" style="2" customWidth="1"/>
    <col min="33" max="16384" width="9.140625" style="2"/>
  </cols>
  <sheetData>
    <row r="2" spans="2:18" s="18" customFormat="1" ht="18" x14ac:dyDescent="0.2">
      <c r="B2" s="18" t="s">
        <v>66</v>
      </c>
    </row>
    <row r="4" spans="2:18" x14ac:dyDescent="0.2">
      <c r="B4" s="26" t="s">
        <v>58</v>
      </c>
      <c r="C4" s="1"/>
      <c r="D4" s="1"/>
    </row>
    <row r="5" spans="2:18" x14ac:dyDescent="0.2">
      <c r="B5" s="22" t="s">
        <v>208</v>
      </c>
      <c r="C5" s="3"/>
      <c r="D5" s="3"/>
      <c r="J5" s="19"/>
    </row>
    <row r="6" spans="2:18" x14ac:dyDescent="0.2">
      <c r="B6" s="22"/>
      <c r="C6" s="3"/>
      <c r="D6" s="3"/>
      <c r="J6" s="19"/>
    </row>
    <row r="7" spans="2:18" x14ac:dyDescent="0.2">
      <c r="B7" s="27" t="s">
        <v>59</v>
      </c>
      <c r="C7" s="3"/>
      <c r="D7" s="3"/>
      <c r="J7" s="19"/>
    </row>
    <row r="8" spans="2:18" x14ac:dyDescent="0.2">
      <c r="B8" s="5" t="s">
        <v>197</v>
      </c>
      <c r="C8" s="3"/>
      <c r="D8" s="3"/>
    </row>
    <row r="9" spans="2:18" x14ac:dyDescent="0.2">
      <c r="B9" s="5"/>
      <c r="C9" s="3"/>
      <c r="D9" s="3"/>
    </row>
    <row r="11" spans="2:18" s="9" customFormat="1" ht="25.5" x14ac:dyDescent="0.2">
      <c r="B11" s="9" t="s">
        <v>12</v>
      </c>
      <c r="F11" s="9" t="s">
        <v>41</v>
      </c>
      <c r="H11" s="9" t="s">
        <v>42</v>
      </c>
      <c r="J11" s="41" t="s">
        <v>60</v>
      </c>
      <c r="L11" s="42" t="s">
        <v>61</v>
      </c>
      <c r="M11" s="42" t="s">
        <v>169</v>
      </c>
      <c r="N11" s="42" t="s">
        <v>209</v>
      </c>
      <c r="O11" s="42" t="s">
        <v>210</v>
      </c>
      <c r="P11" s="42" t="s">
        <v>211</v>
      </c>
      <c r="R11" s="9" t="s">
        <v>44</v>
      </c>
    </row>
    <row r="14" spans="2:18" x14ac:dyDescent="0.2">
      <c r="B14" s="2" t="s">
        <v>45</v>
      </c>
      <c r="L14" s="2" t="s">
        <v>62</v>
      </c>
      <c r="M14" s="2" t="s">
        <v>63</v>
      </c>
      <c r="N14" s="2" t="s">
        <v>64</v>
      </c>
      <c r="O14" s="2" t="s">
        <v>65</v>
      </c>
      <c r="P14" s="2" t="s">
        <v>194</v>
      </c>
    </row>
    <row r="16" spans="2:18" s="9" customFormat="1" x14ac:dyDescent="0.2">
      <c r="B16" s="9" t="s">
        <v>67</v>
      </c>
    </row>
    <row r="18" spans="2:18" x14ac:dyDescent="0.2">
      <c r="B18" s="1" t="s">
        <v>68</v>
      </c>
    </row>
    <row r="19" spans="2:18" x14ac:dyDescent="0.2">
      <c r="B19" s="2" t="s">
        <v>69</v>
      </c>
      <c r="F19" s="2" t="s">
        <v>232</v>
      </c>
      <c r="L19" s="47">
        <v>0.23135346900146023</v>
      </c>
      <c r="M19" s="47">
        <v>0.27004207133895602</v>
      </c>
    </row>
    <row r="20" spans="2:18" x14ac:dyDescent="0.2">
      <c r="B20" s="2" t="s">
        <v>134</v>
      </c>
      <c r="F20" s="2" t="s">
        <v>50</v>
      </c>
      <c r="L20" s="46">
        <v>0.62142327748557913</v>
      </c>
      <c r="M20" s="48">
        <v>0.63999992823770191</v>
      </c>
    </row>
    <row r="22" spans="2:18" x14ac:dyDescent="0.2">
      <c r="B22" s="1" t="s">
        <v>212</v>
      </c>
    </row>
    <row r="23" spans="2:18" x14ac:dyDescent="0.2">
      <c r="B23" s="2" t="s">
        <v>71</v>
      </c>
      <c r="F23" s="2" t="s">
        <v>234</v>
      </c>
      <c r="N23" s="47">
        <v>6.3638620226843162E-2</v>
      </c>
      <c r="P23" s="47">
        <v>8.5111987035442579E-2</v>
      </c>
    </row>
    <row r="24" spans="2:18" x14ac:dyDescent="0.2">
      <c r="B24" s="22" t="s">
        <v>148</v>
      </c>
      <c r="F24" s="2" t="s">
        <v>193</v>
      </c>
      <c r="P24" s="47">
        <v>0.18266952656267721</v>
      </c>
    </row>
    <row r="25" spans="2:18" x14ac:dyDescent="0.2">
      <c r="B25" s="22" t="s">
        <v>170</v>
      </c>
      <c r="F25" s="2" t="s">
        <v>49</v>
      </c>
      <c r="P25" s="32">
        <v>8763212.9773076437</v>
      </c>
    </row>
    <row r="26" spans="2:18" x14ac:dyDescent="0.2">
      <c r="B26" s="2" t="s">
        <v>154</v>
      </c>
      <c r="F26" s="2" t="s">
        <v>50</v>
      </c>
      <c r="P26" s="46">
        <v>0.5</v>
      </c>
      <c r="R26" s="22" t="s">
        <v>224</v>
      </c>
    </row>
    <row r="27" spans="2:18" x14ac:dyDescent="0.2">
      <c r="R27" s="22"/>
    </row>
    <row r="28" spans="2:18" x14ac:dyDescent="0.2">
      <c r="B28" s="2" t="s">
        <v>228</v>
      </c>
      <c r="F28" s="2" t="s">
        <v>225</v>
      </c>
      <c r="O28" s="72">
        <v>0.5</v>
      </c>
      <c r="R28" s="2" t="s">
        <v>221</v>
      </c>
    </row>
    <row r="29" spans="2:18" x14ac:dyDescent="0.2">
      <c r="B29" s="2" t="s">
        <v>227</v>
      </c>
      <c r="F29" s="2" t="s">
        <v>55</v>
      </c>
      <c r="O29" s="68">
        <v>230057.70244409135</v>
      </c>
      <c r="R29" s="22" t="s">
        <v>222</v>
      </c>
    </row>
    <row r="30" spans="2:18" x14ac:dyDescent="0.2">
      <c r="B30" s="2" t="s">
        <v>192</v>
      </c>
      <c r="F30" s="2" t="s">
        <v>193</v>
      </c>
      <c r="P30" s="67">
        <v>2.9443573965367998E-3</v>
      </c>
      <c r="R30" s="22" t="s">
        <v>223</v>
      </c>
    </row>
    <row r="31" spans="2:18" x14ac:dyDescent="0.2">
      <c r="R31" s="22"/>
    </row>
    <row r="32" spans="2:18" x14ac:dyDescent="0.2">
      <c r="B32" s="2" t="s">
        <v>157</v>
      </c>
      <c r="F32" s="2" t="s">
        <v>50</v>
      </c>
      <c r="P32" s="46">
        <v>7.9277824895729071E-2</v>
      </c>
      <c r="R32" s="22"/>
    </row>
    <row r="33" spans="2:18" x14ac:dyDescent="0.2">
      <c r="B33" s="2" t="s">
        <v>171</v>
      </c>
      <c r="F33" s="2" t="s">
        <v>50</v>
      </c>
      <c r="P33" s="46">
        <v>-1.6E-2</v>
      </c>
      <c r="R33" s="2" t="s">
        <v>92</v>
      </c>
    </row>
    <row r="36" spans="2:18" x14ac:dyDescent="0.2">
      <c r="B36" s="2" t="s">
        <v>46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
  <sheetViews>
    <sheetView showGridLines="0" zoomScale="85" zoomScaleNormal="85" workbookViewId="0"/>
  </sheetViews>
  <sheetFormatPr defaultRowHeight="12.75" x14ac:dyDescent="0.2"/>
  <cols>
    <col min="1" max="16384" width="9.140625" style="20"/>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9CDAB9D1-B815-4B0E-93E7-4496A7FE99F6}">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Cover sheet</vt:lpstr>
      <vt:lpstr>Explanation</vt:lpstr>
      <vt:lpstr>Sources and specifics</vt:lpstr>
      <vt:lpstr>Result</vt:lpstr>
      <vt:lpstr>Input --&gt;</vt:lpstr>
      <vt:lpstr>Fuel prices</vt:lpstr>
      <vt:lpstr>Input production data</vt:lpstr>
      <vt:lpstr>Parameters in tariff decisions</vt:lpstr>
      <vt:lpstr>Calculations --&gt;</vt:lpstr>
      <vt:lpstr>Fuel component correction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2021-06-30T08:59:07Z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