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codeName="ThisWorkbook" defaultThemeVersion="124226"/>
  <xr:revisionPtr revIDLastSave="0" documentId="13_ncr:1_{96248DE4-A2EC-4594-89CF-415A031CE4C0}" xr6:coauthVersionLast="46" xr6:coauthVersionMax="46" xr10:uidLastSave="{00000000-0000-0000-0000-000000000000}"/>
  <bookViews>
    <workbookView xWindow="-120" yWindow="-120" windowWidth="29040" windowHeight="15840" tabRatio="805" xr2:uid="{00000000-000D-0000-FFFF-FFFF00000000}"/>
  </bookViews>
  <sheets>
    <sheet name="Titelblad" sheetId="32" r:id="rId1"/>
    <sheet name="Toelichting" sheetId="33" r:id="rId2"/>
    <sheet name="Bronnen en toepassingen" sheetId="34" r:id="rId3"/>
    <sheet name="1) Totale kosten" sheetId="26" r:id="rId4"/>
    <sheet name="Input --&gt;" sheetId="28" r:id="rId5"/>
    <sheet name="2) Reguleringsparameters" sheetId="27" r:id="rId6"/>
    <sheet name="3) Input operationele kosten" sheetId="14" r:id="rId7"/>
    <sheet name="4) Input inkoopkosten transport" sheetId="35" r:id="rId8"/>
    <sheet name="5) Overige opbrengsten" sheetId="15" r:id="rId9"/>
    <sheet name="6) GAW import" sheetId="6" r:id="rId10"/>
    <sheet name="Berekeningen --&gt;" sheetId="31" r:id="rId11"/>
    <sheet name="7) Berekening gecorrigeerde IT" sheetId="36" r:id="rId12"/>
    <sheet name="8) Berekening Oper. kosten" sheetId="3" r:id="rId13"/>
    <sheet name="9) Berekening Kapitaalkosten" sheetId="8" r:id="rId14"/>
  </sheets>
  <definedNames>
    <definedName name="AS2DocOpenMode" hidden="1">"AS2DocumentEdit"</definedName>
    <definedName name="SAPBEXhrIndnt" hidden="1">"Wide"</definedName>
    <definedName name="SAPsysID" hidden="1">"708C5W7SBKP804JT78WJ0JNKI"</definedName>
    <definedName name="SAPwbID" hidden="1">"ARS"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1" i="8" l="1"/>
  <c r="J273" i="8"/>
  <c r="J272" i="8"/>
  <c r="J271" i="8"/>
  <c r="J268" i="8"/>
  <c r="J267" i="8"/>
  <c r="J266" i="8"/>
  <c r="J263" i="8"/>
  <c r="J262" i="8"/>
  <c r="J261" i="8"/>
  <c r="J256" i="8"/>
  <c r="J252" i="8"/>
  <c r="J253" i="8"/>
  <c r="J21" i="6" l="1"/>
  <c r="J23" i="6"/>
  <c r="J22" i="6"/>
  <c r="V251" i="8" l="1"/>
  <c r="V252" i="8"/>
  <c r="V253" i="8"/>
  <c r="V256" i="8"/>
  <c r="V257" i="8"/>
  <c r="V258" i="8"/>
  <c r="V261" i="8"/>
  <c r="V262" i="8"/>
  <c r="V277" i="8" s="1"/>
  <c r="V263" i="8"/>
  <c r="V266" i="8"/>
  <c r="V267" i="8"/>
  <c r="V268" i="8"/>
  <c r="V271" i="8"/>
  <c r="V272" i="8"/>
  <c r="V273" i="8"/>
  <c r="V203" i="8"/>
  <c r="V204" i="8"/>
  <c r="V205" i="8"/>
  <c r="V208" i="8"/>
  <c r="V209" i="8"/>
  <c r="V210" i="8"/>
  <c r="V213" i="8"/>
  <c r="V214" i="8"/>
  <c r="V215" i="8"/>
  <c r="V218" i="8"/>
  <c r="V219" i="8"/>
  <c r="V220" i="8"/>
  <c r="V223" i="8"/>
  <c r="V224" i="8"/>
  <c r="V225" i="8"/>
  <c r="V155" i="8"/>
  <c r="V156" i="8"/>
  <c r="V157" i="8"/>
  <c r="V160" i="8"/>
  <c r="V161" i="8"/>
  <c r="V162" i="8"/>
  <c r="V165" i="8"/>
  <c r="V166" i="8"/>
  <c r="V167" i="8"/>
  <c r="V170" i="8"/>
  <c r="V171" i="8"/>
  <c r="V172" i="8"/>
  <c r="V175" i="8"/>
  <c r="V176" i="8"/>
  <c r="V177" i="8"/>
  <c r="V36" i="8"/>
  <c r="V37" i="8"/>
  <c r="V38" i="8"/>
  <c r="V41" i="8"/>
  <c r="V42" i="8"/>
  <c r="V43" i="8"/>
  <c r="V46" i="8"/>
  <c r="V47" i="8"/>
  <c r="V48" i="8"/>
  <c r="V51" i="8"/>
  <c r="V52" i="8"/>
  <c r="V53" i="8"/>
  <c r="V71" i="8"/>
  <c r="V72" i="8"/>
  <c r="V73" i="8"/>
  <c r="V76" i="8"/>
  <c r="V77" i="8"/>
  <c r="V78" i="8"/>
  <c r="V81" i="8"/>
  <c r="V82" i="8"/>
  <c r="V83" i="8"/>
  <c r="V86" i="8"/>
  <c r="V87" i="8"/>
  <c r="V88" i="8"/>
  <c r="V91" i="8"/>
  <c r="V92" i="8"/>
  <c r="V93" i="8"/>
  <c r="V113" i="8"/>
  <c r="V114" i="8"/>
  <c r="V115" i="8"/>
  <c r="V118" i="8"/>
  <c r="V119" i="8"/>
  <c r="V120" i="8"/>
  <c r="V123" i="8"/>
  <c r="V124" i="8"/>
  <c r="V125" i="8"/>
  <c r="V128" i="8"/>
  <c r="V129" i="8"/>
  <c r="V130" i="8"/>
  <c r="V133" i="8"/>
  <c r="V134" i="8"/>
  <c r="V135" i="8"/>
  <c r="U32" i="8"/>
  <c r="V32" i="8"/>
  <c r="U33" i="8"/>
  <c r="V33" i="8"/>
  <c r="V31" i="8"/>
  <c r="V221" i="15"/>
  <c r="V183" i="15"/>
  <c r="V145" i="15"/>
  <c r="V107" i="15"/>
  <c r="V69" i="15"/>
  <c r="V31" i="15"/>
  <c r="V58" i="8" l="1"/>
  <c r="V278" i="8"/>
  <c r="V97" i="8"/>
  <c r="V181" i="8"/>
  <c r="V230" i="8"/>
  <c r="V229" i="8"/>
  <c r="V182" i="8"/>
  <c r="V140" i="8"/>
  <c r="V57" i="8"/>
  <c r="V139" i="8"/>
  <c r="V98" i="8"/>
  <c r="N221" i="15" l="1"/>
  <c r="H24" i="27" l="1"/>
  <c r="H20" i="8" l="1"/>
  <c r="V61" i="8" l="1"/>
  <c r="V64" i="8" s="1"/>
  <c r="T13" i="26" s="1"/>
  <c r="V101" i="8"/>
  <c r="V105" i="8" s="1"/>
  <c r="T19" i="26" s="1"/>
  <c r="U88" i="8"/>
  <c r="U87" i="8"/>
  <c r="U86" i="8"/>
  <c r="S88" i="8"/>
  <c r="S87" i="8"/>
  <c r="S86" i="8"/>
  <c r="Q88" i="8"/>
  <c r="P88" i="8"/>
  <c r="O88" i="8"/>
  <c r="N88" i="8"/>
  <c r="M88" i="8"/>
  <c r="L88" i="8"/>
  <c r="Q87" i="8"/>
  <c r="P87" i="8"/>
  <c r="O87" i="8"/>
  <c r="N87" i="8"/>
  <c r="M87" i="8"/>
  <c r="L87" i="8"/>
  <c r="Q86" i="8"/>
  <c r="P86" i="8"/>
  <c r="O86" i="8"/>
  <c r="N86" i="8"/>
  <c r="M86" i="8"/>
  <c r="L86" i="8"/>
  <c r="J130" i="14" l="1"/>
  <c r="J129" i="14"/>
  <c r="J128" i="14"/>
  <c r="J127" i="14"/>
  <c r="J124" i="14"/>
  <c r="J123" i="14"/>
  <c r="J122" i="14"/>
  <c r="J119" i="14"/>
  <c r="J118" i="14"/>
  <c r="J117" i="14"/>
  <c r="J116" i="14"/>
  <c r="J110" i="14"/>
  <c r="J109" i="14"/>
  <c r="J108" i="14"/>
  <c r="J107" i="14"/>
  <c r="J104" i="14"/>
  <c r="J103" i="14"/>
  <c r="J102" i="14"/>
  <c r="J99" i="14"/>
  <c r="J98" i="14"/>
  <c r="J97" i="14"/>
  <c r="J96" i="14"/>
  <c r="J90" i="14"/>
  <c r="J89" i="14"/>
  <c r="J88" i="14"/>
  <c r="J87" i="14"/>
  <c r="J84" i="14"/>
  <c r="J83" i="14"/>
  <c r="J82" i="14"/>
  <c r="J79" i="14"/>
  <c r="J78" i="14"/>
  <c r="J77" i="14"/>
  <c r="J76" i="14"/>
  <c r="J70" i="14"/>
  <c r="J69" i="14"/>
  <c r="J68" i="14"/>
  <c r="J67" i="14"/>
  <c r="J64" i="14"/>
  <c r="J63" i="14"/>
  <c r="J62" i="14"/>
  <c r="J59" i="14"/>
  <c r="J58" i="14"/>
  <c r="J57" i="14"/>
  <c r="J56" i="14"/>
  <c r="J50" i="14"/>
  <c r="J49" i="14"/>
  <c r="J48" i="14"/>
  <c r="J47" i="14"/>
  <c r="J44" i="14"/>
  <c r="J43" i="14"/>
  <c r="J42" i="14"/>
  <c r="J39" i="14"/>
  <c r="J38" i="14"/>
  <c r="J37" i="14"/>
  <c r="J36" i="14"/>
  <c r="J30" i="14"/>
  <c r="J29" i="14"/>
  <c r="J28" i="14"/>
  <c r="J27" i="14"/>
  <c r="J24" i="14"/>
  <c r="J23" i="14"/>
  <c r="J22" i="14"/>
  <c r="J19" i="14"/>
  <c r="J18" i="14"/>
  <c r="J17" i="14"/>
  <c r="J16" i="14"/>
  <c r="U53" i="8" l="1"/>
  <c r="U52" i="8"/>
  <c r="U51" i="8"/>
  <c r="U273" i="8"/>
  <c r="U272" i="8"/>
  <c r="U271" i="8"/>
  <c r="U225" i="8"/>
  <c r="U224" i="8"/>
  <c r="U223" i="8"/>
  <c r="U177" i="8"/>
  <c r="U176" i="8"/>
  <c r="U175" i="8"/>
  <c r="U135" i="8"/>
  <c r="U134" i="8"/>
  <c r="U133" i="8"/>
  <c r="U93" i="8"/>
  <c r="U92" i="8"/>
  <c r="U91" i="8"/>
  <c r="U268" i="8"/>
  <c r="U267" i="8"/>
  <c r="U266" i="8"/>
  <c r="U263" i="8"/>
  <c r="U262" i="8"/>
  <c r="U261" i="8"/>
  <c r="U258" i="8"/>
  <c r="U257" i="8"/>
  <c r="U256" i="8"/>
  <c r="U253" i="8"/>
  <c r="U252" i="8"/>
  <c r="U251" i="8"/>
  <c r="U220" i="8"/>
  <c r="U219" i="8"/>
  <c r="U218" i="8"/>
  <c r="U215" i="8"/>
  <c r="U214" i="8"/>
  <c r="U213" i="8"/>
  <c r="U210" i="8"/>
  <c r="U209" i="8"/>
  <c r="U208" i="8"/>
  <c r="U205" i="8"/>
  <c r="U204" i="8"/>
  <c r="U203" i="8"/>
  <c r="U172" i="8"/>
  <c r="U171" i="8"/>
  <c r="U170" i="8"/>
  <c r="U167" i="8"/>
  <c r="U166" i="8"/>
  <c r="U165" i="8"/>
  <c r="U162" i="8"/>
  <c r="U161" i="8"/>
  <c r="U160" i="8"/>
  <c r="U157" i="8"/>
  <c r="U156" i="8"/>
  <c r="U155" i="8"/>
  <c r="U130" i="8"/>
  <c r="U129" i="8"/>
  <c r="U128" i="8"/>
  <c r="U125" i="8"/>
  <c r="U124" i="8"/>
  <c r="U123" i="8"/>
  <c r="U120" i="8"/>
  <c r="U119" i="8"/>
  <c r="U118" i="8"/>
  <c r="U115" i="8"/>
  <c r="U114" i="8"/>
  <c r="U113" i="8"/>
  <c r="U83" i="8"/>
  <c r="U82" i="8"/>
  <c r="U81" i="8"/>
  <c r="U78" i="8"/>
  <c r="U77" i="8"/>
  <c r="U76" i="8"/>
  <c r="U73" i="8"/>
  <c r="U72" i="8"/>
  <c r="U71" i="8"/>
  <c r="U48" i="8"/>
  <c r="U47" i="8"/>
  <c r="U46" i="8"/>
  <c r="U43" i="8"/>
  <c r="U42" i="8"/>
  <c r="U41" i="8"/>
  <c r="U38" i="8"/>
  <c r="U37" i="8"/>
  <c r="U36" i="8"/>
  <c r="U31" i="8"/>
  <c r="U221" i="15"/>
  <c r="U183" i="15"/>
  <c r="U145" i="15"/>
  <c r="U107" i="15"/>
  <c r="U69" i="15"/>
  <c r="U31" i="15"/>
  <c r="U58" i="8" l="1"/>
  <c r="U140" i="8"/>
  <c r="U230" i="8"/>
  <c r="U278" i="8"/>
  <c r="U98" i="8"/>
  <c r="U182" i="8"/>
  <c r="U57" i="8"/>
  <c r="U61" i="8" s="1"/>
  <c r="U97" i="8"/>
  <c r="U139" i="8"/>
  <c r="U181" i="8"/>
  <c r="U229" i="8"/>
  <c r="U277" i="8"/>
  <c r="S38" i="36"/>
  <c r="S39" i="36"/>
  <c r="S40" i="36"/>
  <c r="S79" i="36"/>
  <c r="S80" i="36"/>
  <c r="S81" i="36"/>
  <c r="S120" i="36"/>
  <c r="S121" i="36"/>
  <c r="S122" i="36"/>
  <c r="U101" i="8" l="1"/>
  <c r="L18" i="3"/>
  <c r="L19" i="3"/>
  <c r="M18" i="3"/>
  <c r="N18" i="3"/>
  <c r="O18" i="3"/>
  <c r="P18" i="3"/>
  <c r="Q18" i="3"/>
  <c r="M19" i="3"/>
  <c r="N19" i="3"/>
  <c r="O19" i="3"/>
  <c r="P19" i="3"/>
  <c r="Q19" i="3"/>
  <c r="S18" i="3"/>
  <c r="S19" i="3"/>
  <c r="L83" i="3"/>
  <c r="L84" i="3"/>
  <c r="M83" i="3"/>
  <c r="N83" i="3"/>
  <c r="O83" i="3"/>
  <c r="P83" i="3"/>
  <c r="Q83" i="3"/>
  <c r="M84" i="3"/>
  <c r="N84" i="3"/>
  <c r="O84" i="3"/>
  <c r="P84" i="3"/>
  <c r="Q84" i="3"/>
  <c r="S83" i="3"/>
  <c r="S84" i="3"/>
  <c r="H149" i="36" l="1"/>
  <c r="H150" i="36"/>
  <c r="H151" i="36"/>
  <c r="H148" i="36"/>
  <c r="S271" i="36" s="1"/>
  <c r="H147" i="36"/>
  <c r="S270" i="36" s="1"/>
  <c r="H146" i="36"/>
  <c r="S269" i="36" s="1"/>
  <c r="H142" i="36"/>
  <c r="H143" i="36"/>
  <c r="H141" i="36"/>
  <c r="H136" i="36"/>
  <c r="H137" i="36"/>
  <c r="H138" i="36"/>
  <c r="H135" i="36"/>
  <c r="S256" i="36" s="1"/>
  <c r="H134" i="36"/>
  <c r="S255" i="36" s="1"/>
  <c r="H133" i="36"/>
  <c r="S254" i="36" s="1"/>
  <c r="H129" i="36"/>
  <c r="H130" i="36"/>
  <c r="H128" i="36"/>
  <c r="Q122" i="36"/>
  <c r="Q121" i="36"/>
  <c r="Q120" i="36"/>
  <c r="P122" i="36"/>
  <c r="P121" i="36"/>
  <c r="P120" i="36"/>
  <c r="N125" i="36"/>
  <c r="N124" i="36"/>
  <c r="N123" i="36"/>
  <c r="N122" i="36"/>
  <c r="N121" i="36"/>
  <c r="N120" i="36"/>
  <c r="M122" i="36"/>
  <c r="M121" i="36"/>
  <c r="M120" i="36"/>
  <c r="N117" i="36"/>
  <c r="N116" i="36"/>
  <c r="N115" i="36"/>
  <c r="M116" i="36"/>
  <c r="M117" i="36"/>
  <c r="M115" i="36"/>
  <c r="H108" i="36"/>
  <c r="H109" i="36"/>
  <c r="H110" i="36"/>
  <c r="H107" i="36"/>
  <c r="S226" i="36" s="1"/>
  <c r="H106" i="36"/>
  <c r="S225" i="36" s="1"/>
  <c r="H105" i="36"/>
  <c r="S224" i="36" s="1"/>
  <c r="H101" i="36"/>
  <c r="H102" i="36"/>
  <c r="H100" i="36"/>
  <c r="H95" i="36"/>
  <c r="H96" i="36"/>
  <c r="H97" i="36"/>
  <c r="H94" i="36"/>
  <c r="S211" i="36" s="1"/>
  <c r="H93" i="36"/>
  <c r="S210" i="36" s="1"/>
  <c r="H92" i="36"/>
  <c r="S209" i="36" s="1"/>
  <c r="H88" i="36"/>
  <c r="H89" i="36"/>
  <c r="H87" i="36"/>
  <c r="Q81" i="36"/>
  <c r="P81" i="36"/>
  <c r="Q80" i="36"/>
  <c r="P80" i="36"/>
  <c r="Q79" i="36"/>
  <c r="P79" i="36"/>
  <c r="N82" i="36"/>
  <c r="N83" i="36"/>
  <c r="N84" i="36"/>
  <c r="N81" i="36"/>
  <c r="N80" i="36"/>
  <c r="N79" i="36"/>
  <c r="M81" i="36"/>
  <c r="M80" i="36"/>
  <c r="M79" i="36"/>
  <c r="N76" i="36"/>
  <c r="N75" i="36"/>
  <c r="N74" i="36"/>
  <c r="M75" i="36"/>
  <c r="M76" i="36"/>
  <c r="M74" i="36"/>
  <c r="H67" i="36"/>
  <c r="H68" i="36"/>
  <c r="H69" i="36"/>
  <c r="H66" i="36"/>
  <c r="S181" i="36" s="1"/>
  <c r="H65" i="36"/>
  <c r="S180" i="36" s="1"/>
  <c r="H64" i="36"/>
  <c r="S179" i="36" s="1"/>
  <c r="H60" i="36"/>
  <c r="H61" i="36"/>
  <c r="H59" i="36"/>
  <c r="H54" i="36"/>
  <c r="H55" i="36"/>
  <c r="H56" i="36"/>
  <c r="H53" i="36"/>
  <c r="S166" i="36" s="1"/>
  <c r="H52" i="36"/>
  <c r="S165" i="36" s="1"/>
  <c r="H51" i="36"/>
  <c r="S164" i="36" s="1"/>
  <c r="H47" i="36"/>
  <c r="H48" i="36"/>
  <c r="H46" i="36"/>
  <c r="Q40" i="36"/>
  <c r="Q39" i="36"/>
  <c r="Q38" i="36"/>
  <c r="P40" i="36"/>
  <c r="P39" i="36"/>
  <c r="P38" i="36"/>
  <c r="N41" i="36"/>
  <c r="N42" i="36"/>
  <c r="N43" i="36"/>
  <c r="N40" i="36"/>
  <c r="M40" i="36"/>
  <c r="N39" i="36"/>
  <c r="M39" i="36"/>
  <c r="N38" i="36"/>
  <c r="M38" i="36"/>
  <c r="N33" i="36"/>
  <c r="N34" i="36"/>
  <c r="N35" i="36"/>
  <c r="M34" i="36"/>
  <c r="M35" i="36"/>
  <c r="M33" i="36"/>
  <c r="H28" i="36"/>
  <c r="H27" i="36"/>
  <c r="H280" i="36" s="1"/>
  <c r="S24" i="36"/>
  <c r="S23" i="36"/>
  <c r="M23" i="36"/>
  <c r="N23" i="36"/>
  <c r="O23" i="36"/>
  <c r="O285" i="36" s="1"/>
  <c r="O351" i="3" s="1"/>
  <c r="P23" i="36"/>
  <c r="Q23" i="36"/>
  <c r="M24" i="36"/>
  <c r="N24" i="36"/>
  <c r="O24" i="36"/>
  <c r="P24" i="36"/>
  <c r="Q24" i="36"/>
  <c r="L24" i="36"/>
  <c r="L23" i="36"/>
  <c r="S16" i="36"/>
  <c r="S15" i="36"/>
  <c r="M15" i="36"/>
  <c r="N15" i="36"/>
  <c r="O15" i="36"/>
  <c r="P15" i="36"/>
  <c r="Q15" i="36"/>
  <c r="M16" i="36"/>
  <c r="N16" i="36"/>
  <c r="O16" i="36"/>
  <c r="P16" i="36"/>
  <c r="Q16" i="36"/>
  <c r="L16" i="36"/>
  <c r="L15" i="36"/>
  <c r="S20" i="36"/>
  <c r="S19" i="36"/>
  <c r="M19" i="36"/>
  <c r="N19" i="36"/>
  <c r="O19" i="36"/>
  <c r="P19" i="36"/>
  <c r="Q19" i="36"/>
  <c r="M20" i="36"/>
  <c r="N20" i="36"/>
  <c r="O20" i="36"/>
  <c r="P20" i="36"/>
  <c r="Q20" i="36"/>
  <c r="L20" i="36"/>
  <c r="J20" i="36" s="1"/>
  <c r="J201" i="36" s="1"/>
  <c r="L19" i="36"/>
  <c r="L282" i="36" l="1"/>
  <c r="O282" i="36"/>
  <c r="L195" i="36"/>
  <c r="L213" i="3" s="1"/>
  <c r="J15" i="36"/>
  <c r="J155" i="36" s="1"/>
  <c r="J16" i="36"/>
  <c r="J156" i="36" s="1"/>
  <c r="J24" i="36"/>
  <c r="J246" i="36" s="1"/>
  <c r="J19" i="36"/>
  <c r="J200" i="36" s="1"/>
  <c r="J23" i="36"/>
  <c r="J245" i="36" s="1"/>
  <c r="S282" i="36" s="1"/>
  <c r="L285" i="36"/>
  <c r="L351" i="3" s="1"/>
  <c r="H190" i="36"/>
  <c r="H235" i="36"/>
  <c r="L237" i="36" s="1"/>
  <c r="O240" i="36"/>
  <c r="O282" i="3" s="1"/>
  <c r="L240" i="36"/>
  <c r="L282" i="3" s="1"/>
  <c r="S261" i="36"/>
  <c r="O195" i="36"/>
  <c r="O213" i="3" s="1"/>
  <c r="S216" i="36"/>
  <c r="S171" i="36"/>
  <c r="S186" i="36"/>
  <c r="S276" i="36"/>
  <c r="S278" i="36" s="1"/>
  <c r="S285" i="36" s="1"/>
  <c r="S351" i="3" s="1"/>
  <c r="S231" i="36"/>
  <c r="M174" i="36"/>
  <c r="P180" i="36"/>
  <c r="N184" i="36"/>
  <c r="M206" i="36"/>
  <c r="N212" i="36"/>
  <c r="M220" i="36"/>
  <c r="M226" i="36"/>
  <c r="N169" i="36"/>
  <c r="P179" i="36"/>
  <c r="N219" i="36"/>
  <c r="P181" i="36"/>
  <c r="N221" i="36"/>
  <c r="N159" i="36"/>
  <c r="M165" i="36"/>
  <c r="N183" i="36"/>
  <c r="N205" i="36"/>
  <c r="P211" i="36"/>
  <c r="M225" i="36"/>
  <c r="N229" i="36"/>
  <c r="M160" i="36"/>
  <c r="M166" i="36"/>
  <c r="N161" i="36"/>
  <c r="N167" i="36"/>
  <c r="N175" i="36"/>
  <c r="P209" i="36"/>
  <c r="N213" i="36"/>
  <c r="N227" i="36"/>
  <c r="N259" i="36"/>
  <c r="N273" i="36"/>
  <c r="M164" i="36"/>
  <c r="N168" i="36"/>
  <c r="M176" i="36"/>
  <c r="N182" i="36"/>
  <c r="M204" i="36"/>
  <c r="P210" i="36"/>
  <c r="N214" i="36"/>
  <c r="M224" i="36"/>
  <c r="N228" i="36"/>
  <c r="Q254" i="36"/>
  <c r="P254" i="36"/>
  <c r="N254" i="36"/>
  <c r="M254" i="36"/>
  <c r="N258" i="36"/>
  <c r="N266" i="36"/>
  <c r="M266" i="36"/>
  <c r="N272" i="36"/>
  <c r="N160" i="36"/>
  <c r="N164" i="36"/>
  <c r="N165" i="36"/>
  <c r="N166" i="36"/>
  <c r="N174" i="36"/>
  <c r="N176" i="36"/>
  <c r="Q179" i="36"/>
  <c r="Q180" i="36"/>
  <c r="Q181" i="36"/>
  <c r="N204" i="36"/>
  <c r="N206" i="36"/>
  <c r="Q209" i="36"/>
  <c r="Q210" i="36"/>
  <c r="Q211" i="36"/>
  <c r="N220" i="36"/>
  <c r="N224" i="36"/>
  <c r="N225" i="36"/>
  <c r="N226" i="36"/>
  <c r="N249" i="36"/>
  <c r="Q255" i="36"/>
  <c r="P255" i="36"/>
  <c r="N255" i="36"/>
  <c r="M255" i="36"/>
  <c r="N269" i="36"/>
  <c r="M269" i="36"/>
  <c r="Q269" i="36"/>
  <c r="P269" i="36"/>
  <c r="M159" i="36"/>
  <c r="M161" i="36"/>
  <c r="P164" i="36"/>
  <c r="P165" i="36"/>
  <c r="P166" i="36"/>
  <c r="M175" i="36"/>
  <c r="M179" i="36"/>
  <c r="M180" i="36"/>
  <c r="M181" i="36"/>
  <c r="M205" i="36"/>
  <c r="M209" i="36"/>
  <c r="M210" i="36"/>
  <c r="M211" i="36"/>
  <c r="M219" i="36"/>
  <c r="M221" i="36"/>
  <c r="P224" i="36"/>
  <c r="P225" i="36"/>
  <c r="P226" i="36"/>
  <c r="N250" i="36"/>
  <c r="M250" i="36"/>
  <c r="Q256" i="36"/>
  <c r="P256" i="36"/>
  <c r="N256" i="36"/>
  <c r="M256" i="36"/>
  <c r="N264" i="36"/>
  <c r="M264" i="36"/>
  <c r="N270" i="36"/>
  <c r="M270" i="36"/>
  <c r="Q270" i="36"/>
  <c r="P270" i="36"/>
  <c r="N274" i="36"/>
  <c r="Q164" i="36"/>
  <c r="Q165" i="36"/>
  <c r="Q166" i="36"/>
  <c r="N179" i="36"/>
  <c r="N180" i="36"/>
  <c r="N181" i="36"/>
  <c r="N209" i="36"/>
  <c r="N210" i="36"/>
  <c r="N211" i="36"/>
  <c r="Q224" i="36"/>
  <c r="Q225" i="36"/>
  <c r="Q226" i="36"/>
  <c r="M249" i="36"/>
  <c r="N251" i="36"/>
  <c r="M251" i="36"/>
  <c r="N257" i="36"/>
  <c r="N265" i="36"/>
  <c r="M265" i="36"/>
  <c r="N271" i="36"/>
  <c r="M271" i="36"/>
  <c r="Q271" i="36"/>
  <c r="P271" i="36"/>
  <c r="Q282" i="36" l="1"/>
  <c r="N282" i="36"/>
  <c r="M282" i="36"/>
  <c r="P282" i="36"/>
  <c r="O192" i="36"/>
  <c r="S192" i="36"/>
  <c r="M192" i="36"/>
  <c r="P192" i="36"/>
  <c r="Q192" i="36"/>
  <c r="N192" i="36"/>
  <c r="L192" i="36"/>
  <c r="S188" i="36"/>
  <c r="S195" i="36" s="1"/>
  <c r="S213" i="3" s="1"/>
  <c r="S233" i="36"/>
  <c r="P186" i="36"/>
  <c r="M231" i="36"/>
  <c r="Q231" i="36"/>
  <c r="M216" i="36"/>
  <c r="M186" i="36"/>
  <c r="N231" i="36"/>
  <c r="N216" i="36"/>
  <c r="P216" i="36"/>
  <c r="N171" i="36"/>
  <c r="Q171" i="36"/>
  <c r="N276" i="36"/>
  <c r="P171" i="36"/>
  <c r="Q276" i="36"/>
  <c r="Q186" i="36"/>
  <c r="P261" i="36"/>
  <c r="N186" i="36"/>
  <c r="Q261" i="36"/>
  <c r="M261" i="36"/>
  <c r="M171" i="36"/>
  <c r="M276" i="36"/>
  <c r="P231" i="36"/>
  <c r="P276" i="36"/>
  <c r="N261" i="36"/>
  <c r="Q216" i="36"/>
  <c r="S240" i="36" l="1"/>
  <c r="S282" i="3" s="1"/>
  <c r="M237" i="36"/>
  <c r="N237" i="36"/>
  <c r="P237" i="36"/>
  <c r="Q237" i="36"/>
  <c r="S237" i="36"/>
  <c r="O237" i="36"/>
  <c r="J171" i="36"/>
  <c r="J261" i="36"/>
  <c r="J216" i="36"/>
  <c r="M278" i="36"/>
  <c r="M285" i="36" s="1"/>
  <c r="M351" i="3" s="1"/>
  <c r="P188" i="36"/>
  <c r="J276" i="36"/>
  <c r="J231" i="36"/>
  <c r="J186" i="36"/>
  <c r="N278" i="36"/>
  <c r="N285" i="36" s="1"/>
  <c r="N351" i="3" s="1"/>
  <c r="Q233" i="36"/>
  <c r="M233" i="36"/>
  <c r="N233" i="36"/>
  <c r="Q278" i="36"/>
  <c r="Q285" i="36" s="1"/>
  <c r="Q351" i="3" s="1"/>
  <c r="P233" i="36"/>
  <c r="M188" i="36"/>
  <c r="M195" i="36" s="1"/>
  <c r="M213" i="3" s="1"/>
  <c r="P278" i="36"/>
  <c r="P285" i="36" s="1"/>
  <c r="P351" i="3" s="1"/>
  <c r="Q188" i="36"/>
  <c r="N188" i="36"/>
  <c r="Q240" i="36" l="1"/>
  <c r="Q282" i="3" s="1"/>
  <c r="P240" i="36"/>
  <c r="P282" i="3" s="1"/>
  <c r="N240" i="36"/>
  <c r="N282" i="3" s="1"/>
  <c r="J233" i="36"/>
  <c r="M240" i="36"/>
  <c r="M282" i="3" s="1"/>
  <c r="N195" i="36"/>
  <c r="N213" i="3" s="1"/>
  <c r="Q195" i="36"/>
  <c r="Q213" i="3" s="1"/>
  <c r="P195" i="36"/>
  <c r="P213" i="3" s="1"/>
  <c r="J278" i="36"/>
  <c r="J188" i="36"/>
  <c r="M193" i="36" s="1"/>
  <c r="P193" i="36" l="1"/>
  <c r="Q193" i="36"/>
  <c r="N193" i="36"/>
  <c r="O193" i="36"/>
  <c r="O196" i="36" s="1"/>
  <c r="O214" i="3" s="1"/>
  <c r="L193" i="36"/>
  <c r="L196" i="36" s="1"/>
  <c r="L214" i="3" s="1"/>
  <c r="O283" i="36"/>
  <c r="O286" i="36" s="1"/>
  <c r="O352" i="3" s="1"/>
  <c r="M283" i="36"/>
  <c r="M286" i="36" s="1"/>
  <c r="M352" i="3" s="1"/>
  <c r="S283" i="36"/>
  <c r="S286" i="36" s="1"/>
  <c r="S352" i="3" s="1"/>
  <c r="Q283" i="36"/>
  <c r="Q286" i="36" s="1"/>
  <c r="Q352" i="3" s="1"/>
  <c r="N283" i="36"/>
  <c r="N286" i="36" s="1"/>
  <c r="N352" i="3" s="1"/>
  <c r="P283" i="36"/>
  <c r="P286" i="36" s="1"/>
  <c r="P352" i="3" s="1"/>
  <c r="L283" i="36"/>
  <c r="L286" i="36" s="1"/>
  <c r="L352" i="3" s="1"/>
  <c r="S193" i="36"/>
  <c r="S196" i="36" s="1"/>
  <c r="S214" i="3" s="1"/>
  <c r="M196" i="36"/>
  <c r="M214" i="3" s="1"/>
  <c r="N196" i="36"/>
  <c r="N214" i="3" s="1"/>
  <c r="N238" i="36"/>
  <c r="N241" i="36" s="1"/>
  <c r="N283" i="3" s="1"/>
  <c r="S238" i="36"/>
  <c r="J285" i="36"/>
  <c r="J240" i="36"/>
  <c r="J195" i="36"/>
  <c r="O238" i="36"/>
  <c r="P238" i="36"/>
  <c r="M238" i="36"/>
  <c r="L238" i="36"/>
  <c r="L241" i="36" s="1"/>
  <c r="L283" i="3" s="1"/>
  <c r="Q238" i="36"/>
  <c r="Q241" i="36" l="1"/>
  <c r="Q283" i="3" s="1"/>
  <c r="O241" i="36"/>
  <c r="O283" i="3" s="1"/>
  <c r="P241" i="36"/>
  <c r="P283" i="3" s="1"/>
  <c r="S241" i="36"/>
  <c r="S283" i="3" s="1"/>
  <c r="M241" i="36"/>
  <c r="M283" i="3" s="1"/>
  <c r="Q196" i="36"/>
  <c r="Q214" i="3" s="1"/>
  <c r="P196" i="36"/>
  <c r="P214" i="3" s="1"/>
  <c r="J193" i="36"/>
  <c r="J238" i="36"/>
  <c r="J283" i="36"/>
  <c r="J196" i="36" l="1"/>
  <c r="J286" i="36"/>
  <c r="J241" i="36"/>
  <c r="M107" i="15" l="1"/>
  <c r="N107" i="15"/>
  <c r="O107" i="15"/>
  <c r="P107" i="15"/>
  <c r="M69" i="15"/>
  <c r="N69" i="15"/>
  <c r="O69" i="15"/>
  <c r="P69" i="15"/>
  <c r="P31" i="15"/>
  <c r="M31" i="15"/>
  <c r="L31" i="15"/>
  <c r="N31" i="15"/>
  <c r="H17" i="8" l="1"/>
  <c r="H16" i="8"/>
  <c r="V281" i="8" l="1"/>
  <c r="V287" i="8" s="1"/>
  <c r="T60" i="26" s="1"/>
  <c r="V185" i="8"/>
  <c r="V192" i="8" s="1"/>
  <c r="T34" i="26" s="1"/>
  <c r="V233" i="8"/>
  <c r="V240" i="8" s="1"/>
  <c r="T47" i="26" s="1"/>
  <c r="U233" i="8"/>
  <c r="U281" i="8"/>
  <c r="U185" i="8"/>
  <c r="V234" i="8"/>
  <c r="V241" i="8" s="1"/>
  <c r="T48" i="26" s="1"/>
  <c r="V186" i="8"/>
  <c r="V193" i="8" s="1"/>
  <c r="T35" i="26" s="1"/>
  <c r="V282" i="8"/>
  <c r="V288" i="8" s="1"/>
  <c r="T61" i="26" s="1"/>
  <c r="U234" i="8"/>
  <c r="U186" i="8"/>
  <c r="U282" i="8"/>
  <c r="Q221" i="15"/>
  <c r="P221" i="15"/>
  <c r="O221" i="15"/>
  <c r="M221" i="15"/>
  <c r="L221" i="15"/>
  <c r="Q183" i="15"/>
  <c r="P183" i="15"/>
  <c r="O183" i="15"/>
  <c r="N183" i="15"/>
  <c r="M183" i="15"/>
  <c r="L183" i="15"/>
  <c r="Q145" i="15"/>
  <c r="P145" i="15"/>
  <c r="O145" i="15"/>
  <c r="N145" i="15"/>
  <c r="M145" i="15"/>
  <c r="L145" i="15"/>
  <c r="Q107" i="15"/>
  <c r="L107" i="15"/>
  <c r="Q69" i="15"/>
  <c r="L69" i="15"/>
  <c r="O31" i="15"/>
  <c r="Q31" i="15"/>
  <c r="H18" i="27" l="1"/>
  <c r="H25" i="27" l="1"/>
  <c r="H21" i="8" s="1"/>
  <c r="H19" i="27"/>
  <c r="H26" i="27" s="1"/>
  <c r="H22" i="8" s="1"/>
  <c r="U144" i="8" s="1"/>
  <c r="H20" i="27"/>
  <c r="S53" i="8"/>
  <c r="M53" i="8"/>
  <c r="N53" i="8"/>
  <c r="O53" i="8"/>
  <c r="Q53" i="8"/>
  <c r="L53" i="8"/>
  <c r="S51" i="8"/>
  <c r="M51" i="8"/>
  <c r="N51" i="8"/>
  <c r="O51" i="8"/>
  <c r="Q51" i="8"/>
  <c r="L51" i="8"/>
  <c r="S52" i="8"/>
  <c r="M52" i="8"/>
  <c r="N52" i="8"/>
  <c r="O52" i="8"/>
  <c r="Q52" i="8"/>
  <c r="L52" i="8"/>
  <c r="S93" i="8"/>
  <c r="M93" i="8"/>
  <c r="N93" i="8"/>
  <c r="O93" i="8"/>
  <c r="Q93" i="8"/>
  <c r="L93" i="8"/>
  <c r="U143" i="8" l="1"/>
  <c r="U102" i="8"/>
  <c r="V144" i="8"/>
  <c r="V148" i="8" s="1"/>
  <c r="T27" i="26" s="1"/>
  <c r="V188" i="8"/>
  <c r="V195" i="8" s="1"/>
  <c r="T39" i="26" s="1"/>
  <c r="U188" i="8"/>
  <c r="V102" i="8"/>
  <c r="V106" i="8" s="1"/>
  <c r="T20" i="26" s="1"/>
  <c r="V143" i="8"/>
  <c r="V147" i="8" s="1"/>
  <c r="T26" i="26" s="1"/>
  <c r="H27" i="27"/>
  <c r="H23" i="8" s="1"/>
  <c r="H21" i="27"/>
  <c r="H28" i="27" s="1"/>
  <c r="H24" i="8" s="1"/>
  <c r="V284" i="8" l="1"/>
  <c r="V290" i="8" s="1"/>
  <c r="T65" i="26" s="1"/>
  <c r="V237" i="8"/>
  <c r="V244" i="8" s="1"/>
  <c r="T53" i="26" s="1"/>
  <c r="U284" i="8"/>
  <c r="U290" i="8" s="1"/>
  <c r="S65" i="26" s="1"/>
  <c r="U237" i="8"/>
  <c r="U244" i="8" s="1"/>
  <c r="S53" i="26" s="1"/>
  <c r="V236" i="8"/>
  <c r="V243" i="8" s="1"/>
  <c r="T52" i="26" s="1"/>
  <c r="V189" i="8"/>
  <c r="V196" i="8" s="1"/>
  <c r="T40" i="26" s="1"/>
  <c r="U236" i="8"/>
  <c r="U189" i="8"/>
  <c r="U241" i="8"/>
  <c r="S48" i="26" s="1"/>
  <c r="U240" i="8"/>
  <c r="S47" i="26" s="1"/>
  <c r="U243" i="8"/>
  <c r="S52" i="26" s="1"/>
  <c r="U287" i="8"/>
  <c r="S60" i="26" s="1"/>
  <c r="U288" i="8"/>
  <c r="S61" i="26" s="1"/>
  <c r="L293" i="3"/>
  <c r="L333" i="3" l="1"/>
  <c r="J143" i="6"/>
  <c r="J142" i="6"/>
  <c r="J141" i="6"/>
  <c r="J138" i="6"/>
  <c r="J137" i="6"/>
  <c r="J136" i="6"/>
  <c r="J133" i="6"/>
  <c r="J132" i="6"/>
  <c r="J131" i="6"/>
  <c r="J128" i="6"/>
  <c r="J127" i="6"/>
  <c r="J126" i="6"/>
  <c r="J121" i="6"/>
  <c r="J120" i="6"/>
  <c r="J119" i="6"/>
  <c r="J116" i="6"/>
  <c r="J115" i="6"/>
  <c r="J114" i="6"/>
  <c r="J111" i="6"/>
  <c r="J110" i="6"/>
  <c r="J109" i="6"/>
  <c r="J106" i="6"/>
  <c r="J105" i="6"/>
  <c r="J104" i="6"/>
  <c r="J99" i="6"/>
  <c r="J98" i="6"/>
  <c r="J97" i="6"/>
  <c r="J94" i="6"/>
  <c r="J93" i="6"/>
  <c r="J92" i="6"/>
  <c r="J89" i="6"/>
  <c r="J88" i="6"/>
  <c r="J87" i="6"/>
  <c r="J84" i="6"/>
  <c r="J83" i="6"/>
  <c r="J82" i="6"/>
  <c r="J77" i="6"/>
  <c r="J76" i="6"/>
  <c r="J75" i="6"/>
  <c r="J72" i="6"/>
  <c r="J71" i="6"/>
  <c r="J70" i="6"/>
  <c r="J67" i="6"/>
  <c r="J66" i="6"/>
  <c r="J65" i="6"/>
  <c r="J62" i="6"/>
  <c r="J61" i="6"/>
  <c r="J60" i="6"/>
  <c r="J55" i="6"/>
  <c r="J54" i="6"/>
  <c r="J53" i="6"/>
  <c r="J50" i="6"/>
  <c r="J49" i="6"/>
  <c r="J48" i="6"/>
  <c r="J45" i="6"/>
  <c r="J44" i="6"/>
  <c r="J43" i="6"/>
  <c r="J40" i="6"/>
  <c r="J39" i="6"/>
  <c r="J38" i="6"/>
  <c r="J33" i="6"/>
  <c r="J32" i="6"/>
  <c r="J31" i="6"/>
  <c r="J28" i="6"/>
  <c r="J27" i="6"/>
  <c r="J26" i="6"/>
  <c r="J18" i="6"/>
  <c r="J17" i="6"/>
  <c r="J16" i="6"/>
  <c r="L82" i="8" l="1"/>
  <c r="S82" i="8"/>
  <c r="M82" i="8"/>
  <c r="N82" i="8"/>
  <c r="O82" i="8"/>
  <c r="P82" i="8"/>
  <c r="Q82" i="8"/>
  <c r="L83" i="8"/>
  <c r="S83" i="8"/>
  <c r="M83" i="8"/>
  <c r="N83" i="8"/>
  <c r="O83" i="8"/>
  <c r="P83" i="8"/>
  <c r="Q83" i="8"/>
  <c r="Q81" i="8"/>
  <c r="P81" i="8"/>
  <c r="O81" i="8"/>
  <c r="N81" i="8"/>
  <c r="M81" i="8"/>
  <c r="S81" i="8"/>
  <c r="L81" i="8"/>
  <c r="S71" i="8"/>
  <c r="M71" i="8"/>
  <c r="N71" i="8"/>
  <c r="O71" i="8"/>
  <c r="P71" i="8"/>
  <c r="Q71" i="8"/>
  <c r="L71" i="8"/>
  <c r="L72" i="8"/>
  <c r="S72" i="8"/>
  <c r="M72" i="8"/>
  <c r="N72" i="8"/>
  <c r="O72" i="8"/>
  <c r="P72" i="8"/>
  <c r="Q72" i="8"/>
  <c r="L73" i="8"/>
  <c r="S73" i="8"/>
  <c r="M73" i="8"/>
  <c r="N73" i="8"/>
  <c r="O73" i="8"/>
  <c r="P73" i="8"/>
  <c r="Q73" i="8"/>
  <c r="Q48" i="8"/>
  <c r="P48" i="8"/>
  <c r="O48" i="8"/>
  <c r="N48" i="8"/>
  <c r="M48" i="8"/>
  <c r="S48" i="8"/>
  <c r="L48" i="8"/>
  <c r="Q47" i="8"/>
  <c r="P47" i="8"/>
  <c r="O47" i="8"/>
  <c r="N47" i="8"/>
  <c r="M47" i="8"/>
  <c r="S47" i="8"/>
  <c r="L47" i="8"/>
  <c r="Q46" i="8"/>
  <c r="P46" i="8"/>
  <c r="O46" i="8"/>
  <c r="N46" i="8"/>
  <c r="M46" i="8"/>
  <c r="S46" i="8"/>
  <c r="L46" i="8"/>
  <c r="Q43" i="8"/>
  <c r="P43" i="8"/>
  <c r="O43" i="8"/>
  <c r="N43" i="8"/>
  <c r="M43" i="8"/>
  <c r="S43" i="8"/>
  <c r="L43" i="8"/>
  <c r="Q42" i="8"/>
  <c r="P42" i="8"/>
  <c r="O42" i="8"/>
  <c r="N42" i="8"/>
  <c r="M42" i="8"/>
  <c r="S42" i="8"/>
  <c r="L42" i="8"/>
  <c r="Q41" i="8"/>
  <c r="P41" i="8"/>
  <c r="O41" i="8"/>
  <c r="N41" i="8"/>
  <c r="M41" i="8"/>
  <c r="S41" i="8"/>
  <c r="L41" i="8"/>
  <c r="Q38" i="8"/>
  <c r="P38" i="8"/>
  <c r="O38" i="8"/>
  <c r="N38" i="8"/>
  <c r="M38" i="8"/>
  <c r="S38" i="8"/>
  <c r="L38" i="8"/>
  <c r="Q37" i="8"/>
  <c r="P37" i="8"/>
  <c r="O37" i="8"/>
  <c r="N37" i="8"/>
  <c r="M37" i="8"/>
  <c r="S37" i="8"/>
  <c r="L37" i="8"/>
  <c r="Q36" i="8"/>
  <c r="P36" i="8"/>
  <c r="O36" i="8"/>
  <c r="N36" i="8"/>
  <c r="M36" i="8"/>
  <c r="S36" i="8"/>
  <c r="L36" i="8"/>
  <c r="L32" i="8"/>
  <c r="S32" i="8"/>
  <c r="M32" i="8"/>
  <c r="N32" i="8"/>
  <c r="O32" i="8"/>
  <c r="P32" i="8"/>
  <c r="Q32" i="8"/>
  <c r="L33" i="8"/>
  <c r="S33" i="8"/>
  <c r="M33" i="8"/>
  <c r="N33" i="8"/>
  <c r="O33" i="8"/>
  <c r="P33" i="8"/>
  <c r="Q33" i="8"/>
  <c r="S31" i="8"/>
  <c r="M31" i="8"/>
  <c r="N31" i="8"/>
  <c r="O31" i="8"/>
  <c r="P31" i="8"/>
  <c r="Q31" i="8"/>
  <c r="L31" i="8"/>
  <c r="M58" i="8" l="1"/>
  <c r="M57" i="8"/>
  <c r="M61" i="8" s="1"/>
  <c r="J36" i="8"/>
  <c r="J38" i="8"/>
  <c r="J42" i="8"/>
  <c r="J46" i="8"/>
  <c r="J48" i="8"/>
  <c r="J73" i="8"/>
  <c r="J71" i="8"/>
  <c r="J83" i="8"/>
  <c r="J81" i="8"/>
  <c r="J82" i="8"/>
  <c r="J72" i="8"/>
  <c r="J47" i="8"/>
  <c r="J41" i="8"/>
  <c r="J43" i="8"/>
  <c r="J37" i="8"/>
  <c r="J33" i="8"/>
  <c r="J32" i="8"/>
  <c r="J31" i="8"/>
  <c r="S273" i="8"/>
  <c r="M273" i="8"/>
  <c r="N273" i="8"/>
  <c r="O273" i="8"/>
  <c r="Q273" i="8"/>
  <c r="L273" i="8"/>
  <c r="S221" i="15"/>
  <c r="L272" i="8"/>
  <c r="S31" i="15" l="1"/>
  <c r="L358" i="3" l="1"/>
  <c r="S358" i="3"/>
  <c r="S398" i="3" s="1"/>
  <c r="M358" i="3"/>
  <c r="M398" i="3" s="1"/>
  <c r="N358" i="3"/>
  <c r="N398" i="3" s="1"/>
  <c r="O358" i="3"/>
  <c r="O398" i="3" s="1"/>
  <c r="P358" i="3"/>
  <c r="P398" i="3" s="1"/>
  <c r="Q358" i="3"/>
  <c r="Q398" i="3" s="1"/>
  <c r="L289" i="3"/>
  <c r="S289" i="3"/>
  <c r="S329" i="3" s="1"/>
  <c r="M289" i="3"/>
  <c r="M329" i="3" s="1"/>
  <c r="N289" i="3"/>
  <c r="N329" i="3" s="1"/>
  <c r="O289" i="3"/>
  <c r="O329" i="3" s="1"/>
  <c r="P289" i="3"/>
  <c r="P329" i="3" s="1"/>
  <c r="Q289" i="3"/>
  <c r="Q329" i="3" s="1"/>
  <c r="L329" i="3" l="1"/>
  <c r="J329" i="3" s="1"/>
  <c r="J289" i="3"/>
  <c r="L398" i="3"/>
  <c r="J398" i="3" s="1"/>
  <c r="J358" i="3"/>
  <c r="L220" i="3"/>
  <c r="S220" i="3"/>
  <c r="S260" i="3" s="1"/>
  <c r="M220" i="3"/>
  <c r="M260" i="3" s="1"/>
  <c r="N220" i="3"/>
  <c r="N260" i="3" s="1"/>
  <c r="O220" i="3"/>
  <c r="O260" i="3" s="1"/>
  <c r="P220" i="3"/>
  <c r="P260" i="3" s="1"/>
  <c r="Q220" i="3"/>
  <c r="Q260" i="3" s="1"/>
  <c r="L155" i="3"/>
  <c r="S155" i="3"/>
  <c r="S195" i="3" s="1"/>
  <c r="M155" i="3"/>
  <c r="M195" i="3" s="1"/>
  <c r="N155" i="3"/>
  <c r="N195" i="3" s="1"/>
  <c r="O155" i="3"/>
  <c r="O195" i="3" s="1"/>
  <c r="P155" i="3"/>
  <c r="P195" i="3" s="1"/>
  <c r="Q155" i="3"/>
  <c r="Q195" i="3" s="1"/>
  <c r="L90" i="3"/>
  <c r="S90" i="3"/>
  <c r="S130" i="3" s="1"/>
  <c r="M90" i="3"/>
  <c r="M130" i="3" s="1"/>
  <c r="N90" i="3"/>
  <c r="N130" i="3" s="1"/>
  <c r="O90" i="3"/>
  <c r="O130" i="3" s="1"/>
  <c r="P90" i="3"/>
  <c r="P130" i="3" s="1"/>
  <c r="Q90" i="3"/>
  <c r="Q130" i="3" s="1"/>
  <c r="S24" i="3"/>
  <c r="M24" i="3"/>
  <c r="N24" i="3"/>
  <c r="O24" i="3"/>
  <c r="P24" i="3"/>
  <c r="Q24" i="3"/>
  <c r="S25" i="3"/>
  <c r="S65" i="3" s="1"/>
  <c r="M25" i="3"/>
  <c r="M65" i="3" s="1"/>
  <c r="N25" i="3"/>
  <c r="N65" i="3" s="1"/>
  <c r="O25" i="3"/>
  <c r="O65" i="3" s="1"/>
  <c r="P25" i="3"/>
  <c r="P65" i="3" s="1"/>
  <c r="Q25" i="3"/>
  <c r="Q65" i="3" s="1"/>
  <c r="L25" i="3"/>
  <c r="S225" i="8"/>
  <c r="M225" i="8"/>
  <c r="N225" i="8"/>
  <c r="O225" i="8"/>
  <c r="Q225" i="8"/>
  <c r="L225" i="8"/>
  <c r="S177" i="8"/>
  <c r="M177" i="8"/>
  <c r="N177" i="8"/>
  <c r="O177" i="8"/>
  <c r="Q177" i="8"/>
  <c r="L177" i="8"/>
  <c r="S135" i="8"/>
  <c r="M135" i="8"/>
  <c r="N135" i="8"/>
  <c r="O135" i="8"/>
  <c r="Q135" i="8"/>
  <c r="L135" i="8"/>
  <c r="L195" i="3" l="1"/>
  <c r="J195" i="3" s="1"/>
  <c r="J155" i="3"/>
  <c r="L130" i="3"/>
  <c r="J130" i="3" s="1"/>
  <c r="J90" i="3"/>
  <c r="L260" i="3"/>
  <c r="J260" i="3" s="1"/>
  <c r="J220" i="3"/>
  <c r="L65" i="3"/>
  <c r="J65" i="3" s="1"/>
  <c r="J25" i="3"/>
  <c r="B69" i="33" l="1"/>
  <c r="B57" i="33"/>
  <c r="B58" i="33" s="1"/>
  <c r="B59" i="33" l="1"/>
  <c r="B63" i="33" s="1"/>
  <c r="B64" i="33"/>
  <c r="S271" i="8"/>
  <c r="M271" i="8"/>
  <c r="N271" i="8"/>
  <c r="O271" i="8"/>
  <c r="Q271" i="8"/>
  <c r="S272" i="8"/>
  <c r="M272" i="8"/>
  <c r="N272" i="8"/>
  <c r="O272" i="8"/>
  <c r="Q272" i="8"/>
  <c r="L271" i="8"/>
  <c r="S251" i="8"/>
  <c r="M251" i="8"/>
  <c r="N251" i="8"/>
  <c r="O251" i="8"/>
  <c r="P251" i="8"/>
  <c r="Q251" i="8"/>
  <c r="S252" i="8"/>
  <c r="M252" i="8"/>
  <c r="N252" i="8"/>
  <c r="O252" i="8"/>
  <c r="P252" i="8"/>
  <c r="Q252" i="8"/>
  <c r="S253" i="8"/>
  <c r="M253" i="8"/>
  <c r="N253" i="8"/>
  <c r="O253" i="8"/>
  <c r="P253" i="8"/>
  <c r="Q253" i="8"/>
  <c r="S256" i="8"/>
  <c r="M256" i="8"/>
  <c r="N256" i="8"/>
  <c r="O256" i="8"/>
  <c r="P256" i="8"/>
  <c r="Q256" i="8"/>
  <c r="S257" i="8"/>
  <c r="M257" i="8"/>
  <c r="J257" i="8" s="1"/>
  <c r="N257" i="8"/>
  <c r="O257" i="8"/>
  <c r="P257" i="8"/>
  <c r="Q257" i="8"/>
  <c r="S258" i="8"/>
  <c r="M258" i="8"/>
  <c r="J258" i="8" s="1"/>
  <c r="N258" i="8"/>
  <c r="O258" i="8"/>
  <c r="P258" i="8"/>
  <c r="Q258" i="8"/>
  <c r="S261" i="8"/>
  <c r="M261" i="8"/>
  <c r="N261" i="8"/>
  <c r="O261" i="8"/>
  <c r="P261" i="8"/>
  <c r="Q261" i="8"/>
  <c r="S262" i="8"/>
  <c r="M262" i="8"/>
  <c r="N262" i="8"/>
  <c r="O262" i="8"/>
  <c r="P262" i="8"/>
  <c r="Q262" i="8"/>
  <c r="S263" i="8"/>
  <c r="M263" i="8"/>
  <c r="N263" i="8"/>
  <c r="O263" i="8"/>
  <c r="P263" i="8"/>
  <c r="Q263" i="8"/>
  <c r="S266" i="8"/>
  <c r="M266" i="8"/>
  <c r="N266" i="8"/>
  <c r="O266" i="8"/>
  <c r="P266" i="8"/>
  <c r="Q266" i="8"/>
  <c r="S267" i="8"/>
  <c r="M267" i="8"/>
  <c r="N267" i="8"/>
  <c r="O267" i="8"/>
  <c r="P267" i="8"/>
  <c r="Q267" i="8"/>
  <c r="S268" i="8"/>
  <c r="M268" i="8"/>
  <c r="N268" i="8"/>
  <c r="O268" i="8"/>
  <c r="P268" i="8"/>
  <c r="Q268" i="8"/>
  <c r="L252" i="8"/>
  <c r="L253" i="8"/>
  <c r="L256" i="8"/>
  <c r="L257" i="8"/>
  <c r="L258" i="8"/>
  <c r="L261" i="8"/>
  <c r="L262" i="8"/>
  <c r="L263" i="8"/>
  <c r="L266" i="8"/>
  <c r="L267" i="8"/>
  <c r="L268" i="8"/>
  <c r="L251" i="8"/>
  <c r="S176" i="8"/>
  <c r="M176" i="8"/>
  <c r="N176" i="8"/>
  <c r="O176" i="8"/>
  <c r="Q176" i="8"/>
  <c r="L176" i="8"/>
  <c r="S223" i="8"/>
  <c r="M223" i="8"/>
  <c r="N223" i="8"/>
  <c r="O223" i="8"/>
  <c r="Q223" i="8"/>
  <c r="S224" i="8"/>
  <c r="M224" i="8"/>
  <c r="N224" i="8"/>
  <c r="O224" i="8"/>
  <c r="Q224" i="8"/>
  <c r="L224" i="8"/>
  <c r="L223" i="8"/>
  <c r="S203" i="8"/>
  <c r="M203" i="8"/>
  <c r="N203" i="8"/>
  <c r="O203" i="8"/>
  <c r="P203" i="8"/>
  <c r="Q203" i="8"/>
  <c r="S204" i="8"/>
  <c r="M204" i="8"/>
  <c r="N204" i="8"/>
  <c r="O204" i="8"/>
  <c r="P204" i="8"/>
  <c r="Q204" i="8"/>
  <c r="S205" i="8"/>
  <c r="M205" i="8"/>
  <c r="N205" i="8"/>
  <c r="O205" i="8"/>
  <c r="P205" i="8"/>
  <c r="Q205" i="8"/>
  <c r="S208" i="8"/>
  <c r="M208" i="8"/>
  <c r="N208" i="8"/>
  <c r="O208" i="8"/>
  <c r="P208" i="8"/>
  <c r="Q208" i="8"/>
  <c r="S209" i="8"/>
  <c r="M209" i="8"/>
  <c r="N209" i="8"/>
  <c r="O209" i="8"/>
  <c r="P209" i="8"/>
  <c r="Q209" i="8"/>
  <c r="S210" i="8"/>
  <c r="M210" i="8"/>
  <c r="N210" i="8"/>
  <c r="O210" i="8"/>
  <c r="P210" i="8"/>
  <c r="Q210" i="8"/>
  <c r="S213" i="8"/>
  <c r="M213" i="8"/>
  <c r="N213" i="8"/>
  <c r="O213" i="8"/>
  <c r="P213" i="8"/>
  <c r="Q213" i="8"/>
  <c r="S214" i="8"/>
  <c r="M214" i="8"/>
  <c r="N214" i="8"/>
  <c r="O214" i="8"/>
  <c r="P214" i="8"/>
  <c r="Q214" i="8"/>
  <c r="S215" i="8"/>
  <c r="M215" i="8"/>
  <c r="N215" i="8"/>
  <c r="O215" i="8"/>
  <c r="P215" i="8"/>
  <c r="Q215" i="8"/>
  <c r="S218" i="8"/>
  <c r="M218" i="8"/>
  <c r="N218" i="8"/>
  <c r="O218" i="8"/>
  <c r="P218" i="8"/>
  <c r="Q218" i="8"/>
  <c r="S219" i="8"/>
  <c r="M219" i="8"/>
  <c r="N219" i="8"/>
  <c r="O219" i="8"/>
  <c r="P219" i="8"/>
  <c r="Q219" i="8"/>
  <c r="S220" i="8"/>
  <c r="M220" i="8"/>
  <c r="N220" i="8"/>
  <c r="O220" i="8"/>
  <c r="P220" i="8"/>
  <c r="Q220" i="8"/>
  <c r="L204" i="8"/>
  <c r="L205" i="8"/>
  <c r="L208" i="8"/>
  <c r="L209" i="8"/>
  <c r="L210" i="8"/>
  <c r="L213" i="8"/>
  <c r="L214" i="8"/>
  <c r="L215" i="8"/>
  <c r="L218" i="8"/>
  <c r="L219" i="8"/>
  <c r="L220" i="8"/>
  <c r="L203" i="8"/>
  <c r="S175" i="8"/>
  <c r="M175" i="8"/>
  <c r="N175" i="8"/>
  <c r="O175" i="8"/>
  <c r="Q175" i="8"/>
  <c r="L175" i="8"/>
  <c r="S155" i="8"/>
  <c r="M155" i="8"/>
  <c r="N155" i="8"/>
  <c r="O155" i="8"/>
  <c r="P155" i="8"/>
  <c r="Q155" i="8"/>
  <c r="S156" i="8"/>
  <c r="M156" i="8"/>
  <c r="N156" i="8"/>
  <c r="O156" i="8"/>
  <c r="P156" i="8"/>
  <c r="Q156" i="8"/>
  <c r="S157" i="8"/>
  <c r="M157" i="8"/>
  <c r="N157" i="8"/>
  <c r="O157" i="8"/>
  <c r="P157" i="8"/>
  <c r="Q157" i="8"/>
  <c r="S160" i="8"/>
  <c r="M160" i="8"/>
  <c r="N160" i="8"/>
  <c r="O160" i="8"/>
  <c r="P160" i="8"/>
  <c r="Q160" i="8"/>
  <c r="S161" i="8"/>
  <c r="M161" i="8"/>
  <c r="N161" i="8"/>
  <c r="O161" i="8"/>
  <c r="P161" i="8"/>
  <c r="Q161" i="8"/>
  <c r="S162" i="8"/>
  <c r="M162" i="8"/>
  <c r="N162" i="8"/>
  <c r="O162" i="8"/>
  <c r="P162" i="8"/>
  <c r="Q162" i="8"/>
  <c r="S165" i="8"/>
  <c r="M165" i="8"/>
  <c r="N165" i="8"/>
  <c r="O165" i="8"/>
  <c r="P165" i="8"/>
  <c r="Q165" i="8"/>
  <c r="S166" i="8"/>
  <c r="M166" i="8"/>
  <c r="N166" i="8"/>
  <c r="O166" i="8"/>
  <c r="P166" i="8"/>
  <c r="Q166" i="8"/>
  <c r="S167" i="8"/>
  <c r="M167" i="8"/>
  <c r="N167" i="8"/>
  <c r="O167" i="8"/>
  <c r="P167" i="8"/>
  <c r="Q167" i="8"/>
  <c r="S170" i="8"/>
  <c r="M170" i="8"/>
  <c r="N170" i="8"/>
  <c r="O170" i="8"/>
  <c r="P170" i="8"/>
  <c r="Q170" i="8"/>
  <c r="S171" i="8"/>
  <c r="M171" i="8"/>
  <c r="N171" i="8"/>
  <c r="O171" i="8"/>
  <c r="P171" i="8"/>
  <c r="Q171" i="8"/>
  <c r="S172" i="8"/>
  <c r="M172" i="8"/>
  <c r="N172" i="8"/>
  <c r="O172" i="8"/>
  <c r="P172" i="8"/>
  <c r="Q172" i="8"/>
  <c r="L156" i="8"/>
  <c r="L157" i="8"/>
  <c r="L160" i="8"/>
  <c r="L161" i="8"/>
  <c r="L162" i="8"/>
  <c r="L165" i="8"/>
  <c r="L166" i="8"/>
  <c r="L167" i="8"/>
  <c r="L170" i="8"/>
  <c r="L171" i="8"/>
  <c r="L172" i="8"/>
  <c r="L155" i="8"/>
  <c r="S133" i="8"/>
  <c r="M133" i="8"/>
  <c r="N133" i="8"/>
  <c r="O133" i="8"/>
  <c r="Q133" i="8"/>
  <c r="S134" i="8"/>
  <c r="M134" i="8"/>
  <c r="N134" i="8"/>
  <c r="O134" i="8"/>
  <c r="Q134" i="8"/>
  <c r="L134" i="8"/>
  <c r="L133" i="8"/>
  <c r="S113" i="8"/>
  <c r="M113" i="8"/>
  <c r="N113" i="8"/>
  <c r="O113" i="8"/>
  <c r="P113" i="8"/>
  <c r="Q113" i="8"/>
  <c r="S114" i="8"/>
  <c r="M114" i="8"/>
  <c r="N114" i="8"/>
  <c r="O114" i="8"/>
  <c r="P114" i="8"/>
  <c r="Q114" i="8"/>
  <c r="S115" i="8"/>
  <c r="M115" i="8"/>
  <c r="N115" i="8"/>
  <c r="O115" i="8"/>
  <c r="P115" i="8"/>
  <c r="Q115" i="8"/>
  <c r="S118" i="8"/>
  <c r="M118" i="8"/>
  <c r="N118" i="8"/>
  <c r="O118" i="8"/>
  <c r="P118" i="8"/>
  <c r="Q118" i="8"/>
  <c r="S119" i="8"/>
  <c r="M119" i="8"/>
  <c r="N119" i="8"/>
  <c r="O119" i="8"/>
  <c r="P119" i="8"/>
  <c r="Q119" i="8"/>
  <c r="S120" i="8"/>
  <c r="M120" i="8"/>
  <c r="N120" i="8"/>
  <c r="O120" i="8"/>
  <c r="P120" i="8"/>
  <c r="Q120" i="8"/>
  <c r="S123" i="8"/>
  <c r="M123" i="8"/>
  <c r="N123" i="8"/>
  <c r="O123" i="8"/>
  <c r="P123" i="8"/>
  <c r="Q123" i="8"/>
  <c r="S124" i="8"/>
  <c r="M124" i="8"/>
  <c r="N124" i="8"/>
  <c r="O124" i="8"/>
  <c r="P124" i="8"/>
  <c r="Q124" i="8"/>
  <c r="S125" i="8"/>
  <c r="M125" i="8"/>
  <c r="N125" i="8"/>
  <c r="O125" i="8"/>
  <c r="P125" i="8"/>
  <c r="Q125" i="8"/>
  <c r="S128" i="8"/>
  <c r="M128" i="8"/>
  <c r="N128" i="8"/>
  <c r="O128" i="8"/>
  <c r="P128" i="8"/>
  <c r="Q128" i="8"/>
  <c r="S129" i="8"/>
  <c r="M129" i="8"/>
  <c r="N129" i="8"/>
  <c r="O129" i="8"/>
  <c r="P129" i="8"/>
  <c r="Q129" i="8"/>
  <c r="S130" i="8"/>
  <c r="M130" i="8"/>
  <c r="N130" i="8"/>
  <c r="O130" i="8"/>
  <c r="P130" i="8"/>
  <c r="Q130" i="8"/>
  <c r="L114" i="8"/>
  <c r="L115" i="8"/>
  <c r="L118" i="8"/>
  <c r="L119" i="8"/>
  <c r="L120" i="8"/>
  <c r="L123" i="8"/>
  <c r="L124" i="8"/>
  <c r="L125" i="8"/>
  <c r="L128" i="8"/>
  <c r="L129" i="8"/>
  <c r="L130" i="8"/>
  <c r="L113" i="8"/>
  <c r="J130" i="8" l="1"/>
  <c r="J124" i="8"/>
  <c r="J118" i="8"/>
  <c r="J166" i="8"/>
  <c r="J203" i="8"/>
  <c r="J215" i="8"/>
  <c r="J209" i="8"/>
  <c r="J220" i="8"/>
  <c r="J214" i="8"/>
  <c r="J208" i="8"/>
  <c r="O277" i="8"/>
  <c r="J162" i="8"/>
  <c r="J129" i="8"/>
  <c r="J123" i="8"/>
  <c r="J115" i="8"/>
  <c r="J155" i="8"/>
  <c r="J161" i="8"/>
  <c r="J167" i="8"/>
  <c r="J120" i="8"/>
  <c r="J128" i="8"/>
  <c r="J114" i="8"/>
  <c r="J113" i="8"/>
  <c r="J125" i="8"/>
  <c r="J119" i="8"/>
  <c r="J165" i="8"/>
  <c r="J157" i="8"/>
  <c r="J219" i="8"/>
  <c r="J213" i="8"/>
  <c r="J205" i="8"/>
  <c r="J218" i="8"/>
  <c r="J210" i="8"/>
  <c r="J204" i="8"/>
  <c r="J170" i="8"/>
  <c r="J156" i="8"/>
  <c r="J172" i="8"/>
  <c r="J160" i="8"/>
  <c r="J171" i="8"/>
  <c r="S229" i="8"/>
  <c r="N278" i="8"/>
  <c r="Q230" i="8"/>
  <c r="P229" i="8"/>
  <c r="L277" i="8"/>
  <c r="N229" i="8"/>
  <c r="N230" i="8"/>
  <c r="O230" i="8"/>
  <c r="O229" i="8"/>
  <c r="N277" i="8"/>
  <c r="Q278" i="8"/>
  <c r="S277" i="8"/>
  <c r="P277" i="8"/>
  <c r="L278" i="8"/>
  <c r="O278" i="8"/>
  <c r="M277" i="8"/>
  <c r="J277" i="8" s="1"/>
  <c r="Q277" i="8"/>
  <c r="S278" i="8"/>
  <c r="P278" i="8"/>
  <c r="M278" i="8"/>
  <c r="J278" i="8" s="1"/>
  <c r="L229" i="8"/>
  <c r="Q229" i="8"/>
  <c r="M229" i="8"/>
  <c r="L230" i="8"/>
  <c r="M230" i="8"/>
  <c r="S230" i="8"/>
  <c r="P230" i="8"/>
  <c r="L181" i="8"/>
  <c r="M182" i="8"/>
  <c r="Q182" i="8"/>
  <c r="P181" i="8"/>
  <c r="S181" i="8"/>
  <c r="O182" i="8"/>
  <c r="N181" i="8"/>
  <c r="P182" i="8"/>
  <c r="S182" i="8"/>
  <c r="O181" i="8"/>
  <c r="N182" i="8"/>
  <c r="Q181" i="8"/>
  <c r="M181" i="8"/>
  <c r="L182" i="8"/>
  <c r="S91" i="8"/>
  <c r="M91" i="8"/>
  <c r="N91" i="8"/>
  <c r="O91" i="8"/>
  <c r="Q91" i="8"/>
  <c r="L91" i="8"/>
  <c r="S92" i="8"/>
  <c r="M92" i="8"/>
  <c r="N92" i="8"/>
  <c r="O92" i="8"/>
  <c r="Q92" i="8"/>
  <c r="L92" i="8"/>
  <c r="S76" i="8"/>
  <c r="M76" i="8"/>
  <c r="N76" i="8"/>
  <c r="O76" i="8"/>
  <c r="P76" i="8"/>
  <c r="Q76" i="8"/>
  <c r="S77" i="8"/>
  <c r="M77" i="8"/>
  <c r="N77" i="8"/>
  <c r="O77" i="8"/>
  <c r="P77" i="8"/>
  <c r="Q77" i="8"/>
  <c r="S78" i="8"/>
  <c r="M78" i="8"/>
  <c r="N78" i="8"/>
  <c r="O78" i="8"/>
  <c r="P78" i="8"/>
  <c r="Q78" i="8"/>
  <c r="L76" i="8"/>
  <c r="L77" i="8"/>
  <c r="L78" i="8"/>
  <c r="N186" i="8" l="1"/>
  <c r="N189" i="8"/>
  <c r="N185" i="8"/>
  <c r="N188" i="8"/>
  <c r="N281" i="8"/>
  <c r="N284" i="8"/>
  <c r="N282" i="8"/>
  <c r="N234" i="8"/>
  <c r="N237" i="8"/>
  <c r="N233" i="8"/>
  <c r="N236" i="8"/>
  <c r="M234" i="8"/>
  <c r="M233" i="8"/>
  <c r="M236" i="8"/>
  <c r="M237" i="8"/>
  <c r="M185" i="8"/>
  <c r="M188" i="8"/>
  <c r="M186" i="8"/>
  <c r="M189" i="8"/>
  <c r="M284" i="8"/>
  <c r="M282" i="8"/>
  <c r="M281" i="8"/>
  <c r="O185" i="8"/>
  <c r="O189" i="8"/>
  <c r="L237" i="8"/>
  <c r="O236" i="8"/>
  <c r="O233" i="8"/>
  <c r="O234" i="8"/>
  <c r="O237" i="8"/>
  <c r="L284" i="8"/>
  <c r="L189" i="8"/>
  <c r="U192" i="8"/>
  <c r="S34" i="26" s="1"/>
  <c r="U196" i="8"/>
  <c r="S40" i="26" s="1"/>
  <c r="U195" i="8"/>
  <c r="S39" i="26" s="1"/>
  <c r="U193" i="8"/>
  <c r="S35" i="26" s="1"/>
  <c r="Q282" i="8"/>
  <c r="Q281" i="8"/>
  <c r="Q284" i="8"/>
  <c r="P188" i="8"/>
  <c r="P186" i="8"/>
  <c r="P189" i="8"/>
  <c r="P185" i="8"/>
  <c r="O188" i="8"/>
  <c r="O186" i="8"/>
  <c r="Q237" i="8"/>
  <c r="Q233" i="8"/>
  <c r="Q236" i="8"/>
  <c r="Q234" i="8"/>
  <c r="Q188" i="8"/>
  <c r="Q186" i="8"/>
  <c r="Q189" i="8"/>
  <c r="Q185" i="8"/>
  <c r="L236" i="8"/>
  <c r="L233" i="8"/>
  <c r="L234" i="8"/>
  <c r="P282" i="8"/>
  <c r="P284" i="8"/>
  <c r="P281" i="8"/>
  <c r="L282" i="8"/>
  <c r="L281" i="8"/>
  <c r="L188" i="8"/>
  <c r="L186" i="8"/>
  <c r="L185" i="8"/>
  <c r="P237" i="8"/>
  <c r="P233" i="8"/>
  <c r="P236" i="8"/>
  <c r="P234" i="8"/>
  <c r="O284" i="8"/>
  <c r="O281" i="8"/>
  <c r="O282" i="8"/>
  <c r="J86" i="8"/>
  <c r="J229" i="8"/>
  <c r="J230" i="8"/>
  <c r="J182" i="8"/>
  <c r="J181" i="8"/>
  <c r="J87" i="8"/>
  <c r="J76" i="8"/>
  <c r="J78" i="8"/>
  <c r="J88" i="8"/>
  <c r="J77" i="8"/>
  <c r="S140" i="8"/>
  <c r="O98" i="8"/>
  <c r="P140" i="8"/>
  <c r="P139" i="8"/>
  <c r="S139" i="8"/>
  <c r="M97" i="8"/>
  <c r="L140" i="8"/>
  <c r="L139" i="8"/>
  <c r="Q139" i="8"/>
  <c r="M139" i="8"/>
  <c r="Q140" i="8"/>
  <c r="M140" i="8"/>
  <c r="N140" i="8"/>
  <c r="O140" i="8"/>
  <c r="N139" i="8"/>
  <c r="O139" i="8"/>
  <c r="Q97" i="8"/>
  <c r="M98" i="8"/>
  <c r="P97" i="8"/>
  <c r="N98" i="8"/>
  <c r="N97" i="8"/>
  <c r="P98" i="8"/>
  <c r="S98" i="8"/>
  <c r="O97" i="8"/>
  <c r="L97" i="8"/>
  <c r="S97" i="8"/>
  <c r="Q98" i="8"/>
  <c r="L98" i="8"/>
  <c r="M144" i="8" l="1"/>
  <c r="M143" i="8"/>
  <c r="M102" i="8"/>
  <c r="M101" i="8"/>
  <c r="N102" i="8"/>
  <c r="N101" i="8"/>
  <c r="N143" i="8"/>
  <c r="N144" i="8"/>
  <c r="L144" i="8"/>
  <c r="U106" i="8"/>
  <c r="S20" i="26" s="1"/>
  <c r="U105" i="8"/>
  <c r="S19" i="26" s="1"/>
  <c r="U148" i="8"/>
  <c r="S27" i="26" s="1"/>
  <c r="U147" i="8"/>
  <c r="S26" i="26" s="1"/>
  <c r="L101" i="8"/>
  <c r="L105" i="8" s="1"/>
  <c r="L102" i="8"/>
  <c r="O102" i="8"/>
  <c r="O101" i="8"/>
  <c r="O144" i="8"/>
  <c r="O143" i="8"/>
  <c r="P101" i="8"/>
  <c r="P102" i="8"/>
  <c r="Q143" i="8"/>
  <c r="Q144" i="8"/>
  <c r="L143" i="8"/>
  <c r="P143" i="8"/>
  <c r="P144" i="8"/>
  <c r="Q101" i="8"/>
  <c r="Q102" i="8"/>
  <c r="J140" i="8"/>
  <c r="J98" i="8"/>
  <c r="J139" i="8"/>
  <c r="J97" i="8"/>
  <c r="M290" i="8"/>
  <c r="M288" i="8" l="1"/>
  <c r="M193" i="8"/>
  <c r="M241" i="8"/>
  <c r="N105" i="8"/>
  <c r="M287" i="8"/>
  <c r="M60" i="26" s="1"/>
  <c r="M192" i="8"/>
  <c r="M240" i="8"/>
  <c r="M105" i="8"/>
  <c r="M19" i="26" s="1"/>
  <c r="M243" i="8"/>
  <c r="M195" i="8"/>
  <c r="M148" i="8"/>
  <c r="M27" i="26" s="1"/>
  <c r="M147" i="8"/>
  <c r="M26" i="26" s="1"/>
  <c r="M106" i="8"/>
  <c r="M244" i="8"/>
  <c r="M196" i="8"/>
  <c r="M61" i="26"/>
  <c r="M65" i="26"/>
  <c r="Q290" i="8"/>
  <c r="Q65" i="26" s="1"/>
  <c r="Q244" i="8"/>
  <c r="Q53" i="26" s="1"/>
  <c r="L244" i="8"/>
  <c r="O148" i="8"/>
  <c r="O27" i="26" s="1"/>
  <c r="L148" i="8"/>
  <c r="L195" i="8"/>
  <c r="L39" i="26" s="1"/>
  <c r="N148" i="8"/>
  <c r="N27" i="26" s="1"/>
  <c r="Q148" i="8"/>
  <c r="Q27" i="26" s="1"/>
  <c r="Q147" i="8"/>
  <c r="Q26" i="26" s="1"/>
  <c r="L147" i="8"/>
  <c r="O147" i="8"/>
  <c r="O26" i="26" s="1"/>
  <c r="O105" i="8"/>
  <c r="O19" i="26" s="1"/>
  <c r="Q105" i="8"/>
  <c r="Q19" i="26" s="1"/>
  <c r="Q243" i="8"/>
  <c r="Q52" i="26" s="1"/>
  <c r="L243" i="8"/>
  <c r="Q196" i="8"/>
  <c r="Q40" i="26" s="1"/>
  <c r="N241" i="8"/>
  <c r="N48" i="26" s="1"/>
  <c r="Q288" i="8"/>
  <c r="Q61" i="26" s="1"/>
  <c r="Q241" i="8"/>
  <c r="Q48" i="26" s="1"/>
  <c r="L241" i="8"/>
  <c r="Q193" i="8"/>
  <c r="Q35" i="26" s="1"/>
  <c r="N287" i="8"/>
  <c r="N60" i="26" s="1"/>
  <c r="Q240" i="8"/>
  <c r="Q47" i="26" s="1"/>
  <c r="L240" i="8"/>
  <c r="Q287" i="8"/>
  <c r="Q60" i="26" s="1"/>
  <c r="Q192" i="8"/>
  <c r="Q34" i="26" s="1"/>
  <c r="L287" i="8"/>
  <c r="L60" i="26" s="1"/>
  <c r="L192" i="8"/>
  <c r="L34" i="26" s="1"/>
  <c r="O287" i="8"/>
  <c r="O60" i="26" s="1"/>
  <c r="O192" i="8"/>
  <c r="O34" i="26" s="1"/>
  <c r="O240" i="8"/>
  <c r="O47" i="26" s="1"/>
  <c r="O290" i="8"/>
  <c r="O65" i="26" s="1"/>
  <c r="O244" i="8"/>
  <c r="O53" i="26" s="1"/>
  <c r="O243" i="8"/>
  <c r="O52" i="26" s="1"/>
  <c r="O196" i="8"/>
  <c r="O40" i="26" s="1"/>
  <c r="O288" i="8"/>
  <c r="O61" i="26" s="1"/>
  <c r="O193" i="8"/>
  <c r="O35" i="26" s="1"/>
  <c r="O241" i="8"/>
  <c r="O48" i="26" s="1"/>
  <c r="Q106" i="8"/>
  <c r="Q20" i="26" s="1"/>
  <c r="O106" i="8"/>
  <c r="O20" i="26" s="1"/>
  <c r="Q195" i="8"/>
  <c r="Q39" i="26" s="1"/>
  <c r="O195" i="8"/>
  <c r="O39" i="26" s="1"/>
  <c r="L57" i="8"/>
  <c r="N58" i="8"/>
  <c r="Q57" i="8"/>
  <c r="L58" i="8"/>
  <c r="O58" i="8"/>
  <c r="N57" i="8"/>
  <c r="N61" i="8" s="1"/>
  <c r="Q58" i="8"/>
  <c r="P57" i="8"/>
  <c r="S57" i="8"/>
  <c r="P58" i="8"/>
  <c r="S58" i="8"/>
  <c r="O57" i="8"/>
  <c r="S369" i="3"/>
  <c r="M369" i="3"/>
  <c r="N369" i="3"/>
  <c r="O369" i="3"/>
  <c r="Q369" i="3"/>
  <c r="S370" i="3"/>
  <c r="M370" i="3"/>
  <c r="N370" i="3"/>
  <c r="O370" i="3"/>
  <c r="Q370" i="3"/>
  <c r="S371" i="3"/>
  <c r="M371" i="3"/>
  <c r="N371" i="3"/>
  <c r="O371" i="3"/>
  <c r="Q371" i="3"/>
  <c r="S372" i="3"/>
  <c r="M372" i="3"/>
  <c r="N372" i="3"/>
  <c r="O372" i="3"/>
  <c r="Q372" i="3"/>
  <c r="S373" i="3"/>
  <c r="M373" i="3"/>
  <c r="N373" i="3"/>
  <c r="O373" i="3"/>
  <c r="Q373" i="3"/>
  <c r="S374" i="3"/>
  <c r="M374" i="3"/>
  <c r="N374" i="3"/>
  <c r="O374" i="3"/>
  <c r="Q374" i="3"/>
  <c r="S375" i="3"/>
  <c r="M375" i="3"/>
  <c r="N375" i="3"/>
  <c r="O375" i="3"/>
  <c r="Q375" i="3"/>
  <c r="S376" i="3"/>
  <c r="M376" i="3"/>
  <c r="N376" i="3"/>
  <c r="O376" i="3"/>
  <c r="Q376" i="3"/>
  <c r="S377" i="3"/>
  <c r="M377" i="3"/>
  <c r="N377" i="3"/>
  <c r="O377" i="3"/>
  <c r="Q377" i="3"/>
  <c r="S380" i="3"/>
  <c r="M380" i="3"/>
  <c r="N380" i="3"/>
  <c r="O380" i="3"/>
  <c r="Q380" i="3"/>
  <c r="S383" i="3"/>
  <c r="M383" i="3"/>
  <c r="N383" i="3"/>
  <c r="O383" i="3"/>
  <c r="Q383" i="3"/>
  <c r="S387" i="3"/>
  <c r="M387" i="3"/>
  <c r="N387" i="3"/>
  <c r="O387" i="3"/>
  <c r="Q387" i="3"/>
  <c r="L387" i="3"/>
  <c r="L383" i="3"/>
  <c r="L380" i="3"/>
  <c r="L370" i="3"/>
  <c r="L371" i="3"/>
  <c r="L372" i="3"/>
  <c r="L373" i="3"/>
  <c r="L374" i="3"/>
  <c r="L375" i="3"/>
  <c r="L376" i="3"/>
  <c r="L377" i="3"/>
  <c r="L369" i="3"/>
  <c r="S391" i="3"/>
  <c r="M391" i="3"/>
  <c r="N391" i="3"/>
  <c r="O391" i="3"/>
  <c r="P391" i="3"/>
  <c r="Q391" i="3"/>
  <c r="S392" i="3"/>
  <c r="M392" i="3"/>
  <c r="N392" i="3"/>
  <c r="O392" i="3"/>
  <c r="P392" i="3"/>
  <c r="Q392" i="3"/>
  <c r="S353" i="3"/>
  <c r="M353" i="3"/>
  <c r="N353" i="3"/>
  <c r="O353" i="3"/>
  <c r="P353" i="3"/>
  <c r="Q353" i="3"/>
  <c r="S354" i="3"/>
  <c r="S394" i="3" s="1"/>
  <c r="M354" i="3"/>
  <c r="M394" i="3" s="1"/>
  <c r="N354" i="3"/>
  <c r="N394" i="3" s="1"/>
  <c r="O354" i="3"/>
  <c r="O394" i="3" s="1"/>
  <c r="P354" i="3"/>
  <c r="P394" i="3" s="1"/>
  <c r="Q354" i="3"/>
  <c r="Q394" i="3" s="1"/>
  <c r="S357" i="3"/>
  <c r="M357" i="3"/>
  <c r="N357" i="3"/>
  <c r="O357" i="3"/>
  <c r="P357" i="3"/>
  <c r="Q357" i="3"/>
  <c r="S359" i="3"/>
  <c r="S399" i="3" s="1"/>
  <c r="M359" i="3"/>
  <c r="M399" i="3" s="1"/>
  <c r="N359" i="3"/>
  <c r="N399" i="3" s="1"/>
  <c r="O359" i="3"/>
  <c r="O399" i="3" s="1"/>
  <c r="P359" i="3"/>
  <c r="P399" i="3" s="1"/>
  <c r="Q359" i="3"/>
  <c r="Q399" i="3" s="1"/>
  <c r="S362" i="3"/>
  <c r="S402" i="3" s="1"/>
  <c r="M362" i="3"/>
  <c r="M402" i="3" s="1"/>
  <c r="N362" i="3"/>
  <c r="N402" i="3" s="1"/>
  <c r="O362" i="3"/>
  <c r="O402" i="3" s="1"/>
  <c r="P362" i="3"/>
  <c r="P402" i="3" s="1"/>
  <c r="Q362" i="3"/>
  <c r="Q402" i="3" s="1"/>
  <c r="S363" i="3"/>
  <c r="S403" i="3" s="1"/>
  <c r="M363" i="3"/>
  <c r="M403" i="3" s="1"/>
  <c r="N363" i="3"/>
  <c r="N403" i="3" s="1"/>
  <c r="O363" i="3"/>
  <c r="O403" i="3" s="1"/>
  <c r="P363" i="3"/>
  <c r="P403" i="3" s="1"/>
  <c r="Q363" i="3"/>
  <c r="Q403" i="3" s="1"/>
  <c r="S364" i="3"/>
  <c r="S404" i="3" s="1"/>
  <c r="M364" i="3"/>
  <c r="M404" i="3" s="1"/>
  <c r="N364" i="3"/>
  <c r="N404" i="3" s="1"/>
  <c r="O364" i="3"/>
  <c r="O404" i="3" s="1"/>
  <c r="P364" i="3"/>
  <c r="P404" i="3" s="1"/>
  <c r="Q364" i="3"/>
  <c r="Q404" i="3" s="1"/>
  <c r="S365" i="3"/>
  <c r="S405" i="3" s="1"/>
  <c r="M365" i="3"/>
  <c r="M405" i="3" s="1"/>
  <c r="N365" i="3"/>
  <c r="N405" i="3" s="1"/>
  <c r="O365" i="3"/>
  <c r="O405" i="3" s="1"/>
  <c r="P365" i="3"/>
  <c r="P405" i="3" s="1"/>
  <c r="Q365" i="3"/>
  <c r="Q405" i="3" s="1"/>
  <c r="L353" i="3"/>
  <c r="L354" i="3"/>
  <c r="L357" i="3"/>
  <c r="L359" i="3"/>
  <c r="L362" i="3"/>
  <c r="L363" i="3"/>
  <c r="L364" i="3"/>
  <c r="L365" i="3"/>
  <c r="S311" i="3"/>
  <c r="M311" i="3"/>
  <c r="N311" i="3"/>
  <c r="O311" i="3"/>
  <c r="Q311" i="3"/>
  <c r="S314" i="3"/>
  <c r="M314" i="3"/>
  <c r="N314" i="3"/>
  <c r="O314" i="3"/>
  <c r="Q314" i="3"/>
  <c r="S318" i="3"/>
  <c r="M318" i="3"/>
  <c r="N318" i="3"/>
  <c r="O318" i="3"/>
  <c r="Q318" i="3"/>
  <c r="L318" i="3"/>
  <c r="L314" i="3"/>
  <c r="L311" i="3"/>
  <c r="S300" i="3"/>
  <c r="M300" i="3"/>
  <c r="N300" i="3"/>
  <c r="O300" i="3"/>
  <c r="Q300" i="3"/>
  <c r="S301" i="3"/>
  <c r="M301" i="3"/>
  <c r="N301" i="3"/>
  <c r="O301" i="3"/>
  <c r="Q301" i="3"/>
  <c r="S302" i="3"/>
  <c r="M302" i="3"/>
  <c r="N302" i="3"/>
  <c r="O302" i="3"/>
  <c r="Q302" i="3"/>
  <c r="S303" i="3"/>
  <c r="M303" i="3"/>
  <c r="N303" i="3"/>
  <c r="O303" i="3"/>
  <c r="Q303" i="3"/>
  <c r="S304" i="3"/>
  <c r="M304" i="3"/>
  <c r="N304" i="3"/>
  <c r="O304" i="3"/>
  <c r="Q304" i="3"/>
  <c r="S305" i="3"/>
  <c r="M305" i="3"/>
  <c r="N305" i="3"/>
  <c r="O305" i="3"/>
  <c r="Q305" i="3"/>
  <c r="S306" i="3"/>
  <c r="M306" i="3"/>
  <c r="N306" i="3"/>
  <c r="O306" i="3"/>
  <c r="Q306" i="3"/>
  <c r="S307" i="3"/>
  <c r="M307" i="3"/>
  <c r="N307" i="3"/>
  <c r="O307" i="3"/>
  <c r="Q307" i="3"/>
  <c r="S308" i="3"/>
  <c r="M308" i="3"/>
  <c r="N308" i="3"/>
  <c r="O308" i="3"/>
  <c r="Q308" i="3"/>
  <c r="L308" i="3"/>
  <c r="L301" i="3"/>
  <c r="L302" i="3"/>
  <c r="L303" i="3"/>
  <c r="L304" i="3"/>
  <c r="L305" i="3"/>
  <c r="L306" i="3"/>
  <c r="L307" i="3"/>
  <c r="L300" i="3"/>
  <c r="S322" i="3"/>
  <c r="M322" i="3"/>
  <c r="N322" i="3"/>
  <c r="O322" i="3"/>
  <c r="P322" i="3"/>
  <c r="Q322" i="3"/>
  <c r="S323" i="3"/>
  <c r="M323" i="3"/>
  <c r="N323" i="3"/>
  <c r="O323" i="3"/>
  <c r="P323" i="3"/>
  <c r="Q323" i="3"/>
  <c r="S284" i="3"/>
  <c r="M284" i="3"/>
  <c r="N284" i="3"/>
  <c r="O284" i="3"/>
  <c r="P284" i="3"/>
  <c r="Q284" i="3"/>
  <c r="S285" i="3"/>
  <c r="S325" i="3" s="1"/>
  <c r="M285" i="3"/>
  <c r="M325" i="3" s="1"/>
  <c r="N285" i="3"/>
  <c r="N325" i="3" s="1"/>
  <c r="O285" i="3"/>
  <c r="O325" i="3" s="1"/>
  <c r="P285" i="3"/>
  <c r="P325" i="3" s="1"/>
  <c r="Q285" i="3"/>
  <c r="Q325" i="3" s="1"/>
  <c r="S288" i="3"/>
  <c r="M288" i="3"/>
  <c r="N288" i="3"/>
  <c r="O288" i="3"/>
  <c r="P288" i="3"/>
  <c r="Q288" i="3"/>
  <c r="S290" i="3"/>
  <c r="S330" i="3" s="1"/>
  <c r="M290" i="3"/>
  <c r="M330" i="3" s="1"/>
  <c r="N290" i="3"/>
  <c r="N330" i="3" s="1"/>
  <c r="O290" i="3"/>
  <c r="O330" i="3" s="1"/>
  <c r="P290" i="3"/>
  <c r="P330" i="3" s="1"/>
  <c r="Q290" i="3"/>
  <c r="Q330" i="3" s="1"/>
  <c r="S293" i="3"/>
  <c r="S333" i="3" s="1"/>
  <c r="M293" i="3"/>
  <c r="N293" i="3"/>
  <c r="N333" i="3" s="1"/>
  <c r="O293" i="3"/>
  <c r="O333" i="3" s="1"/>
  <c r="P293" i="3"/>
  <c r="P333" i="3" s="1"/>
  <c r="Q293" i="3"/>
  <c r="Q333" i="3" s="1"/>
  <c r="S294" i="3"/>
  <c r="S334" i="3" s="1"/>
  <c r="M294" i="3"/>
  <c r="M334" i="3" s="1"/>
  <c r="N294" i="3"/>
  <c r="N334" i="3" s="1"/>
  <c r="O294" i="3"/>
  <c r="O334" i="3" s="1"/>
  <c r="P294" i="3"/>
  <c r="P334" i="3" s="1"/>
  <c r="Q294" i="3"/>
  <c r="Q334" i="3" s="1"/>
  <c r="S295" i="3"/>
  <c r="S335" i="3" s="1"/>
  <c r="M295" i="3"/>
  <c r="M335" i="3" s="1"/>
  <c r="N295" i="3"/>
  <c r="N335" i="3" s="1"/>
  <c r="O295" i="3"/>
  <c r="O335" i="3" s="1"/>
  <c r="P295" i="3"/>
  <c r="P335" i="3" s="1"/>
  <c r="Q295" i="3"/>
  <c r="Q335" i="3" s="1"/>
  <c r="S296" i="3"/>
  <c r="S336" i="3" s="1"/>
  <c r="M296" i="3"/>
  <c r="M336" i="3" s="1"/>
  <c r="N296" i="3"/>
  <c r="N336" i="3" s="1"/>
  <c r="O296" i="3"/>
  <c r="O336" i="3" s="1"/>
  <c r="P296" i="3"/>
  <c r="P336" i="3" s="1"/>
  <c r="Q296" i="3"/>
  <c r="Q336" i="3" s="1"/>
  <c r="L284" i="3"/>
  <c r="L285" i="3"/>
  <c r="L288" i="3"/>
  <c r="L290" i="3"/>
  <c r="L294" i="3"/>
  <c r="L295" i="3"/>
  <c r="L296" i="3"/>
  <c r="S180" i="3"/>
  <c r="M180" i="3"/>
  <c r="N180" i="3"/>
  <c r="O180" i="3"/>
  <c r="Q180" i="3"/>
  <c r="S184" i="3"/>
  <c r="M184" i="3"/>
  <c r="N184" i="3"/>
  <c r="O184" i="3"/>
  <c r="Q184" i="3"/>
  <c r="L184" i="3"/>
  <c r="L180" i="3"/>
  <c r="S245" i="3"/>
  <c r="M245" i="3"/>
  <c r="N245" i="3"/>
  <c r="O245" i="3"/>
  <c r="Q245" i="3"/>
  <c r="S249" i="3"/>
  <c r="M249" i="3"/>
  <c r="N249" i="3"/>
  <c r="O249" i="3"/>
  <c r="Q249" i="3"/>
  <c r="L249" i="3"/>
  <c r="L245" i="3"/>
  <c r="S242" i="3"/>
  <c r="M242" i="3"/>
  <c r="N242" i="3"/>
  <c r="O242" i="3"/>
  <c r="Q242" i="3"/>
  <c r="L242" i="3"/>
  <c r="S231" i="3"/>
  <c r="M231" i="3"/>
  <c r="N231" i="3"/>
  <c r="O231" i="3"/>
  <c r="Q231" i="3"/>
  <c r="S232" i="3"/>
  <c r="M232" i="3"/>
  <c r="N232" i="3"/>
  <c r="O232" i="3"/>
  <c r="Q232" i="3"/>
  <c r="S233" i="3"/>
  <c r="M233" i="3"/>
  <c r="N233" i="3"/>
  <c r="O233" i="3"/>
  <c r="Q233" i="3"/>
  <c r="S234" i="3"/>
  <c r="M234" i="3"/>
  <c r="N234" i="3"/>
  <c r="O234" i="3"/>
  <c r="Q234" i="3"/>
  <c r="S235" i="3"/>
  <c r="M235" i="3"/>
  <c r="N235" i="3"/>
  <c r="O235" i="3"/>
  <c r="Q235" i="3"/>
  <c r="S236" i="3"/>
  <c r="M236" i="3"/>
  <c r="N236" i="3"/>
  <c r="O236" i="3"/>
  <c r="Q236" i="3"/>
  <c r="S237" i="3"/>
  <c r="M237" i="3"/>
  <c r="N237" i="3"/>
  <c r="O237" i="3"/>
  <c r="Q237" i="3"/>
  <c r="S238" i="3"/>
  <c r="M238" i="3"/>
  <c r="N238" i="3"/>
  <c r="O238" i="3"/>
  <c r="Q238" i="3"/>
  <c r="S239" i="3"/>
  <c r="M239" i="3"/>
  <c r="N239" i="3"/>
  <c r="O239" i="3"/>
  <c r="Q239" i="3"/>
  <c r="L232" i="3"/>
  <c r="L233" i="3"/>
  <c r="L234" i="3"/>
  <c r="L235" i="3"/>
  <c r="L236" i="3"/>
  <c r="L237" i="3"/>
  <c r="L238" i="3"/>
  <c r="L239" i="3"/>
  <c r="L231" i="3"/>
  <c r="S253" i="3"/>
  <c r="M253" i="3"/>
  <c r="N253" i="3"/>
  <c r="O253" i="3"/>
  <c r="P253" i="3"/>
  <c r="Q253" i="3"/>
  <c r="S254" i="3"/>
  <c r="M254" i="3"/>
  <c r="N254" i="3"/>
  <c r="O254" i="3"/>
  <c r="P254" i="3"/>
  <c r="Q254" i="3"/>
  <c r="S215" i="3"/>
  <c r="M215" i="3"/>
  <c r="N215" i="3"/>
  <c r="O215" i="3"/>
  <c r="P215" i="3"/>
  <c r="Q215" i="3"/>
  <c r="S216" i="3"/>
  <c r="S256" i="3" s="1"/>
  <c r="M216" i="3"/>
  <c r="M256" i="3" s="1"/>
  <c r="N216" i="3"/>
  <c r="N256" i="3" s="1"/>
  <c r="O216" i="3"/>
  <c r="O256" i="3" s="1"/>
  <c r="P216" i="3"/>
  <c r="P256" i="3" s="1"/>
  <c r="Q216" i="3"/>
  <c r="Q256" i="3" s="1"/>
  <c r="S219" i="3"/>
  <c r="M219" i="3"/>
  <c r="N219" i="3"/>
  <c r="O219" i="3"/>
  <c r="P219" i="3"/>
  <c r="Q219" i="3"/>
  <c r="S221" i="3"/>
  <c r="S261" i="3" s="1"/>
  <c r="M221" i="3"/>
  <c r="M261" i="3" s="1"/>
  <c r="N221" i="3"/>
  <c r="N261" i="3" s="1"/>
  <c r="O221" i="3"/>
  <c r="O261" i="3" s="1"/>
  <c r="P221" i="3"/>
  <c r="P261" i="3" s="1"/>
  <c r="Q221" i="3"/>
  <c r="Q261" i="3" s="1"/>
  <c r="S224" i="3"/>
  <c r="S264" i="3" s="1"/>
  <c r="M224" i="3"/>
  <c r="M264" i="3" s="1"/>
  <c r="N224" i="3"/>
  <c r="N264" i="3" s="1"/>
  <c r="O224" i="3"/>
  <c r="O264" i="3" s="1"/>
  <c r="P224" i="3"/>
  <c r="P264" i="3" s="1"/>
  <c r="Q224" i="3"/>
  <c r="Q264" i="3" s="1"/>
  <c r="S225" i="3"/>
  <c r="S265" i="3" s="1"/>
  <c r="M225" i="3"/>
  <c r="M265" i="3" s="1"/>
  <c r="N225" i="3"/>
  <c r="N265" i="3" s="1"/>
  <c r="O225" i="3"/>
  <c r="O265" i="3" s="1"/>
  <c r="P225" i="3"/>
  <c r="P265" i="3" s="1"/>
  <c r="Q225" i="3"/>
  <c r="Q265" i="3" s="1"/>
  <c r="S226" i="3"/>
  <c r="S266" i="3" s="1"/>
  <c r="M226" i="3"/>
  <c r="M266" i="3" s="1"/>
  <c r="N226" i="3"/>
  <c r="N266" i="3" s="1"/>
  <c r="O226" i="3"/>
  <c r="O266" i="3" s="1"/>
  <c r="P226" i="3"/>
  <c r="P266" i="3" s="1"/>
  <c r="Q226" i="3"/>
  <c r="Q266" i="3" s="1"/>
  <c r="S227" i="3"/>
  <c r="S267" i="3" s="1"/>
  <c r="M227" i="3"/>
  <c r="M267" i="3" s="1"/>
  <c r="N227" i="3"/>
  <c r="N267" i="3" s="1"/>
  <c r="O227" i="3"/>
  <c r="O267" i="3" s="1"/>
  <c r="P227" i="3"/>
  <c r="P267" i="3" s="1"/>
  <c r="Q227" i="3"/>
  <c r="Q267" i="3" s="1"/>
  <c r="L215" i="3"/>
  <c r="L216" i="3"/>
  <c r="L219" i="3"/>
  <c r="L221" i="3"/>
  <c r="L224" i="3"/>
  <c r="L225" i="3"/>
  <c r="L226" i="3"/>
  <c r="L227" i="3"/>
  <c r="S177" i="3"/>
  <c r="M177" i="3"/>
  <c r="N177" i="3"/>
  <c r="O177" i="3"/>
  <c r="Q177" i="3"/>
  <c r="L177" i="3"/>
  <c r="S166" i="3"/>
  <c r="M166" i="3"/>
  <c r="N166" i="3"/>
  <c r="O166" i="3"/>
  <c r="Q166" i="3"/>
  <c r="S167" i="3"/>
  <c r="M167" i="3"/>
  <c r="N167" i="3"/>
  <c r="O167" i="3"/>
  <c r="Q167" i="3"/>
  <c r="S168" i="3"/>
  <c r="M168" i="3"/>
  <c r="N168" i="3"/>
  <c r="O168" i="3"/>
  <c r="Q168" i="3"/>
  <c r="S169" i="3"/>
  <c r="M169" i="3"/>
  <c r="N169" i="3"/>
  <c r="O169" i="3"/>
  <c r="Q169" i="3"/>
  <c r="S170" i="3"/>
  <c r="M170" i="3"/>
  <c r="N170" i="3"/>
  <c r="O170" i="3"/>
  <c r="Q170" i="3"/>
  <c r="S171" i="3"/>
  <c r="M171" i="3"/>
  <c r="N171" i="3"/>
  <c r="O171" i="3"/>
  <c r="Q171" i="3"/>
  <c r="S172" i="3"/>
  <c r="M172" i="3"/>
  <c r="N172" i="3"/>
  <c r="O172" i="3"/>
  <c r="Q172" i="3"/>
  <c r="S173" i="3"/>
  <c r="M173" i="3"/>
  <c r="N173" i="3"/>
  <c r="O173" i="3"/>
  <c r="Q173" i="3"/>
  <c r="S174" i="3"/>
  <c r="M174" i="3"/>
  <c r="N174" i="3"/>
  <c r="O174" i="3"/>
  <c r="Q174" i="3"/>
  <c r="L167" i="3"/>
  <c r="L168" i="3"/>
  <c r="L169" i="3"/>
  <c r="L170" i="3"/>
  <c r="L171" i="3"/>
  <c r="L172" i="3"/>
  <c r="L173" i="3"/>
  <c r="L174" i="3"/>
  <c r="L166" i="3"/>
  <c r="S148" i="3"/>
  <c r="S188" i="3" s="1"/>
  <c r="M148" i="3"/>
  <c r="M188" i="3" s="1"/>
  <c r="N148" i="3"/>
  <c r="N188" i="3" s="1"/>
  <c r="O148" i="3"/>
  <c r="O188" i="3" s="1"/>
  <c r="P148" i="3"/>
  <c r="P188" i="3" s="1"/>
  <c r="Q148" i="3"/>
  <c r="Q188" i="3" s="1"/>
  <c r="S149" i="3"/>
  <c r="S189" i="3" s="1"/>
  <c r="M149" i="3"/>
  <c r="M189" i="3" s="1"/>
  <c r="N149" i="3"/>
  <c r="N189" i="3" s="1"/>
  <c r="O149" i="3"/>
  <c r="O189" i="3" s="1"/>
  <c r="P149" i="3"/>
  <c r="P189" i="3" s="1"/>
  <c r="Q149" i="3"/>
  <c r="Q189" i="3" s="1"/>
  <c r="S150" i="3"/>
  <c r="M150" i="3"/>
  <c r="N150" i="3"/>
  <c r="O150" i="3"/>
  <c r="P150" i="3"/>
  <c r="Q150" i="3"/>
  <c r="S151" i="3"/>
  <c r="S191" i="3" s="1"/>
  <c r="M151" i="3"/>
  <c r="M191" i="3" s="1"/>
  <c r="N151" i="3"/>
  <c r="N191" i="3" s="1"/>
  <c r="O151" i="3"/>
  <c r="O191" i="3" s="1"/>
  <c r="P151" i="3"/>
  <c r="P191" i="3" s="1"/>
  <c r="Q151" i="3"/>
  <c r="Q191" i="3" s="1"/>
  <c r="S154" i="3"/>
  <c r="M154" i="3"/>
  <c r="N154" i="3"/>
  <c r="O154" i="3"/>
  <c r="P154" i="3"/>
  <c r="Q154" i="3"/>
  <c r="S156" i="3"/>
  <c r="S196" i="3" s="1"/>
  <c r="M156" i="3"/>
  <c r="M196" i="3" s="1"/>
  <c r="N156" i="3"/>
  <c r="N196" i="3" s="1"/>
  <c r="O156" i="3"/>
  <c r="O196" i="3" s="1"/>
  <c r="P156" i="3"/>
  <c r="P196" i="3" s="1"/>
  <c r="Q156" i="3"/>
  <c r="Q196" i="3" s="1"/>
  <c r="S159" i="3"/>
  <c r="S199" i="3" s="1"/>
  <c r="M159" i="3"/>
  <c r="M199" i="3" s="1"/>
  <c r="N159" i="3"/>
  <c r="N199" i="3" s="1"/>
  <c r="O159" i="3"/>
  <c r="O199" i="3" s="1"/>
  <c r="P159" i="3"/>
  <c r="P199" i="3" s="1"/>
  <c r="Q159" i="3"/>
  <c r="Q199" i="3" s="1"/>
  <c r="S160" i="3"/>
  <c r="S200" i="3" s="1"/>
  <c r="M160" i="3"/>
  <c r="M200" i="3" s="1"/>
  <c r="N160" i="3"/>
  <c r="N200" i="3" s="1"/>
  <c r="O160" i="3"/>
  <c r="O200" i="3" s="1"/>
  <c r="P160" i="3"/>
  <c r="P200" i="3" s="1"/>
  <c r="Q160" i="3"/>
  <c r="Q200" i="3" s="1"/>
  <c r="S161" i="3"/>
  <c r="S201" i="3" s="1"/>
  <c r="M161" i="3"/>
  <c r="M201" i="3" s="1"/>
  <c r="N161" i="3"/>
  <c r="N201" i="3" s="1"/>
  <c r="O161" i="3"/>
  <c r="O201" i="3" s="1"/>
  <c r="P161" i="3"/>
  <c r="P201" i="3" s="1"/>
  <c r="Q161" i="3"/>
  <c r="Q201" i="3" s="1"/>
  <c r="S162" i="3"/>
  <c r="S202" i="3" s="1"/>
  <c r="M162" i="3"/>
  <c r="M202" i="3" s="1"/>
  <c r="N162" i="3"/>
  <c r="N202" i="3" s="1"/>
  <c r="O162" i="3"/>
  <c r="O202" i="3" s="1"/>
  <c r="P162" i="3"/>
  <c r="P202" i="3" s="1"/>
  <c r="Q162" i="3"/>
  <c r="Q202" i="3" s="1"/>
  <c r="L149" i="3"/>
  <c r="L150" i="3"/>
  <c r="L151" i="3"/>
  <c r="L154" i="3"/>
  <c r="L156" i="3"/>
  <c r="L159" i="3"/>
  <c r="L160" i="3"/>
  <c r="L161" i="3"/>
  <c r="L162" i="3"/>
  <c r="L148" i="3"/>
  <c r="S119" i="3"/>
  <c r="M119" i="3"/>
  <c r="N119" i="3"/>
  <c r="O119" i="3"/>
  <c r="Q119" i="3"/>
  <c r="L119" i="3"/>
  <c r="S115" i="3"/>
  <c r="M115" i="3"/>
  <c r="N115" i="3"/>
  <c r="O115" i="3"/>
  <c r="Q115" i="3"/>
  <c r="L115" i="3"/>
  <c r="S112" i="3"/>
  <c r="M112" i="3"/>
  <c r="N112" i="3"/>
  <c r="O112" i="3"/>
  <c r="Q112" i="3"/>
  <c r="L112" i="3"/>
  <c r="S101" i="3"/>
  <c r="M101" i="3"/>
  <c r="N101" i="3"/>
  <c r="O101" i="3"/>
  <c r="Q101" i="3"/>
  <c r="S102" i="3"/>
  <c r="M102" i="3"/>
  <c r="N102" i="3"/>
  <c r="O102" i="3"/>
  <c r="Q102" i="3"/>
  <c r="S103" i="3"/>
  <c r="M103" i="3"/>
  <c r="N103" i="3"/>
  <c r="O103" i="3"/>
  <c r="Q103" i="3"/>
  <c r="S104" i="3"/>
  <c r="M104" i="3"/>
  <c r="N104" i="3"/>
  <c r="O104" i="3"/>
  <c r="Q104" i="3"/>
  <c r="S105" i="3"/>
  <c r="M105" i="3"/>
  <c r="N105" i="3"/>
  <c r="O105" i="3"/>
  <c r="Q105" i="3"/>
  <c r="S106" i="3"/>
  <c r="M106" i="3"/>
  <c r="N106" i="3"/>
  <c r="O106" i="3"/>
  <c r="Q106" i="3"/>
  <c r="S107" i="3"/>
  <c r="M107" i="3"/>
  <c r="N107" i="3"/>
  <c r="O107" i="3"/>
  <c r="Q107" i="3"/>
  <c r="S108" i="3"/>
  <c r="M108" i="3"/>
  <c r="N108" i="3"/>
  <c r="O108" i="3"/>
  <c r="Q108" i="3"/>
  <c r="S109" i="3"/>
  <c r="M109" i="3"/>
  <c r="N109" i="3"/>
  <c r="O109" i="3"/>
  <c r="Q109" i="3"/>
  <c r="L102" i="3"/>
  <c r="L103" i="3"/>
  <c r="L104" i="3"/>
  <c r="L105" i="3"/>
  <c r="L106" i="3"/>
  <c r="L107" i="3"/>
  <c r="L108" i="3"/>
  <c r="L109" i="3"/>
  <c r="L101" i="3"/>
  <c r="S123" i="3"/>
  <c r="M123" i="3"/>
  <c r="N123" i="3"/>
  <c r="O123" i="3"/>
  <c r="P123" i="3"/>
  <c r="Q123" i="3"/>
  <c r="S124" i="3"/>
  <c r="M124" i="3"/>
  <c r="N124" i="3"/>
  <c r="O124" i="3"/>
  <c r="P124" i="3"/>
  <c r="Q124" i="3"/>
  <c r="S85" i="3"/>
  <c r="M85" i="3"/>
  <c r="N85" i="3"/>
  <c r="O85" i="3"/>
  <c r="P85" i="3"/>
  <c r="Q85" i="3"/>
  <c r="S86" i="3"/>
  <c r="S126" i="3" s="1"/>
  <c r="M86" i="3"/>
  <c r="M126" i="3" s="1"/>
  <c r="N86" i="3"/>
  <c r="N126" i="3" s="1"/>
  <c r="O86" i="3"/>
  <c r="O126" i="3" s="1"/>
  <c r="P86" i="3"/>
  <c r="P126" i="3" s="1"/>
  <c r="Q86" i="3"/>
  <c r="Q126" i="3" s="1"/>
  <c r="S89" i="3"/>
  <c r="M89" i="3"/>
  <c r="N89" i="3"/>
  <c r="O89" i="3"/>
  <c r="P89" i="3"/>
  <c r="Q89" i="3"/>
  <c r="S91" i="3"/>
  <c r="S131" i="3" s="1"/>
  <c r="M91" i="3"/>
  <c r="M131" i="3" s="1"/>
  <c r="N91" i="3"/>
  <c r="N131" i="3" s="1"/>
  <c r="O91" i="3"/>
  <c r="O131" i="3" s="1"/>
  <c r="P91" i="3"/>
  <c r="P131" i="3" s="1"/>
  <c r="Q91" i="3"/>
  <c r="Q131" i="3" s="1"/>
  <c r="S94" i="3"/>
  <c r="S134" i="3" s="1"/>
  <c r="M94" i="3"/>
  <c r="M134" i="3" s="1"/>
  <c r="N94" i="3"/>
  <c r="N134" i="3" s="1"/>
  <c r="O94" i="3"/>
  <c r="O134" i="3" s="1"/>
  <c r="P94" i="3"/>
  <c r="P134" i="3" s="1"/>
  <c r="Q94" i="3"/>
  <c r="Q134" i="3" s="1"/>
  <c r="S95" i="3"/>
  <c r="S135" i="3" s="1"/>
  <c r="M95" i="3"/>
  <c r="M135" i="3" s="1"/>
  <c r="N95" i="3"/>
  <c r="N135" i="3" s="1"/>
  <c r="O95" i="3"/>
  <c r="O135" i="3" s="1"/>
  <c r="P95" i="3"/>
  <c r="P135" i="3" s="1"/>
  <c r="Q95" i="3"/>
  <c r="Q135" i="3" s="1"/>
  <c r="S96" i="3"/>
  <c r="S136" i="3" s="1"/>
  <c r="M96" i="3"/>
  <c r="M136" i="3" s="1"/>
  <c r="N96" i="3"/>
  <c r="N136" i="3" s="1"/>
  <c r="O96" i="3"/>
  <c r="O136" i="3" s="1"/>
  <c r="P96" i="3"/>
  <c r="P136" i="3" s="1"/>
  <c r="Q96" i="3"/>
  <c r="Q136" i="3" s="1"/>
  <c r="S97" i="3"/>
  <c r="S137" i="3" s="1"/>
  <c r="M97" i="3"/>
  <c r="M137" i="3" s="1"/>
  <c r="N97" i="3"/>
  <c r="N137" i="3" s="1"/>
  <c r="O97" i="3"/>
  <c r="O137" i="3" s="1"/>
  <c r="P97" i="3"/>
  <c r="P137" i="3" s="1"/>
  <c r="Q97" i="3"/>
  <c r="Q137" i="3" s="1"/>
  <c r="L85" i="3"/>
  <c r="L86" i="3"/>
  <c r="L89" i="3"/>
  <c r="L91" i="3"/>
  <c r="L94" i="3"/>
  <c r="L95" i="3"/>
  <c r="L96" i="3"/>
  <c r="L97" i="3"/>
  <c r="Q384" i="3"/>
  <c r="O384" i="3"/>
  <c r="N384" i="3"/>
  <c r="M384" i="3"/>
  <c r="S384" i="3"/>
  <c r="L384" i="3"/>
  <c r="Q315" i="3"/>
  <c r="O315" i="3"/>
  <c r="N315" i="3"/>
  <c r="M315" i="3"/>
  <c r="S183" i="15"/>
  <c r="S315" i="3" s="1"/>
  <c r="Q246" i="3"/>
  <c r="O246" i="3"/>
  <c r="N246" i="3"/>
  <c r="M246" i="3"/>
  <c r="S145" i="15"/>
  <c r="S246" i="3" s="1"/>
  <c r="Q181" i="3"/>
  <c r="O181" i="3"/>
  <c r="N181" i="3"/>
  <c r="M181" i="3"/>
  <c r="S107" i="15"/>
  <c r="S181" i="3" s="1"/>
  <c r="Q116" i="3"/>
  <c r="O116" i="3"/>
  <c r="N116" i="3"/>
  <c r="M116" i="3"/>
  <c r="S69" i="15"/>
  <c r="S116" i="3" s="1"/>
  <c r="N30" i="3"/>
  <c r="N70" i="3" s="1"/>
  <c r="N31" i="3"/>
  <c r="N71" i="3" s="1"/>
  <c r="S54" i="3"/>
  <c r="M54" i="3"/>
  <c r="N54" i="3"/>
  <c r="O54" i="3"/>
  <c r="Q54" i="3"/>
  <c r="L54" i="3"/>
  <c r="S50" i="3"/>
  <c r="M50" i="3"/>
  <c r="N50" i="3"/>
  <c r="O50" i="3"/>
  <c r="Q50" i="3"/>
  <c r="L50" i="3"/>
  <c r="S51" i="3"/>
  <c r="M51" i="3"/>
  <c r="N51" i="3"/>
  <c r="O51" i="3"/>
  <c r="Q51" i="3"/>
  <c r="S37" i="3"/>
  <c r="S36" i="3"/>
  <c r="M36" i="3"/>
  <c r="N36" i="3"/>
  <c r="O36" i="3"/>
  <c r="Q36" i="3"/>
  <c r="M37" i="3"/>
  <c r="N37" i="3"/>
  <c r="O37" i="3"/>
  <c r="Q37" i="3"/>
  <c r="S38" i="3"/>
  <c r="M38" i="3"/>
  <c r="N38" i="3"/>
  <c r="O38" i="3"/>
  <c r="Q38" i="3"/>
  <c r="S39" i="3"/>
  <c r="M39" i="3"/>
  <c r="N39" i="3"/>
  <c r="O39" i="3"/>
  <c r="Q39" i="3"/>
  <c r="S40" i="3"/>
  <c r="M40" i="3"/>
  <c r="N40" i="3"/>
  <c r="O40" i="3"/>
  <c r="Q40" i="3"/>
  <c r="S41" i="3"/>
  <c r="M41" i="3"/>
  <c r="N41" i="3"/>
  <c r="O41" i="3"/>
  <c r="Q41" i="3"/>
  <c r="S42" i="3"/>
  <c r="M42" i="3"/>
  <c r="N42" i="3"/>
  <c r="O42" i="3"/>
  <c r="Q42" i="3"/>
  <c r="S43" i="3"/>
  <c r="M43" i="3"/>
  <c r="N43" i="3"/>
  <c r="O43" i="3"/>
  <c r="Q43" i="3"/>
  <c r="S44" i="3"/>
  <c r="M44" i="3"/>
  <c r="N44" i="3"/>
  <c r="O44" i="3"/>
  <c r="Q44" i="3"/>
  <c r="S47" i="3"/>
  <c r="M47" i="3"/>
  <c r="N47" i="3"/>
  <c r="O47" i="3"/>
  <c r="Q47" i="3"/>
  <c r="L37" i="3"/>
  <c r="L38" i="3"/>
  <c r="L39" i="3"/>
  <c r="L40" i="3"/>
  <c r="L41" i="3"/>
  <c r="L42" i="3"/>
  <c r="L43" i="3"/>
  <c r="L44" i="3"/>
  <c r="L47" i="3"/>
  <c r="L36" i="3"/>
  <c r="S59" i="3"/>
  <c r="M59" i="3"/>
  <c r="N59" i="3"/>
  <c r="O59" i="3"/>
  <c r="P59" i="3"/>
  <c r="Q59" i="3"/>
  <c r="L20" i="3"/>
  <c r="S20" i="3"/>
  <c r="M20" i="3"/>
  <c r="N20" i="3"/>
  <c r="O20" i="3"/>
  <c r="P20" i="3"/>
  <c r="Q20" i="3"/>
  <c r="L21" i="3"/>
  <c r="L61" i="3" s="1"/>
  <c r="S21" i="3"/>
  <c r="S61" i="3" s="1"/>
  <c r="M21" i="3"/>
  <c r="M61" i="3" s="1"/>
  <c r="N21" i="3"/>
  <c r="N61" i="3" s="1"/>
  <c r="O21" i="3"/>
  <c r="O61" i="3" s="1"/>
  <c r="P21" i="3"/>
  <c r="P61" i="3" s="1"/>
  <c r="Q21" i="3"/>
  <c r="Q61" i="3" s="1"/>
  <c r="L24" i="3"/>
  <c r="L26" i="3"/>
  <c r="S26" i="3"/>
  <c r="S66" i="3" s="1"/>
  <c r="M26" i="3"/>
  <c r="M66" i="3" s="1"/>
  <c r="N26" i="3"/>
  <c r="N66" i="3" s="1"/>
  <c r="O26" i="3"/>
  <c r="O66" i="3" s="1"/>
  <c r="P26" i="3"/>
  <c r="P66" i="3" s="1"/>
  <c r="Q26" i="3"/>
  <c r="Q66" i="3" s="1"/>
  <c r="L29" i="3"/>
  <c r="S29" i="3"/>
  <c r="S69" i="3" s="1"/>
  <c r="M29" i="3"/>
  <c r="M69" i="3" s="1"/>
  <c r="N29" i="3"/>
  <c r="N69" i="3" s="1"/>
  <c r="O29" i="3"/>
  <c r="O69" i="3" s="1"/>
  <c r="P29" i="3"/>
  <c r="P69" i="3" s="1"/>
  <c r="Q29" i="3"/>
  <c r="Q69" i="3" s="1"/>
  <c r="L30" i="3"/>
  <c r="S30" i="3"/>
  <c r="S70" i="3" s="1"/>
  <c r="M30" i="3"/>
  <c r="M70" i="3" s="1"/>
  <c r="O30" i="3"/>
  <c r="O70" i="3" s="1"/>
  <c r="P30" i="3"/>
  <c r="P70" i="3" s="1"/>
  <c r="Q30" i="3"/>
  <c r="Q70" i="3" s="1"/>
  <c r="L31" i="3"/>
  <c r="S31" i="3"/>
  <c r="S71" i="3" s="1"/>
  <c r="M31" i="3"/>
  <c r="M71" i="3" s="1"/>
  <c r="O31" i="3"/>
  <c r="O71" i="3" s="1"/>
  <c r="P31" i="3"/>
  <c r="P71" i="3" s="1"/>
  <c r="Q31" i="3"/>
  <c r="Q71" i="3" s="1"/>
  <c r="L32" i="3"/>
  <c r="S32" i="3"/>
  <c r="S72" i="3" s="1"/>
  <c r="M32" i="3"/>
  <c r="M72" i="3" s="1"/>
  <c r="N32" i="3"/>
  <c r="N72" i="3" s="1"/>
  <c r="O32" i="3"/>
  <c r="O72" i="3" s="1"/>
  <c r="P32" i="3"/>
  <c r="P72" i="3" s="1"/>
  <c r="Q32" i="3"/>
  <c r="Q72" i="3" s="1"/>
  <c r="S58" i="3"/>
  <c r="M58" i="3"/>
  <c r="N58" i="3"/>
  <c r="O58" i="3"/>
  <c r="P58" i="3"/>
  <c r="Q58" i="3"/>
  <c r="O61" i="8" l="1"/>
  <c r="L61" i="8"/>
  <c r="L64" i="8" s="1"/>
  <c r="U64" i="8"/>
  <c r="S13" i="26" s="1"/>
  <c r="M64" i="8"/>
  <c r="M13" i="26" s="1"/>
  <c r="Q61" i="8"/>
  <c r="Q64" i="8" s="1"/>
  <c r="Q13" i="26" s="1"/>
  <c r="P61" i="8"/>
  <c r="N64" i="8"/>
  <c r="N13" i="26" s="1"/>
  <c r="O64" i="8"/>
  <c r="O13" i="26" s="1"/>
  <c r="J288" i="3"/>
  <c r="J353" i="3"/>
  <c r="J219" i="3"/>
  <c r="P341" i="3"/>
  <c r="J284" i="3"/>
  <c r="J357" i="3"/>
  <c r="J89" i="3"/>
  <c r="L135" i="3"/>
  <c r="J135" i="3" s="1"/>
  <c r="J95" i="3"/>
  <c r="L126" i="3"/>
  <c r="J126" i="3" s="1"/>
  <c r="J86" i="3"/>
  <c r="L137" i="3"/>
  <c r="J137" i="3" s="1"/>
  <c r="J97" i="3"/>
  <c r="L131" i="3"/>
  <c r="J131" i="3" s="1"/>
  <c r="J91" i="3"/>
  <c r="L124" i="3"/>
  <c r="J124" i="3" s="1"/>
  <c r="J84" i="3"/>
  <c r="L200" i="3"/>
  <c r="J200" i="3" s="1"/>
  <c r="J160" i="3"/>
  <c r="L191" i="3"/>
  <c r="J191" i="3" s="1"/>
  <c r="J151" i="3"/>
  <c r="L267" i="3"/>
  <c r="J267" i="3" s="1"/>
  <c r="J227" i="3"/>
  <c r="L261" i="3"/>
  <c r="J261" i="3" s="1"/>
  <c r="J221" i="3"/>
  <c r="L254" i="3"/>
  <c r="J254" i="3" s="1"/>
  <c r="J214" i="3"/>
  <c r="L334" i="3"/>
  <c r="J334" i="3" s="1"/>
  <c r="J294" i="3"/>
  <c r="M333" i="3"/>
  <c r="J333" i="3" s="1"/>
  <c r="J293" i="3"/>
  <c r="L404" i="3"/>
  <c r="J404" i="3" s="1"/>
  <c r="J364" i="3"/>
  <c r="L136" i="3"/>
  <c r="J136" i="3" s="1"/>
  <c r="J96" i="3"/>
  <c r="L188" i="3"/>
  <c r="J188" i="3" s="1"/>
  <c r="J148" i="3"/>
  <c r="L199" i="3"/>
  <c r="J199" i="3" s="1"/>
  <c r="J159" i="3"/>
  <c r="L190" i="3"/>
  <c r="J150" i="3"/>
  <c r="L266" i="3"/>
  <c r="J266" i="3" s="1"/>
  <c r="J226" i="3"/>
  <c r="L322" i="3"/>
  <c r="J322" i="3" s="1"/>
  <c r="J282" i="3"/>
  <c r="L330" i="3"/>
  <c r="J330" i="3" s="1"/>
  <c r="J290" i="3"/>
  <c r="L323" i="3"/>
  <c r="J323" i="3" s="1"/>
  <c r="J283" i="3"/>
  <c r="L403" i="3"/>
  <c r="J403" i="3" s="1"/>
  <c r="J363" i="3"/>
  <c r="L394" i="3"/>
  <c r="J394" i="3" s="1"/>
  <c r="J354" i="3"/>
  <c r="L202" i="3"/>
  <c r="J202" i="3" s="1"/>
  <c r="J162" i="3"/>
  <c r="L196" i="3"/>
  <c r="J196" i="3" s="1"/>
  <c r="J156" i="3"/>
  <c r="L189" i="3"/>
  <c r="J189" i="3" s="1"/>
  <c r="J149" i="3"/>
  <c r="L265" i="3"/>
  <c r="J265" i="3" s="1"/>
  <c r="J225" i="3"/>
  <c r="L256" i="3"/>
  <c r="J256" i="3" s="1"/>
  <c r="J216" i="3"/>
  <c r="L336" i="3"/>
  <c r="J336" i="3" s="1"/>
  <c r="J296" i="3"/>
  <c r="L391" i="3"/>
  <c r="J391" i="3" s="1"/>
  <c r="J351" i="3"/>
  <c r="L402" i="3"/>
  <c r="J402" i="3" s="1"/>
  <c r="J362" i="3"/>
  <c r="M410" i="3"/>
  <c r="M59" i="26" s="1"/>
  <c r="L123" i="3"/>
  <c r="J123" i="3" s="1"/>
  <c r="J83" i="3"/>
  <c r="L134" i="3"/>
  <c r="J134" i="3" s="1"/>
  <c r="J94" i="3"/>
  <c r="J85" i="3"/>
  <c r="L201" i="3"/>
  <c r="J201" i="3" s="1"/>
  <c r="J161" i="3"/>
  <c r="J154" i="3"/>
  <c r="L253" i="3"/>
  <c r="J253" i="3" s="1"/>
  <c r="J213" i="3"/>
  <c r="L264" i="3"/>
  <c r="J264" i="3" s="1"/>
  <c r="J224" i="3"/>
  <c r="J215" i="3"/>
  <c r="L335" i="3"/>
  <c r="J335" i="3" s="1"/>
  <c r="J295" i="3"/>
  <c r="L325" i="3"/>
  <c r="J325" i="3" s="1"/>
  <c r="J285" i="3"/>
  <c r="L405" i="3"/>
  <c r="J405" i="3" s="1"/>
  <c r="J365" i="3"/>
  <c r="L399" i="3"/>
  <c r="J399" i="3" s="1"/>
  <c r="J359" i="3"/>
  <c r="L392" i="3"/>
  <c r="J392" i="3" s="1"/>
  <c r="J352" i="3"/>
  <c r="P410" i="3"/>
  <c r="P59" i="26" s="1"/>
  <c r="N288" i="8"/>
  <c r="N61" i="26" s="1"/>
  <c r="N240" i="8"/>
  <c r="N47" i="26" s="1"/>
  <c r="N193" i="8"/>
  <c r="N35" i="26" s="1"/>
  <c r="N192" i="8"/>
  <c r="N34" i="26" s="1"/>
  <c r="N106" i="8"/>
  <c r="N20" i="26" s="1"/>
  <c r="N195" i="8"/>
  <c r="N39" i="26" s="1"/>
  <c r="N243" i="8"/>
  <c r="N52" i="26" s="1"/>
  <c r="N290" i="8"/>
  <c r="N65" i="26" s="1"/>
  <c r="N147" i="8"/>
  <c r="N26" i="26" s="1"/>
  <c r="N244" i="8"/>
  <c r="N53" i="26" s="1"/>
  <c r="N196" i="8"/>
  <c r="N40" i="26" s="1"/>
  <c r="J143" i="8"/>
  <c r="L125" i="3"/>
  <c r="M272" i="3"/>
  <c r="P272" i="3"/>
  <c r="M341" i="3"/>
  <c r="L255" i="3"/>
  <c r="J102" i="8"/>
  <c r="N190" i="3"/>
  <c r="L324" i="3"/>
  <c r="Q324" i="3"/>
  <c r="M324" i="3"/>
  <c r="Q393" i="3"/>
  <c r="M393" i="3"/>
  <c r="N60" i="3"/>
  <c r="L393" i="3"/>
  <c r="O125" i="3"/>
  <c r="O190" i="3"/>
  <c r="N324" i="3"/>
  <c r="N393" i="3"/>
  <c r="J186" i="8"/>
  <c r="Q125" i="3"/>
  <c r="M125" i="3"/>
  <c r="Q190" i="3"/>
  <c r="M190" i="3"/>
  <c r="Q255" i="3"/>
  <c r="M255" i="3"/>
  <c r="S324" i="3"/>
  <c r="S393" i="3"/>
  <c r="J189" i="8"/>
  <c r="S125" i="3"/>
  <c r="S190" i="3"/>
  <c r="S255" i="3"/>
  <c r="O324" i="3"/>
  <c r="O393" i="3"/>
  <c r="J234" i="8"/>
  <c r="J144" i="8"/>
  <c r="J233" i="8"/>
  <c r="J236" i="8"/>
  <c r="J237" i="8"/>
  <c r="J185" i="8"/>
  <c r="J188" i="8"/>
  <c r="J57" i="8"/>
  <c r="J58" i="8"/>
  <c r="L315" i="3"/>
  <c r="L328" i="3" s="1"/>
  <c r="O255" i="3"/>
  <c r="N255" i="3"/>
  <c r="L246" i="3"/>
  <c r="L181" i="3"/>
  <c r="N125" i="3"/>
  <c r="L116" i="3"/>
  <c r="L129" i="3" s="1"/>
  <c r="M60" i="3"/>
  <c r="Q60" i="3"/>
  <c r="L51" i="3"/>
  <c r="L64" i="3" s="1"/>
  <c r="J101" i="8"/>
  <c r="N19" i="26"/>
  <c r="J284" i="8"/>
  <c r="L290" i="8"/>
  <c r="J282" i="8"/>
  <c r="L288" i="8"/>
  <c r="J281" i="8"/>
  <c r="M47" i="26"/>
  <c r="M53" i="26"/>
  <c r="M52" i="26"/>
  <c r="M48" i="26"/>
  <c r="M39" i="26"/>
  <c r="M40" i="26"/>
  <c r="M35" i="26"/>
  <c r="M34" i="26"/>
  <c r="M20" i="26"/>
  <c r="L19" i="26"/>
  <c r="O341" i="3"/>
  <c r="O410" i="3"/>
  <c r="O59" i="26" s="1"/>
  <c r="N341" i="3"/>
  <c r="N46" i="26" s="1"/>
  <c r="N410" i="3"/>
  <c r="N59" i="26" s="1"/>
  <c r="Q341" i="3"/>
  <c r="Q410" i="3"/>
  <c r="Q59" i="26" s="1"/>
  <c r="S129" i="3"/>
  <c r="S194" i="3"/>
  <c r="S259" i="3"/>
  <c r="O328" i="3"/>
  <c r="O397" i="3"/>
  <c r="O129" i="3"/>
  <c r="O194" i="3"/>
  <c r="O259" i="3"/>
  <c r="N328" i="3"/>
  <c r="N397" i="3"/>
  <c r="N129" i="3"/>
  <c r="N194" i="3"/>
  <c r="N259" i="3"/>
  <c r="Q328" i="3"/>
  <c r="M328" i="3"/>
  <c r="L397" i="3"/>
  <c r="Q397" i="3"/>
  <c r="M397" i="3"/>
  <c r="Q129" i="3"/>
  <c r="Q141" i="3" s="1"/>
  <c r="M129" i="3"/>
  <c r="Q194" i="3"/>
  <c r="M194" i="3"/>
  <c r="Q259" i="3"/>
  <c r="M259" i="3"/>
  <c r="S328" i="3"/>
  <c r="S397" i="3"/>
  <c r="L58" i="3"/>
  <c r="J58" i="3" s="1"/>
  <c r="J18" i="3"/>
  <c r="S64" i="3"/>
  <c r="L70" i="3"/>
  <c r="J70" i="3" s="1"/>
  <c r="J30" i="3"/>
  <c r="L69" i="3"/>
  <c r="J69" i="3" s="1"/>
  <c r="J29" i="3"/>
  <c r="L66" i="3"/>
  <c r="J66" i="3" s="1"/>
  <c r="J26" i="3"/>
  <c r="S60" i="3"/>
  <c r="O64" i="3"/>
  <c r="L71" i="3"/>
  <c r="J71" i="3" s="1"/>
  <c r="J31" i="3"/>
  <c r="J24" i="3"/>
  <c r="J61" i="3"/>
  <c r="J21" i="3"/>
  <c r="O60" i="3"/>
  <c r="L60" i="3"/>
  <c r="J20" i="3"/>
  <c r="L59" i="3"/>
  <c r="J59" i="3" s="1"/>
  <c r="J19" i="3"/>
  <c r="N64" i="3"/>
  <c r="L72" i="3"/>
  <c r="J72" i="3" s="1"/>
  <c r="J32" i="3"/>
  <c r="Q64" i="3"/>
  <c r="M64" i="3"/>
  <c r="L193" i="8"/>
  <c r="L106" i="8"/>
  <c r="L413" i="3" l="1"/>
  <c r="L64" i="26" s="1"/>
  <c r="Q344" i="3"/>
  <c r="Q51" i="26" s="1"/>
  <c r="Q413" i="3"/>
  <c r="Q64" i="26" s="1"/>
  <c r="O409" i="3"/>
  <c r="O58" i="26" s="1"/>
  <c r="N409" i="3"/>
  <c r="N58" i="26" s="1"/>
  <c r="L341" i="3"/>
  <c r="L410" i="3"/>
  <c r="L59" i="26" s="1"/>
  <c r="L194" i="3"/>
  <c r="L206" i="3" s="1"/>
  <c r="L25" i="26" s="1"/>
  <c r="L141" i="3"/>
  <c r="L18" i="26" s="1"/>
  <c r="N344" i="3"/>
  <c r="N51" i="26" s="1"/>
  <c r="M340" i="3"/>
  <c r="M45" i="26" s="1"/>
  <c r="M344" i="3"/>
  <c r="M51" i="26" s="1"/>
  <c r="M271" i="3"/>
  <c r="M32" i="26" s="1"/>
  <c r="M275" i="3"/>
  <c r="M38" i="26" s="1"/>
  <c r="M76" i="3"/>
  <c r="M12" i="26" s="1"/>
  <c r="M141" i="3"/>
  <c r="M18" i="26" s="1"/>
  <c r="M413" i="3"/>
  <c r="M64" i="26" s="1"/>
  <c r="M409" i="3"/>
  <c r="M58" i="26" s="1"/>
  <c r="O340" i="3"/>
  <c r="O45" i="26" s="1"/>
  <c r="M206" i="3"/>
  <c r="M25" i="26" s="1"/>
  <c r="N271" i="3"/>
  <c r="N32" i="26" s="1"/>
  <c r="Q206" i="3"/>
  <c r="Q25" i="26" s="1"/>
  <c r="N206" i="3"/>
  <c r="N25" i="26" s="1"/>
  <c r="L259" i="3"/>
  <c r="O275" i="3"/>
  <c r="O38" i="26" s="1"/>
  <c r="L344" i="3"/>
  <c r="L51" i="26" s="1"/>
  <c r="N141" i="3"/>
  <c r="N18" i="26" s="1"/>
  <c r="O141" i="3"/>
  <c r="O18" i="26" s="1"/>
  <c r="Q271" i="3"/>
  <c r="Q32" i="26" s="1"/>
  <c r="O206" i="3"/>
  <c r="O25" i="26" s="1"/>
  <c r="J61" i="8"/>
  <c r="L65" i="26"/>
  <c r="L61" i="26"/>
  <c r="O413" i="3"/>
  <c r="O344" i="3"/>
  <c r="Q275" i="3"/>
  <c r="Q38" i="26" s="1"/>
  <c r="L409" i="3"/>
  <c r="L58" i="26" s="1"/>
  <c r="Q340" i="3"/>
  <c r="Q45" i="26" s="1"/>
  <c r="N413" i="3"/>
  <c r="N64" i="26" s="1"/>
  <c r="O271" i="3"/>
  <c r="O32" i="26" s="1"/>
  <c r="Q409" i="3"/>
  <c r="Q58" i="26" s="1"/>
  <c r="L340" i="3"/>
  <c r="N275" i="3"/>
  <c r="N38" i="26" s="1"/>
  <c r="N340" i="3"/>
  <c r="N45" i="26" s="1"/>
  <c r="L76" i="3"/>
  <c r="L12" i="26" s="1"/>
  <c r="Q272" i="3"/>
  <c r="Q33" i="26" s="1"/>
  <c r="Q46" i="26"/>
  <c r="N272" i="3"/>
  <c r="N33" i="26" s="1"/>
  <c r="O46" i="26"/>
  <c r="P46" i="26"/>
  <c r="M46" i="26"/>
  <c r="M33" i="26"/>
  <c r="L272" i="3"/>
  <c r="L33" i="26" s="1"/>
  <c r="P33" i="26"/>
  <c r="O272" i="3"/>
  <c r="O33" i="26" s="1"/>
  <c r="L47" i="26"/>
  <c r="L35" i="26"/>
  <c r="L52" i="26"/>
  <c r="L26" i="26"/>
  <c r="L27" i="26"/>
  <c r="L20" i="26"/>
  <c r="L53" i="26"/>
  <c r="L48" i="26"/>
  <c r="Q18" i="26"/>
  <c r="O76" i="3"/>
  <c r="O12" i="26" s="1"/>
  <c r="N76" i="3"/>
  <c r="N12" i="26" s="1"/>
  <c r="Q76" i="3"/>
  <c r="Q12" i="26" s="1"/>
  <c r="L271" i="3" l="1"/>
  <c r="L275" i="3"/>
  <c r="L38" i="26" s="1"/>
  <c r="O64" i="26"/>
  <c r="O51" i="26"/>
  <c r="J33" i="26"/>
  <c r="J341" i="3"/>
  <c r="L46" i="26"/>
  <c r="J46" i="26" s="1"/>
  <c r="L45" i="26"/>
  <c r="J410" i="3"/>
  <c r="J59" i="26"/>
  <c r="L32" i="26"/>
  <c r="J272" i="3"/>
  <c r="L13" i="26"/>
  <c r="L196" i="8" l="1"/>
  <c r="L40" i="26" l="1"/>
  <c r="J21" i="15" l="1"/>
  <c r="J25" i="15"/>
  <c r="J29" i="15"/>
  <c r="J58" i="15"/>
  <c r="J77" i="15"/>
  <c r="J95" i="15"/>
  <c r="J103" i="15"/>
  <c r="J114" i="15"/>
  <c r="J130" i="15"/>
  <c r="J151" i="15"/>
  <c r="J155" i="15"/>
  <c r="J177" i="15"/>
  <c r="J181" i="15"/>
  <c r="J188" i="15"/>
  <c r="J200" i="15"/>
  <c r="J210" i="15"/>
  <c r="J218" i="15"/>
  <c r="J235" i="15"/>
  <c r="J39" i="15"/>
  <c r="J92" i="15"/>
  <c r="J197" i="15"/>
  <c r="J22" i="15"/>
  <c r="J37" i="15"/>
  <c r="J53" i="15"/>
  <c r="J59" i="15"/>
  <c r="J63" i="15"/>
  <c r="J78" i="15"/>
  <c r="J96" i="15"/>
  <c r="J100" i="15"/>
  <c r="J104" i="15"/>
  <c r="J111" i="15"/>
  <c r="J115" i="15"/>
  <c r="J137" i="15"/>
  <c r="J141" i="15"/>
  <c r="J152" i="15"/>
  <c r="J156" i="15"/>
  <c r="J168" i="15"/>
  <c r="J174" i="15"/>
  <c r="J178" i="15"/>
  <c r="J171" i="15"/>
  <c r="J193" i="15"/>
  <c r="J211" i="15"/>
  <c r="J215" i="15"/>
  <c r="J230" i="15"/>
  <c r="J28" i="15"/>
  <c r="J80" i="15"/>
  <c r="J129" i="15"/>
  <c r="J162" i="15"/>
  <c r="J176" i="15"/>
  <c r="J228" i="15"/>
  <c r="J34" i="15"/>
  <c r="J42" i="15"/>
  <c r="J60" i="15"/>
  <c r="J64" i="15"/>
  <c r="J79" i="15"/>
  <c r="J97" i="15"/>
  <c r="J112" i="15"/>
  <c r="J124" i="15"/>
  <c r="P135" i="8"/>
  <c r="J135" i="8" s="1"/>
  <c r="J134" i="15"/>
  <c r="J138" i="15"/>
  <c r="J175" i="15"/>
  <c r="J179" i="15"/>
  <c r="J194" i="15"/>
  <c r="J216" i="15"/>
  <c r="J15" i="15"/>
  <c r="J36" i="15"/>
  <c r="J62" i="15"/>
  <c r="J83" i="15"/>
  <c r="J99" i="15"/>
  <c r="J118" i="15"/>
  <c r="J136" i="15"/>
  <c r="J167" i="15"/>
  <c r="P306" i="3"/>
  <c r="J306" i="3" s="1"/>
  <c r="J192" i="15"/>
  <c r="J214" i="15"/>
  <c r="J229" i="15"/>
  <c r="J24" i="15"/>
  <c r="J61" i="15"/>
  <c r="J139" i="15"/>
  <c r="J180" i="15"/>
  <c r="J217" i="15"/>
  <c r="J16" i="15"/>
  <c r="J41" i="15"/>
  <c r="J86" i="15"/>
  <c r="P167" i="3"/>
  <c r="J167" i="3" s="1"/>
  <c r="J148" i="15"/>
  <c r="P235" i="3"/>
  <c r="J235" i="3" s="1"/>
  <c r="P318" i="3"/>
  <c r="J318" i="3" s="1"/>
  <c r="J189" i="15"/>
  <c r="J205" i="15"/>
  <c r="J226" i="15"/>
  <c r="J238" i="15"/>
  <c r="J40" i="15"/>
  <c r="J66" i="15"/>
  <c r="P112" i="3"/>
  <c r="J112" i="3" s="1"/>
  <c r="J110" i="15"/>
  <c r="J140" i="15"/>
  <c r="P238" i="3"/>
  <c r="J238" i="3" s="1"/>
  <c r="J225" i="15"/>
  <c r="J172" i="15"/>
  <c r="P311" i="3"/>
  <c r="J311" i="3" s="1"/>
  <c r="J232" i="15"/>
  <c r="J26" i="15"/>
  <c r="P43" i="3"/>
  <c r="J43" i="3" s="1"/>
  <c r="J67" i="15"/>
  <c r="J73" i="15"/>
  <c r="J121" i="15"/>
  <c r="P239" i="3"/>
  <c r="J239" i="3" s="1"/>
  <c r="J72" i="15"/>
  <c r="J143" i="15"/>
  <c r="P373" i="3"/>
  <c r="J373" i="3" s="1"/>
  <c r="J91" i="15"/>
  <c r="J116" i="15"/>
  <c r="J149" i="15"/>
  <c r="J190" i="15"/>
  <c r="J212" i="15"/>
  <c r="J227" i="15"/>
  <c r="J20" i="15"/>
  <c r="J98" i="15"/>
  <c r="J135" i="15"/>
  <c r="J187" i="15"/>
  <c r="P303" i="3"/>
  <c r="J303" i="3" s="1"/>
  <c r="J219" i="15"/>
  <c r="J209" i="15"/>
  <c r="J54" i="15"/>
  <c r="P119" i="3"/>
  <c r="J119" i="3" s="1"/>
  <c r="J57" i="15"/>
  <c r="J101" i="15"/>
  <c r="J153" i="15"/>
  <c r="P372" i="3"/>
  <c r="J372" i="3" s="1"/>
  <c r="J231" i="15"/>
  <c r="P37" i="3"/>
  <c r="J37" i="3" s="1"/>
  <c r="J35" i="15"/>
  <c r="P105" i="3"/>
  <c r="J105" i="3" s="1"/>
  <c r="J76" i="15"/>
  <c r="P173" i="3"/>
  <c r="J173" i="3" s="1"/>
  <c r="J117" i="15"/>
  <c r="J154" i="15"/>
  <c r="J213" i="15"/>
  <c r="P383" i="3"/>
  <c r="J383" i="3" s="1"/>
  <c r="J159" i="15"/>
  <c r="J65" i="15"/>
  <c r="J191" i="15"/>
  <c r="P370" i="3"/>
  <c r="J370" i="3" s="1"/>
  <c r="J173" i="15"/>
  <c r="J69" i="15"/>
  <c r="J113" i="15"/>
  <c r="J45" i="15"/>
  <c r="P170" i="3"/>
  <c r="J170" i="3" s="1"/>
  <c r="P41" i="3"/>
  <c r="J41" i="3" s="1"/>
  <c r="J27" i="15"/>
  <c r="J75" i="15"/>
  <c r="P134" i="8"/>
  <c r="J134" i="8" s="1"/>
  <c r="J142" i="15"/>
  <c r="P308" i="3"/>
  <c r="J308" i="3" s="1"/>
  <c r="J224" i="15"/>
  <c r="J186" i="15"/>
  <c r="J19" i="15"/>
  <c r="J48" i="15"/>
  <c r="P177" i="8"/>
  <c r="J177" i="8" s="1"/>
  <c r="P273" i="8"/>
  <c r="J23" i="15"/>
  <c r="J38" i="15"/>
  <c r="J183" i="15"/>
  <c r="P109" i="3"/>
  <c r="J109" i="3" s="1"/>
  <c r="P376" i="3"/>
  <c r="J376" i="3" s="1"/>
  <c r="P52" i="8"/>
  <c r="J52" i="8" s="1"/>
  <c r="P172" i="3"/>
  <c r="J172" i="3" s="1"/>
  <c r="J133" i="15"/>
  <c r="J74" i="15"/>
  <c r="J102" i="15"/>
  <c r="J105" i="15"/>
  <c r="J206" i="15"/>
  <c r="P387" i="3"/>
  <c r="J387" i="3" s="1"/>
  <c r="J150" i="15"/>
  <c r="P51" i="3"/>
  <c r="J51" i="3" s="1"/>
  <c r="J31" i="15"/>
  <c r="P224" i="8"/>
  <c r="J224" i="8" s="1"/>
  <c r="P42" i="3"/>
  <c r="J42" i="3" s="1"/>
  <c r="J145" i="15"/>
  <c r="P40" i="3"/>
  <c r="J40" i="3" s="1"/>
  <c r="P115" i="3"/>
  <c r="J115" i="3" s="1"/>
  <c r="P177" i="3"/>
  <c r="J177" i="3" s="1"/>
  <c r="J221" i="15"/>
  <c r="P236" i="3"/>
  <c r="J236" i="3" s="1"/>
  <c r="P234" i="3"/>
  <c r="J234" i="3" s="1"/>
  <c r="P44" i="3"/>
  <c r="J44" i="3" s="1"/>
  <c r="P315" i="3"/>
  <c r="J315" i="3" s="1"/>
  <c r="P93" i="8"/>
  <c r="J93" i="8" s="1"/>
  <c r="P249" i="3"/>
  <c r="J249" i="3" s="1"/>
  <c r="P39" i="3"/>
  <c r="J39" i="3" s="1"/>
  <c r="P384" i="3"/>
  <c r="J384" i="3" s="1"/>
  <c r="P108" i="3"/>
  <c r="J108" i="3" s="1"/>
  <c r="P184" i="3"/>
  <c r="J184" i="3" s="1"/>
  <c r="P176" i="8"/>
  <c r="J176" i="8" s="1"/>
  <c r="P225" i="8"/>
  <c r="J225" i="8" s="1"/>
  <c r="P374" i="3"/>
  <c r="J374" i="3" s="1"/>
  <c r="P301" i="3"/>
  <c r="J301" i="3" s="1"/>
  <c r="P47" i="3"/>
  <c r="J47" i="3" s="1"/>
  <c r="P169" i="3"/>
  <c r="J169" i="3" s="1"/>
  <c r="P375" i="3"/>
  <c r="J375" i="3" s="1"/>
  <c r="P54" i="3"/>
  <c r="J54" i="3" s="1"/>
  <c r="P305" i="3"/>
  <c r="J305" i="3" s="1"/>
  <c r="P304" i="3"/>
  <c r="J304" i="3" s="1"/>
  <c r="P307" i="3"/>
  <c r="J307" i="3" s="1"/>
  <c r="P245" i="3"/>
  <c r="J245" i="3" s="1"/>
  <c r="P104" i="3"/>
  <c r="J104" i="3" s="1"/>
  <c r="P168" i="3"/>
  <c r="J168" i="3" s="1"/>
  <c r="P107" i="3"/>
  <c r="J107" i="3" s="1"/>
  <c r="P246" i="3"/>
  <c r="J246" i="3" s="1"/>
  <c r="P53" i="8"/>
  <c r="J53" i="8" s="1"/>
  <c r="P371" i="3"/>
  <c r="J371" i="3" s="1"/>
  <c r="P377" i="3"/>
  <c r="J377" i="3" s="1"/>
  <c r="J107" i="15"/>
  <c r="P181" i="3"/>
  <c r="J181" i="3" s="1"/>
  <c r="P232" i="3"/>
  <c r="J232" i="3" s="1"/>
  <c r="P92" i="8"/>
  <c r="J92" i="8" s="1"/>
  <c r="P231" i="3"/>
  <c r="J231" i="3" s="1"/>
  <c r="P166" i="3"/>
  <c r="P300" i="3"/>
  <c r="J300" i="3" s="1"/>
  <c r="P91" i="8"/>
  <c r="J91" i="8" s="1"/>
  <c r="P133" i="8"/>
  <c r="P38" i="3"/>
  <c r="J38" i="3" s="1"/>
  <c r="P103" i="3"/>
  <c r="J103" i="3" s="1"/>
  <c r="P51" i="8"/>
  <c r="P369" i="3"/>
  <c r="J369" i="3" s="1"/>
  <c r="P180" i="3"/>
  <c r="J180" i="3" s="1"/>
  <c r="P233" i="3"/>
  <c r="J233" i="3" s="1"/>
  <c r="P302" i="3"/>
  <c r="J302" i="3" s="1"/>
  <c r="P36" i="3"/>
  <c r="J36" i="3" s="1"/>
  <c r="P271" i="8"/>
  <c r="P380" i="3"/>
  <c r="J380" i="3" s="1"/>
  <c r="P272" i="8"/>
  <c r="P237" i="3"/>
  <c r="J237" i="3" s="1"/>
  <c r="P174" i="3"/>
  <c r="J174" i="3" s="1"/>
  <c r="P106" i="3"/>
  <c r="J106" i="3" s="1"/>
  <c r="P102" i="3"/>
  <c r="J102" i="3" s="1"/>
  <c r="P50" i="3"/>
  <c r="J50" i="3" s="1"/>
  <c r="P101" i="3"/>
  <c r="J101" i="3" s="1"/>
  <c r="P223" i="8"/>
  <c r="P116" i="3"/>
  <c r="J116" i="3" s="1"/>
  <c r="P171" i="3"/>
  <c r="J171" i="3" s="1"/>
  <c r="P175" i="8"/>
  <c r="P193" i="8" s="1"/>
  <c r="J193" i="8" s="1"/>
  <c r="P314" i="3"/>
  <c r="J314" i="3" s="1"/>
  <c r="P242" i="3"/>
  <c r="P64" i="8" l="1"/>
  <c r="P190" i="3"/>
  <c r="J190" i="3" s="1"/>
  <c r="J166" i="3"/>
  <c r="P255" i="3"/>
  <c r="J255" i="3" s="1"/>
  <c r="J242" i="3"/>
  <c r="P397" i="3"/>
  <c r="J397" i="3" s="1"/>
  <c r="P244" i="8"/>
  <c r="J244" i="8" s="1"/>
  <c r="P196" i="8"/>
  <c r="P40" i="26" s="1"/>
  <c r="J40" i="26" s="1"/>
  <c r="P148" i="8"/>
  <c r="P27" i="26" s="1"/>
  <c r="J27" i="26" s="1"/>
  <c r="P287" i="8"/>
  <c r="P60" i="3"/>
  <c r="J60" i="3" s="1"/>
  <c r="P259" i="3"/>
  <c r="J259" i="3" s="1"/>
  <c r="P290" i="8"/>
  <c r="J290" i="8" s="1"/>
  <c r="P106" i="8"/>
  <c r="P328" i="3"/>
  <c r="J328" i="3" s="1"/>
  <c r="P288" i="8"/>
  <c r="P61" i="26" s="1"/>
  <c r="J61" i="26" s="1"/>
  <c r="P105" i="8"/>
  <c r="P125" i="3"/>
  <c r="J125" i="3" s="1"/>
  <c r="P147" i="8"/>
  <c r="P26" i="26" s="1"/>
  <c r="J26" i="26" s="1"/>
  <c r="J51" i="8"/>
  <c r="P129" i="3"/>
  <c r="J129" i="3" s="1"/>
  <c r="P192" i="8"/>
  <c r="P195" i="8"/>
  <c r="P194" i="3"/>
  <c r="J194" i="3" s="1"/>
  <c r="J223" i="8"/>
  <c r="P243" i="8"/>
  <c r="P240" i="8"/>
  <c r="P241" i="8"/>
  <c r="P35" i="26"/>
  <c r="J35" i="26" s="1"/>
  <c r="P393" i="3"/>
  <c r="J393" i="3" s="1"/>
  <c r="J175" i="8"/>
  <c r="P324" i="3"/>
  <c r="J324" i="3" s="1"/>
  <c r="P64" i="3"/>
  <c r="J64" i="3" s="1"/>
  <c r="J133" i="8"/>
  <c r="P60" i="26" l="1"/>
  <c r="J60" i="26" s="1"/>
  <c r="P53" i="26"/>
  <c r="J53" i="26" s="1"/>
  <c r="J196" i="8"/>
  <c r="J147" i="8"/>
  <c r="J148" i="8"/>
  <c r="J287" i="8"/>
  <c r="J288" i="8"/>
  <c r="P20" i="26"/>
  <c r="J20" i="26" s="1"/>
  <c r="J106" i="8"/>
  <c r="P65" i="26"/>
  <c r="J65" i="26" s="1"/>
  <c r="P413" i="3"/>
  <c r="J413" i="3" s="1"/>
  <c r="P409" i="3"/>
  <c r="P275" i="3"/>
  <c r="P141" i="3"/>
  <c r="J141" i="3" s="1"/>
  <c r="P340" i="3"/>
  <c r="J340" i="3" s="1"/>
  <c r="P344" i="3"/>
  <c r="J344" i="3" s="1"/>
  <c r="P206" i="3"/>
  <c r="J206" i="3" s="1"/>
  <c r="P271" i="3"/>
  <c r="J271" i="3" s="1"/>
  <c r="P76" i="3"/>
  <c r="J76" i="3" s="1"/>
  <c r="J105" i="8"/>
  <c r="P19" i="26"/>
  <c r="J19" i="26" s="1"/>
  <c r="P13" i="26"/>
  <c r="J13" i="26" s="1"/>
  <c r="J64" i="8"/>
  <c r="J241" i="8"/>
  <c r="P48" i="26"/>
  <c r="J48" i="26" s="1"/>
  <c r="J243" i="8"/>
  <c r="P52" i="26"/>
  <c r="J52" i="26" s="1"/>
  <c r="J192" i="8"/>
  <c r="P34" i="26"/>
  <c r="J34" i="26" s="1"/>
  <c r="J240" i="8"/>
  <c r="P47" i="26"/>
  <c r="J47" i="26" s="1"/>
  <c r="J195" i="8"/>
  <c r="P39" i="26"/>
  <c r="J39" i="26" s="1"/>
  <c r="J409" i="3" l="1"/>
  <c r="P58" i="26"/>
  <c r="J58" i="26" s="1"/>
  <c r="P12" i="26"/>
  <c r="J12" i="26" s="1"/>
  <c r="P51" i="26"/>
  <c r="J51" i="26" s="1"/>
  <c r="P64" i="26"/>
  <c r="J64" i="26" s="1"/>
  <c r="P45" i="26"/>
  <c r="J45" i="26" s="1"/>
  <c r="P25" i="26"/>
  <c r="J25" i="26" s="1"/>
  <c r="P18" i="26"/>
  <c r="J18" i="26" s="1"/>
  <c r="J275" i="3"/>
  <c r="P38" i="26"/>
  <c r="J38" i="26" s="1"/>
  <c r="P32" i="26"/>
  <c r="J32"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63"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22" authorId="0" shapeId="0" xr:uid="{00000000-0006-0000-0500-000001000000}">
      <text>
        <r>
          <rPr>
            <sz val="8"/>
            <color indexed="81"/>
            <rFont val="Tahoma"/>
            <family val="2"/>
          </rPr>
          <t>Parameter vastgesteld o.b.v. ECLI:NL:CBB:2019:634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185" authorId="0" shapeId="0" xr:uid="{00000000-0006-0000-0D00-000001000000}">
      <text>
        <r>
          <rPr>
            <sz val="8"/>
            <color indexed="81"/>
            <rFont val="Tahoma"/>
            <family val="2"/>
          </rPr>
          <t>De ACM vermindert de reguliere kapitaalkosten met de afschrijvingen en vermogenskosten op de start-GAW om de maatstaf te corrigeren voor het effect van de afschrijvingsklif van RENDO.</t>
        </r>
      </text>
    </comment>
    <comment ref="V185" authorId="0" shapeId="0" xr:uid="{E40EF4E4-E987-4E30-8766-D431D6089422}">
      <text>
        <r>
          <rPr>
            <sz val="8"/>
            <color indexed="81"/>
            <rFont val="Tahoma"/>
            <family val="2"/>
          </rPr>
          <t>De ACM vermindert de reguliere kapitaalkosten met de afschrijvingen en vermogenskosten op de start-GAW om de maatstaf te corrigeren voor het effect van de afschrijvingsklif van RENDO.</t>
        </r>
      </text>
    </comment>
    <comment ref="O186" authorId="0" shapeId="0" xr:uid="{00000000-0006-0000-0D00-000002000000}">
      <text>
        <r>
          <rPr>
            <sz val="8"/>
            <color indexed="81"/>
            <rFont val="Tahoma"/>
            <family val="2"/>
          </rPr>
          <t>De ACM vermindert de reguliere kapitaalkosten met de afschrijvingen en vermogenskosten op de start-GAW om de maatstaf te corrigeren voor het effect van de afschrijvingsklif van RENDO.</t>
        </r>
      </text>
    </comment>
    <comment ref="V186" authorId="0" shapeId="0" xr:uid="{FF9F3E27-1827-45D8-8ED8-2532B71FEE80}">
      <text>
        <r>
          <rPr>
            <sz val="8"/>
            <color indexed="81"/>
            <rFont val="Tahoma"/>
            <family val="2"/>
          </rPr>
          <t>De ACM vermindert de reguliere kapitaalkosten met de afschrijvingen en vermogenskosten op de start-GAW om de maatstaf te corrigeren voor het effect van de afschrijvingsklif van RENDO.</t>
        </r>
      </text>
    </comment>
    <comment ref="O189" authorId="0" shapeId="0" xr:uid="{00000000-0006-0000-0D00-000003000000}">
      <text>
        <r>
          <rPr>
            <sz val="8"/>
            <color indexed="81"/>
            <rFont val="Tahoma"/>
            <family val="2"/>
          </rPr>
          <t>De ACM vermindert de reguliere kapitaalkosten met de afschrijvingen en vermogenskosten op de start-GAW om de productiviteitsverandering tussen 2018-2019 te corrigeren voor het effect van de afschrijvingsklif van RENDO.</t>
        </r>
      </text>
    </comment>
    <comment ref="V189" authorId="0" shapeId="0" xr:uid="{789E225A-CAE1-439E-9177-F698302969D5}">
      <text>
        <r>
          <rPr>
            <sz val="8"/>
            <color indexed="81"/>
            <rFont val="Tahoma"/>
            <family val="2"/>
          </rPr>
          <t>De ACM vermindert de reguliere kapitaalkosten met de afschrijvingen en vermogenskosten op de start-GAW om de productiviteitsverandering tussen 2018-2019 te corrigeren voor het effect van de afschrijvingsklif van RENDO.</t>
        </r>
      </text>
    </comment>
    <comment ref="O233" authorId="0" shapeId="0" xr:uid="{00000000-0006-0000-0D00-000004000000}">
      <text>
        <r>
          <rPr>
            <sz val="8"/>
            <color indexed="81"/>
            <rFont val="Tahoma"/>
            <family val="2"/>
          </rPr>
          <t>De ACM vermindert de reguliere kapitaalkosten met de afschrijvingen en vermogenskosten op de start-GAW om de maatstaf te corrigeren voor het effect van de afschrijvingsklif van RENDO.</t>
        </r>
      </text>
    </comment>
    <comment ref="V233" authorId="0" shapeId="0" xr:uid="{E6ED7B28-0369-42A2-BAAF-B3BD125D63C2}">
      <text>
        <r>
          <rPr>
            <sz val="8"/>
            <color indexed="81"/>
            <rFont val="Tahoma"/>
            <family val="2"/>
          </rPr>
          <t>De ACM vermindert de reguliere kapitaalkosten met de afschrijvingen en vermogenskosten op de start-GAW om de maatstaf te corrigeren voor het effect van de afschrijvingsklif van RENDO.</t>
        </r>
      </text>
    </comment>
    <comment ref="O234" authorId="0" shapeId="0" xr:uid="{00000000-0006-0000-0D00-000005000000}">
      <text>
        <r>
          <rPr>
            <sz val="8"/>
            <color indexed="81"/>
            <rFont val="Tahoma"/>
            <family val="2"/>
          </rPr>
          <t>De ACM vermindert de reguliere kapitaalkosten met de afschrijvingen en vermogenskosten op de start-GAW om de maatstaf te corrigeren voor het effect van de afschrijvingsklif van RENDO.</t>
        </r>
      </text>
    </comment>
    <comment ref="V234" authorId="0" shapeId="0" xr:uid="{545E10B8-F442-44BA-A305-1C1D11B3570E}">
      <text>
        <r>
          <rPr>
            <sz val="8"/>
            <color indexed="81"/>
            <rFont val="Tahoma"/>
            <family val="2"/>
          </rPr>
          <t>De ACM vermindert de reguliere kapitaalkosten met de afschrijvingen en vermogenskosten op de start-GAW om de maatstaf te corrigeren voor het effect van de afschrijvingsklif van RENDO.</t>
        </r>
      </text>
    </comment>
    <comment ref="O236" authorId="0" shapeId="0" xr:uid="{00000000-0006-0000-0D00-000006000000}">
      <text>
        <r>
          <rPr>
            <sz val="8"/>
            <color indexed="81"/>
            <rFont val="Tahoma"/>
            <family val="2"/>
          </rPr>
          <t>De ACM vermindert de reguliere kapitaalkosten met de afschrijvingen en vermogenskosten op de start-GAW om de productiviteitsverandering tussen 2018-2019 te corrigeren voor het effect van de afschrijvingsklif van RENDO.</t>
        </r>
      </text>
    </comment>
    <comment ref="V236" authorId="0" shapeId="0" xr:uid="{254F8D16-F3E0-4DE8-80FE-B217C295F615}">
      <text>
        <r>
          <rPr>
            <sz val="8"/>
            <color indexed="81"/>
            <rFont val="Tahoma"/>
            <family val="2"/>
          </rPr>
          <t>De ACM vermindert de reguliere kapitaalkosten met de afschrijvingen en vermogenskosten op de start-GAW om de productiviteitsverandering tussen 2018-2019 te corrigeren voor het effect van de afschrijvingsklif van RENDO.</t>
        </r>
      </text>
    </comment>
    <comment ref="O237" authorId="0" shapeId="0" xr:uid="{00000000-0006-0000-0D00-000007000000}">
      <text>
        <r>
          <rPr>
            <sz val="8"/>
            <color indexed="81"/>
            <rFont val="Tahoma"/>
            <family val="2"/>
          </rPr>
          <t>De ACM vermindert de reguliere kapitaalkosten met de afschrijvingen en vermogenskosten op de start-GAW om de productiviteitsverandering tussen 2019-2020 te corrigeren voor het effect van de afschrijvingsklif van RENDO.</t>
        </r>
      </text>
    </comment>
    <comment ref="V237" authorId="0" shapeId="0" xr:uid="{ACEAC3E4-B8C6-4ED8-8BBE-E06320EA70F7}">
      <text>
        <r>
          <rPr>
            <sz val="8"/>
            <color indexed="81"/>
            <rFont val="Tahoma"/>
            <family val="2"/>
          </rPr>
          <t>De ACM vermindert de reguliere kapitaalkosten met de afschrijvingen en vermogenskosten op de start-GAW om de productiviteitsverandering tussen 2019-2020 te corrigeren voor het effect van de afschrijvingsklif van RENDO.</t>
        </r>
      </text>
    </comment>
    <comment ref="O281" authorId="0" shapeId="0" xr:uid="{00000000-0006-0000-0D00-000008000000}">
      <text>
        <r>
          <rPr>
            <sz val="8"/>
            <color indexed="81"/>
            <rFont val="Tahoma"/>
            <family val="2"/>
          </rPr>
          <t>De ACM vermindert de reguliere kapitaalkosten met de afschrijvingen en vermogenskosten op de start-GAW om de maatstaf te corrigeren voor het effect van de afschrijvingsklif van RENDO.</t>
        </r>
      </text>
    </comment>
    <comment ref="V281" authorId="0" shapeId="0" xr:uid="{450A288F-3FF3-4841-8965-DADD38FF9FBC}">
      <text>
        <r>
          <rPr>
            <sz val="8"/>
            <color indexed="81"/>
            <rFont val="Tahoma"/>
            <family val="2"/>
          </rPr>
          <t>De ACM vermindert de reguliere kapitaalkosten met de afschrijvingen en vermogenskosten op de start-GAW om de maatstaf te corrigeren voor het effect van de afschrijvingsklif van RENDO.</t>
        </r>
      </text>
    </comment>
    <comment ref="O282" authorId="0" shapeId="0" xr:uid="{00000000-0006-0000-0D00-000009000000}">
      <text>
        <r>
          <rPr>
            <sz val="8"/>
            <color indexed="81"/>
            <rFont val="Tahoma"/>
            <family val="2"/>
          </rPr>
          <t>De ACM vermindert de reguliere kapitaalkosten met de afschrijvingen en vermogenskosten op de start-GAW om de maatstaf te corrigeren voor het effect van de afschrijvingsklif van RENDO.</t>
        </r>
      </text>
    </comment>
    <comment ref="V282" authorId="0" shapeId="0" xr:uid="{4EEAEA28-EB60-4A3F-893A-C1711ADE7861}">
      <text>
        <r>
          <rPr>
            <sz val="8"/>
            <color indexed="81"/>
            <rFont val="Tahoma"/>
            <family val="2"/>
          </rPr>
          <t>De ACM vermindert de reguliere kapitaalkosten met de afschrijvingen en vermogenskosten op de start-GAW om de maatstaf te corrigeren voor het effect van de afschrijvingsklif van RENDO.</t>
        </r>
      </text>
    </comment>
    <comment ref="O284" authorId="0" shapeId="0" xr:uid="{00000000-0006-0000-0D00-00000A000000}">
      <text>
        <r>
          <rPr>
            <sz val="8"/>
            <color indexed="81"/>
            <rFont val="Tahoma"/>
            <family val="2"/>
          </rPr>
          <t>De ACM vermindert de reguliere kapitaalkosten met de afschrijvingen en vermogenskosten op de start-GAW om de productiviteitsverandering tussen 2019-2020 te corrigeren voor het effect van de afschrijvingsklif van RENDO.</t>
        </r>
      </text>
    </comment>
    <comment ref="V284" authorId="0" shapeId="0" xr:uid="{C7884E7F-5E1F-42BB-8EFA-796B6E75E1A6}">
      <text>
        <r>
          <rPr>
            <sz val="8"/>
            <color indexed="81"/>
            <rFont val="Tahoma"/>
            <family val="2"/>
          </rPr>
          <t>De ACM vermindert de reguliere kapitaalkosten met de afschrijvingen en vermogenskosten op de start-GAW om de productiviteitsverandering tussen 2019-2020 te corrigeren voor het effect van de afschrijvingsklif van RENDO.</t>
        </r>
      </text>
    </comment>
  </commentList>
</comments>
</file>

<file path=xl/sharedStrings.xml><?xml version="1.0" encoding="utf-8"?>
<sst xmlns="http://schemas.openxmlformats.org/spreadsheetml/2006/main" count="2945" uniqueCount="659">
  <si>
    <t>Eenheid</t>
  </si>
  <si>
    <t>Enexis</t>
  </si>
  <si>
    <t>Liander</t>
  </si>
  <si>
    <t>RENDO</t>
  </si>
  <si>
    <t>Stedin</t>
  </si>
  <si>
    <t>Westland</t>
  </si>
  <si>
    <t>Inkoop</t>
  </si>
  <si>
    <t>Inkoop transport bij landelijk netbeheerder</t>
  </si>
  <si>
    <t>Inkoop transport bij regionale netbeheerder(s)</t>
  </si>
  <si>
    <t xml:space="preserve">Inkoop energie en vermogen </t>
  </si>
  <si>
    <t>Overige inkoopkosten voor de gereguleerde activiteiten (artikel 16)</t>
  </si>
  <si>
    <t>Reguliere operationele kosten</t>
  </si>
  <si>
    <t>Personeelskosten, uitbesteed werk en andere externe kosten</t>
  </si>
  <si>
    <t>Overige kosten</t>
  </si>
  <si>
    <t>Voorzieningen</t>
  </si>
  <si>
    <t>Afschrijving debiteuren wegens fraude/leegstand </t>
  </si>
  <si>
    <t>Afschrijving debiteuren kleinverbruik overig</t>
  </si>
  <si>
    <t>Afschrijving debiteuren grootverbruik</t>
  </si>
  <si>
    <t>Totaal aan onttrekkingen uit voorzieningen</t>
  </si>
  <si>
    <t>OPEX 2015</t>
  </si>
  <si>
    <t>EUR, pp 2015</t>
  </si>
  <si>
    <t>OVERIGE OPBRENGSTEN</t>
  </si>
  <si>
    <t>Fraude en leegstand: In rekening gebrachte elektriciteit</t>
  </si>
  <si>
    <t>Fraude en leegstand: In rekening gebrachte overige kosten</t>
  </si>
  <si>
    <t>Opgegeven te salderen kosten niet-tariefgereguleerde activiteiten</t>
  </si>
  <si>
    <t>AD: Afsluiten en heraansluiten</t>
  </si>
  <si>
    <t>Totaal</t>
  </si>
  <si>
    <t>Opgegeven opbrengsten niet-tariefgereguleerde activiteiten</t>
  </si>
  <si>
    <t>TD + AD: In rekening gebrachte schades en storingen</t>
  </si>
  <si>
    <t>TD + AD: In rekening gebrachte incasso, administratie- en aanmaningskosten</t>
  </si>
  <si>
    <t>Diverse en overig 1 (zie toelichting in opmerking)</t>
  </si>
  <si>
    <t>Diverse en overig 2 (zie toelichting in opmerking)</t>
  </si>
  <si>
    <t>Diverse en overig 3 (zie toelichting in opmerking)</t>
  </si>
  <si>
    <t>Diverse en overig 4 (zie toelichting in opmerking)</t>
  </si>
  <si>
    <t>Diverse en overig 5 (zie toelichting in opmerking)</t>
  </si>
  <si>
    <t>Enduris</t>
  </si>
  <si>
    <t>TD: Uitgevoerde werkzaamheden transportdienst (bijv. verwijderingen)</t>
  </si>
  <si>
    <t>AD: Verplaatsen, wijzigen of verwijderen van aansluitingen</t>
  </si>
  <si>
    <t>AD: PAV Maatwerkaansluitingen</t>
  </si>
  <si>
    <t>AD: Tijdelijke aansluitingen</t>
  </si>
  <si>
    <t>TD + AD: Opbrengst uit verhuur en verkoop materialen e.d.</t>
  </si>
  <si>
    <t>Opgegeven opbrengsten uit desinvesteringen</t>
  </si>
  <si>
    <t>Opbrengsten uit desinvesteringen</t>
  </si>
  <si>
    <t>Overige opbrengsten 2015</t>
  </si>
  <si>
    <t>Totale kosten 2015</t>
  </si>
  <si>
    <t>GAW 2015</t>
  </si>
  <si>
    <t>Afschrijvingen</t>
  </si>
  <si>
    <t>WACC</t>
  </si>
  <si>
    <t>Start-GAW (excl. bijzonderheden)</t>
  </si>
  <si>
    <t>Investeringsbedrag boekjaar Start-GAW</t>
  </si>
  <si>
    <t>Afschrijvingen Start-GAW</t>
  </si>
  <si>
    <t>Boekwaarde Start-GAW</t>
  </si>
  <si>
    <t>Nieuwe Investeringen (excl. Bijzonderheden)</t>
  </si>
  <si>
    <t>Investeringsbedrag boekjaar</t>
  </si>
  <si>
    <t>Boekwaarde</t>
  </si>
  <si>
    <t>Bijzonderheid: UI's</t>
  </si>
  <si>
    <t>Investeringsbedrag UI's</t>
  </si>
  <si>
    <t>Afschrijvingen UI's</t>
  </si>
  <si>
    <t>Boekwaarde UI's</t>
  </si>
  <si>
    <t>Bijzonderheid: overgenomen netten</t>
  </si>
  <si>
    <t>Investeringsbedrag overgenomen netten</t>
  </si>
  <si>
    <t>Afschrijvingen overgenomen netten</t>
  </si>
  <si>
    <t>Boekwaarde overgenomen netten</t>
  </si>
  <si>
    <t>%</t>
  </si>
  <si>
    <t>Reguliere operationele kosten 2015</t>
  </si>
  <si>
    <t>Totale reguliere kapitaalkosten 2015</t>
  </si>
  <si>
    <t>Op basis van</t>
  </si>
  <si>
    <t>Bron</t>
  </si>
  <si>
    <t>Toelichting</t>
  </si>
  <si>
    <t>Berekende waarde</t>
  </si>
  <si>
    <t>Bedrag in rekening gebrachte kosten n.a.v. fraude en leegstand</t>
  </si>
  <si>
    <t>In rekening gebrachte transport- en aansluitvergoeding fraude en leegstand</t>
  </si>
  <si>
    <t>Maatstaf</t>
  </si>
  <si>
    <t xml:space="preserve">Productiviteitsverandering </t>
  </si>
  <si>
    <t>Met OPEX te salderen kosten niet-tariefgereguleerde activiteiten</t>
  </si>
  <si>
    <t>Opbrengsten niet-tariefgereguleerde activiteiten</t>
  </si>
  <si>
    <t>Niet-tariefinkomsten uit tariefgereguleerde activiteiten</t>
  </si>
  <si>
    <t>OPEX voor berekening maatstaf</t>
  </si>
  <si>
    <t>WACC 2016</t>
  </si>
  <si>
    <t>Beschrijving gegevens</t>
  </si>
  <si>
    <t>Toelichting bij bijzonderheden</t>
  </si>
  <si>
    <t>Omschrijving</t>
  </si>
  <si>
    <t>Coteq</t>
  </si>
  <si>
    <t xml:space="preserve">Reguliere operationele kosten 2015 </t>
  </si>
  <si>
    <t>Netto; WACC 2016</t>
  </si>
  <si>
    <t>Totale kosten 2016</t>
  </si>
  <si>
    <t>Reguliere operationele kosten 2016</t>
  </si>
  <si>
    <t>EUR, pp 2016</t>
  </si>
  <si>
    <t>Totale reguliere kapitaalkosten 2016</t>
  </si>
  <si>
    <t>Netto; WACC 2017</t>
  </si>
  <si>
    <t>Totale kosten 2017</t>
  </si>
  <si>
    <t>Reguliere operationele kosten 2017</t>
  </si>
  <si>
    <t>EUR, pp 2017</t>
  </si>
  <si>
    <t>Totale reguliere kapitaalkosten 2017</t>
  </si>
  <si>
    <t>Netto; WACC 2018</t>
  </si>
  <si>
    <t>Totale kosten 2018</t>
  </si>
  <si>
    <t>Reguliere operationele kosten 2018</t>
  </si>
  <si>
    <t>EUR, pp 2018</t>
  </si>
  <si>
    <t>Totale inkoopkosten transport 2018</t>
  </si>
  <si>
    <t>Totale reguliere kapitaalkosten 2018</t>
  </si>
  <si>
    <t>Netto; WACC BI2021</t>
  </si>
  <si>
    <t>Netto; WACC EI2026</t>
  </si>
  <si>
    <t>Totaal reguliere kapitaalkosten 2018</t>
  </si>
  <si>
    <t>Netto; WACC 2019</t>
  </si>
  <si>
    <t>Totale kosten 2019</t>
  </si>
  <si>
    <t>Reguliere operationele kosten 2019</t>
  </si>
  <si>
    <t>EUR, pp 2019</t>
  </si>
  <si>
    <t>Totale inkoopkosten transport 2019</t>
  </si>
  <si>
    <t>Totale reguliere kapitaalkosten 2019</t>
  </si>
  <si>
    <t>Totaal reguliere kapitaalkosten 2019</t>
  </si>
  <si>
    <t>Netto; WACC 2020</t>
  </si>
  <si>
    <t>Totale kosten 2020</t>
  </si>
  <si>
    <t>Reguliere operationele kosten 2020</t>
  </si>
  <si>
    <t>EUR, pp 2020</t>
  </si>
  <si>
    <t>Totale inkoopkosten transport 2020</t>
  </si>
  <si>
    <t>Totale reguliere kapitaalkosten 2020</t>
  </si>
  <si>
    <t>OPEX 2016</t>
  </si>
  <si>
    <t>OPEX 2017</t>
  </si>
  <si>
    <t>OPEX 2018</t>
  </si>
  <si>
    <t>OPEX 2019</t>
  </si>
  <si>
    <t>OPEX 2020</t>
  </si>
  <si>
    <t>Overige opbrengsten 2016</t>
  </si>
  <si>
    <t>Overige opbrengsten 2017</t>
  </si>
  <si>
    <t>Overige opbrengsten 2018</t>
  </si>
  <si>
    <t>Overige opbrengsten 2019</t>
  </si>
  <si>
    <t>Overige opbrengsten 2020</t>
  </si>
  <si>
    <t>GAW 2016</t>
  </si>
  <si>
    <t>GAW 2017</t>
  </si>
  <si>
    <t>GAW 2018</t>
  </si>
  <si>
    <t>GAW 2019</t>
  </si>
  <si>
    <t>GAW 2020</t>
  </si>
  <si>
    <t>Ophalen gegevens (1)</t>
  </si>
  <si>
    <t>Totaal netto-OPEX ten bate van regulering (3)</t>
  </si>
  <si>
    <t>Netto OPEX (2)</t>
  </si>
  <si>
    <t>OPEX voor berekening productiviteitsverandering</t>
  </si>
  <si>
    <t>WACC-percentages voor berekening kapitaalkosten (reëel, voor belasting)</t>
  </si>
  <si>
    <t xml:space="preserve"> </t>
  </si>
  <si>
    <t>WACC bijlage bij ontwerpmethodebesluit 2022-2026</t>
  </si>
  <si>
    <t>WACC BI2021</t>
  </si>
  <si>
    <t>WACC EI2026</t>
  </si>
  <si>
    <t>WACC-percentages voor berekening pv (reëel, voor belasting)</t>
  </si>
  <si>
    <t>WACC 2017</t>
  </si>
  <si>
    <t>WACC 2018</t>
  </si>
  <si>
    <t>WACC 2019</t>
  </si>
  <si>
    <t>WACC 2020</t>
  </si>
  <si>
    <t>Ophalen WACC</t>
  </si>
  <si>
    <t>Berekening kapitaalkosten 2015</t>
  </si>
  <si>
    <t>GAW</t>
  </si>
  <si>
    <t>SALDERING OPBRENGSTEN EN OVERIGE AANPASSINGEN</t>
  </si>
  <si>
    <t>Overige opbrengsten uit PAV Maatwerk</t>
  </si>
  <si>
    <t>waarvan reeds met OPEX gesaldeerd (restant wordt gesaldeerd met KK)</t>
  </si>
  <si>
    <t>Te salderen opbrengsten uit desinvesteringen</t>
  </si>
  <si>
    <t>RUWE GEGEVENS (zoals berekend in GAW bestand)</t>
  </si>
  <si>
    <t>Totaal netto-kapitaalkosten ten bate van regulering (3)</t>
  </si>
  <si>
    <t>Berekening afschrijvingen en GAW</t>
  </si>
  <si>
    <t>Berekening bruto kapitaalkosten</t>
  </si>
  <si>
    <t>Berekening bruto kapitaalkosten (2)</t>
  </si>
  <si>
    <t>Berekening kapitaalkosten 2016</t>
  </si>
  <si>
    <t>Berekening kapitaalkosten 2017</t>
  </si>
  <si>
    <t>Berekening kapitaalkosten 2018</t>
  </si>
  <si>
    <t>Bruto, WACC BI2021</t>
  </si>
  <si>
    <t>Netto, WACC BI2021</t>
  </si>
  <si>
    <t>Berekening kapitaalkosten 2019</t>
  </si>
  <si>
    <t>Berekening kapitaalkosten 2020</t>
  </si>
  <si>
    <t>Bruto, WACC EI2026</t>
  </si>
  <si>
    <t>Tabel 2 - Reguleringsparameters</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</si>
  <si>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</si>
  <si>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</si>
  <si>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</si>
  <si>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</si>
  <si>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</si>
  <si>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</si>
  <si>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</si>
  <si>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</si>
  <si>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</si>
  <si>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</si>
  <si>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</si>
  <si>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Nee</t>
  </si>
  <si>
    <t>Is of wordt gepubliceerd? (j/n)</t>
  </si>
  <si>
    <t>Ja</t>
  </si>
  <si>
    <t>Juridisch integraal onderdeel van bovenstaande besluit(en) (j/n)?</t>
  </si>
  <si>
    <t>Bevat bedrijfsvertrouwelijke gegevens? (j/n)</t>
  </si>
  <si>
    <t>Opmerkingen openbare versiegeschiedenis</t>
  </si>
  <si>
    <t>Disclaimer</t>
  </si>
  <si>
    <t>Toelichting bij dit bestand</t>
  </si>
  <si>
    <t>Toelichting bij de werking van dit model</t>
  </si>
  <si>
    <t>Samenhang van dit bestand met andere bestanden</t>
  </si>
  <si>
    <t>Investeringen</t>
  </si>
  <si>
    <t>GAW model</t>
  </si>
  <si>
    <t>Kosten</t>
  </si>
  <si>
    <t>SO</t>
  </si>
  <si>
    <t>Schematische weergave en/of inhoudsopgave van de werking van dit model</t>
  </si>
  <si>
    <t>Toelichting samenhang tabbladen:</t>
  </si>
  <si>
    <t>Berekeningen</t>
  </si>
  <si>
    <t>Legenda voor gebruik van celkleuren en tabkleuren</t>
  </si>
  <si>
    <t>Celkleur getallen</t>
  </si>
  <si>
    <t>Beschrijving</t>
  </si>
  <si>
    <t>Data en input (bron wordt vermeld)</t>
  </si>
  <si>
    <t>Waarde die zonder berekening wordt overgenomen uit een andere cel</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</si>
  <si>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</si>
  <si>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</si>
  <si>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</si>
  <si>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(zie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</si>
  <si>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</si>
  <si>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</si>
  <si>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</si>
  <si>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</si>
  <si>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</si>
  <si>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</si>
  <si>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</si>
  <si>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</si>
  <si>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</si>
  <si>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</si>
  <si>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</si>
  <si>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</si>
  <si>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</si>
  <si>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</si>
  <si>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</si>
  <si>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</si>
  <si>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</si>
  <si>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Gestandaardiseerde tabbladen, omvat tenminste: 'Titelblad', 'Toelichting' en 'Bronnen en toepassingen'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</si>
  <si>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</si>
  <si>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</si>
  <si>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</si>
  <si>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</si>
  <si>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</si>
  <si>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</si>
  <si>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</si>
  <si>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</si>
  <si>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</si>
  <si>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</si>
  <si>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</si>
  <si>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</si>
  <si>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</si>
  <si>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2) Reguleringsparameters</t>
  </si>
  <si>
    <t>3) Input operationele kosten</t>
  </si>
  <si>
    <t>1) Totale kosten</t>
  </si>
  <si>
    <t>Kostenbestand RNB-E 2022-2026</t>
  </si>
  <si>
    <t>RUWE OPERATIONELE KOSTEN</t>
  </si>
  <si>
    <t>Om de berekening overzichtelijk te houden doen we de berekening per jaar. In elk blokje halen we dus de gegevens voor dat jaar op, doen we de bewerkingen voor dat jaar en berekenen we de netto operationele kosten voor dat jaar</t>
  </si>
  <si>
    <t>Reguleringsdata 2015-2020</t>
  </si>
  <si>
    <t>Reguleringsdata 2015; Tabel 7 - Overige opbrengsten; rij 12</t>
  </si>
  <si>
    <t>Reguleringsdata 2015; Tabel 7 - Overige opbrengsten; rij 13</t>
  </si>
  <si>
    <t>Reguleringsdata 2015; Tabel 7 - Overige opbrengsten; rij 14</t>
  </si>
  <si>
    <t>Reguleringsdata 2015; Tabel 7 - Overige opbrengsten; rij 15</t>
  </si>
  <si>
    <t>Reguleringsdata 2015; Tabel 7 - Overige opbrengsten; rij 16</t>
  </si>
  <si>
    <t>Reguleringsdata 2015; Tabel 7 - Overige opbrengsten; rij 17</t>
  </si>
  <si>
    <t>Reguleringsdata 2015; Tabel 7 - Overige opbrengsten; rij 18</t>
  </si>
  <si>
    <t>Reguleringsdata 2015; Tabel 7 - Overige opbrengsten; rij 19</t>
  </si>
  <si>
    <t>Reguleringsdata 2015; Tabel 7 - Overige opbrengsten; rij 20</t>
  </si>
  <si>
    <t>Reguleringsdata 2015; Tabel 7 - Overige opbrengsten; rij 21</t>
  </si>
  <si>
    <t>Reguleringsdata 2015; Tabel 7 - Overige opbrengsten; rij 22</t>
  </si>
  <si>
    <t>Reguleringsdata 2015; Tabel 3A - Operationele kosten; rij 13</t>
  </si>
  <si>
    <t>Reguleringsdata 2015; Tabel 3A - Operationele kosten; rij 14</t>
  </si>
  <si>
    <t>Reguleringsdata 2015; Tabel 3A - Operationele kosten; rij 15</t>
  </si>
  <si>
    <t>Reguleringsdata 2015; Tabel 3A - Operationele kosten; rij 18</t>
  </si>
  <si>
    <t>Reguleringsdata 2015; Tabel 3A - Operationele kosten; rij 20</t>
  </si>
  <si>
    <t>Reguleringsdata 2015; Tabel 3A - Operationele kosten; rij 27</t>
  </si>
  <si>
    <t>Reguleringsdata 2015; Tabel 3A - Operationele kosten; rij 28</t>
  </si>
  <si>
    <t>Reguleringsdata 2015; Tabel 3A - Operationele kosten; rij 29</t>
  </si>
  <si>
    <t>Reguleringsdata 2015; Tabel 3A - Operationele kosten; rij 30</t>
  </si>
  <si>
    <t>Reguleringsdata 2015; Tabel 7 - Overige opbrengsten; rij 32</t>
  </si>
  <si>
    <t>Reguleringsdata 2015; Tabel 7 - Overige opbrengsten; rij 33</t>
  </si>
  <si>
    <t>Reguleringsdata 2015; Tabel 7 - Overige opbrengsten; rij 34</t>
  </si>
  <si>
    <t>Reguleringsdata 2015; Tabel 7 - Overige opbrengsten; rij 35</t>
  </si>
  <si>
    <t>Reguleringsdata 2015; Tabel 7 - Overige opbrengsten; rij 36</t>
  </si>
  <si>
    <t>Reguleringsdata 2015; Tabel 7 - Overige opbrengsten; rij 37</t>
  </si>
  <si>
    <t>Reguleringsdata 2015; Tabel 7 - Overige opbrengsten; rij 38</t>
  </si>
  <si>
    <t>Reguleringsdata 2015; Tabel 7 - Overige opbrengsten; rij 39</t>
  </si>
  <si>
    <t>Reguleringsdata 2015; Tabel 7 - Overige opbrengsten; rij 40</t>
  </si>
  <si>
    <t>Reguleringsdata 2015; Tabel 6 - Totale opbrengsten; rij 14</t>
  </si>
  <si>
    <t>Opmerkingen</t>
  </si>
  <si>
    <t>De volumes van Enexis bevatten ook de volumes van Endinet. Endinet is vanaf 2016 opgegaan in Enexis.</t>
  </si>
  <si>
    <t>De volumes 2015 van Enexis en Liander zijn gecorrigeerd voor het feit dat FNOP in 2016 is overgegaan van Enexis naar Liander.</t>
  </si>
  <si>
    <t>Reguleringsdata 2015; Tabel 3A - Operationele kosten; rij 12. Totale set FNOP 2015 E</t>
  </si>
  <si>
    <t>Reguleringsdata 2018; Tabel 3A - Operationele kosten; rij 12</t>
  </si>
  <si>
    <t>Reguleringsdata 2018; Tabel 3A - Operationele kosten; rij 13</t>
  </si>
  <si>
    <t>Reguleringsdata 2018; Tabel 3A - Operationele kosten; rij 14</t>
  </si>
  <si>
    <t>Reguleringsdata 2018; Tabel 3A - Operationele kosten; rij 15</t>
  </si>
  <si>
    <t>Reguleringsdata 2018; Tabel 3A - Operationele kosten; rij 18</t>
  </si>
  <si>
    <t>Reguleringsdata 2018; Tabel 3A - Operationele kosten; rij 20</t>
  </si>
  <si>
    <t>Reguleringsdata 2018; Tabel 3A - Operationele kosten; rij 27</t>
  </si>
  <si>
    <t>Reguleringsdata 2018; Tabel 3A - Operationele kosten; rij 28</t>
  </si>
  <si>
    <t>Reguleringsdata 2018; Tabel 3A - Operationele kosten; rij 29</t>
  </si>
  <si>
    <t>Reguleringsdata 2018; Tabel 3A - Operationele kosten; rij 30</t>
  </si>
  <si>
    <t>Reguleringsdata 2019; Tabel 3A - Operationele kosten; rij 12</t>
  </si>
  <si>
    <t>Reguleringsdata 2019; Tabel 3A - Operationele kosten; rij 13</t>
  </si>
  <si>
    <t>Reguleringsdata 2019; Tabel 3A - Operationele kosten; rij 14</t>
  </si>
  <si>
    <t>Reguleringsdata 2019; Tabel 3A - Operationele kosten; rij 15</t>
  </si>
  <si>
    <t>Reguleringsdata 2019; Tabel 3A - Operationele kosten; rij 18</t>
  </si>
  <si>
    <t>Reguleringsdata 2019; Tabel 3A - Operationele kosten; rij 20</t>
  </si>
  <si>
    <t>Reguleringsdata 2019; Tabel 3A - Operationele kosten; rij 27</t>
  </si>
  <si>
    <t>Reguleringsdata 2019; Tabel 3A - Operationele kosten; rij 28</t>
  </si>
  <si>
    <t>Reguleringsdata 2019; Tabel 3A - Operationele kosten; rij 29</t>
  </si>
  <si>
    <t>Reguleringsdata 2019; Tabel 3A - Operationele kosten; rij 30</t>
  </si>
  <si>
    <t>Reguleringsdata 2020; Tabel 3A - Operationele kosten; rij 12</t>
  </si>
  <si>
    <t>Reguleringsdata 2020; Tabel 3A - Operationele kosten; rij 13</t>
  </si>
  <si>
    <t>Reguleringsdata 2020; Tabel 3A - Operationele kosten; rij 14</t>
  </si>
  <si>
    <t>Reguleringsdata 2020; Tabel 3A - Operationele kosten; rij 15</t>
  </si>
  <si>
    <t>Reguleringsdata 2020; Tabel 3A - Operationele kosten; rij 18</t>
  </si>
  <si>
    <t>Reguleringsdata 2020; Tabel 3A - Operationele kosten; rij 20</t>
  </si>
  <si>
    <t>Reguleringsdata 2020; Tabel 3A - Operationele kosten; rij 27</t>
  </si>
  <si>
    <t>Reguleringsdata 2020; Tabel 3A - Operationele kosten; rij 28</t>
  </si>
  <si>
    <t>Reguleringsdata 2020; Tabel 3A - Operationele kosten; rij 29</t>
  </si>
  <si>
    <t>Reguleringsdata 2020; Tabel 3A - Operationele kosten; rij 30</t>
  </si>
  <si>
    <t>Reguleringsdata 2017; Tabel 7 - Overige opbrengsten; rij 12</t>
  </si>
  <si>
    <t>Reguleringsdata 2017; Tabel 7 - Overige opbrengsten; rij 13</t>
  </si>
  <si>
    <t>Reguleringsdata 2017; Tabel 7 - Overige opbrengsten; rij 14</t>
  </si>
  <si>
    <t>Reguleringsdata 2017; Tabel 7 - Overige opbrengsten; rij 15</t>
  </si>
  <si>
    <t>Reguleringsdata 2017; Tabel 7 - Overige opbrengsten; rij 16</t>
  </si>
  <si>
    <t>Reguleringsdata 2017; Tabel 7 - Overige opbrengsten; rij 17</t>
  </si>
  <si>
    <t>Reguleringsdata 2017; Tabel 7 - Overige opbrengsten; rij 18</t>
  </si>
  <si>
    <t>Reguleringsdata 2017; Tabel 7 - Overige opbrengsten; rij 19</t>
  </si>
  <si>
    <t>Reguleringsdata 2017; Tabel 7 - Overige opbrengsten; rij 20</t>
  </si>
  <si>
    <t>Reguleringsdata 2017; Tabel 7 - Overige opbrengsten; rij 21</t>
  </si>
  <si>
    <t>Reguleringsdata 2017; Tabel 7 - Overige opbrengsten; rij 22</t>
  </si>
  <si>
    <t>Reguleringsdata 2017; Tabel 7 - Overige opbrengsten; rij 32</t>
  </si>
  <si>
    <t>Reguleringsdata 2017; Tabel 7 - Overige opbrengsten; rij 33</t>
  </si>
  <si>
    <t>Reguleringsdata 2017; Tabel 7 - Overige opbrengsten; rij 34</t>
  </si>
  <si>
    <t>Reguleringsdata 2017; Tabel 7 - Overige opbrengsten; rij 35</t>
  </si>
  <si>
    <t>Reguleringsdata 2017; Tabel 7 - Overige opbrengsten; rij 36</t>
  </si>
  <si>
    <t>Reguleringsdata 2017; Tabel 7 - Overige opbrengsten; rij 37</t>
  </si>
  <si>
    <t>Reguleringsdata 2017; Tabel 7 - Overige opbrengsten; rij 38</t>
  </si>
  <si>
    <t>Reguleringsdata 2017; Tabel 7 - Overige opbrengsten; rij 39</t>
  </si>
  <si>
    <t>Reguleringsdata 2017; Tabel 7 - Overige opbrengsten; rij 40</t>
  </si>
  <si>
    <t>Reguleringsdata 2017; Tabel 6 - Totale opbrengsten; rij 14</t>
  </si>
  <si>
    <t>Reguleringsdata 2018; Tabel 7 - Overige opbrengsten; rij 12</t>
  </si>
  <si>
    <t>Reguleringsdata 2018; Tabel 7 - Overige opbrengsten; rij 13</t>
  </si>
  <si>
    <t>Reguleringsdata 2018; Tabel 7 - Overige opbrengsten; rij 14</t>
  </si>
  <si>
    <t>Reguleringsdata 2018; Tabel 7 - Overige opbrengsten; rij 15</t>
  </si>
  <si>
    <t>Reguleringsdata 2018; Tabel 7 - Overige opbrengsten; rij 16</t>
  </si>
  <si>
    <t>Reguleringsdata 2018; Tabel 7 - Overige opbrengsten; rij 17</t>
  </si>
  <si>
    <t>Reguleringsdata 2018; Tabel 7 - Overige opbrengsten; rij 18</t>
  </si>
  <si>
    <t>Reguleringsdata 2018; Tabel 7 - Overige opbrengsten; rij 19</t>
  </si>
  <si>
    <t>Reguleringsdata 2018; Tabel 7 - Overige opbrengsten; rij 20</t>
  </si>
  <si>
    <t>Reguleringsdata 2018; Tabel 7 - Overige opbrengsten; rij 21</t>
  </si>
  <si>
    <t>Reguleringsdata 2018; Tabel 7 - Overige opbrengsten; rij 22</t>
  </si>
  <si>
    <t>Reguleringsdata 2018; Tabel 7 - Overige opbrengsten; rij 32</t>
  </si>
  <si>
    <t>Reguleringsdata 2018; Tabel 7 - Overige opbrengsten; rij 33</t>
  </si>
  <si>
    <t>Reguleringsdata 2018; Tabel 7 - Overige opbrengsten; rij 34</t>
  </si>
  <si>
    <t>Reguleringsdata 2018; Tabel 7 - Overige opbrengsten; rij 35</t>
  </si>
  <si>
    <t>Reguleringsdata 2018; Tabel 7 - Overige opbrengsten; rij 36</t>
  </si>
  <si>
    <t>Reguleringsdata 2018; Tabel 7 - Overige opbrengsten; rij 37</t>
  </si>
  <si>
    <t>Reguleringsdata 2018; Tabel 7 - Overige opbrengsten; rij 38</t>
  </si>
  <si>
    <t>Reguleringsdata 2018; Tabel 7 - Overige opbrengsten; rij 39</t>
  </si>
  <si>
    <t>Reguleringsdata 2018; Tabel 7 - Overige opbrengsten; rij 40</t>
  </si>
  <si>
    <t>Reguleringsdata 2018; Tabel 6 - Totale opbrengsten; rij 14</t>
  </si>
  <si>
    <t>Reguleringsdata 2019; Tabel 7 - Overige opbrengsten; rij 12</t>
  </si>
  <si>
    <t>Reguleringsdata 2019; Tabel 7 - Overige opbrengsten; rij 13</t>
  </si>
  <si>
    <t>Reguleringsdata 2019; Tabel 7 - Overige opbrengsten; rij 14</t>
  </si>
  <si>
    <t>Reguleringsdata 2019; Tabel 7 - Overige opbrengsten; rij 15</t>
  </si>
  <si>
    <t>Reguleringsdata 2019; Tabel 7 - Overige opbrengsten; rij 16</t>
  </si>
  <si>
    <t>Reguleringsdata 2019; Tabel 7 - Overige opbrengsten; rij 17</t>
  </si>
  <si>
    <t>Reguleringsdata 2019; Tabel 7 - Overige opbrengsten; rij 18</t>
  </si>
  <si>
    <t>Reguleringsdata 2019; Tabel 7 - Overige opbrengsten; rij 19</t>
  </si>
  <si>
    <t>Reguleringsdata 2019; Tabel 7 - Overige opbrengsten; rij 20</t>
  </si>
  <si>
    <t>Reguleringsdata 2019; Tabel 7 - Overige opbrengsten; rij 21</t>
  </si>
  <si>
    <t>Reguleringsdata 2019; Tabel 7 - Overige opbrengsten; rij 22</t>
  </si>
  <si>
    <t>Reguleringsdata 2019; Tabel 7 - Overige opbrengsten; rij 32</t>
  </si>
  <si>
    <t>Reguleringsdata 2019; Tabel 7 - Overige opbrengsten; rij 33</t>
  </si>
  <si>
    <t>Reguleringsdata 2019; Tabel 7 - Overige opbrengsten; rij 34</t>
  </si>
  <si>
    <t>Reguleringsdata 2019; Tabel 7 - Overige opbrengsten; rij 35</t>
  </si>
  <si>
    <t>Reguleringsdata 2019; Tabel 7 - Overige opbrengsten; rij 36</t>
  </si>
  <si>
    <t>Reguleringsdata 2019; Tabel 7 - Overige opbrengsten; rij 37</t>
  </si>
  <si>
    <t>Reguleringsdata 2019; Tabel 7 - Overige opbrengsten; rij 38</t>
  </si>
  <si>
    <t>Reguleringsdata 2019; Tabel 7 - Overige opbrengsten; rij 39</t>
  </si>
  <si>
    <t>Reguleringsdata 2019; Tabel 7 - Overige opbrengsten; rij 40</t>
  </si>
  <si>
    <t>Reguleringsdata 2019; Tabel 6 - Totale opbrengsten; rij 14</t>
  </si>
  <si>
    <t>Reguleringsdata 2020; Tabel 7 - Overige opbrengsten; rij 12</t>
  </si>
  <si>
    <t>Reguleringsdata 2020; Tabel 7 - Overige opbrengsten; rij 13</t>
  </si>
  <si>
    <t>Reguleringsdata 2020; Tabel 7 - Overige opbrengsten; rij 14</t>
  </si>
  <si>
    <t>Reguleringsdata 2020; Tabel 7 - Overige opbrengsten; rij 15</t>
  </si>
  <si>
    <t>Reguleringsdata 2020; Tabel 7 - Overige opbrengsten; rij 16</t>
  </si>
  <si>
    <t>Reguleringsdata 2020; Tabel 7 - Overige opbrengsten; rij 17</t>
  </si>
  <si>
    <t>Reguleringsdata 2020; Tabel 7 - Overige opbrengsten; rij 18</t>
  </si>
  <si>
    <t>Reguleringsdata 2020; Tabel 7 - Overige opbrengsten; rij 19</t>
  </si>
  <si>
    <t>Reguleringsdata 2020; Tabel 7 - Overige opbrengsten; rij 20</t>
  </si>
  <si>
    <t>Reguleringsdata 2020; Tabel 7 - Overige opbrengsten; rij 21</t>
  </si>
  <si>
    <t>Reguleringsdata 2020; Tabel 7 - Overige opbrengsten; rij 22</t>
  </si>
  <si>
    <t>Reguleringsdata 2020; Tabel 7 - Overige opbrengsten; rij 32</t>
  </si>
  <si>
    <t>Reguleringsdata 2020; Tabel 7 - Overige opbrengsten; rij 33</t>
  </si>
  <si>
    <t>Reguleringsdata 2020; Tabel 7 - Overige opbrengsten; rij 34</t>
  </si>
  <si>
    <t>Reguleringsdata 2020; Tabel 7 - Overige opbrengsten; rij 35</t>
  </si>
  <si>
    <t>Reguleringsdata 2020; Tabel 7 - Overige opbrengsten; rij 36</t>
  </si>
  <si>
    <t>Reguleringsdata 2020; Tabel 7 - Overige opbrengsten; rij 37</t>
  </si>
  <si>
    <t>Reguleringsdata 2020; Tabel 7 - Overige opbrengsten; rij 38</t>
  </si>
  <si>
    <t>Reguleringsdata 2020; Tabel 7 - Overige opbrengsten; rij 39</t>
  </si>
  <si>
    <t>Reguleringsdata 2020; Tabel 7 - Overige opbrengsten; rij 40</t>
  </si>
  <si>
    <t>Reguleringsdata 2020; Tabel 6 - Totale opbrengsten; rij 14</t>
  </si>
  <si>
    <t>Reguleringsdata 2016; Tabel 3A - Operationele kosten; rij 12. Informatieverzoek Weert; Tabel 2 Operationele kosten</t>
  </si>
  <si>
    <t>Reguleringsdata 2017; Tabel 3A - Operationele kosten; rij 12. Informatieverzoek Weert; Tabel 2 Operationele kosten</t>
  </si>
  <si>
    <t>Reguleringsdata 2017; Tabel 3A - Operationele kosten; rij 13. Informatieverzoek Weert; Tabel 2 Operationele kosten</t>
  </si>
  <si>
    <t>Reguleringsdata 2017; Tabel 3A - Operationele kosten; rij 14. Informatieverzoek Weert; Tabel 2 Operationele kosten</t>
  </si>
  <si>
    <t>Reguleringsdata 2017; Tabel 3A - Operationele kosten; rij 15. Informatieverzoek Weert; Tabel 2 Operationele kosten</t>
  </si>
  <si>
    <t>Reguleringsdata 2017; Tabel 3A - Operationele kosten; rij 18. Informatieverzoek Weert; Tabel 2 Operationele kosten</t>
  </si>
  <si>
    <t>Reguleringsdata 2017; Tabel 3A - Operationele kosten; rij 20. Informatieverzoek Weert; Tabel 2 Operationele kosten</t>
  </si>
  <si>
    <t>Reguleringsdata 2017; Tabel 3A - Operationele kosten; rij 27. Informatieverzoek Weert; Tabel 2 Operationele kosten</t>
  </si>
  <si>
    <t>Reguleringsdata 2017; Tabel 3A - Operationele kosten; rij 28. Informatieverzoek Weert; Tabel 2 Operationele kosten</t>
  </si>
  <si>
    <t>Reguleringsdata 2017; Tabel 3A - Operationele kosten; rij 29. Informatieverzoek Weert; Tabel 2 Operationele kosten</t>
  </si>
  <si>
    <t>Reguleringsdata 2017; Tabel 3A - Operationele kosten; rij 30. Informatieverzoek Weert; Tabel 2 Operationele kosten</t>
  </si>
  <si>
    <t>Reguleringsdata 2016; Tabel 6 - Totale opbrengsten; rij 14. Informatieverzoek Weert; Tabel 8 Totale opbrengsten</t>
  </si>
  <si>
    <t>Reguleringsdata 2016; Tabel 7 - Overige opbrengsten; rij 12. Informatieverzoek Weert; Tabel 9 Overige opbrengsten</t>
  </si>
  <si>
    <t>Reguleringsdata 2016; Tabel 7 - Overige opbrengsten; rij 13. Informatieverzoek Weert; Tabel 9 Overige opbrengsten</t>
  </si>
  <si>
    <t>Reguleringsdata 2016; Tabel 7 - Overige opbrengsten; rij 14. Informatieverzoek Weert; Tabel 9 Overige opbrengsten</t>
  </si>
  <si>
    <t>Reguleringsdata 2016; Tabel 7 - Overige opbrengsten; rij 15. Informatieverzoek Weert; Tabel 9 Overige opbrengsten</t>
  </si>
  <si>
    <t>Reguleringsdata 2016; Tabel 7 - Overige opbrengsten; rij 16. Informatieverzoek Weert; Tabel 9 Overige opbrengsten</t>
  </si>
  <si>
    <t>Reguleringsdata 2016; Tabel 7 - Overige opbrengsten; rij 17. Informatieverzoek Weert; Tabel 9 Overige opbrengsten</t>
  </si>
  <si>
    <t>Reguleringsdata 2016; Tabel 7 - Overige opbrengsten; rij 18. Informatieverzoek Weert; Tabel 9 Overige opbrengsten</t>
  </si>
  <si>
    <t>Reguleringsdata 2016; Tabel 7 - Overige opbrengsten; rij 19. Informatieverzoek Weert; Tabel 9 Overige opbrengsten</t>
  </si>
  <si>
    <t>Reguleringsdata 2016; Tabel 7 - Overige opbrengsten; rij 20. Informatieverzoek Weert; Tabel 9 Overige opbrengsten</t>
  </si>
  <si>
    <t>Reguleringsdata 2016; Tabel 7 - Overige opbrengsten; rij 21. Informatieverzoek Weert; Tabel 9 Overige opbrengsten</t>
  </si>
  <si>
    <t>Reguleringsdata 2016; Tabel 7 - Overige opbrengsten; rij 22. Informatieverzoek Weert; Tabel 9 Overige opbrengsten</t>
  </si>
  <si>
    <t>Reguleringsdata 2016; Tabel 7 - Overige opbrengsten; rij 32. Informatieverzoek Weert; Tabel 9 Overige opbrengsten</t>
  </si>
  <si>
    <t>Reguleringsdata 2016; Tabel 7 - Overige opbrengsten; rij 33. Informatieverzoek Weert; Tabel 9 Overige opbrengsten</t>
  </si>
  <si>
    <t>Reguleringsdata 2016; Tabel 7 - Overige opbrengsten; rij 34. Informatieverzoek Weert; Tabel 9 Overige opbrengsten</t>
  </si>
  <si>
    <t>Reguleringsdata 2016; Tabel 7 - Overige opbrengsten; rij 35. Informatieverzoek Weert; Tabel 9 Overige opbrengsten</t>
  </si>
  <si>
    <t>Reguleringsdata 2016; Tabel 7 - Overige opbrengsten; rij 36. Informatieverzoek Weert; Tabel 9 Overige opbrengsten</t>
  </si>
  <si>
    <t>Reguleringsdata 2016; Tabel 7 - Overige opbrengsten; rij 37. Informatieverzoek Weert; Tabel 9 Overige opbrengsten</t>
  </si>
  <si>
    <t>Reguleringsdata 2016; Tabel 7 - Overige opbrengsten; rij 38. Informatieverzoek Weert; Tabel 9 Overige opbrengsten</t>
  </si>
  <si>
    <t>Reguleringsdata 2016; Tabel 7 - Overige opbrengsten; rij 39. Informatieverzoek Weert; Tabel 9 Overige opbrengsten</t>
  </si>
  <si>
    <t>Reguleringsdata 2016; Tabel 7 - Overige opbrengsten; rij 40. Informatieverzoek Weert; Tabel 9 Overige opbrengsten</t>
  </si>
  <si>
    <t>Reguleringsdata 2016; Tabel 3A - Operationele kosten; rij 13. Informatieverzoek Weert; Tabel 2 Operationele kosten</t>
  </si>
  <si>
    <t>Reguleringsdata 2016; Tabel 3A - Operationele kosten; rij 14. Informatieverzoek Weert; Tabel 2 Operationele kosten</t>
  </si>
  <si>
    <t>Reguleringsdata 2016; Tabel 3A - Operationele kosten; rij 15. Informatieverzoek Weert; Tabel 2 Operationele kosten</t>
  </si>
  <si>
    <t>Reguleringsdata 2016; Tabel 3A - Operationele kosten; rij 18. Informatieverzoek Weert; Tabel 2 Operationele kosten</t>
  </si>
  <si>
    <t>Reguleringsdata 2016; Tabel 3A - Operationele kosten; rij 20. Informatieverzoek Weert; Tabel 2 Operationele kosten</t>
  </si>
  <si>
    <t>Reguleringsdata 2016; Tabel 3A - Operationele kosten; rij 27. Informatieverzoek Weert; Tabel 2 Operationele kosten</t>
  </si>
  <si>
    <t>Reguleringsdata 2016; Tabel 3A - Operationele kosten; rij 28. Informatieverzoek Weert; Tabel 2 Operationele kosten</t>
  </si>
  <si>
    <t>Reguleringsdata 2016; Tabel 3A - Operationele kosten; rij 29. Informatieverzoek Weert; Tabel 2 Operationele kosten</t>
  </si>
  <si>
    <t>Reguleringsdata 2016; Tabel 3A - Operationele kosten; rij 30. Informatieverzoek Weert; Tabel 2 Operationele kosten</t>
  </si>
  <si>
    <t>Toezichtskosten ACM</t>
  </si>
  <si>
    <t>Netto; excl. IT</t>
  </si>
  <si>
    <t>excl. IT</t>
  </si>
  <si>
    <t>Netto; Excl. IT</t>
  </si>
  <si>
    <t>Excl. IT</t>
  </si>
  <si>
    <t xml:space="preserve">Netto; Excl. IT </t>
  </si>
  <si>
    <t xml:space="preserve">Op dit tabblad worden alle gegevens verzameld die als input dienen voor het x-factormodel. Dit betreft voor alle jaren de netbeheerders na ruilverkaveling. </t>
  </si>
  <si>
    <r>
      <t>Op dit tabblad staat een overzicht met betrekking tot de GAW berekening (GAW, afschrijvingen, etc., incl. UI's en andere bijzonderheden</t>
    </r>
    <r>
      <rPr>
        <sz val="10"/>
        <rFont val="Calibri"/>
        <family val="2"/>
      </rPr>
      <t>)</t>
    </r>
  </si>
  <si>
    <t>WACC bijlage bij gewijzigd methodebesluit 2017-2021</t>
  </si>
  <si>
    <t>Constante</t>
  </si>
  <si>
    <t>Rijtotaal</t>
  </si>
  <si>
    <t>Overige opbrengsten ('oude afspraken grootverbruik')</t>
  </si>
  <si>
    <t>Overige opbrengsten (voornamelijk meterkaststoringen)</t>
  </si>
  <si>
    <t>Doorbelaste kosten buiten de Netwerkgroep</t>
  </si>
  <si>
    <t>Verhuur en dienstverlening</t>
  </si>
  <si>
    <t>Dienstverlening</t>
  </si>
  <si>
    <t>Preventief Onderhoud</t>
  </si>
  <si>
    <t>Afrekening TenneT systeemdiensten</t>
  </si>
  <si>
    <t>Overige opbrengsten ('oude afspraken grootverbruik'), Verhuur en dienstverlening, Overige opbrengsten</t>
  </si>
  <si>
    <t xml:space="preserve">Overige opbrengsten (projecten &amp; meterkaststoringen), Opbrengsten TensZ </t>
  </si>
  <si>
    <t>Overeenkomsten gedeelde assets TenneT</t>
  </si>
  <si>
    <t>Opbrengst medegebruik onderstations</t>
  </si>
  <si>
    <t>Wegingsfactoren</t>
  </si>
  <si>
    <t>Afnemers HS (110-150 kV), incl. max 600 uur</t>
  </si>
  <si>
    <t>#</t>
  </si>
  <si>
    <t>SO-bestand elektriciteit 2022 - 2026</t>
  </si>
  <si>
    <t>Afnemers Trafo HS+TS/MS, incl. max 600 uur</t>
  </si>
  <si>
    <t>Volumes inkoop RNB's bij TenneT</t>
  </si>
  <si>
    <t>Volumes inkoop 2019 bij TenneT EHS-netvlak</t>
  </si>
  <si>
    <t>Vastrecht</t>
  </si>
  <si>
    <t>kW gecontracteerd per jaar</t>
  </si>
  <si>
    <t>kW max per maand</t>
  </si>
  <si>
    <t>Volumes inkoop 2019 bij TenneT HS-netvlak</t>
  </si>
  <si>
    <t>Vastrecht (max 600 uur)</t>
  </si>
  <si>
    <t>kW gecontracteerd per jaar (max 600 uur)</t>
  </si>
  <si>
    <t>kW max per week 
(max 600 uur)</t>
  </si>
  <si>
    <t>Tarieven TenneT</t>
  </si>
  <si>
    <t>Tarieven TenneT EHS-netvlak 2019</t>
  </si>
  <si>
    <t>Rekenmodule tarievenbesluit TenneT 2019, Tab 5_Tarieven en RV 2019, cel L22</t>
  </si>
  <si>
    <t>Rekenmodule tarievenbesluit TenneT 2019, Tab 5_Tarieven en RV 2019, cel M22</t>
  </si>
  <si>
    <t>Rekenmodule tarievenbesluit TenneT 2019, Tab 5_Tarieven en RV 2019, cel N22</t>
  </si>
  <si>
    <t>Tarieven TenneT HS-netvlak 2019</t>
  </si>
  <si>
    <t>Rekenmodule tarievenbesluit TenneT 2019, Tab 5_Tarieven en RV 2019, cel L26</t>
  </si>
  <si>
    <t>Rekenmodule tarievenbesluit TenneT 2019, Tab 5_Tarieven en RV 2019, cel M26</t>
  </si>
  <si>
    <t>Rekenmodule tarievenbesluit TenneT 2019, Tab 5_Tarieven en RV 2019, cel N26</t>
  </si>
  <si>
    <t>Rekenmodule tarievenbesluit TenneT 2019, Tab 5_Tarieven en RV 2019, cel O26</t>
  </si>
  <si>
    <t>Rekenmodule tarievenbesluit TenneT 2019, Tab 5_Tarieven en RV 2019, cel P26</t>
  </si>
  <si>
    <t>Fictieve tarieven TenneT EHS-netvlak 2019 - excl systeemdienst</t>
  </si>
  <si>
    <t>Rekenmodule fictieve tarieven TenneT 2019 - exclusief kosten systeemtaak, Tab 5_Tarieven en RV 2019, cel L22</t>
  </si>
  <si>
    <t>Rekenmodule fictieve tarieven TenneT 2019 - exclusief kosten systeemtaak, Tab 5_Tarieven en RV 2019, cel M22</t>
  </si>
  <si>
    <t>Rekenmodule fictieve tarieven TenneT 2019 - exclusief kosten systeemtaak, Tab 5_Tarieven en RV 2019, cel N22</t>
  </si>
  <si>
    <t>Fictieve tarieven TenneT HS-netvlak 2019 - excl systeemdienst</t>
  </si>
  <si>
    <t>Rekenmodule fictieve tarieven TenneT 2019 - exclusief kosten systeemtaak, Tab 5_Tarieven en RV 2019, cel L26</t>
  </si>
  <si>
    <t>Rekenmodule fictieve tarieven TenneT 2019 - exclusief kosten systeemtaak, Tab 5_Tarieven en RV 2019, cel M26</t>
  </si>
  <si>
    <t>Rekenmodule fictieve tarieven TenneT 2019 - exclusief kosten systeemtaak, Tab 5_Tarieven en RV 2019, cel N26</t>
  </si>
  <si>
    <t>Rekenmodule fictieve tarieven TenneT 2019 - exclusief kosten systeemtaak, Tab 5_Tarieven en RV 2019, cel O26</t>
  </si>
  <si>
    <t>Rekenmodule fictieve tarieven TenneT 2019 - exclusief kosten systeemtaak, Tab 5_Tarieven en RV 2019, cel P26</t>
  </si>
  <si>
    <t>Volumes inkoop 2018 bij TenneT EHS-netvlak</t>
  </si>
  <si>
    <t>Volumes inkoop 2018 bij TenneT HS-netvlak</t>
  </si>
  <si>
    <t>Volumes inkoop 2020 bij TenneT EHS-netvlak</t>
  </si>
  <si>
    <t>Volumes inkoop 2020 bij TenneT HS-netvlak</t>
  </si>
  <si>
    <t>Tarieven TenneT EHS-netvlak 2018</t>
  </si>
  <si>
    <t>Tarieven TenneT HS-netvlak 2018</t>
  </si>
  <si>
    <t>Fictieve tarieven TenneT EHS-netvlak 2018 - excl systeemdienst</t>
  </si>
  <si>
    <t>Fictieve tarieven TenneT HS-netvlak 2018 - excl systeemdienst</t>
  </si>
  <si>
    <t>Tarieven TenneT EHS-netvlak 2020</t>
  </si>
  <si>
    <t>Tarieven TenneT HS-netvlak 2020</t>
  </si>
  <si>
    <t>Fictieve tarieven TenneT EHS-netvlak 2020 - excl systeemdienst</t>
  </si>
  <si>
    <t>Fictieve tarieven TenneT HS-netvlak 2020 - excl systeemdienst</t>
  </si>
  <si>
    <t>Fictieve tarieven TenneT exclusief kosten systeemdienst</t>
  </si>
  <si>
    <t>Rekenmodule tarievenbesluit TenneT 2018, Tab 5_Tarieven en RV 2018, cel L22</t>
  </si>
  <si>
    <t>Rekenmodule tarievenbesluit TenneT 2018, Tab 5_Tarieven en RV 2018, cel M22</t>
  </si>
  <si>
    <t>Rekenmodule tarievenbesluit TenneT 2018, Tab 5_Tarieven en RV 2018, cel N22</t>
  </si>
  <si>
    <t>Rekenmodule tarievenbesluit TenneT 2018, Tab 5_Tarieven en RV 2018, cel L26</t>
  </si>
  <si>
    <t>Rekenmodule tarievenbesluit TenneT 2018, Tab 5_Tarieven en RV 2018, cel M26</t>
  </si>
  <si>
    <t>Rekenmodule tarievenbesluit TenneT 2018, Tab 5_Tarieven en RV 2018, cel N26</t>
  </si>
  <si>
    <t>Rekenmodule tarievenbesluit TenneT 2018, Tab 5_Tarieven en RV 2018, cel O26</t>
  </si>
  <si>
    <t>Rekenmodule tarievenbesluit TenneT 2018, Tab 5_Tarieven en RV 2018, cel P26</t>
  </si>
  <si>
    <t>Rekenmodule tarievenbesluit TenneT 2020, Tab 5_Tarieven en RV 2020, cel L22</t>
  </si>
  <si>
    <t>Rekenmodule tarievenbesluit TenneT 2020, Tab 5_Tarieven en RV 2020, cel M22</t>
  </si>
  <si>
    <t>Rekenmodule tarievenbesluit TenneT 2020, Tab 5_Tarieven en RV 2020, cel N22</t>
  </si>
  <si>
    <t>Rekenmodule tarievenbesluit TenneT 2020, Tab 5_Tarieven en RV 2020, cel L26</t>
  </si>
  <si>
    <t>Rekenmodule tarievenbesluit TenneT 2020, Tab 5_Tarieven en RV 2020, cel M26</t>
  </si>
  <si>
    <t>Rekenmodule tarievenbesluit TenneT 2020, Tab 5_Tarieven en RV 2020, cel N26</t>
  </si>
  <si>
    <t>Rekenmodule tarievenbesluit TenneT 2020, Tab 5_Tarieven en RV 2020, cel O26</t>
  </si>
  <si>
    <t>Rekenmodule tarievenbesluit TenneT 2020, Tab 5_Tarieven en RV 2020, cel P26</t>
  </si>
  <si>
    <t>Reguleringsdata 2018 'Tabel 3B - Specificaties inkoop'</t>
  </si>
  <si>
    <t>Reguleringsdata 2019, 'Tabel 3B - Specificaties inkoop'</t>
  </si>
  <si>
    <t>Reguleringsdata 2020, 'Tabel 3B - Specificaties inkoop'</t>
  </si>
  <si>
    <t>Rekenmodule fictieve tarieven TenneT 2020 - exclusief kosten systeemtaak, Tab 5_Tarieven en RV 2020, cel L22</t>
  </si>
  <si>
    <t>Rekenmodule fictieve tarieven TenneT 2020 - exclusief kosten systeemtaak, Tab 5_Tarieven en RV 2020, cel M22</t>
  </si>
  <si>
    <t>Rekenmodule fictieve tarieven TenneT 2020 - exclusief kosten systeemtaak, Tab 5_Tarieven en RV 2020, cel N22</t>
  </si>
  <si>
    <t>Rekenmodule fictieve tarieven TenneT 2020 - exclusief kosten systeemtaak, Tab 5_Tarieven en RV 2020, cel L26</t>
  </si>
  <si>
    <t>Rekenmodule fictieve tarieven TenneT 2020 - exclusief kosten systeemtaak, Tab 5_Tarieven en RV 2020, cel M26</t>
  </si>
  <si>
    <t>Rekenmodule fictieve tarieven TenneT 2020 - exclusief kosten systeemtaak, Tab 5_Tarieven en RV 2020, cel N26</t>
  </si>
  <si>
    <t>Rekenmodule fictieve tarieven TenneT 2020 - exclusief kosten systeemtaak, Tab 5_Tarieven en RV 2020, cel O26</t>
  </si>
  <si>
    <t>Rekenmodule fictieve tarieven TenneT 2020 - exclusief kosten systeemtaak, Tab 5_Tarieven en RV 2020, cel P26</t>
  </si>
  <si>
    <t>Ophalen gegevens voor berekening</t>
  </si>
  <si>
    <t>Inkoopkosten transport 2018</t>
  </si>
  <si>
    <t>Inkoopkosten transport 2019</t>
  </si>
  <si>
    <t>Inkoopkosten transport 2020</t>
  </si>
  <si>
    <t>Gegevens TenneT t.b.v. 2018</t>
  </si>
  <si>
    <t>Volumes inkoop bij TenneT EHS-netvlak</t>
  </si>
  <si>
    <t>Volumes inkoop bij TenneT HS-netvlak</t>
  </si>
  <si>
    <t>Fictieve tarieven TenneT EHS-netvlak - excl systeemdienst</t>
  </si>
  <si>
    <t>Fictieve tarieven TenneT HS-netvlak - excl systeemdienst</t>
  </si>
  <si>
    <t>Gegevens TenneT t.b.v. 2019</t>
  </si>
  <si>
    <t>Gegevens TenneT t.b.v. 2020</t>
  </si>
  <si>
    <t>Inkoopkosten transport bij TenneT EHS-netvlak excl. AD en systeemdienst</t>
  </si>
  <si>
    <t>Inkoopkosten transport bij TenneT HS-netvlak excl. AD en systeemdienst</t>
  </si>
  <si>
    <t>Totaal inkoopkosten transport uit transportdienst incl. systeemdienst</t>
  </si>
  <si>
    <t>Verhouding doorrekening extra inkoop op HS aan netvlak Trafo HS+TS/MS</t>
  </si>
  <si>
    <t>Percentage doorberekende systeemdienstinkomsten van bovenliggende netbeheerder</t>
  </si>
  <si>
    <t>Totaal inkoopkosten transport bij TenneT t.b.v. systeemdienst</t>
  </si>
  <si>
    <t xml:space="preserve">Inkoopkosten transport bij TenneT EHS-netvlak excl. AD </t>
  </si>
  <si>
    <t xml:space="preserve">Inkoopkosten transport bij TenneT HS-netvlak excl. AD </t>
  </si>
  <si>
    <t>Totaal inkoopkosten transport uit transportdienst excl. systeemdienst</t>
  </si>
  <si>
    <t>Inkoopkosten transport bij landelijke netbeheerder exclusief systeemdienst</t>
  </si>
  <si>
    <t>Geschatte doorberekende systeemdienstinkomsten van bovenliggende regionale netbeheerder(s)</t>
  </si>
  <si>
    <t>Inkoopkosten transport bij regionale netbeheerders exclusief systeemdienst</t>
  </si>
  <si>
    <t>Opmerking</t>
  </si>
  <si>
    <t>Rekenmodule fictieve tarieven TenneT 2018 - exclusief kosten systeemtaak, tabblad 'Uitkomsten', cel F22</t>
  </si>
  <si>
    <t>Rekenmodule fictieve tarieven TenneT 2018 - exclusief kosten systeemtaak, tabblad 'Uitkomsten', cel F23</t>
  </si>
  <si>
    <t>Rekenmodule fictieve tarieven TenneT 2018 - exclusief kosten systeemtaak, tabblad 'Uitkomsten', cel F24</t>
  </si>
  <si>
    <t>Rekenmodule fictieve tarieven TenneT 2018 - exclusief kosten systeemtaak, tabblad 'Uitkomsten', cel F32</t>
  </si>
  <si>
    <t>Rekenmodule fictieve tarieven TenneT 2018 - exclusief kosten systeemtaak, tabblad 'Uitkomsten', cel F33</t>
  </si>
  <si>
    <t>Rekenmodule fictieve tarieven TenneT 2018 - exclusief kosten systeemtaak, tabblad 'Uitkomsten', cel F34</t>
  </si>
  <si>
    <t>Rekenmodule fictieve tarieven TenneT 2018 - exclusief kosten systeemtaak, tabblad 'Uitkomsten', cel F37</t>
  </si>
  <si>
    <t>Rekenmodule fictieve tarieven TenneT 2018 - exclusief kosten systeemtaak, tabblad 'Uitkomsten', cel F38</t>
  </si>
  <si>
    <t>Rekenmodule fictieve tarieven TenneT 2018 - exclusief kosten systeemtaak, tabblad 'Uitkomsten', cel F39</t>
  </si>
  <si>
    <t>Enexis incl. BV</t>
  </si>
  <si>
    <t>ACM/19/035362</t>
  </si>
  <si>
    <t>x-factorbesluit RNB-E 2022-2026</t>
  </si>
  <si>
    <t>x-factor bestand RNB-E 2022-2026</t>
  </si>
  <si>
    <t>Nvt</t>
  </si>
  <si>
    <t>x-factor</t>
  </si>
  <si>
    <t>q-factor</t>
  </si>
  <si>
    <t>5) Overige opbrengsten</t>
  </si>
  <si>
    <t>6) GAW IMPORT</t>
  </si>
  <si>
    <t>4) Input inkoopkosten transport</t>
  </si>
  <si>
    <t>7) Berekening gecorrigeerde IT</t>
  </si>
  <si>
    <t>8) Berekening Oper. Kosten</t>
  </si>
  <si>
    <t>9) Berekening Kapitaalkosten</t>
  </si>
  <si>
    <t>Input</t>
  </si>
  <si>
    <t>Tabel 4 - Input inkoopkosten transport</t>
  </si>
  <si>
    <t>Tabel 9 - Berekening netto kapitaalkosten</t>
  </si>
  <si>
    <t>Tabel 8 - Berekening netto operationele kosten</t>
  </si>
  <si>
    <t>Tabel 7 - Berekening gecorrigeerde inkoopkosten transport</t>
  </si>
  <si>
    <t>Tabel 6 - GAW import</t>
  </si>
  <si>
    <t>Dit blad bevat de input gegevens voor de WACC.</t>
  </si>
  <si>
    <t>WACC 2021</t>
  </si>
  <si>
    <t xml:space="preserve">De ruilverkaveling van het gebied Weert van Stedin naar Enexis is gecorrigeerd voor de jaren 2015, 2016 en 2017. De kosten van Enexis bevatten ook de kosten van Endinet. Endinet is vanaf 2016 opgegaan in Enexis. Verder zijn de kosten in 2015 van Enexis en Liander gecorrigeerd voor het feit dat FNOP in 2016 is overgegaan van Enexis naar Liander. </t>
  </si>
  <si>
    <t>Reguleringsdata 2015; Tabel 3A - Operationele kosten; rij 19</t>
  </si>
  <si>
    <t>Reguleringsdata 2016; Tabel 3A - Operationele kosten; rij 19. Informatieverzoek Weert; Tabel 2 Operationele kosten</t>
  </si>
  <si>
    <t>Reguleringsdata 2017; Tabel 3A - Operationele kosten; rij 19. Informatieverzoek Weert; Tabel 2 Operationele kosten</t>
  </si>
  <si>
    <t>Reguleringsdata 2018; Tabel 3A - Operationele kosten; rij 19</t>
  </si>
  <si>
    <t>Reguleringsdata 2019; Tabel 3A - Operationele kosten; rij 19</t>
  </si>
  <si>
    <t>Reguleringsdata 2020; Tabel 3A - Operationele kosten; rij 19</t>
  </si>
  <si>
    <t>Op dit blad staan de operationele kosten die de netbeheerders voor de jaren 2015 t/m 2020 hebben opgegeven in de reguleringsdata, evenals de overige aanpassingen o.b.v. de ACM.</t>
  </si>
  <si>
    <t>Op dit blad staan de inputgegevens voor de inkoopkosten transport die de netbeheerders voor de jaren 2018 t/m 2020 hebben opgegeven in de reguleringsdata, evenals de tarieven van TenneT uit de jaren 2018 t/m 2020.</t>
  </si>
  <si>
    <t>Dit bestand bevat de regulatorische kosten voor de regionale netbeheerders elektriciteit voor de periode 2022-2026. De resultaten van dit model vormen input voor de x-factorberekening.</t>
  </si>
  <si>
    <t>Tabel 1 - Totale kosten 2015-2020</t>
  </si>
  <si>
    <t>Tabel 3 - Input operationele kosten</t>
  </si>
  <si>
    <t>Tarievenmodule 2018 is op tabblad 'Kosten systeemtaken' cel F63 en F64 op nul gezet en op tabblad 'Uitkomsten stap 2 &amp; 3' cel M35, M36, M37, M39 en M40. Tarievenmodule 2019 is op tabblad 'Tab 14_Budget systeemtaken' cel L51, L52, L55 en L56 op nul gezet en op tabblad 'Tab 4_Totale inkomsten 2019' cel J43, J44 en J45. Tarievenmodule 2020 is op tabblad 'Tab 14_Budget systeemtaken' cel U94, U95, U101 en U102 op nul gezet en op tabblad 'Tab 4_Totale inkomsten 2020' cel J45 en J46.</t>
  </si>
  <si>
    <t>Tabel 5 - Overige opbrengsten</t>
  </si>
  <si>
    <t xml:space="preserve">Op dit tabblad staan de gegevens die de netbeheerder hebben opgegeven in de reguleringsdata voor de jaren 2015 t/m 2020 over de overige opbrengsten. </t>
  </si>
  <si>
    <t>Beschrijving berekening</t>
  </si>
  <si>
    <t>De totalen van Enexis zijn na overname van het netgebied Weert. De totalen van Stedin zijn na overname van Enduris.</t>
  </si>
  <si>
    <t>Berekening inkoopkosten transport exclusief systeemdienst 2018</t>
  </si>
  <si>
    <t>Berekening inkoopkosten transport exclusief systeemdienst 2019</t>
  </si>
  <si>
    <t>Berekening inkoopkosten transport exclusief systeemdienst 2020</t>
  </si>
  <si>
    <t>Dit tabblad betreft de berekening van de inkoopkosten transport, gecorrigeerd voor de kosten van de systeemdienst.</t>
  </si>
  <si>
    <t xml:space="preserve">Dit tabblad betreft de berekening van de netto operationele kosten voor de jaren 2015 t/m 2020. Dit betreft drie stappen: 1) Eerst worden de gegevens (ruwe operationele kosten en overige opbrengsten) opgehaald. 2) Vervolgens worden de ruwe operationele kosten gecorrigeerd met de aanpassingen o.b.v. de ACM en worden de overige opbrengsten geelimineerd van de kostenbasis. 3) Als laatste worden de effecten van de overdracht van Weert en Enduris verwerkt. Dit leidt tot de juiste kostenbasis per jaar. </t>
  </si>
  <si>
    <t>Berekening netto operationele kosten 2015</t>
  </si>
  <si>
    <t>Berekening netto operationele kosten 2016</t>
  </si>
  <si>
    <t>Berekening netto operationele kosten 2017</t>
  </si>
  <si>
    <t>Berekening netto operationele kosten 2018</t>
  </si>
  <si>
    <t>Berekening netto operationele kosten 2019</t>
  </si>
  <si>
    <t>Berekening netto operationele kosten 2020</t>
  </si>
  <si>
    <t>Deze cellen verwijzen naar in dit model berekende waarden.</t>
  </si>
  <si>
    <t>Dit tabblad betreft de berekening van de netto kapitaalkosten per jaar. Dit betreft drie stappen: 1) Eerst worden de ruwe gegevens voor de kapitaalkosten en overige opbrengsten opgehaald. 2) Vervolgens berekenen we de bruto kapitaalkosten 3) Tot slot worden de overige opbrengsten in mindering gebracht op e kapitaalkosten en wordt de overdracht van Weert en Enduris verwerkt.</t>
  </si>
  <si>
    <t xml:space="preserve">Om de berekening overzichtelijk te houden doen we de berekening per jaar. In elk blokje halen we dus de gegevens voor dat jaar op, doen we de bewerkingen voor dat jaar en berekenen we de netto kapitaalkosten voor dat jaar. De kapitaalkosten worden elk jaar voor verschillende doeleinden met verschillende WACC's berekend. Vanaf 2018 vermindert de ACM de reguliere kapitaalkosten van RENDO voor de afschrijvingen en vermogenskosten op de start-GAW om de maatstaf en de productiviteitsverandering tussen 2019-2020 te corrigeren voor het effect van de afschrijvingsklif van RENDO. </t>
  </si>
  <si>
    <t>De totalen van Enexis zijn na overname van het netgebied Weert en Endinet. De totalen van Liander zijn na overname van het netgebied FNOP. De totalen van Stedin zijn na overname van Enduris.</t>
  </si>
  <si>
    <t>Overige opbrengsten; Opbrengsten uit koers, afrondings, prijs en magazijnverschillen; Resitutie Aansluitdienst als gevolg van geschil</t>
  </si>
  <si>
    <t>Overige opbrengsten; Koers, afrondings, prijs en magazijnverschillen</t>
  </si>
  <si>
    <t>Dienstverlening; Afrekening inkoop netverliezen 2008 t/m 2015</t>
  </si>
  <si>
    <t>Dienstverlening; Afrekening inkoop netverliezen 2015</t>
  </si>
  <si>
    <t xml:space="preserve">Overige opbrengsten; Koers, afrondings, prijs en magazijnverschillen </t>
  </si>
  <si>
    <t xml:space="preserve">Opbrengsten verkoop afval en abonnementen; Koers, afrondings, prijs en magazijnverschillen </t>
  </si>
  <si>
    <t>Doorbelasting van personeelskosten ivm werkzaamheden voor andere groepsmaatschappijen; Afrekening inkoop netverliezen 2016/2017</t>
  </si>
  <si>
    <t>Opbrengsten verkoop afval en abonnementen; Koers, afrondings, prijs en magazijnverschillen</t>
  </si>
  <si>
    <t>Doorbelasting van personeelskosten ivm werkzaamheden voor andere groepsmaatschappijen; Afrekening inkoop netverliezen 2016/2017/2018</t>
  </si>
  <si>
    <t>Overige</t>
  </si>
  <si>
    <t xml:space="preserve">Opbrengsten TensZ </t>
  </si>
  <si>
    <t>Overeenkomst gedeelde assets TenneT</t>
  </si>
  <si>
    <t>Subsidies; Overige opbrengsten</t>
  </si>
  <si>
    <t>Overige w.o. TenneT; Doorbelaste kosten buiten de Netwerkgroep</t>
  </si>
  <si>
    <t>WACC voor PV van 2015 naar 2016</t>
  </si>
  <si>
    <t>WACC voor PV van 2016 naar 2017</t>
  </si>
  <si>
    <t>WACC voor PV van 2017 naar 2018</t>
  </si>
  <si>
    <t>WACC voor PV van 2018 naar 2019</t>
  </si>
  <si>
    <t>WACC voor PV van 2019 naar 2020</t>
  </si>
  <si>
    <t>WACC 2015</t>
  </si>
  <si>
    <t>WACC bijlage bij methodebesluit 2014-2016</t>
  </si>
  <si>
    <t>Bruto, WACC 2015/2016</t>
  </si>
  <si>
    <t>Netto; WACC 2015/2016</t>
  </si>
  <si>
    <t>Bruto, WACC 2016/2017</t>
  </si>
  <si>
    <t>Netto, WACC 2015/2016</t>
  </si>
  <si>
    <t>Netto, WACC 2016/2017</t>
  </si>
  <si>
    <t>Bruto, WACC 2017/2018</t>
  </si>
  <si>
    <t>Netto, WACC 2017/2018</t>
  </si>
  <si>
    <t>Bruto, WACC 2018/2019</t>
  </si>
  <si>
    <t>Netto, WACC 2018/2019</t>
  </si>
  <si>
    <t>Bruto, WACC 2019/2020</t>
  </si>
  <si>
    <t>Netto, WACC 2019/2020</t>
  </si>
  <si>
    <t>Formule (19)</t>
  </si>
  <si>
    <t>Formule (23)</t>
  </si>
  <si>
    <t>Formule (24)</t>
  </si>
  <si>
    <t>Formule (33)</t>
  </si>
  <si>
    <t>formule (20)</t>
  </si>
  <si>
    <t>formule (21)</t>
  </si>
  <si>
    <t>Reguleringsdata 2020; Tabel 2B - Desinvesteringen; rij 77</t>
  </si>
  <si>
    <t>RENDO incl. BV</t>
  </si>
  <si>
    <t xml:space="preserve">Enexis en RENDO hebben per 2017, respectievelijk 2020, een deel van hun activa overgedragen naar personeel BV. Om hier rekening mee te kunnen houden in het x-factor model worden op dit tabblad de gegevens inclusief de activa en exclusief de activa die overgeheveld is naar het personeel BV weergegeven. </t>
  </si>
  <si>
    <t>kW max per maand (max 600 uur)</t>
  </si>
  <si>
    <t xml:space="preserve">Gegevens voor Weert en Endinet zijn verwerkt in de gegevens van Enexis. De gegevens van FNOP zijn verwerkt in de gegevens van Liander. </t>
  </si>
  <si>
    <t>WACC-percentages voor berekening maatstaf (reëel plus, voor belasting)</t>
  </si>
  <si>
    <t>SO-bestand elektriciteit 2022 - 2026, tabblad 'wegingsfactoren', regel 520</t>
  </si>
  <si>
    <t>SO-bestand elektriciteit 2022 - 2026, tabblad 'wegingsfactoren', regel 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</si>
</sst>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0.00_);_(* \(#,##0.00\);_(* &quot;-&quot;??_);_(@_)"/>
    <numFmt numFmtId="165" formatCode="_(* #,##0_);_(* \(#,##0\);_(* &quot;-&quot;_);_(@_)"/>
    <numFmt numFmtId="166" formatCode="_ * #,##0.00_ ;_ * \-#,##0.00_ ;_ * &quot;-&quot;_ ;_ @_ "/>
    <numFmt numFmtId="167" formatCode="_ * #,##0_ ;_ * \-#,##0_ ;_ * &quot;-&quot;??_ ;_ @_ "/>
    <numFmt numFmtId="168" formatCode="0.000"/>
    <numFmt numFmtId="169" formatCode="_-* #,##0_-;_-* #,##0\-;_-* &quot;-&quot;??_-;_-@_-"/>
  </numFmts>
  <fonts count="32"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sz val="10"/>
      <name val="Arial"/>
      <family val="2"/>
    </font>
    <font>
      <b/>
      <sz val="11"/>
      <color indexed="52"/>
      <name val="Calibri"/>
      <family val="2"/>
    </font>
    <font>
      <sz val="11"/>
      <color indexed="17"/>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i/>
      <sz val="10"/>
      <name val="Arial"/>
      <family val="2"/>
    </font>
    <font>
      <sz val="10"/>
      <color rgb="FFFF0000"/>
      <name val="Arial"/>
      <family val="2"/>
    </font>
    <font>
      <sz val="8"/>
      <color indexed="81"/>
      <name val="Tahoma"/>
      <family val="2"/>
    </font>
    <font>
      <b/>
      <sz val="10"/>
      <name val="Arial"/>
      <family val="2"/>
    </font>
    <font>
      <sz val="10"/>
      <color rgb="FF000000"/>
      <name val="Arial"/>
      <family val="2"/>
    </font>
    <font>
      <b/>
      <sz val="10"/>
      <color theme="0"/>
      <name val="Arial"/>
      <family val="2"/>
    </font>
    <font>
      <sz val="11"/>
      <color theme="0"/>
      <name val="Calibri"/>
      <family val="2"/>
      <scheme val="minor"/>
    </font>
    <font>
      <b/>
      <sz val="10"/>
      <color rgb="FFFF0000"/>
      <name val="Arial"/>
      <family val="2"/>
    </font>
    <font>
      <i/>
      <sz val="10"/>
      <color theme="1"/>
      <name val="Arial"/>
      <family val="2"/>
    </font>
    <font>
      <sz val="11"/>
      <color theme="1"/>
      <name val="Arial"/>
      <family val="2"/>
    </font>
    <font>
      <b/>
      <sz val="14"/>
      <color theme="0"/>
      <name val="Arial"/>
      <family val="2"/>
    </font>
    <font>
      <b/>
      <sz val="10"/>
      <color indexed="8"/>
      <name val="Arial"/>
      <family val="2"/>
    </font>
    <font>
      <b/>
      <sz val="11"/>
      <color theme="1"/>
      <name val="Arial"/>
      <family val="2"/>
    </font>
    <font>
      <sz val="10"/>
      <color indexed="55"/>
      <name val="Arial"/>
      <family val="2"/>
    </font>
    <font>
      <u/>
      <sz val="10"/>
      <color theme="10"/>
      <name val="Arial"/>
      <family val="2"/>
    </font>
    <font>
      <sz val="10"/>
      <name val="Calibri"/>
      <family val="2"/>
    </font>
    <font>
      <sz val="11"/>
      <color rgb="FFFF0000"/>
      <name val="Arial"/>
      <family val="2"/>
    </font>
    <font>
      <sz val="11"/>
      <name val="Arial"/>
      <family val="2"/>
    </font>
    <font>
      <sz val="10"/>
      <name val="Calibri"/>
      <family val="2"/>
      <scheme val="minor"/>
    </font>
  </fonts>
  <fills count="46">
    <fill>
      <patternFill patternType="none"/>
    </fill>
    <fill>
      <patternFill patternType="gray125"/>
    </fill>
    <fill>
      <patternFill patternType="solid">
        <fgColor rgb="FF7030A0"/>
        <bgColor indexed="64"/>
      </patternFill>
    </fill>
    <fill>
      <patternFill patternType="solid">
        <fgColor rgb="FFFFFFCC"/>
        <bgColor indexed="64"/>
      </patternFill>
    </fill>
    <fill>
      <patternFill patternType="solid">
        <fgColor rgb="FFFFCC9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theme="0" tint="-0.14999847407452621"/>
        <bgColor indexed="64"/>
      </patternFill>
    </fill>
    <fill>
      <patternFill patternType="solid">
        <fgColor rgb="FFCCFFFF"/>
        <bgColor indexed="64"/>
      </patternFill>
    </fill>
    <fill>
      <patternFill patternType="solid">
        <fgColor rgb="FFFFCCFF"/>
        <bgColor indexed="64"/>
      </patternFill>
    </fill>
    <fill>
      <patternFill patternType="solid">
        <fgColor rgb="FFFF00FF"/>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5F1F7A"/>
        <bgColor indexed="64"/>
      </patternFill>
    </fill>
    <fill>
      <patternFill patternType="solid">
        <fgColor rgb="FFCCC8D9"/>
        <bgColor indexed="64"/>
      </patternFill>
    </fill>
    <fill>
      <patternFill patternType="solid">
        <fgColor rgb="FF99FF99"/>
        <bgColor indexed="64"/>
      </patternFill>
    </fill>
    <fill>
      <patternFill patternType="solid">
        <fgColor rgb="FFE1FFE1"/>
        <bgColor indexed="64"/>
      </patternFill>
    </fill>
    <fill>
      <patternFill patternType="solid">
        <fgColor theme="0" tint="-4.9989318521683403E-2"/>
        <bgColor indexed="64"/>
      </patternFill>
    </fill>
    <fill>
      <patternFill patternType="solid">
        <fgColor indexed="41"/>
        <bgColor indexed="64"/>
      </patternFill>
    </fill>
    <fill>
      <patternFill patternType="solid">
        <fgColor indexed="14"/>
        <bgColor indexed="64"/>
      </patternFill>
    </fill>
    <fill>
      <patternFill patternType="solid">
        <fgColor theme="0" tint="-0.14996795556505021"/>
        <bgColor indexed="64"/>
      </patternFill>
    </fill>
    <fill>
      <patternFill patternType="solid">
        <fgColor rgb="FFFFFFCC"/>
        <bgColor auto="1"/>
      </patternFill>
    </fill>
  </fills>
  <borders count="25">
    <border>
      <left/>
      <right/>
      <top/>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65">
    <xf numFmtId="0" fontId="0" fillId="0" borderId="0">
      <alignment vertical="top"/>
    </xf>
    <xf numFmtId="0" fontId="6" fillId="6" borderId="2" applyNumberFormat="0" applyAlignment="0" applyProtection="0"/>
    <xf numFmtId="0" fontId="7" fillId="5" borderId="0" applyNumberFormat="0" applyBorder="0" applyAlignment="0" applyProtection="0"/>
    <xf numFmtId="0" fontId="8" fillId="0" borderId="3" applyNumberFormat="0" applyFill="0" applyAlignment="0" applyProtection="0"/>
    <xf numFmtId="0" fontId="9" fillId="7" borderId="0" applyNumberFormat="0" applyBorder="0" applyAlignment="0" applyProtection="0"/>
    <xf numFmtId="0" fontId="10" fillId="0" borderId="0" applyNumberFormat="0" applyFill="0" applyBorder="0" applyAlignment="0" applyProtection="0"/>
    <xf numFmtId="0" fontId="11" fillId="0" borderId="4" applyNumberFormat="0" applyFill="0" applyAlignment="0" applyProtection="0"/>
    <xf numFmtId="0" fontId="12" fillId="0" borderId="0" applyNumberFormat="0" applyFill="0" applyBorder="0" applyAlignment="0" applyProtection="0"/>
    <xf numFmtId="0" fontId="5" fillId="0" borderId="0"/>
    <xf numFmtId="0" fontId="5" fillId="0" borderId="0"/>
    <xf numFmtId="0" fontId="4" fillId="0" borderId="0"/>
    <xf numFmtId="0" fontId="19"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9" fillId="35" borderId="0" applyNumberFormat="0" applyBorder="0" applyAlignment="0" applyProtection="0"/>
    <xf numFmtId="0" fontId="4" fillId="0" borderId="0"/>
    <xf numFmtId="0" fontId="4" fillId="0" borderId="0"/>
    <xf numFmtId="0" fontId="4" fillId="0" borderId="0">
      <alignment vertical="top"/>
    </xf>
    <xf numFmtId="49" fontId="23" fillId="37" borderId="6">
      <alignment vertical="top"/>
    </xf>
    <xf numFmtId="49" fontId="16" fillId="0" borderId="0">
      <alignment vertical="top"/>
    </xf>
    <xf numFmtId="49" fontId="13" fillId="0" borderId="0">
      <alignment vertical="top"/>
    </xf>
    <xf numFmtId="49" fontId="16" fillId="38" borderId="6">
      <alignment vertical="top"/>
    </xf>
    <xf numFmtId="49" fontId="16" fillId="38" borderId="6">
      <alignment vertical="top"/>
    </xf>
    <xf numFmtId="165" fontId="4" fillId="9" borderId="0">
      <alignment vertical="top"/>
    </xf>
    <xf numFmtId="165" fontId="4" fillId="3" borderId="0">
      <alignment vertical="top"/>
    </xf>
    <xf numFmtId="165" fontId="4" fillId="10" borderId="0">
      <alignment vertical="top"/>
    </xf>
    <xf numFmtId="165" fontId="4" fillId="39" borderId="0">
      <alignment vertical="top"/>
    </xf>
    <xf numFmtId="165" fontId="4" fillId="40" borderId="0">
      <alignment vertical="top"/>
    </xf>
    <xf numFmtId="165" fontId="4" fillId="11" borderId="0">
      <alignment vertical="top"/>
    </xf>
    <xf numFmtId="165" fontId="4" fillId="4" borderId="0">
      <alignment vertical="top"/>
    </xf>
    <xf numFmtId="164" fontId="4" fillId="3" borderId="0" applyFont="0" applyFill="0" applyBorder="0" applyAlignment="0" applyProtection="0">
      <alignment vertical="top"/>
    </xf>
    <xf numFmtId="49" fontId="20" fillId="0" borderId="0">
      <alignment vertical="top"/>
    </xf>
    <xf numFmtId="0" fontId="1" fillId="0" borderId="0">
      <alignment vertical="top"/>
    </xf>
    <xf numFmtId="49" fontId="23" fillId="37" borderId="1">
      <alignment vertical="top"/>
    </xf>
    <xf numFmtId="49" fontId="16" fillId="38" borderId="1">
      <alignment vertical="top"/>
    </xf>
    <xf numFmtId="49" fontId="16" fillId="38" borderId="1">
      <alignment vertical="top"/>
    </xf>
    <xf numFmtId="49" fontId="27" fillId="0" borderId="0" applyFill="0" applyBorder="0" applyAlignment="0" applyProtection="0"/>
    <xf numFmtId="49" fontId="23" fillId="37" borderId="1">
      <alignment vertical="top"/>
    </xf>
    <xf numFmtId="10" fontId="4" fillId="0" borderId="0" applyFont="0" applyFill="0" applyBorder="0" applyAlignment="0" applyProtection="0">
      <alignment vertical="top"/>
    </xf>
    <xf numFmtId="43" fontId="1" fillId="0" borderId="0" applyFont="0" applyFill="0" applyBorder="0" applyAlignment="0" applyProtection="0"/>
    <xf numFmtId="41" fontId="4" fillId="40" borderId="0">
      <alignment vertical="top"/>
    </xf>
    <xf numFmtId="41" fontId="4" fillId="3" borderId="0">
      <alignment vertical="top"/>
    </xf>
    <xf numFmtId="43" fontId="4" fillId="44" borderId="0" applyNumberFormat="0">
      <alignment vertical="top"/>
    </xf>
    <xf numFmtId="41" fontId="4" fillId="4" borderId="0">
      <alignment vertical="top"/>
    </xf>
    <xf numFmtId="43" fontId="4" fillId="0" borderId="0" applyFont="0" applyFill="0" applyBorder="0" applyAlignment="0" applyProtection="0"/>
  </cellStyleXfs>
  <cellXfs count="257">
    <xf numFmtId="0" fontId="0" fillId="0" borderId="0" xfId="0">
      <alignment vertical="top"/>
    </xf>
    <xf numFmtId="0" fontId="14" fillId="0" borderId="0" xfId="9" applyFont="1"/>
    <xf numFmtId="0" fontId="29" fillId="0" borderId="0" xfId="0" applyFont="1">
      <alignment vertical="top"/>
    </xf>
    <xf numFmtId="0" fontId="1" fillId="0" borderId="0" xfId="0" applyFont="1">
      <alignment vertical="top"/>
    </xf>
    <xf numFmtId="0" fontId="2" fillId="0" borderId="0" xfId="0" applyFont="1">
      <alignment vertical="top"/>
    </xf>
    <xf numFmtId="41" fontId="1" fillId="3" borderId="0" xfId="0" applyNumberFormat="1" applyFont="1" applyFill="1">
      <alignment vertical="top"/>
    </xf>
    <xf numFmtId="0" fontId="4" fillId="0" borderId="0" xfId="8" applyFont="1"/>
    <xf numFmtId="0" fontId="16" fillId="0" borderId="0" xfId="0" applyFont="1">
      <alignment vertical="top"/>
    </xf>
    <xf numFmtId="0" fontId="4" fillId="0" borderId="0" xfId="9" applyFont="1"/>
    <xf numFmtId="41" fontId="1" fillId="4" borderId="0" xfId="0" applyNumberFormat="1" applyFont="1" applyFill="1">
      <alignment vertical="top"/>
    </xf>
    <xf numFmtId="0" fontId="17" fillId="0" borderId="0" xfId="0" applyFont="1" applyAlignment="1">
      <alignment vertical="center"/>
    </xf>
    <xf numFmtId="0" fontId="1" fillId="0" borderId="0" xfId="0" applyFont="1" applyAlignment="1">
      <alignment vertical="center"/>
    </xf>
    <xf numFmtId="0" fontId="14" fillId="0" borderId="0" xfId="8" applyFont="1"/>
    <xf numFmtId="0" fontId="4" fillId="36" borderId="0" xfId="8" applyFont="1" applyFill="1"/>
    <xf numFmtId="0" fontId="4" fillId="36" borderId="0" xfId="9" applyFont="1" applyFill="1"/>
    <xf numFmtId="0" fontId="22" fillId="0" borderId="0" xfId="0" applyFont="1">
      <alignment vertical="top"/>
    </xf>
    <xf numFmtId="0" fontId="1" fillId="0" borderId="0" xfId="0" applyFont="1">
      <alignment vertical="top"/>
    </xf>
    <xf numFmtId="0" fontId="4" fillId="0" borderId="0" xfId="37">
      <alignment vertical="top"/>
    </xf>
    <xf numFmtId="0" fontId="23" fillId="37" borderId="6" xfId="38" applyNumberFormat="1">
      <alignment vertical="top"/>
    </xf>
    <xf numFmtId="49" fontId="16" fillId="0" borderId="0" xfId="39">
      <alignment vertical="top"/>
    </xf>
    <xf numFmtId="0" fontId="0" fillId="0" borderId="0" xfId="0" applyAlignment="1">
      <alignment vertical="top"/>
    </xf>
    <xf numFmtId="0" fontId="4" fillId="0" borderId="0" xfId="37" applyFont="1">
      <alignment vertical="top"/>
    </xf>
    <xf numFmtId="49" fontId="13" fillId="0" borderId="0" xfId="40">
      <alignment vertical="top"/>
    </xf>
    <xf numFmtId="0" fontId="23" fillId="37" borderId="1" xfId="53" applyNumberFormat="1">
      <alignment vertical="top"/>
    </xf>
    <xf numFmtId="49" fontId="16" fillId="38" borderId="1" xfId="54">
      <alignment vertical="top"/>
    </xf>
    <xf numFmtId="0" fontId="4" fillId="0" borderId="0" xfId="35"/>
    <xf numFmtId="0" fontId="20" fillId="0" borderId="0" xfId="0" applyFont="1">
      <alignment vertical="top"/>
    </xf>
    <xf numFmtId="0" fontId="4" fillId="0" borderId="0" xfId="36" applyFont="1"/>
    <xf numFmtId="0" fontId="16" fillId="0" borderId="0" xfId="35" applyFont="1"/>
    <xf numFmtId="0" fontId="4" fillId="0" borderId="0" xfId="35" applyFont="1"/>
    <xf numFmtId="0" fontId="14" fillId="0" borderId="0" xfId="35" applyFont="1"/>
    <xf numFmtId="0" fontId="0" fillId="0" borderId="0" xfId="0">
      <alignment vertical="top"/>
    </xf>
    <xf numFmtId="0" fontId="1" fillId="0" borderId="0" xfId="0" applyFont="1">
      <alignment vertical="top"/>
    </xf>
    <xf numFmtId="41" fontId="1" fillId="3" borderId="0" xfId="0" applyNumberFormat="1" applyFont="1" applyFill="1">
      <alignment vertical="top"/>
    </xf>
    <xf numFmtId="41" fontId="1" fillId="0" borderId="0" xfId="0" applyNumberFormat="1" applyFont="1">
      <alignment vertical="top"/>
    </xf>
    <xf numFmtId="0" fontId="16" fillId="0" borderId="0" xfId="10" applyFont="1"/>
    <xf numFmtId="0" fontId="4" fillId="0" borderId="0" xfId="10" applyFont="1"/>
    <xf numFmtId="0" fontId="1" fillId="36" borderId="0" xfId="0" applyFont="1" applyFill="1">
      <alignment vertical="top"/>
    </xf>
    <xf numFmtId="0" fontId="1" fillId="0" borderId="0" xfId="0" applyFont="1" applyFill="1" applyBorder="1">
      <alignment vertical="top"/>
    </xf>
    <xf numFmtId="0" fontId="22" fillId="0" borderId="0" xfId="0" applyFont="1">
      <alignment vertical="top"/>
    </xf>
    <xf numFmtId="0" fontId="25" fillId="0" borderId="0" xfId="0" applyFont="1">
      <alignment vertical="top"/>
    </xf>
    <xf numFmtId="0" fontId="0" fillId="36" borderId="0" xfId="0" applyFill="1" applyAlignment="1">
      <alignment vertical="top"/>
    </xf>
    <xf numFmtId="49" fontId="16" fillId="0" borderId="0" xfId="39" applyFont="1">
      <alignment vertical="top"/>
    </xf>
    <xf numFmtId="0" fontId="4" fillId="36" borderId="0" xfId="37" applyFill="1">
      <alignment vertical="top"/>
    </xf>
    <xf numFmtId="41" fontId="1" fillId="36" borderId="0" xfId="0" applyNumberFormat="1" applyFont="1" applyFill="1">
      <alignment vertical="top"/>
    </xf>
    <xf numFmtId="0" fontId="23" fillId="37" borderId="6" xfId="38" applyNumberFormat="1" applyFont="1">
      <alignment vertical="top"/>
    </xf>
    <xf numFmtId="0" fontId="0" fillId="36" borderId="0" xfId="0" applyFill="1">
      <alignment vertical="top"/>
    </xf>
    <xf numFmtId="49" fontId="16" fillId="38" borderId="1" xfId="54" applyFont="1">
      <alignment vertical="top"/>
    </xf>
    <xf numFmtId="49" fontId="13" fillId="0" borderId="0" xfId="40" applyFont="1">
      <alignment vertical="top"/>
    </xf>
    <xf numFmtId="0" fontId="16" fillId="0" borderId="0" xfId="0" applyFont="1">
      <alignment vertical="top"/>
    </xf>
    <xf numFmtId="0" fontId="22" fillId="0" borderId="0" xfId="0" applyFont="1">
      <alignment vertical="top"/>
    </xf>
    <xf numFmtId="0" fontId="16" fillId="38" borderId="1" xfId="54" applyNumberFormat="1">
      <alignment vertical="top"/>
    </xf>
    <xf numFmtId="0" fontId="1" fillId="0" borderId="0" xfId="0" applyFont="1">
      <alignment vertical="top"/>
    </xf>
    <xf numFmtId="41" fontId="1" fillId="4" borderId="0" xfId="0" applyNumberFormat="1" applyFont="1" applyFill="1">
      <alignment vertical="top"/>
    </xf>
    <xf numFmtId="0" fontId="16" fillId="0" borderId="0" xfId="10" applyFont="1"/>
    <xf numFmtId="0" fontId="4" fillId="0" borderId="0" xfId="10" applyFont="1"/>
    <xf numFmtId="0" fontId="1" fillId="0" borderId="0" xfId="0" applyFont="1" applyFill="1" applyBorder="1">
      <alignment vertical="top"/>
    </xf>
    <xf numFmtId="0" fontId="22" fillId="0" borderId="0" xfId="0" applyFont="1">
      <alignment vertical="top"/>
    </xf>
    <xf numFmtId="0" fontId="1" fillId="0" borderId="0" xfId="0" applyFont="1">
      <alignment vertical="top"/>
    </xf>
    <xf numFmtId="0" fontId="2" fillId="0" borderId="0" xfId="0" applyFont="1">
      <alignment vertical="top"/>
    </xf>
    <xf numFmtId="0" fontId="4" fillId="0" borderId="0" xfId="10" applyFont="1"/>
    <xf numFmtId="0" fontId="22" fillId="0" borderId="0" xfId="0" applyFont="1">
      <alignment vertical="top"/>
    </xf>
    <xf numFmtId="0" fontId="1" fillId="0" borderId="0" xfId="0" applyFont="1">
      <alignment vertical="top"/>
    </xf>
    <xf numFmtId="0" fontId="2" fillId="0" borderId="0" xfId="0" applyFont="1">
      <alignment vertical="top"/>
    </xf>
    <xf numFmtId="41" fontId="1" fillId="4" borderId="0" xfId="0" applyNumberFormat="1" applyFont="1" applyFill="1">
      <alignment vertical="top"/>
    </xf>
    <xf numFmtId="0" fontId="4" fillId="0" borderId="0" xfId="10" applyFont="1"/>
    <xf numFmtId="0" fontId="1" fillId="0" borderId="0" xfId="0" applyFont="1" applyFill="1" applyBorder="1">
      <alignment vertical="top"/>
    </xf>
    <xf numFmtId="0" fontId="22" fillId="0" borderId="0" xfId="0" applyFont="1">
      <alignment vertical="top"/>
    </xf>
    <xf numFmtId="0" fontId="1" fillId="0" borderId="0" xfId="0" applyFont="1">
      <alignment vertical="top"/>
    </xf>
    <xf numFmtId="0" fontId="2" fillId="0" borderId="0" xfId="0" applyFont="1">
      <alignment vertical="top"/>
    </xf>
    <xf numFmtId="41" fontId="1" fillId="4" borderId="0" xfId="0" applyNumberFormat="1" applyFont="1" applyFill="1">
      <alignment vertical="top"/>
    </xf>
    <xf numFmtId="0" fontId="1" fillId="36" borderId="0" xfId="0" applyFont="1" applyFill="1">
      <alignment vertical="top"/>
    </xf>
    <xf numFmtId="0" fontId="22" fillId="36" borderId="0" xfId="0" applyFont="1" applyFill="1">
      <alignment vertical="top"/>
    </xf>
    <xf numFmtId="0" fontId="22" fillId="0" borderId="0" xfId="0" applyFont="1" applyAlignment="1">
      <alignment vertical="top"/>
    </xf>
    <xf numFmtId="0" fontId="1" fillId="0" borderId="0" xfId="0" applyFont="1">
      <alignment vertical="top"/>
    </xf>
    <xf numFmtId="0" fontId="2" fillId="0" borderId="0" xfId="0" applyFont="1">
      <alignment vertical="top"/>
    </xf>
    <xf numFmtId="41" fontId="1" fillId="3" borderId="0" xfId="0" applyNumberFormat="1" applyFont="1" applyFill="1">
      <alignment vertical="top"/>
    </xf>
    <xf numFmtId="41" fontId="1" fillId="0" borderId="0" xfId="0" applyNumberFormat="1" applyFont="1">
      <alignment vertical="top"/>
    </xf>
    <xf numFmtId="41" fontId="1" fillId="0" borderId="0" xfId="0" applyNumberFormat="1" applyFont="1" applyFill="1">
      <alignment vertical="top"/>
    </xf>
    <xf numFmtId="0" fontId="14" fillId="0" borderId="0" xfId="0" applyFont="1">
      <alignment vertical="top"/>
    </xf>
    <xf numFmtId="0" fontId="2" fillId="0" borderId="0" xfId="0" applyFont="1" applyFill="1" applyBorder="1">
      <alignment vertical="top"/>
    </xf>
    <xf numFmtId="0" fontId="16" fillId="0" borderId="0" xfId="0" applyFont="1">
      <alignment vertical="top"/>
    </xf>
    <xf numFmtId="41" fontId="1" fillId="4" borderId="0" xfId="0" applyNumberFormat="1" applyFont="1" applyFill="1">
      <alignment vertical="top"/>
    </xf>
    <xf numFmtId="0" fontId="17" fillId="0" borderId="0" xfId="0" applyFont="1" applyAlignment="1">
      <alignment vertical="center"/>
    </xf>
    <xf numFmtId="0" fontId="16" fillId="0" borderId="0" xfId="10" applyFont="1"/>
    <xf numFmtId="0" fontId="4" fillId="0" borderId="0" xfId="10" applyFont="1"/>
    <xf numFmtId="41" fontId="14" fillId="0" borderId="0" xfId="0" applyNumberFormat="1" applyFont="1">
      <alignment vertical="top"/>
    </xf>
    <xf numFmtId="0" fontId="1" fillId="0" borderId="0" xfId="0" applyFont="1" applyFill="1">
      <alignment vertical="top"/>
    </xf>
    <xf numFmtId="0" fontId="21" fillId="0" borderId="0" xfId="0" applyFont="1">
      <alignment vertical="top"/>
    </xf>
    <xf numFmtId="0" fontId="1" fillId="36" borderId="0" xfId="0" applyFont="1" applyFill="1">
      <alignment vertical="top"/>
    </xf>
    <xf numFmtId="0" fontId="1" fillId="0" borderId="0" xfId="0" applyFont="1" applyFill="1" applyBorder="1">
      <alignment vertical="top"/>
    </xf>
    <xf numFmtId="0" fontId="22" fillId="0" borderId="0" xfId="0" applyFont="1">
      <alignment vertical="top"/>
    </xf>
    <xf numFmtId="0" fontId="22" fillId="36" borderId="0" xfId="0" applyFont="1" applyFill="1">
      <alignment vertical="top"/>
    </xf>
    <xf numFmtId="0" fontId="1" fillId="0" borderId="0" xfId="0" applyFont="1">
      <alignment vertical="top"/>
    </xf>
    <xf numFmtId="0" fontId="2" fillId="0" borderId="0" xfId="0" applyFont="1">
      <alignment vertical="top"/>
    </xf>
    <xf numFmtId="41" fontId="1" fillId="3" borderId="0" xfId="0" applyNumberFormat="1" applyFont="1" applyFill="1">
      <alignment vertical="top"/>
    </xf>
    <xf numFmtId="41" fontId="1" fillId="0" borderId="0" xfId="0" applyNumberFormat="1" applyFont="1">
      <alignment vertical="top"/>
    </xf>
    <xf numFmtId="0" fontId="16" fillId="0" borderId="0" xfId="0" applyFont="1">
      <alignment vertical="top"/>
    </xf>
    <xf numFmtId="41" fontId="1" fillId="4" borderId="0" xfId="0" applyNumberFormat="1" applyFont="1" applyFill="1">
      <alignment vertical="top"/>
    </xf>
    <xf numFmtId="0" fontId="17" fillId="0" borderId="0" xfId="0" applyFont="1" applyAlignment="1">
      <alignment vertical="center"/>
    </xf>
    <xf numFmtId="0" fontId="16" fillId="0" borderId="0" xfId="10" applyFont="1"/>
    <xf numFmtId="0" fontId="4" fillId="0" borderId="0" xfId="10" applyFont="1"/>
    <xf numFmtId="0" fontId="1" fillId="36" borderId="0" xfId="0" applyFont="1" applyFill="1">
      <alignment vertical="top"/>
    </xf>
    <xf numFmtId="0" fontId="1" fillId="0" borderId="0" xfId="0" applyFont="1" applyFill="1" applyBorder="1">
      <alignment vertical="top"/>
    </xf>
    <xf numFmtId="0" fontId="22" fillId="0" borderId="0" xfId="0" applyFont="1">
      <alignment vertical="top"/>
    </xf>
    <xf numFmtId="0" fontId="22" fillId="36" borderId="0" xfId="0" applyFont="1" applyFill="1">
      <alignment vertical="top"/>
    </xf>
    <xf numFmtId="10" fontId="4" fillId="4" borderId="0" xfId="0" applyNumberFormat="1" applyFont="1" applyFill="1">
      <alignment vertical="top"/>
    </xf>
    <xf numFmtId="0" fontId="4" fillId="0" borderId="9" xfId="37" applyBorder="1">
      <alignment vertical="top"/>
    </xf>
    <xf numFmtId="0" fontId="4" fillId="0" borderId="11" xfId="37" applyBorder="1">
      <alignment vertical="top"/>
    </xf>
    <xf numFmtId="0" fontId="4" fillId="0" borderId="0" xfId="37" applyFill="1">
      <alignment vertical="top"/>
    </xf>
    <xf numFmtId="0" fontId="4" fillId="0" borderId="19" xfId="37" applyBorder="1">
      <alignment vertical="top"/>
    </xf>
    <xf numFmtId="49" fontId="16" fillId="38" borderId="1" xfId="55">
      <alignment vertical="top"/>
    </xf>
    <xf numFmtId="0" fontId="4" fillId="0" borderId="21" xfId="37" applyBorder="1">
      <alignment vertical="top"/>
    </xf>
    <xf numFmtId="165" fontId="4" fillId="39" borderId="0" xfId="46">
      <alignment vertical="top"/>
    </xf>
    <xf numFmtId="1" fontId="13" fillId="0" borderId="0" xfId="37" applyNumberFormat="1" applyFont="1" applyFill="1">
      <alignment vertical="top"/>
    </xf>
    <xf numFmtId="9" fontId="4" fillId="0" borderId="0" xfId="37" applyNumberFormat="1">
      <alignment vertical="top"/>
    </xf>
    <xf numFmtId="0" fontId="4" fillId="0" borderId="13" xfId="37" applyBorder="1">
      <alignment vertical="top"/>
    </xf>
    <xf numFmtId="0" fontId="4" fillId="3" borderId="0" xfId="37" applyFont="1" applyFill="1">
      <alignment vertical="top"/>
    </xf>
    <xf numFmtId="0" fontId="4" fillId="0" borderId="15" xfId="37" applyBorder="1">
      <alignment vertical="top"/>
    </xf>
    <xf numFmtId="165" fontId="4" fillId="40" borderId="5" xfId="47" applyBorder="1">
      <alignment vertical="top"/>
    </xf>
    <xf numFmtId="0" fontId="4" fillId="0" borderId="17" xfId="37" applyBorder="1">
      <alignment vertical="top"/>
    </xf>
    <xf numFmtId="0" fontId="4" fillId="40" borderId="0" xfId="37" applyFill="1" applyBorder="1" applyAlignment="1">
      <alignment horizontal="center" vertical="top"/>
    </xf>
    <xf numFmtId="0" fontId="18" fillId="2" borderId="1" xfId="37" applyFont="1" applyFill="1" applyBorder="1">
      <alignment vertical="top"/>
    </xf>
    <xf numFmtId="165" fontId="4" fillId="4" borderId="0" xfId="49">
      <alignment vertical="top"/>
    </xf>
    <xf numFmtId="165" fontId="4" fillId="10" borderId="0" xfId="45">
      <alignment vertical="top"/>
    </xf>
    <xf numFmtId="0" fontId="0" fillId="8" borderId="0" xfId="0" applyFill="1">
      <alignment vertical="top"/>
    </xf>
    <xf numFmtId="2" fontId="4" fillId="43" borderId="0" xfId="37" applyNumberFormat="1" applyFill="1">
      <alignment vertical="top"/>
    </xf>
    <xf numFmtId="0" fontId="4" fillId="8" borderId="0" xfId="37" applyFill="1">
      <alignment vertical="top"/>
    </xf>
    <xf numFmtId="0" fontId="4" fillId="0" borderId="5" xfId="37" applyFont="1" applyBorder="1" applyAlignment="1">
      <alignment horizontal="left" vertical="top" wrapText="1"/>
    </xf>
    <xf numFmtId="0" fontId="4" fillId="0" borderId="18" xfId="37" applyBorder="1">
      <alignment vertical="top"/>
    </xf>
    <xf numFmtId="0" fontId="4" fillId="41" borderId="0" xfId="37" applyFill="1">
      <alignment vertical="top"/>
    </xf>
    <xf numFmtId="49" fontId="23" fillId="37" borderId="1" xfId="57">
      <alignment vertical="top"/>
    </xf>
    <xf numFmtId="0" fontId="4" fillId="0" borderId="14" xfId="37" applyBorder="1">
      <alignment vertical="top"/>
    </xf>
    <xf numFmtId="49" fontId="20" fillId="0" borderId="0" xfId="51">
      <alignment vertical="top"/>
    </xf>
    <xf numFmtId="0" fontId="4" fillId="3" borderId="0" xfId="37" applyFill="1" applyBorder="1" applyAlignment="1">
      <alignment horizontal="center" vertical="top"/>
    </xf>
    <xf numFmtId="0" fontId="4" fillId="0" borderId="0" xfId="37" applyBorder="1">
      <alignment vertical="top"/>
    </xf>
    <xf numFmtId="0" fontId="4" fillId="0" borderId="20" xfId="37" applyBorder="1">
      <alignment vertical="top"/>
    </xf>
    <xf numFmtId="0" fontId="4" fillId="0" borderId="8" xfId="37" applyBorder="1">
      <alignment vertical="top"/>
    </xf>
    <xf numFmtId="0" fontId="4" fillId="9" borderId="0" xfId="37" applyFill="1" applyBorder="1" applyAlignment="1">
      <alignment horizontal="center" vertical="top"/>
    </xf>
    <xf numFmtId="49" fontId="4" fillId="38" borderId="5" xfId="55" applyFont="1" applyBorder="1">
      <alignment vertical="top"/>
    </xf>
    <xf numFmtId="0" fontId="4" fillId="0" borderId="23" xfId="37" applyBorder="1">
      <alignment vertical="top"/>
    </xf>
    <xf numFmtId="165" fontId="4" fillId="9" borderId="0" xfId="43">
      <alignment vertical="top"/>
    </xf>
    <xf numFmtId="164" fontId="26" fillId="0" borderId="0" xfId="50" applyFont="1" applyFill="1">
      <alignment vertical="top"/>
    </xf>
    <xf numFmtId="49" fontId="23" fillId="37" borderId="1" xfId="53">
      <alignment vertical="top"/>
    </xf>
    <xf numFmtId="0" fontId="4" fillId="0" borderId="10" xfId="37" applyBorder="1">
      <alignment vertical="top"/>
    </xf>
    <xf numFmtId="0" fontId="4" fillId="0" borderId="0" xfId="37" applyFont="1" applyFill="1" applyBorder="1" applyAlignment="1">
      <alignment horizontal="left" vertical="top" wrapText="1"/>
    </xf>
    <xf numFmtId="0" fontId="4" fillId="0" borderId="5" xfId="37" applyBorder="1">
      <alignment vertical="top"/>
    </xf>
    <xf numFmtId="0" fontId="26" fillId="0" borderId="0" xfId="37" applyFont="1" applyFill="1">
      <alignment vertical="top"/>
    </xf>
    <xf numFmtId="0" fontId="23" fillId="37" borderId="1" xfId="57" applyNumberFormat="1">
      <alignment vertical="top"/>
    </xf>
    <xf numFmtId="0" fontId="24" fillId="0" borderId="0" xfId="52" applyFont="1" applyFill="1" applyBorder="1" applyAlignment="1"/>
    <xf numFmtId="1" fontId="4" fillId="0" borderId="0" xfId="37" applyNumberFormat="1" applyFill="1">
      <alignment vertical="top"/>
    </xf>
    <xf numFmtId="0" fontId="14" fillId="0" borderId="0" xfId="37" applyFont="1">
      <alignment vertical="top"/>
    </xf>
    <xf numFmtId="165" fontId="4" fillId="11" borderId="0" xfId="48">
      <alignment vertical="top"/>
    </xf>
    <xf numFmtId="0" fontId="4" fillId="0" borderId="22" xfId="37" applyBorder="1">
      <alignment vertical="top"/>
    </xf>
    <xf numFmtId="0" fontId="4" fillId="0" borderId="5" xfId="37" applyBorder="1" applyAlignment="1">
      <alignment horizontal="left" vertical="top" wrapText="1"/>
    </xf>
    <xf numFmtId="0" fontId="16" fillId="0" borderId="0" xfId="37" applyFont="1">
      <alignment vertical="top"/>
    </xf>
    <xf numFmtId="49" fontId="27" fillId="0" borderId="5" xfId="56" applyBorder="1" applyAlignment="1">
      <alignment vertical="top"/>
    </xf>
    <xf numFmtId="0" fontId="20" fillId="0" borderId="0" xfId="37" applyFont="1" applyFill="1">
      <alignment vertical="top"/>
    </xf>
    <xf numFmtId="0" fontId="4" fillId="0" borderId="7" xfId="37" applyBorder="1">
      <alignment vertical="top"/>
    </xf>
    <xf numFmtId="0" fontId="4" fillId="0" borderId="5" xfId="37" applyFont="1" applyBorder="1">
      <alignment vertical="top"/>
    </xf>
    <xf numFmtId="165" fontId="4" fillId="40" borderId="0" xfId="47">
      <alignment vertical="top"/>
    </xf>
    <xf numFmtId="0" fontId="4" fillId="0" borderId="12" xfId="37" applyBorder="1">
      <alignment vertical="top"/>
    </xf>
    <xf numFmtId="49" fontId="4" fillId="38" borderId="0" xfId="55" applyFont="1" applyBorder="1">
      <alignment vertical="top"/>
    </xf>
    <xf numFmtId="165" fontId="4" fillId="3" borderId="0" xfId="44">
      <alignment vertical="top"/>
    </xf>
    <xf numFmtId="0" fontId="4" fillId="42" borderId="0" xfId="37" applyFont="1" applyFill="1">
      <alignment vertical="top"/>
    </xf>
    <xf numFmtId="0" fontId="20" fillId="0" borderId="0" xfId="37" applyFont="1">
      <alignment vertical="top"/>
    </xf>
    <xf numFmtId="0" fontId="4" fillId="0" borderId="16" xfId="37" applyBorder="1">
      <alignment vertical="top"/>
    </xf>
    <xf numFmtId="0" fontId="24" fillId="0" borderId="0" xfId="52" applyFont="1" applyFill="1" applyBorder="1" applyAlignment="1">
      <alignment horizontal="center" vertical="top"/>
    </xf>
    <xf numFmtId="0" fontId="16" fillId="0" borderId="0" xfId="0" applyFont="1">
      <alignment vertical="top"/>
    </xf>
    <xf numFmtId="0" fontId="1" fillId="0" borderId="0" xfId="0" applyFont="1">
      <alignment vertical="top"/>
    </xf>
    <xf numFmtId="0" fontId="4" fillId="0" borderId="0" xfId="0" applyFont="1">
      <alignment vertical="top"/>
    </xf>
    <xf numFmtId="0" fontId="1" fillId="0" borderId="0" xfId="0" applyFont="1">
      <alignment vertical="top"/>
    </xf>
    <xf numFmtId="41" fontId="1" fillId="3" borderId="0" xfId="0" applyNumberFormat="1" applyFont="1" applyFill="1">
      <alignment vertical="top"/>
    </xf>
    <xf numFmtId="0" fontId="16" fillId="0" borderId="0" xfId="0" applyFont="1">
      <alignment vertical="top"/>
    </xf>
    <xf numFmtId="0" fontId="4" fillId="0" borderId="0" xfId="35" applyFont="1"/>
    <xf numFmtId="41" fontId="1" fillId="4" borderId="0" xfId="0" applyNumberFormat="1" applyFont="1" applyFill="1">
      <alignment vertical="top"/>
    </xf>
    <xf numFmtId="0" fontId="4" fillId="0" borderId="0" xfId="0" applyFont="1">
      <alignment vertical="top"/>
    </xf>
    <xf numFmtId="0" fontId="17" fillId="0" borderId="0" xfId="0" applyFont="1" applyAlignment="1">
      <alignment vertical="center"/>
    </xf>
    <xf numFmtId="0" fontId="1" fillId="0" borderId="0" xfId="0" applyFont="1" applyAlignment="1">
      <alignment vertical="center"/>
    </xf>
    <xf numFmtId="41" fontId="1" fillId="9" borderId="0" xfId="0" applyNumberFormat="1" applyFont="1" applyFill="1">
      <alignment vertical="top"/>
    </xf>
    <xf numFmtId="0" fontId="22" fillId="0" borderId="0" xfId="0" applyFont="1">
      <alignment vertical="top"/>
    </xf>
    <xf numFmtId="41" fontId="1" fillId="10" borderId="0" xfId="0" applyNumberFormat="1" applyFont="1" applyFill="1">
      <alignment vertical="top"/>
    </xf>
    <xf numFmtId="41" fontId="4" fillId="10" borderId="0" xfId="0" applyNumberFormat="1" applyFont="1" applyFill="1">
      <alignment vertical="top"/>
    </xf>
    <xf numFmtId="0" fontId="4" fillId="0" borderId="0" xfId="37" applyFont="1" applyAlignment="1">
      <alignment horizontal="left" vertical="top" wrapText="1"/>
    </xf>
    <xf numFmtId="0" fontId="4" fillId="0" borderId="0" xfId="10" applyFont="1" applyFill="1"/>
    <xf numFmtId="0" fontId="0" fillId="0" borderId="0" xfId="0" applyFont="1">
      <alignment vertical="top"/>
    </xf>
    <xf numFmtId="41" fontId="22" fillId="0" borderId="0" xfId="0" applyNumberFormat="1" applyFont="1" applyFill="1">
      <alignment vertical="top"/>
    </xf>
    <xf numFmtId="0" fontId="22" fillId="0" borderId="0" xfId="0" applyFont="1" applyFill="1">
      <alignment vertical="top"/>
    </xf>
    <xf numFmtId="41" fontId="0" fillId="3" borderId="0" xfId="0" applyNumberFormat="1" applyFont="1" applyFill="1">
      <alignment vertical="top"/>
    </xf>
    <xf numFmtId="41" fontId="0" fillId="36" borderId="0" xfId="0" applyNumberFormat="1" applyFont="1" applyFill="1">
      <alignment vertical="top"/>
    </xf>
    <xf numFmtId="0" fontId="0" fillId="36" borderId="0" xfId="0" applyFont="1" applyFill="1">
      <alignment vertical="top"/>
    </xf>
    <xf numFmtId="41" fontId="0" fillId="9" borderId="0" xfId="0" applyNumberFormat="1" applyFont="1" applyFill="1">
      <alignment vertical="top"/>
    </xf>
    <xf numFmtId="41" fontId="0" fillId="10" borderId="0" xfId="0" applyNumberFormat="1" applyFont="1" applyFill="1">
      <alignment vertical="top"/>
    </xf>
    <xf numFmtId="10" fontId="4" fillId="40" borderId="0" xfId="58" applyFill="1">
      <alignment vertical="top"/>
    </xf>
    <xf numFmtId="10" fontId="4" fillId="3" borderId="0" xfId="58" applyFill="1">
      <alignment vertical="top"/>
    </xf>
    <xf numFmtId="0" fontId="16" fillId="38" borderId="6" xfId="41" applyNumberFormat="1" applyAlignment="1">
      <alignment horizontal="left" vertical="top"/>
    </xf>
    <xf numFmtId="10" fontId="4" fillId="10" borderId="0" xfId="58" applyFill="1">
      <alignment vertical="top"/>
    </xf>
    <xf numFmtId="166" fontId="22" fillId="0" borderId="0" xfId="0" applyNumberFormat="1" applyFont="1">
      <alignment vertical="top"/>
    </xf>
    <xf numFmtId="41" fontId="4" fillId="3" borderId="0" xfId="0" applyNumberFormat="1" applyFont="1" applyFill="1">
      <alignment vertical="top"/>
    </xf>
    <xf numFmtId="41" fontId="4" fillId="9" borderId="0" xfId="0" applyNumberFormat="1" applyFont="1" applyFill="1">
      <alignment vertical="top"/>
    </xf>
    <xf numFmtId="41" fontId="4" fillId="4" borderId="0" xfId="0" applyNumberFormat="1" applyFont="1" applyFill="1">
      <alignment vertical="top"/>
    </xf>
    <xf numFmtId="0" fontId="30" fillId="36" borderId="0" xfId="0" applyFont="1" applyFill="1">
      <alignment vertical="top"/>
    </xf>
    <xf numFmtId="41" fontId="4" fillId="0" borderId="0" xfId="0" applyNumberFormat="1" applyFont="1">
      <alignment vertical="top"/>
    </xf>
    <xf numFmtId="0" fontId="30" fillId="0" borderId="0" xfId="0" applyFont="1">
      <alignment vertical="top"/>
    </xf>
    <xf numFmtId="41" fontId="30" fillId="0" borderId="0" xfId="0" applyNumberFormat="1" applyFont="1" applyFill="1">
      <alignment vertical="top"/>
    </xf>
    <xf numFmtId="0" fontId="30" fillId="0" borderId="0" xfId="0" applyFont="1" applyFill="1">
      <alignment vertical="top"/>
    </xf>
    <xf numFmtId="41" fontId="4" fillId="0" borderId="0" xfId="0" applyNumberFormat="1" applyFont="1" applyFill="1">
      <alignment vertical="top"/>
    </xf>
    <xf numFmtId="0" fontId="4" fillId="0" borderId="0" xfId="0" applyFont="1" applyFill="1">
      <alignment vertical="top"/>
    </xf>
    <xf numFmtId="10" fontId="4" fillId="0" borderId="0" xfId="58" applyFill="1">
      <alignment vertical="top"/>
    </xf>
    <xf numFmtId="41" fontId="30" fillId="0" borderId="0" xfId="0" applyNumberFormat="1" applyFont="1">
      <alignment vertical="top"/>
    </xf>
    <xf numFmtId="10" fontId="4" fillId="0" borderId="0" xfId="0" applyNumberFormat="1" applyFont="1" applyFill="1">
      <alignment vertical="top"/>
    </xf>
    <xf numFmtId="49" fontId="16" fillId="38" borderId="6" xfId="41">
      <alignment vertical="top"/>
    </xf>
    <xf numFmtId="0" fontId="1" fillId="0" borderId="0" xfId="0" applyFont="1" applyAlignment="1"/>
    <xf numFmtId="41" fontId="4" fillId="40" borderId="0" xfId="60">
      <alignment vertical="top"/>
    </xf>
    <xf numFmtId="41" fontId="4" fillId="0" borderId="0" xfId="61" applyFill="1">
      <alignment vertical="top"/>
    </xf>
    <xf numFmtId="41" fontId="4" fillId="0" borderId="0" xfId="60" applyFill="1">
      <alignment vertical="top"/>
    </xf>
    <xf numFmtId="49" fontId="16" fillId="38" borderId="24" xfId="41" applyBorder="1">
      <alignment vertical="top"/>
    </xf>
    <xf numFmtId="49" fontId="16" fillId="0" borderId="24" xfId="41" applyFill="1" applyBorder="1">
      <alignment vertical="top"/>
    </xf>
    <xf numFmtId="0" fontId="4" fillId="44" borderId="0" xfId="62" applyNumberFormat="1">
      <alignment vertical="top"/>
    </xf>
    <xf numFmtId="0" fontId="4" fillId="0" borderId="0" xfId="62" applyNumberFormat="1" applyFill="1">
      <alignment vertical="top"/>
    </xf>
    <xf numFmtId="166" fontId="4" fillId="0" borderId="0" xfId="37" applyNumberFormat="1">
      <alignment vertical="top"/>
    </xf>
    <xf numFmtId="0" fontId="14" fillId="44" borderId="0" xfId="62" applyNumberFormat="1" applyFont="1">
      <alignment vertical="top"/>
    </xf>
    <xf numFmtId="43" fontId="4" fillId="40" borderId="0" xfId="59" applyFont="1" applyFill="1" applyAlignment="1">
      <alignment vertical="top"/>
    </xf>
    <xf numFmtId="43" fontId="4" fillId="0" borderId="0" xfId="59" applyFont="1" applyAlignment="1">
      <alignment vertical="top"/>
    </xf>
    <xf numFmtId="43" fontId="1" fillId="0" borderId="0" xfId="59" applyFont="1" applyAlignment="1">
      <alignment vertical="top"/>
    </xf>
    <xf numFmtId="167" fontId="1" fillId="3" borderId="0" xfId="59" applyNumberFormat="1" applyFont="1" applyFill="1" applyAlignment="1"/>
    <xf numFmtId="41" fontId="4" fillId="4" borderId="0" xfId="63">
      <alignment vertical="top"/>
    </xf>
    <xf numFmtId="166" fontId="4" fillId="4" borderId="0" xfId="63" applyNumberFormat="1">
      <alignment vertical="top"/>
    </xf>
    <xf numFmtId="41" fontId="4" fillId="0" borderId="0" xfId="63" applyFill="1">
      <alignment vertical="top"/>
    </xf>
    <xf numFmtId="41" fontId="4" fillId="3" borderId="0" xfId="61">
      <alignment vertical="top"/>
    </xf>
    <xf numFmtId="41" fontId="4" fillId="44" borderId="0" xfId="62" applyNumberFormat="1">
      <alignment vertical="top"/>
    </xf>
    <xf numFmtId="168" fontId="1" fillId="3" borderId="0" xfId="0" applyNumberFormat="1" applyFont="1" applyFill="1" applyAlignment="1"/>
    <xf numFmtId="10" fontId="1" fillId="3" borderId="0" xfId="58" applyFont="1" applyFill="1" applyAlignment="1"/>
    <xf numFmtId="167" fontId="1" fillId="0" borderId="0" xfId="59" applyNumberFormat="1" applyFont="1" applyFill="1" applyAlignment="1"/>
    <xf numFmtId="10" fontId="1" fillId="0" borderId="0" xfId="58" applyFont="1" applyFill="1" applyAlignment="1"/>
    <xf numFmtId="0" fontId="4" fillId="0" borderId="0" xfId="37" applyFont="1" applyAlignment="1">
      <alignment horizontal="left" vertical="top"/>
    </xf>
    <xf numFmtId="49" fontId="4" fillId="0" borderId="0" xfId="40" applyFont="1">
      <alignment vertical="top"/>
    </xf>
    <xf numFmtId="0" fontId="4" fillId="45" borderId="0" xfId="37" applyFill="1" applyBorder="1" applyAlignment="1">
      <alignment horizontal="center" vertical="top"/>
    </xf>
    <xf numFmtId="41" fontId="22" fillId="0" borderId="0" xfId="0" applyNumberFormat="1" applyFont="1">
      <alignment vertical="top"/>
    </xf>
    <xf numFmtId="41" fontId="4" fillId="0" borderId="0" xfId="8" applyNumberFormat="1" applyFont="1"/>
    <xf numFmtId="169" fontId="31" fillId="0" borderId="0" xfId="59" applyNumberFormat="1" applyFont="1" applyBorder="1" applyAlignment="1">
      <alignment horizontal="right"/>
    </xf>
    <xf numFmtId="41" fontId="4" fillId="3" borderId="0" xfId="61" applyFont="1">
      <alignment vertical="top"/>
    </xf>
    <xf numFmtId="165" fontId="4" fillId="40" borderId="0" xfId="47" applyFont="1">
      <alignment vertical="top"/>
    </xf>
    <xf numFmtId="41" fontId="4" fillId="40" borderId="0" xfId="60" applyFont="1">
      <alignment vertical="top"/>
    </xf>
    <xf numFmtId="165" fontId="0" fillId="0" borderId="0" xfId="0" applyNumberFormat="1">
      <alignment vertical="top"/>
    </xf>
    <xf numFmtId="0" fontId="0" fillId="0" borderId="0" xfId="0" applyFill="1">
      <alignment vertical="top"/>
    </xf>
    <xf numFmtId="0" fontId="4" fillId="0" borderId="0" xfId="37" applyAlignment="1">
      <alignment vertical="top" wrapText="1"/>
    </xf>
    <xf numFmtId="0" fontId="16" fillId="0" borderId="0" xfId="0" applyFont="1" applyFill="1" applyBorder="1">
      <alignment vertical="top"/>
    </xf>
    <xf numFmtId="165" fontId="4" fillId="0" borderId="0" xfId="48" applyFill="1">
      <alignment vertical="top"/>
    </xf>
    <xf numFmtId="41" fontId="4" fillId="0" borderId="0" xfId="8" applyNumberFormat="1" applyFont="1" applyFill="1"/>
    <xf numFmtId="0" fontId="4" fillId="0" borderId="0" xfId="8" applyFont="1" applyFill="1"/>
    <xf numFmtId="41" fontId="14" fillId="0" borderId="0" xfId="61" applyFont="1" applyFill="1">
      <alignment vertical="top"/>
    </xf>
    <xf numFmtId="165" fontId="22" fillId="0" borderId="0" xfId="0" applyNumberFormat="1" applyFont="1">
      <alignment vertical="top"/>
    </xf>
    <xf numFmtId="0" fontId="4" fillId="0" borderId="0" xfId="37" applyFont="1" applyAlignment="1">
      <alignment horizontal="left" vertical="top" wrapText="1"/>
    </xf>
    <xf numFmtId="0" fontId="0" fillId="0" borderId="0" xfId="0" applyFont="1" applyAlignment="1">
      <alignment horizontal="left" vertical="top" wrapText="1"/>
    </xf>
    <xf numFmtId="0" fontId="1" fillId="0" borderId="0" xfId="0" applyFont="1" applyAlignment="1">
      <alignment horizontal="left" vertical="top" wrapText="1"/>
    </xf>
    <xf numFmtId="0" fontId="4" fillId="0" borderId="0" xfId="37" applyFont="1" applyFill="1" applyAlignment="1">
      <alignment horizontal="left" vertical="top" wrapText="1"/>
    </xf>
  </cellXfs>
  <cellStyles count="65">
    <cellStyle name="_kop1 Bladtitel" xfId="38" xr:uid="{00000000-0005-0000-0000-000000000000}"/>
    <cellStyle name="_kop1 Bladtitel 2 2" xfId="57" xr:uid="{00000000-0005-0000-0000-000001000000}"/>
    <cellStyle name="_kop1 Bladtitel 3" xfId="53" xr:uid="{00000000-0005-0000-0000-000002000000}"/>
    <cellStyle name="_kop2 Bloktitel" xfId="41" xr:uid="{00000000-0005-0000-0000-000003000000}"/>
    <cellStyle name="_kop2 Bloktitel 2" xfId="42" xr:uid="{00000000-0005-0000-0000-000004000000}"/>
    <cellStyle name="_kop2 Bloktitel 2 2" xfId="55" xr:uid="{00000000-0005-0000-0000-000005000000}"/>
    <cellStyle name="_kop2 Bloktitel 3" xfId="54" xr:uid="{00000000-0005-0000-0000-000006000000}"/>
    <cellStyle name="_kop3 Subkop" xfId="39" xr:uid="{00000000-0005-0000-0000-000007000000}"/>
    <cellStyle name="20% - Accent1" xfId="12" builtinId="30" customBuiltin="1"/>
    <cellStyle name="20% - Accent2" xfId="16" builtinId="34" customBuiltin="1"/>
    <cellStyle name="20% - Accent3" xfId="20" builtinId="38" customBuiltin="1"/>
    <cellStyle name="20% - Accent4" xfId="24" builtinId="42" customBuiltin="1"/>
    <cellStyle name="20% - Accent5" xfId="28" builtinId="46" customBuiltin="1"/>
    <cellStyle name="20% - Accent6" xfId="32" builtinId="50" customBuiltin="1"/>
    <cellStyle name="40% - Accent1" xfId="13" builtinId="31" customBuiltin="1"/>
    <cellStyle name="40% - Accent2" xfId="17" builtinId="35" customBuiltin="1"/>
    <cellStyle name="40% - Accent3" xfId="21" builtinId="39" customBuiltin="1"/>
    <cellStyle name="40% - Accent4" xfId="25" builtinId="43" customBuiltin="1"/>
    <cellStyle name="40% - Accent5" xfId="29" builtinId="47" customBuiltin="1"/>
    <cellStyle name="40% - Accent6" xfId="33" builtinId="51" customBuiltin="1"/>
    <cellStyle name="60% - Accent1" xfId="14" builtinId="32" customBuiltin="1"/>
    <cellStyle name="60% - Accent2" xfId="18" builtinId="36" customBuiltin="1"/>
    <cellStyle name="60% - Accent3" xfId="22" builtinId="40" customBuiltin="1"/>
    <cellStyle name="60% - Accent4" xfId="26" builtinId="44" customBuiltin="1"/>
    <cellStyle name="60% - Accent5" xfId="30" builtinId="48" customBuiltin="1"/>
    <cellStyle name="60% - Accent6" xfId="34" builtinId="52" customBuiltin="1"/>
    <cellStyle name="Accent1" xfId="11" builtinId="29" customBuiltin="1"/>
    <cellStyle name="Accent2" xfId="15" builtinId="33" customBuiltin="1"/>
    <cellStyle name="Accent3" xfId="19" builtinId="37" customBuiltin="1"/>
    <cellStyle name="Accent4" xfId="23" builtinId="41" customBuiltin="1"/>
    <cellStyle name="Accent5" xfId="27" builtinId="45" customBuiltin="1"/>
    <cellStyle name="Accent6" xfId="31" builtinId="49" customBuiltin="1"/>
    <cellStyle name="Berekening" xfId="1" builtinId="22" customBuiltin="1"/>
    <cellStyle name="Cel (tussen)resultaat 2" xfId="43" xr:uid="{00000000-0005-0000-0000-000021000000}"/>
    <cellStyle name="Cel Berekening" xfId="61" xr:uid="{00000000-0005-0000-0000-000022000000}"/>
    <cellStyle name="Cel Berekening 3" xfId="44" xr:uid="{00000000-0005-0000-0000-000023000000}"/>
    <cellStyle name="Cel Bijzonderheid 2" xfId="45" xr:uid="{00000000-0005-0000-0000-000024000000}"/>
    <cellStyle name="Cel Dataverzoek 2" xfId="46" xr:uid="{00000000-0005-0000-0000-000025000000}"/>
    <cellStyle name="Cel Input" xfId="60" xr:uid="{00000000-0005-0000-0000-000026000000}"/>
    <cellStyle name="Cel Input 2" xfId="47" xr:uid="{00000000-0005-0000-0000-000027000000}"/>
    <cellStyle name="Cel n.v.t. (leeg)" xfId="62" xr:uid="{00000000-0005-0000-0000-000028000000}"/>
    <cellStyle name="Cel PM extern 2" xfId="48" xr:uid="{00000000-0005-0000-0000-000029000000}"/>
    <cellStyle name="Cel Verwijzing" xfId="63" xr:uid="{00000000-0005-0000-0000-00002A000000}"/>
    <cellStyle name="Cel Verwijzing 2" xfId="49" xr:uid="{00000000-0005-0000-0000-00002B000000}"/>
    <cellStyle name="Gekoppelde cel" xfId="3" builtinId="24" customBuiltin="1"/>
    <cellStyle name="Goed" xfId="2" builtinId="26" customBuiltin="1"/>
    <cellStyle name="Hyperlink" xfId="56" builtinId="8"/>
    <cellStyle name="Komma" xfId="59" builtinId="3"/>
    <cellStyle name="Komma 14" xfId="50" xr:uid="{00000000-0005-0000-0000-00002F000000}"/>
    <cellStyle name="Komma 2 2 2" xfId="64" xr:uid="{2B0BE4BF-AF6D-48C9-9D39-738707444B18}"/>
    <cellStyle name="Neutraal" xfId="4" builtinId="28" customBuiltin="1"/>
    <cellStyle name="Opm. INTERN" xfId="51" xr:uid="{00000000-0005-0000-0000-000033000000}"/>
    <cellStyle name="Procent" xfId="58" builtinId="5" customBuiltin="1"/>
    <cellStyle name="Standaard" xfId="0" builtinId="0" customBuiltin="1"/>
    <cellStyle name="Standaard 2 2" xfId="9" xr:uid="{00000000-0005-0000-0000-000035000000}"/>
    <cellStyle name="Standaard 2 2 2" xfId="35" xr:uid="{00000000-0005-0000-0000-000036000000}"/>
    <cellStyle name="Standaard 3" xfId="8" xr:uid="{00000000-0005-0000-0000-000037000000}"/>
    <cellStyle name="Standaard 3 12" xfId="36" xr:uid="{00000000-0005-0000-0000-000038000000}"/>
    <cellStyle name="Standaard 33" xfId="52" xr:uid="{00000000-0005-0000-0000-000039000000}"/>
    <cellStyle name="Standaard 6 2" xfId="10" xr:uid="{00000000-0005-0000-0000-00003A000000}"/>
    <cellStyle name="Standaard ACM-DE" xfId="37" xr:uid="{00000000-0005-0000-0000-00003B000000}"/>
    <cellStyle name="Titel" xfId="5" builtinId="15" customBuiltin="1"/>
    <cellStyle name="Toelichting" xfId="40" xr:uid="{00000000-0005-0000-0000-00003D000000}"/>
    <cellStyle name="Totaal" xfId="6" builtinId="25" customBuiltin="1"/>
    <cellStyle name="Waarschuwingstekst" xfId="7" builtinId="11" customBuiltin="1"/>
  </cellStyles>
  <dxfs count="0"/>
  <tableStyles count="0" defaultTableStyle="TableStyleMedium2" defaultPivotStyle="PivotStyleMedium9"/>
  <colors>
    <mruColors>
      <color rgb="FFFF00FF"/>
      <color rgb="FFFFFFCC"/>
      <color rgb="FFCCFFFF"/>
      <color rgb="FFCC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81000"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39688</xdr:colOff>
      <xdr:row>12</xdr:row>
      <xdr:rowOff>63500</xdr:rowOff>
    </xdr:from>
    <xdr:to>
      <xdr:col>9</xdr:col>
      <xdr:colOff>1341438</xdr:colOff>
      <xdr:row>12</xdr:row>
      <xdr:rowOff>63501</xdr:rowOff>
    </xdr:to>
    <xdr:cxnSp macro="">
      <xdr:nvCxnSpPr>
        <xdr:cNvPr id="3" name="Straight Arrow Connector 17">
          <a:extLst>
            <a:ext uri="{FF2B5EF4-FFF2-40B4-BE49-F238E27FC236}">
              <a16:creationId xmlns:a16="http://schemas.microsoft.com/office/drawing/2014/main" id="{00000000-0008-0000-0100-000003000000}"/>
            </a:ext>
          </a:extLst>
        </xdr:cNvPr>
        <xdr:cNvCxnSpPr/>
      </xdr:nvCxnSpPr>
      <xdr:spPr>
        <a:xfrm>
          <a:off x="9164638" y="3044825"/>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12</xdr:row>
      <xdr:rowOff>54428</xdr:rowOff>
    </xdr:from>
    <xdr:to>
      <xdr:col>5</xdr:col>
      <xdr:colOff>1328964</xdr:colOff>
      <xdr:row>12</xdr:row>
      <xdr:rowOff>54429</xdr:rowOff>
    </xdr:to>
    <xdr:cxnSp macro="">
      <xdr:nvCxnSpPr>
        <xdr:cNvPr id="4" name="Straight Arrow Connector 20">
          <a:extLst>
            <a:ext uri="{FF2B5EF4-FFF2-40B4-BE49-F238E27FC236}">
              <a16:creationId xmlns:a16="http://schemas.microsoft.com/office/drawing/2014/main" id="{00000000-0008-0000-0100-000004000000}"/>
            </a:ext>
          </a:extLst>
        </xdr:cNvPr>
        <xdr:cNvCxnSpPr/>
      </xdr:nvCxnSpPr>
      <xdr:spPr>
        <a:xfrm>
          <a:off x="4694464" y="303575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1474305</xdr:colOff>
      <xdr:row>13</xdr:row>
      <xdr:rowOff>157369</xdr:rowOff>
    </xdr:from>
    <xdr:to>
      <xdr:col>15</xdr:col>
      <xdr:colOff>1474305</xdr:colOff>
      <xdr:row>15</xdr:row>
      <xdr:rowOff>140804</xdr:rowOff>
    </xdr:to>
    <xdr:cxnSp macro="">
      <xdr:nvCxnSpPr>
        <xdr:cNvPr id="6" name="Rechte verbindingslijn met pijl 5">
          <a:extLst>
            <a:ext uri="{FF2B5EF4-FFF2-40B4-BE49-F238E27FC236}">
              <a16:creationId xmlns:a16="http://schemas.microsoft.com/office/drawing/2014/main" id="{00000000-0008-0000-0100-000006000000}"/>
            </a:ext>
          </a:extLst>
        </xdr:cNvPr>
        <xdr:cNvCxnSpPr/>
      </xdr:nvCxnSpPr>
      <xdr:spPr>
        <a:xfrm flipV="1">
          <a:off x="17019105" y="3300619"/>
          <a:ext cx="0" cy="3072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49697</xdr:colOff>
      <xdr:row>12</xdr:row>
      <xdr:rowOff>57978</xdr:rowOff>
    </xdr:from>
    <xdr:to>
      <xdr:col>13</xdr:col>
      <xdr:colOff>1351447</xdr:colOff>
      <xdr:row>12</xdr:row>
      <xdr:rowOff>57979</xdr:rowOff>
    </xdr:to>
    <xdr:cxnSp macro="">
      <xdr:nvCxnSpPr>
        <xdr:cNvPr id="7" name="Straight Arrow Connector 17">
          <a:extLst>
            <a:ext uri="{FF2B5EF4-FFF2-40B4-BE49-F238E27FC236}">
              <a16:creationId xmlns:a16="http://schemas.microsoft.com/office/drawing/2014/main" id="{00000000-0008-0000-0100-000007000000}"/>
            </a:ext>
          </a:extLst>
        </xdr:cNvPr>
        <xdr:cNvCxnSpPr/>
      </xdr:nvCxnSpPr>
      <xdr:spPr>
        <a:xfrm>
          <a:off x="13899047" y="303930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43</xdr:row>
      <xdr:rowOff>57150</xdr:rowOff>
    </xdr:from>
    <xdr:to>
      <xdr:col>6</xdr:col>
      <xdr:colOff>9525</xdr:colOff>
      <xdr:row>43</xdr:row>
      <xdr:rowOff>57150</xdr:rowOff>
    </xdr:to>
    <xdr:cxnSp macro="">
      <xdr:nvCxnSpPr>
        <xdr:cNvPr id="35" name="Rechte verbindingslijn met pijl 34">
          <a:extLst>
            <a:ext uri="{FF2B5EF4-FFF2-40B4-BE49-F238E27FC236}">
              <a16:creationId xmlns:a16="http://schemas.microsoft.com/office/drawing/2014/main" id="{00000000-0008-0000-0100-000023000000}"/>
            </a:ext>
          </a:extLst>
        </xdr:cNvPr>
        <xdr:cNvCxnSpPr/>
      </xdr:nvCxnSpPr>
      <xdr:spPr>
        <a:xfrm>
          <a:off x="4667250" y="7429500"/>
          <a:ext cx="1390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171450</xdr:colOff>
      <xdr:row>43</xdr:row>
      <xdr:rowOff>66675</xdr:rowOff>
    </xdr:from>
    <xdr:to>
      <xdr:col>5</xdr:col>
      <xdr:colOff>1362075</xdr:colOff>
      <xdr:row>47</xdr:row>
      <xdr:rowOff>76200</xdr:rowOff>
    </xdr:to>
    <xdr:cxnSp macro="">
      <xdr:nvCxnSpPr>
        <xdr:cNvPr id="37" name="Rechte verbindingslijn met pijl 36">
          <a:extLst>
            <a:ext uri="{FF2B5EF4-FFF2-40B4-BE49-F238E27FC236}">
              <a16:creationId xmlns:a16="http://schemas.microsoft.com/office/drawing/2014/main" id="{00000000-0008-0000-0100-000025000000}"/>
            </a:ext>
          </a:extLst>
        </xdr:cNvPr>
        <xdr:cNvCxnSpPr/>
      </xdr:nvCxnSpPr>
      <xdr:spPr>
        <a:xfrm flipV="1">
          <a:off x="4657725" y="7600950"/>
          <a:ext cx="1371600" cy="657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13607</xdr:colOff>
      <xdr:row>33</xdr:row>
      <xdr:rowOff>55789</xdr:rowOff>
    </xdr:from>
    <xdr:to>
      <xdr:col>5</xdr:col>
      <xdr:colOff>1360714</xdr:colOff>
      <xdr:row>36</xdr:row>
      <xdr:rowOff>81642</xdr:rowOff>
    </xdr:to>
    <xdr:cxnSp macro="">
      <xdr:nvCxnSpPr>
        <xdr:cNvPr id="44" name="Rechte verbindingslijn met pijl 43">
          <a:extLst>
            <a:ext uri="{FF2B5EF4-FFF2-40B4-BE49-F238E27FC236}">
              <a16:creationId xmlns:a16="http://schemas.microsoft.com/office/drawing/2014/main" id="{00000000-0008-0000-0100-00002C000000}"/>
            </a:ext>
          </a:extLst>
        </xdr:cNvPr>
        <xdr:cNvCxnSpPr/>
      </xdr:nvCxnSpPr>
      <xdr:spPr>
        <a:xfrm>
          <a:off x="4680857" y="5539468"/>
          <a:ext cx="1347107" cy="51571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13607</xdr:colOff>
      <xdr:row>37</xdr:row>
      <xdr:rowOff>27216</xdr:rowOff>
    </xdr:from>
    <xdr:to>
      <xdr:col>10</xdr:col>
      <xdr:colOff>0</xdr:colOff>
      <xdr:row>43</xdr:row>
      <xdr:rowOff>108857</xdr:rowOff>
    </xdr:to>
    <xdr:cxnSp macro="">
      <xdr:nvCxnSpPr>
        <xdr:cNvPr id="48" name="Rechte verbindingslijn met pijl 47">
          <a:extLst>
            <a:ext uri="{FF2B5EF4-FFF2-40B4-BE49-F238E27FC236}">
              <a16:creationId xmlns:a16="http://schemas.microsoft.com/office/drawing/2014/main" id="{00000000-0008-0000-0100-000030000000}"/>
            </a:ext>
          </a:extLst>
        </xdr:cNvPr>
        <xdr:cNvCxnSpPr/>
      </xdr:nvCxnSpPr>
      <xdr:spPr>
        <a:xfrm flipV="1">
          <a:off x="9144000" y="6164037"/>
          <a:ext cx="1374321" cy="106135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39688</xdr:colOff>
      <xdr:row>12</xdr:row>
      <xdr:rowOff>63500</xdr:rowOff>
    </xdr:from>
    <xdr:to>
      <xdr:col>9</xdr:col>
      <xdr:colOff>1341438</xdr:colOff>
      <xdr:row>12</xdr:row>
      <xdr:rowOff>63501</xdr:rowOff>
    </xdr:to>
    <xdr:cxnSp macro="">
      <xdr:nvCxnSpPr>
        <xdr:cNvPr id="14" name="Straight Arrow Connector 17">
          <a:extLst>
            <a:ext uri="{FF2B5EF4-FFF2-40B4-BE49-F238E27FC236}">
              <a16:creationId xmlns:a16="http://schemas.microsoft.com/office/drawing/2014/main" id="{00000000-0008-0000-0100-00000E000000}"/>
            </a:ext>
          </a:extLst>
        </xdr:cNvPr>
        <xdr:cNvCxnSpPr/>
      </xdr:nvCxnSpPr>
      <xdr:spPr>
        <a:xfrm>
          <a:off x="9170081" y="3070679"/>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12</xdr:row>
      <xdr:rowOff>54428</xdr:rowOff>
    </xdr:from>
    <xdr:to>
      <xdr:col>5</xdr:col>
      <xdr:colOff>1328964</xdr:colOff>
      <xdr:row>12</xdr:row>
      <xdr:rowOff>54429</xdr:rowOff>
    </xdr:to>
    <xdr:cxnSp macro="">
      <xdr:nvCxnSpPr>
        <xdr:cNvPr id="15" name="Straight Arrow Connector 20">
          <a:extLst>
            <a:ext uri="{FF2B5EF4-FFF2-40B4-BE49-F238E27FC236}">
              <a16:creationId xmlns:a16="http://schemas.microsoft.com/office/drawing/2014/main" id="{00000000-0008-0000-0100-00000F000000}"/>
            </a:ext>
          </a:extLst>
        </xdr:cNvPr>
        <xdr:cNvCxnSpPr/>
      </xdr:nvCxnSpPr>
      <xdr:spPr>
        <a:xfrm>
          <a:off x="4694464" y="3061607"/>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1391478</xdr:colOff>
      <xdr:row>13</xdr:row>
      <xdr:rowOff>0</xdr:rowOff>
    </xdr:from>
    <xdr:to>
      <xdr:col>13</xdr:col>
      <xdr:colOff>1347107</xdr:colOff>
      <xdr:row>15</xdr:row>
      <xdr:rowOff>157370</xdr:rowOff>
    </xdr:to>
    <xdr:cxnSp macro="">
      <xdr:nvCxnSpPr>
        <xdr:cNvPr id="16" name="Rechte verbindingslijn met pijl 15">
          <a:extLst>
            <a:ext uri="{FF2B5EF4-FFF2-40B4-BE49-F238E27FC236}">
              <a16:creationId xmlns:a16="http://schemas.microsoft.com/office/drawing/2014/main" id="{00000000-0008-0000-0100-000010000000}"/>
            </a:ext>
          </a:extLst>
        </xdr:cNvPr>
        <xdr:cNvCxnSpPr/>
      </xdr:nvCxnSpPr>
      <xdr:spPr>
        <a:xfrm flipV="1">
          <a:off x="12222764" y="3170464"/>
          <a:ext cx="2990022" cy="4975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1474305</xdr:colOff>
      <xdr:row>13</xdr:row>
      <xdr:rowOff>157369</xdr:rowOff>
    </xdr:from>
    <xdr:to>
      <xdr:col>15</xdr:col>
      <xdr:colOff>1474305</xdr:colOff>
      <xdr:row>15</xdr:row>
      <xdr:rowOff>140804</xdr:rowOff>
    </xdr:to>
    <xdr:cxnSp macro="">
      <xdr:nvCxnSpPr>
        <xdr:cNvPr id="17" name="Rechte verbindingslijn met pijl 16">
          <a:extLst>
            <a:ext uri="{FF2B5EF4-FFF2-40B4-BE49-F238E27FC236}">
              <a16:creationId xmlns:a16="http://schemas.microsoft.com/office/drawing/2014/main" id="{00000000-0008-0000-0100-000011000000}"/>
            </a:ext>
          </a:extLst>
        </xdr:cNvPr>
        <xdr:cNvCxnSpPr/>
      </xdr:nvCxnSpPr>
      <xdr:spPr>
        <a:xfrm flipV="1">
          <a:off x="17040876" y="3327833"/>
          <a:ext cx="0" cy="3236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12</xdr:row>
      <xdr:rowOff>57150</xdr:rowOff>
    </xdr:from>
    <xdr:to>
      <xdr:col>13</xdr:col>
      <xdr:colOff>1351447</xdr:colOff>
      <xdr:row>12</xdr:row>
      <xdr:rowOff>57979</xdr:rowOff>
    </xdr:to>
    <xdr:cxnSp macro="">
      <xdr:nvCxnSpPr>
        <xdr:cNvPr id="18" name="Straight Arrow Connector 17">
          <a:extLst>
            <a:ext uri="{FF2B5EF4-FFF2-40B4-BE49-F238E27FC236}">
              <a16:creationId xmlns:a16="http://schemas.microsoft.com/office/drawing/2014/main" id="{00000000-0008-0000-0100-000012000000}"/>
            </a:ext>
          </a:extLst>
        </xdr:cNvPr>
        <xdr:cNvCxnSpPr/>
      </xdr:nvCxnSpPr>
      <xdr:spPr>
        <a:xfrm>
          <a:off x="13849350" y="2076450"/>
          <a:ext cx="1351447" cy="8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43</xdr:row>
      <xdr:rowOff>57150</xdr:rowOff>
    </xdr:from>
    <xdr:to>
      <xdr:col>6</xdr:col>
      <xdr:colOff>9525</xdr:colOff>
      <xdr:row>43</xdr:row>
      <xdr:rowOff>57150</xdr:rowOff>
    </xdr:to>
    <xdr:cxnSp macro="">
      <xdr:nvCxnSpPr>
        <xdr:cNvPr id="19" name="Rechte verbindingslijn met pijl 18">
          <a:extLst>
            <a:ext uri="{FF2B5EF4-FFF2-40B4-BE49-F238E27FC236}">
              <a16:creationId xmlns:a16="http://schemas.microsoft.com/office/drawing/2014/main" id="{00000000-0008-0000-0100-000013000000}"/>
            </a:ext>
          </a:extLst>
        </xdr:cNvPr>
        <xdr:cNvCxnSpPr/>
      </xdr:nvCxnSpPr>
      <xdr:spPr>
        <a:xfrm>
          <a:off x="4667250" y="7486650"/>
          <a:ext cx="139745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1361</xdr:colOff>
      <xdr:row>37</xdr:row>
      <xdr:rowOff>40822</xdr:rowOff>
    </xdr:from>
    <xdr:to>
      <xdr:col>6</xdr:col>
      <xdr:colOff>0</xdr:colOff>
      <xdr:row>43</xdr:row>
      <xdr:rowOff>0</xdr:rowOff>
    </xdr:to>
    <xdr:cxnSp macro="">
      <xdr:nvCxnSpPr>
        <xdr:cNvPr id="21" name="Rechte verbindingslijn met pijl 20">
          <a:extLst>
            <a:ext uri="{FF2B5EF4-FFF2-40B4-BE49-F238E27FC236}">
              <a16:creationId xmlns:a16="http://schemas.microsoft.com/office/drawing/2014/main" id="{00000000-0008-0000-0100-000015000000}"/>
            </a:ext>
          </a:extLst>
        </xdr:cNvPr>
        <xdr:cNvCxnSpPr/>
      </xdr:nvCxnSpPr>
      <xdr:spPr>
        <a:xfrm>
          <a:off x="4668611" y="6177643"/>
          <a:ext cx="1386568" cy="93889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171450</xdr:colOff>
      <xdr:row>29</xdr:row>
      <xdr:rowOff>136071</xdr:rowOff>
    </xdr:from>
    <xdr:to>
      <xdr:col>5</xdr:col>
      <xdr:colOff>1333500</xdr:colOff>
      <xdr:row>33</xdr:row>
      <xdr:rowOff>51708</xdr:rowOff>
    </xdr:to>
    <xdr:cxnSp macro="">
      <xdr:nvCxnSpPr>
        <xdr:cNvPr id="22" name="Rechte verbindingslijn met pijl 21">
          <a:extLst>
            <a:ext uri="{FF2B5EF4-FFF2-40B4-BE49-F238E27FC236}">
              <a16:creationId xmlns:a16="http://schemas.microsoft.com/office/drawing/2014/main" id="{00000000-0008-0000-0100-000016000000}"/>
            </a:ext>
          </a:extLst>
        </xdr:cNvPr>
        <xdr:cNvCxnSpPr/>
      </xdr:nvCxnSpPr>
      <xdr:spPr>
        <a:xfrm flipV="1">
          <a:off x="4661807" y="4966607"/>
          <a:ext cx="1338943" cy="56878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28</xdr:row>
      <xdr:rowOff>42182</xdr:rowOff>
    </xdr:from>
    <xdr:to>
      <xdr:col>5</xdr:col>
      <xdr:colOff>1374321</xdr:colOff>
      <xdr:row>29</xdr:row>
      <xdr:rowOff>68035</xdr:rowOff>
    </xdr:to>
    <xdr:cxnSp macro="">
      <xdr:nvCxnSpPr>
        <xdr:cNvPr id="23" name="Rechte verbindingslijn met pijl 22">
          <a:extLst>
            <a:ext uri="{FF2B5EF4-FFF2-40B4-BE49-F238E27FC236}">
              <a16:creationId xmlns:a16="http://schemas.microsoft.com/office/drawing/2014/main" id="{00000000-0008-0000-0100-000017000000}"/>
            </a:ext>
          </a:extLst>
        </xdr:cNvPr>
        <xdr:cNvCxnSpPr/>
      </xdr:nvCxnSpPr>
      <xdr:spPr>
        <a:xfrm>
          <a:off x="4667250" y="4709432"/>
          <a:ext cx="1374321" cy="18913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171450</xdr:colOff>
      <xdr:row>37</xdr:row>
      <xdr:rowOff>38100</xdr:rowOff>
    </xdr:from>
    <xdr:to>
      <xdr:col>6</xdr:col>
      <xdr:colOff>0</xdr:colOff>
      <xdr:row>37</xdr:row>
      <xdr:rowOff>38100</xdr:rowOff>
    </xdr:to>
    <xdr:cxnSp macro="">
      <xdr:nvCxnSpPr>
        <xdr:cNvPr id="26" name="Rechte verbindingslijn met pijl 25">
          <a:extLst>
            <a:ext uri="{FF2B5EF4-FFF2-40B4-BE49-F238E27FC236}">
              <a16:creationId xmlns:a16="http://schemas.microsoft.com/office/drawing/2014/main" id="{00000000-0008-0000-0100-00001A000000}"/>
            </a:ext>
          </a:extLst>
        </xdr:cNvPr>
        <xdr:cNvCxnSpPr/>
      </xdr:nvCxnSpPr>
      <xdr:spPr>
        <a:xfrm>
          <a:off x="4661807" y="5521779"/>
          <a:ext cx="139337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171450</xdr:colOff>
      <xdr:row>37</xdr:row>
      <xdr:rowOff>38100</xdr:rowOff>
    </xdr:from>
    <xdr:to>
      <xdr:col>6</xdr:col>
      <xdr:colOff>0</xdr:colOff>
      <xdr:row>37</xdr:row>
      <xdr:rowOff>38100</xdr:rowOff>
    </xdr:to>
    <xdr:cxnSp macro="">
      <xdr:nvCxnSpPr>
        <xdr:cNvPr id="27" name="Rechte verbindingslijn met pijl 26">
          <a:extLst>
            <a:ext uri="{FF2B5EF4-FFF2-40B4-BE49-F238E27FC236}">
              <a16:creationId xmlns:a16="http://schemas.microsoft.com/office/drawing/2014/main" id="{00000000-0008-0000-0100-00001B000000}"/>
            </a:ext>
          </a:extLst>
        </xdr:cNvPr>
        <xdr:cNvCxnSpPr/>
      </xdr:nvCxnSpPr>
      <xdr:spPr>
        <a:xfrm>
          <a:off x="4661807" y="5521779"/>
          <a:ext cx="139337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1344386</xdr:colOff>
      <xdr:row>31</xdr:row>
      <xdr:rowOff>1</xdr:rowOff>
    </xdr:from>
    <xdr:to>
      <xdr:col>7</xdr:col>
      <xdr:colOff>1347108</xdr:colOff>
      <xdr:row>35</xdr:row>
      <xdr:rowOff>0</xdr:rowOff>
    </xdr:to>
    <xdr:cxnSp macro="">
      <xdr:nvCxnSpPr>
        <xdr:cNvPr id="33" name="Rechte verbindingslijn met pijl 32">
          <a:extLst>
            <a:ext uri="{FF2B5EF4-FFF2-40B4-BE49-F238E27FC236}">
              <a16:creationId xmlns:a16="http://schemas.microsoft.com/office/drawing/2014/main" id="{00000000-0008-0000-0100-000021000000}"/>
            </a:ext>
          </a:extLst>
        </xdr:cNvPr>
        <xdr:cNvCxnSpPr/>
      </xdr:nvCxnSpPr>
      <xdr:spPr>
        <a:xfrm>
          <a:off x="7576457" y="5157108"/>
          <a:ext cx="2722" cy="65314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171450</xdr:colOff>
      <xdr:row>36</xdr:row>
      <xdr:rowOff>92529</xdr:rowOff>
    </xdr:from>
    <xdr:to>
      <xdr:col>10</xdr:col>
      <xdr:colOff>1</xdr:colOff>
      <xdr:row>36</xdr:row>
      <xdr:rowOff>92529</xdr:rowOff>
    </xdr:to>
    <xdr:cxnSp macro="">
      <xdr:nvCxnSpPr>
        <xdr:cNvPr id="38" name="Rechte verbindingslijn met pijl 37">
          <a:extLst>
            <a:ext uri="{FF2B5EF4-FFF2-40B4-BE49-F238E27FC236}">
              <a16:creationId xmlns:a16="http://schemas.microsoft.com/office/drawing/2014/main" id="{00000000-0008-0000-0100-000026000000}"/>
            </a:ext>
          </a:extLst>
        </xdr:cNvPr>
        <xdr:cNvCxnSpPr/>
      </xdr:nvCxnSpPr>
      <xdr:spPr>
        <a:xfrm>
          <a:off x="9124950" y="6066065"/>
          <a:ext cx="139337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1325887</xdr:colOff>
      <xdr:row>14</xdr:row>
      <xdr:rowOff>2589</xdr:rowOff>
    </xdr:from>
    <xdr:to>
      <xdr:col>11</xdr:col>
      <xdr:colOff>1326716</xdr:colOff>
      <xdr:row>16</xdr:row>
      <xdr:rowOff>2739</xdr:rowOff>
    </xdr:to>
    <xdr:cxnSp macro="">
      <xdr:nvCxnSpPr>
        <xdr:cNvPr id="45" name="Straight Arrow Connector 17">
          <a:extLst>
            <a:ext uri="{FF2B5EF4-FFF2-40B4-BE49-F238E27FC236}">
              <a16:creationId xmlns:a16="http://schemas.microsoft.com/office/drawing/2014/main" id="{00000000-0008-0000-0100-00002D000000}"/>
            </a:ext>
          </a:extLst>
        </xdr:cNvPr>
        <xdr:cNvCxnSpPr/>
      </xdr:nvCxnSpPr>
      <xdr:spPr>
        <a:xfrm rot="16200000">
          <a:off x="11984702" y="2516849"/>
          <a:ext cx="324000" cy="8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D37"/>
  <sheetViews>
    <sheetView showGridLines="0" tabSelected="1" zoomScale="85" zoomScaleNormal="85" workbookViewId="0">
      <pane ySplit="3" topLeftCell="A4" activePane="bottomLeft" state="frozen"/>
      <selection pane="bottomLeft" activeCell="A4" sqref="A4"/>
    </sheetView>
  </sheetViews>
  <sheetFormatPr defaultRowHeight="12.75" x14ac:dyDescent="0.2"/>
  <cols>
    <col min="1" max="1" width="4.7109375" style="17" customWidth="1"/>
    <col min="2" max="2" width="39.85546875" style="17" customWidth="1"/>
    <col min="3" max="3" width="91.85546875" style="17" customWidth="1"/>
    <col min="4" max="16384" width="9.140625" style="17"/>
  </cols>
  <sheetData>
    <row r="2" spans="2:3" s="143" customFormat="1" ht="18" x14ac:dyDescent="0.2">
      <c r="B2" s="143" t="s">
        <v>237</v>
      </c>
    </row>
    <row r="6" spans="2:3" x14ac:dyDescent="0.2">
      <c r="B6" s="21"/>
    </row>
    <row r="13" spans="2:3" s="24" customFormat="1" x14ac:dyDescent="0.2">
      <c r="B13" s="24" t="s">
        <v>166</v>
      </c>
    </row>
    <row r="14" spans="2:3" s="109" customFormat="1" x14ac:dyDescent="0.2"/>
    <row r="15" spans="2:3" x14ac:dyDescent="0.2">
      <c r="B15" s="128" t="s">
        <v>167</v>
      </c>
      <c r="C15" s="154" t="s">
        <v>561</v>
      </c>
    </row>
    <row r="16" spans="2:3" x14ac:dyDescent="0.2">
      <c r="B16" s="128" t="s">
        <v>168</v>
      </c>
      <c r="C16" s="154" t="s">
        <v>237</v>
      </c>
    </row>
    <row r="17" spans="2:3" x14ac:dyDescent="0.2">
      <c r="B17" s="128" t="s">
        <v>169</v>
      </c>
      <c r="C17" s="154"/>
    </row>
    <row r="18" spans="2:3" x14ac:dyDescent="0.2">
      <c r="B18" s="128" t="s">
        <v>170</v>
      </c>
      <c r="C18" s="154" t="s">
        <v>562</v>
      </c>
    </row>
    <row r="19" spans="2:3" x14ac:dyDescent="0.2">
      <c r="B19" s="128" t="s">
        <v>171</v>
      </c>
      <c r="C19" s="154"/>
    </row>
    <row r="20" spans="2:3" x14ac:dyDescent="0.2">
      <c r="B20" s="128" t="s">
        <v>172</v>
      </c>
      <c r="C20" s="154"/>
    </row>
    <row r="21" spans="2:3" x14ac:dyDescent="0.2">
      <c r="B21" s="128" t="s">
        <v>173</v>
      </c>
      <c r="C21" s="154" t="s">
        <v>563</v>
      </c>
    </row>
    <row r="22" spans="2:3" x14ac:dyDescent="0.2">
      <c r="B22" s="128" t="s">
        <v>174</v>
      </c>
      <c r="C22" s="154"/>
    </row>
    <row r="25" spans="2:3" s="24" customFormat="1" x14ac:dyDescent="0.2">
      <c r="B25" s="24" t="s">
        <v>175</v>
      </c>
    </row>
    <row r="27" spans="2:3" x14ac:dyDescent="0.2">
      <c r="B27" s="128" t="s">
        <v>176</v>
      </c>
      <c r="C27" s="154" t="s">
        <v>179</v>
      </c>
    </row>
    <row r="28" spans="2:3" x14ac:dyDescent="0.2">
      <c r="B28" s="128" t="s">
        <v>178</v>
      </c>
      <c r="C28" s="154" t="s">
        <v>179</v>
      </c>
    </row>
    <row r="29" spans="2:3" ht="25.5" x14ac:dyDescent="0.2">
      <c r="B29" s="128" t="s">
        <v>180</v>
      </c>
      <c r="C29" s="154" t="s">
        <v>179</v>
      </c>
    </row>
    <row r="30" spans="2:3" x14ac:dyDescent="0.2">
      <c r="B30" s="128" t="s">
        <v>181</v>
      </c>
      <c r="C30" s="154" t="s">
        <v>177</v>
      </c>
    </row>
    <row r="31" spans="2:3" x14ac:dyDescent="0.2">
      <c r="B31" s="128" t="s">
        <v>182</v>
      </c>
      <c r="C31" s="154" t="s">
        <v>564</v>
      </c>
    </row>
    <row r="32" spans="2:3" x14ac:dyDescent="0.2">
      <c r="B32" s="128" t="s">
        <v>174</v>
      </c>
      <c r="C32" s="154"/>
    </row>
    <row r="34" spans="2:4" x14ac:dyDescent="0.2">
      <c r="B34" s="145"/>
      <c r="C34" s="145"/>
      <c r="D34" s="165"/>
    </row>
    <row r="35" spans="2:4" s="24" customFormat="1" x14ac:dyDescent="0.2">
      <c r="B35" s="24" t="s">
        <v>183</v>
      </c>
    </row>
    <row r="37" spans="2:4" x14ac:dyDescent="0.2">
      <c r="B37" s="151"/>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tabColor rgb="FFCCFFCC"/>
  </sheetPr>
  <dimension ref="A1:Z146"/>
  <sheetViews>
    <sheetView showGridLines="0" zoomScale="85" zoomScaleNormal="85" workbookViewId="0">
      <pane xSplit="6" ySplit="11" topLeftCell="G12" activePane="bottomRight" state="frozen"/>
      <selection activeCell="A4" sqref="A4"/>
      <selection pane="topRight" activeCell="G4" sqref="G4"/>
      <selection pane="bottomLeft" activeCell="A11" sqref="A11"/>
      <selection pane="bottomRight" activeCell="G12" sqref="G12"/>
    </sheetView>
  </sheetViews>
  <sheetFormatPr defaultRowHeight="14.25" x14ac:dyDescent="0.2"/>
  <cols>
    <col min="1" max="1" width="2.7109375" style="15" customWidth="1"/>
    <col min="2" max="2" width="43" style="15" customWidth="1"/>
    <col min="3" max="3" width="3.28515625" style="15" customWidth="1"/>
    <col min="4" max="4" width="13.7109375" style="15" customWidth="1"/>
    <col min="5" max="5" width="3.28515625" style="15" customWidth="1"/>
    <col min="6" max="6" width="13.7109375" style="15" customWidth="1"/>
    <col min="7" max="7" width="3.28515625" style="180" customWidth="1"/>
    <col min="8" max="8" width="13.7109375" style="180" customWidth="1"/>
    <col min="9" max="9" width="3.28515625" style="15" customWidth="1"/>
    <col min="10" max="10" width="14.42578125" style="15" customWidth="1"/>
    <col min="11" max="11" width="3.7109375" style="15" customWidth="1"/>
    <col min="12" max="17" width="13.7109375" style="15" customWidth="1"/>
    <col min="18" max="18" width="2.7109375" style="180" customWidth="1"/>
    <col min="19" max="19" width="13.7109375" style="15" customWidth="1"/>
    <col min="20" max="20" width="2.7109375" style="180" customWidth="1"/>
    <col min="21" max="22" width="13.7109375" style="180" customWidth="1"/>
    <col min="23" max="23" width="2.7109375" style="15" customWidth="1"/>
    <col min="24" max="24" width="4.28515625" style="15" customWidth="1"/>
    <col min="25" max="27" width="15.5703125" style="15" customWidth="1"/>
    <col min="28" max="16384" width="9.140625" style="15"/>
  </cols>
  <sheetData>
    <row r="1" spans="1:26" s="32" customFormat="1" ht="12.75" x14ac:dyDescent="0.2">
      <c r="A1" s="17"/>
      <c r="B1" s="17"/>
      <c r="C1" s="17"/>
      <c r="D1" s="17"/>
      <c r="E1" s="17"/>
      <c r="F1" s="17"/>
      <c r="G1" s="17"/>
      <c r="H1" s="17"/>
      <c r="I1" s="17"/>
      <c r="J1" s="17"/>
      <c r="K1" s="17"/>
      <c r="L1" s="17"/>
      <c r="M1" s="17"/>
      <c r="N1" s="17"/>
      <c r="O1" s="17"/>
      <c r="P1" s="17"/>
      <c r="Q1" s="17"/>
      <c r="R1" s="17"/>
      <c r="S1" s="17"/>
      <c r="T1" s="17"/>
      <c r="U1" s="17"/>
      <c r="V1" s="17"/>
      <c r="W1" s="17"/>
    </row>
    <row r="2" spans="1:26" s="18" customFormat="1" ht="18" x14ac:dyDescent="0.2">
      <c r="B2" s="18" t="s">
        <v>578</v>
      </c>
    </row>
    <row r="3" spans="1:26" s="32" customFormat="1" ht="12.75" x14ac:dyDescent="0.2">
      <c r="A3" s="17"/>
      <c r="B3" s="17"/>
      <c r="C3" s="17"/>
      <c r="D3" s="17"/>
      <c r="E3" s="17"/>
      <c r="F3" s="17"/>
      <c r="G3" s="17"/>
      <c r="H3" s="17"/>
      <c r="I3" s="17"/>
      <c r="J3" s="17"/>
      <c r="K3" s="17"/>
      <c r="L3" s="17"/>
      <c r="M3" s="17"/>
      <c r="N3" s="17"/>
      <c r="O3" s="17"/>
      <c r="P3" s="17"/>
      <c r="Q3" s="17"/>
      <c r="R3" s="17"/>
      <c r="S3" s="17"/>
      <c r="T3" s="17"/>
      <c r="U3" s="17"/>
      <c r="V3" s="17"/>
      <c r="W3" s="17"/>
    </row>
    <row r="4" spans="1:26" s="32" customFormat="1" ht="12.75" x14ac:dyDescent="0.2">
      <c r="A4" s="17"/>
      <c r="B4" s="19" t="s">
        <v>79</v>
      </c>
      <c r="C4" s="17"/>
      <c r="D4" s="17"/>
      <c r="E4" s="17"/>
      <c r="F4" s="17"/>
      <c r="G4" s="17"/>
      <c r="H4" s="17"/>
      <c r="I4" s="17"/>
      <c r="J4" s="17"/>
      <c r="K4" s="20"/>
      <c r="L4" s="20"/>
      <c r="M4" s="17"/>
      <c r="N4" s="17"/>
      <c r="O4" s="17"/>
      <c r="P4" s="17"/>
      <c r="Q4" s="17"/>
      <c r="R4" s="17"/>
      <c r="S4" s="17"/>
      <c r="T4" s="17"/>
      <c r="U4" s="17"/>
      <c r="V4" s="17"/>
      <c r="W4" s="17"/>
    </row>
    <row r="5" spans="1:26" s="32" customFormat="1" ht="25.5" customHeight="1" x14ac:dyDescent="0.2">
      <c r="A5" s="17"/>
      <c r="B5" s="253" t="s">
        <v>437</v>
      </c>
      <c r="C5" s="253"/>
      <c r="D5" s="253"/>
      <c r="E5" s="253"/>
      <c r="F5" s="253"/>
      <c r="G5" s="17"/>
      <c r="H5" s="17"/>
      <c r="I5" s="17"/>
      <c r="J5" s="17"/>
      <c r="K5" s="17"/>
      <c r="L5" s="17"/>
      <c r="M5" s="17"/>
      <c r="N5" s="17"/>
      <c r="O5" s="17"/>
      <c r="P5" s="17"/>
      <c r="Q5" s="17"/>
      <c r="R5" s="17"/>
      <c r="S5" s="17"/>
      <c r="T5" s="17"/>
      <c r="U5" s="17"/>
      <c r="V5" s="17"/>
      <c r="W5" s="17"/>
    </row>
    <row r="6" spans="1:26" s="32" customFormat="1" ht="12.75" x14ac:dyDescent="0.2">
      <c r="A6" s="17"/>
      <c r="B6" s="21"/>
      <c r="C6" s="17"/>
      <c r="D6" s="17"/>
      <c r="E6" s="17"/>
      <c r="F6" s="17"/>
      <c r="G6" s="17"/>
      <c r="H6" s="17"/>
      <c r="I6" s="17"/>
      <c r="J6" s="17"/>
      <c r="K6" s="17"/>
      <c r="L6" s="17"/>
      <c r="M6" s="17"/>
      <c r="N6" s="17"/>
      <c r="O6" s="17"/>
      <c r="P6" s="17"/>
      <c r="Q6" s="17"/>
      <c r="R6" s="17"/>
      <c r="S6" s="17"/>
      <c r="T6" s="17"/>
      <c r="U6" s="17"/>
      <c r="V6" s="17"/>
      <c r="W6" s="17"/>
    </row>
    <row r="7" spans="1:26" s="32" customFormat="1" ht="12.75" x14ac:dyDescent="0.2">
      <c r="B7" s="22" t="s">
        <v>80</v>
      </c>
      <c r="D7" s="31"/>
      <c r="F7" s="31"/>
      <c r="G7" s="31"/>
      <c r="H7" s="31"/>
      <c r="I7" s="31"/>
      <c r="J7" s="31"/>
      <c r="K7" s="31"/>
      <c r="L7" s="31"/>
      <c r="M7" s="31"/>
      <c r="N7" s="31"/>
      <c r="O7" s="31"/>
      <c r="P7" s="31"/>
      <c r="Q7" s="31"/>
      <c r="R7" s="171"/>
      <c r="S7" s="31"/>
      <c r="T7" s="171"/>
      <c r="U7" s="31"/>
      <c r="V7" s="31"/>
    </row>
    <row r="8" spans="1:26" s="87" customFormat="1" ht="30" customHeight="1" x14ac:dyDescent="0.2">
      <c r="B8" s="256" t="s">
        <v>655</v>
      </c>
      <c r="C8" s="256"/>
      <c r="D8" s="256"/>
      <c r="E8" s="256"/>
      <c r="F8" s="256"/>
      <c r="G8" s="245"/>
      <c r="H8" s="245"/>
      <c r="I8" s="245"/>
      <c r="J8" s="245"/>
      <c r="K8" s="245"/>
      <c r="L8" s="245"/>
      <c r="M8" s="245"/>
      <c r="N8" s="245"/>
      <c r="O8" s="245"/>
      <c r="P8" s="245"/>
      <c r="Q8" s="245"/>
      <c r="S8" s="245"/>
      <c r="U8" s="245"/>
      <c r="V8" s="245"/>
    </row>
    <row r="9" spans="1:26" s="171" customFormat="1" ht="69" customHeight="1" x14ac:dyDescent="0.2">
      <c r="B9" s="253" t="s">
        <v>653</v>
      </c>
      <c r="C9" s="253"/>
      <c r="D9" s="253"/>
      <c r="E9" s="253"/>
      <c r="F9" s="31"/>
      <c r="G9" s="31"/>
      <c r="H9" s="31"/>
      <c r="I9" s="31"/>
      <c r="J9" s="31"/>
      <c r="K9" s="31"/>
      <c r="L9" s="31"/>
      <c r="M9" s="31"/>
      <c r="N9" s="244"/>
      <c r="O9" s="31"/>
      <c r="P9" s="31"/>
      <c r="Q9" s="31"/>
      <c r="S9" s="31"/>
      <c r="U9" s="31"/>
      <c r="V9" s="31"/>
    </row>
    <row r="10" spans="1:26" s="32" customFormat="1" ht="12.75" x14ac:dyDescent="0.2">
      <c r="G10" s="171"/>
      <c r="H10" s="171"/>
      <c r="R10" s="171"/>
      <c r="T10" s="171"/>
      <c r="U10" s="171"/>
      <c r="V10" s="171"/>
    </row>
    <row r="11" spans="1:26" s="24" customFormat="1" ht="12.75" x14ac:dyDescent="0.2">
      <c r="B11" s="24" t="s">
        <v>81</v>
      </c>
      <c r="D11" s="24" t="s">
        <v>66</v>
      </c>
      <c r="F11" s="24" t="s">
        <v>0</v>
      </c>
      <c r="H11" s="24" t="s">
        <v>439</v>
      </c>
      <c r="J11" s="24" t="s">
        <v>440</v>
      </c>
      <c r="L11" s="24" t="s">
        <v>82</v>
      </c>
      <c r="M11" s="24" t="s">
        <v>1</v>
      </c>
      <c r="N11" s="24" t="s">
        <v>2</v>
      </c>
      <c r="O11" s="24" t="s">
        <v>3</v>
      </c>
      <c r="P11" s="24" t="s">
        <v>4</v>
      </c>
      <c r="Q11" s="24" t="s">
        <v>5</v>
      </c>
      <c r="S11" s="24" t="s">
        <v>35</v>
      </c>
      <c r="U11" s="24" t="s">
        <v>560</v>
      </c>
      <c r="V11" s="24" t="s">
        <v>652</v>
      </c>
      <c r="X11" s="24" t="s">
        <v>67</v>
      </c>
    </row>
    <row r="12" spans="1:26" s="39" customFormat="1" ht="15" customHeight="1" x14ac:dyDescent="0.2">
      <c r="B12" s="32"/>
      <c r="G12" s="180"/>
      <c r="H12" s="180"/>
      <c r="R12" s="180"/>
      <c r="T12" s="180"/>
      <c r="U12" s="180"/>
      <c r="V12" s="180"/>
    </row>
    <row r="13" spans="1:26" s="24" customFormat="1" ht="12.75" x14ac:dyDescent="0.2">
      <c r="B13" s="24" t="s">
        <v>45</v>
      </c>
    </row>
    <row r="14" spans="1:26" s="39" customFormat="1" ht="15" customHeight="1" x14ac:dyDescent="0.2">
      <c r="B14" s="32"/>
      <c r="G14" s="180"/>
      <c r="H14" s="180"/>
      <c r="R14" s="180"/>
      <c r="T14" s="180"/>
      <c r="U14" s="180"/>
      <c r="V14" s="180"/>
    </row>
    <row r="15" spans="1:26" s="6" customFormat="1" ht="12.75" x14ac:dyDescent="0.2">
      <c r="A15" s="13"/>
      <c r="B15" s="7" t="s">
        <v>48</v>
      </c>
      <c r="F15" s="32"/>
      <c r="H15" s="171"/>
      <c r="J15" s="32"/>
      <c r="M15" s="12"/>
      <c r="U15" s="12"/>
      <c r="V15" s="12"/>
    </row>
    <row r="16" spans="1:26" s="6" customFormat="1" ht="12.75" x14ac:dyDescent="0.2">
      <c r="A16" s="13"/>
      <c r="B16" s="32" t="s">
        <v>49</v>
      </c>
      <c r="F16" s="32" t="s">
        <v>20</v>
      </c>
      <c r="H16" s="171"/>
      <c r="J16" s="33">
        <f>SUM(L16:S16)</f>
        <v>0</v>
      </c>
      <c r="L16" s="160">
        <v>0</v>
      </c>
      <c r="M16" s="160">
        <v>0</v>
      </c>
      <c r="N16" s="160">
        <v>0</v>
      </c>
      <c r="O16" s="160">
        <v>0</v>
      </c>
      <c r="P16" s="160">
        <v>0</v>
      </c>
      <c r="Q16" s="160">
        <v>0</v>
      </c>
      <c r="R16" s="171"/>
      <c r="S16" s="160">
        <v>0</v>
      </c>
      <c r="U16" s="242">
        <v>0</v>
      </c>
      <c r="V16" s="242">
        <v>0</v>
      </c>
      <c r="Z16" s="239"/>
    </row>
    <row r="17" spans="1:26" s="6" customFormat="1" ht="12.75" x14ac:dyDescent="0.2">
      <c r="A17" s="13"/>
      <c r="B17" s="32" t="s">
        <v>50</v>
      </c>
      <c r="F17" s="32" t="s">
        <v>20</v>
      </c>
      <c r="H17" s="171"/>
      <c r="J17" s="172">
        <f>SUM(L17:S17)</f>
        <v>393217386.86709803</v>
      </c>
      <c r="L17" s="242">
        <v>2489470.2581239156</v>
      </c>
      <c r="M17" s="160">
        <v>144806229.72286683</v>
      </c>
      <c r="N17" s="160">
        <v>126889498.86059403</v>
      </c>
      <c r="O17" s="160">
        <v>1962088.0156831327</v>
      </c>
      <c r="P17" s="160">
        <v>102608518.48081522</v>
      </c>
      <c r="Q17" s="160">
        <v>4075807.1778612281</v>
      </c>
      <c r="R17" s="171"/>
      <c r="S17" s="160">
        <v>10385774.351153672</v>
      </c>
      <c r="U17" s="242">
        <v>144806229.72286683</v>
      </c>
      <c r="V17" s="242">
        <v>1962088.0156831327</v>
      </c>
      <c r="Z17" s="239"/>
    </row>
    <row r="18" spans="1:26" s="6" customFormat="1" ht="12.75" x14ac:dyDescent="0.2">
      <c r="A18" s="13"/>
      <c r="B18" s="32" t="s">
        <v>51</v>
      </c>
      <c r="F18" s="32" t="s">
        <v>20</v>
      </c>
      <c r="H18" s="171"/>
      <c r="J18" s="172">
        <f>SUM(L18:S18)</f>
        <v>5495657037.6280336</v>
      </c>
      <c r="L18" s="160">
        <v>19178651.711156175</v>
      </c>
      <c r="M18" s="160">
        <v>1872323343.1546435</v>
      </c>
      <c r="N18" s="160">
        <v>2112512325.6689487</v>
      </c>
      <c r="O18" s="160">
        <v>7469221.2407777961</v>
      </c>
      <c r="P18" s="160">
        <v>1326301948.8980711</v>
      </c>
      <c r="Q18" s="160">
        <v>69540831.787962407</v>
      </c>
      <c r="R18" s="171"/>
      <c r="S18" s="160">
        <v>88330715.16647391</v>
      </c>
      <c r="U18" s="242">
        <v>1872323343.1546435</v>
      </c>
      <c r="V18" s="242">
        <v>7469221.2407777961</v>
      </c>
      <c r="Z18" s="239"/>
    </row>
    <row r="19" spans="1:26" s="6" customFormat="1" ht="12.75" x14ac:dyDescent="0.2">
      <c r="A19" s="13"/>
      <c r="B19" s="32"/>
      <c r="F19" s="32"/>
      <c r="H19" s="171"/>
      <c r="Z19" s="239"/>
    </row>
    <row r="20" spans="1:26" s="6" customFormat="1" ht="12.75" x14ac:dyDescent="0.2">
      <c r="A20" s="13"/>
      <c r="B20" s="7" t="s">
        <v>52</v>
      </c>
      <c r="F20" s="32"/>
      <c r="H20" s="171"/>
      <c r="Z20" s="239"/>
    </row>
    <row r="21" spans="1:26" s="6" customFormat="1" ht="12.75" x14ac:dyDescent="0.2">
      <c r="A21" s="13"/>
      <c r="B21" s="32" t="s">
        <v>53</v>
      </c>
      <c r="F21" s="32" t="s">
        <v>20</v>
      </c>
      <c r="H21" s="171"/>
      <c r="J21" s="172">
        <f>V21+U21+S21+Q21+P21+N21+L21</f>
        <v>581217822.06120706</v>
      </c>
      <c r="L21" s="160">
        <v>1519715.7447459218</v>
      </c>
      <c r="M21" s="160">
        <v>171032470.72987351</v>
      </c>
      <c r="N21" s="160">
        <v>226380875.0142571</v>
      </c>
      <c r="O21" s="160">
        <v>1926970.9100000001</v>
      </c>
      <c r="P21" s="160">
        <v>131127645.96892956</v>
      </c>
      <c r="Q21" s="160">
        <v>6361719.7387392893</v>
      </c>
      <c r="R21" s="171"/>
      <c r="S21" s="160">
        <v>23582649.814661585</v>
      </c>
      <c r="U21" s="242">
        <v>190247315.21987352</v>
      </c>
      <c r="V21" s="242">
        <v>1997900.5600000003</v>
      </c>
      <c r="Y21" s="248"/>
      <c r="Z21" s="249"/>
    </row>
    <row r="22" spans="1:26" s="6" customFormat="1" ht="12.75" x14ac:dyDescent="0.2">
      <c r="A22" s="13"/>
      <c r="B22" s="32" t="s">
        <v>46</v>
      </c>
      <c r="F22" s="32" t="s">
        <v>20</v>
      </c>
      <c r="H22" s="171"/>
      <c r="J22" s="172">
        <f>V22+U22+S22+Q22+P22+N22+L22</f>
        <v>184138274.12530065</v>
      </c>
      <c r="L22" s="160">
        <v>999340.14661725913</v>
      </c>
      <c r="M22" s="160">
        <v>56550302.339307517</v>
      </c>
      <c r="N22" s="160">
        <v>45088550.392804541</v>
      </c>
      <c r="O22" s="160">
        <v>733398.23308072379</v>
      </c>
      <c r="P22" s="160">
        <v>52248977.120818868</v>
      </c>
      <c r="Q22" s="160">
        <v>5561903.658255225</v>
      </c>
      <c r="R22" s="171"/>
      <c r="S22" s="160">
        <v>5529182.2558687842</v>
      </c>
      <c r="U22" s="242">
        <v>73904980.600154817</v>
      </c>
      <c r="V22" s="242">
        <v>805339.95078115468</v>
      </c>
      <c r="Y22" s="248"/>
      <c r="Z22" s="249"/>
    </row>
    <row r="23" spans="1:26" s="6" customFormat="1" ht="12.75" x14ac:dyDescent="0.2">
      <c r="A23" s="13"/>
      <c r="B23" s="32" t="s">
        <v>54</v>
      </c>
      <c r="F23" s="32" t="s">
        <v>20</v>
      </c>
      <c r="H23" s="171"/>
      <c r="J23" s="172">
        <f>V23+U23+S23+Q23+P23+N23+L23</f>
        <v>5565170072.9401531</v>
      </c>
      <c r="L23" s="160">
        <v>40683298.867134005</v>
      </c>
      <c r="M23" s="160">
        <v>1727809756.8791232</v>
      </c>
      <c r="N23" s="160">
        <v>1738530295.0556235</v>
      </c>
      <c r="O23" s="160">
        <v>23489114.032144465</v>
      </c>
      <c r="P23" s="160">
        <v>1609676360.8069398</v>
      </c>
      <c r="Q23" s="160">
        <v>180115606.70583743</v>
      </c>
      <c r="R23" s="171"/>
      <c r="S23" s="160">
        <v>179130801.03261971</v>
      </c>
      <c r="U23" s="242">
        <v>1793153759.4686706</v>
      </c>
      <c r="V23" s="242">
        <v>23879951.003327906</v>
      </c>
      <c r="Y23" s="248"/>
      <c r="Z23" s="249"/>
    </row>
    <row r="24" spans="1:26" s="6" customFormat="1" ht="12.75" x14ac:dyDescent="0.2">
      <c r="A24" s="13"/>
      <c r="B24" s="32"/>
      <c r="F24" s="32"/>
      <c r="H24" s="171"/>
      <c r="Y24" s="250"/>
      <c r="Z24" s="249"/>
    </row>
    <row r="25" spans="1:26" s="8" customFormat="1" ht="12.75" x14ac:dyDescent="0.2">
      <c r="A25" s="14"/>
      <c r="B25" s="7" t="s">
        <v>55</v>
      </c>
      <c r="F25" s="32"/>
      <c r="H25" s="171"/>
      <c r="R25" s="6"/>
      <c r="T25" s="6"/>
      <c r="W25" s="6"/>
      <c r="X25" s="6"/>
      <c r="Y25" s="6"/>
      <c r="Z25" s="239"/>
    </row>
    <row r="26" spans="1:26" s="8" customFormat="1" ht="12.75" x14ac:dyDescent="0.2">
      <c r="A26" s="14"/>
      <c r="B26" s="32" t="s">
        <v>56</v>
      </c>
      <c r="F26" s="32" t="s">
        <v>20</v>
      </c>
      <c r="H26" s="171"/>
      <c r="J26" s="172">
        <f>SUM(L26:S26)</f>
        <v>0</v>
      </c>
      <c r="L26" s="160">
        <v>0</v>
      </c>
      <c r="M26" s="160">
        <v>0</v>
      </c>
      <c r="N26" s="160">
        <v>0</v>
      </c>
      <c r="O26" s="160">
        <v>0</v>
      </c>
      <c r="P26" s="160">
        <v>0</v>
      </c>
      <c r="Q26" s="160">
        <v>0</v>
      </c>
      <c r="R26" s="171"/>
      <c r="S26" s="160">
        <v>0</v>
      </c>
      <c r="T26" s="6"/>
      <c r="U26" s="242">
        <v>0</v>
      </c>
      <c r="V26" s="242">
        <v>0</v>
      </c>
      <c r="W26" s="6"/>
      <c r="X26" s="6"/>
      <c r="Y26" s="6"/>
      <c r="Z26" s="239"/>
    </row>
    <row r="27" spans="1:26" s="8" customFormat="1" ht="12.75" x14ac:dyDescent="0.2">
      <c r="A27" s="14"/>
      <c r="B27" s="32" t="s">
        <v>57</v>
      </c>
      <c r="F27" s="32" t="s">
        <v>20</v>
      </c>
      <c r="H27" s="171"/>
      <c r="J27" s="172">
        <f>SUM(L27:S27)</f>
        <v>252111.70002645359</v>
      </c>
      <c r="L27" s="160">
        <v>0</v>
      </c>
      <c r="M27" s="160">
        <v>0</v>
      </c>
      <c r="N27" s="160">
        <v>0</v>
      </c>
      <c r="O27" s="160">
        <v>0</v>
      </c>
      <c r="P27" s="160">
        <v>0</v>
      </c>
      <c r="Q27" s="160">
        <v>0</v>
      </c>
      <c r="R27" s="171"/>
      <c r="S27" s="160">
        <v>252111.70002645359</v>
      </c>
      <c r="T27" s="6"/>
      <c r="U27" s="242">
        <v>0</v>
      </c>
      <c r="V27" s="242">
        <v>0</v>
      </c>
      <c r="W27" s="6"/>
      <c r="X27" s="6"/>
      <c r="Y27" s="6"/>
      <c r="Z27" s="239"/>
    </row>
    <row r="28" spans="1:26" s="8" customFormat="1" ht="12.75" x14ac:dyDescent="0.2">
      <c r="A28" s="14"/>
      <c r="B28" s="32" t="s">
        <v>58</v>
      </c>
      <c r="F28" s="32" t="s">
        <v>20</v>
      </c>
      <c r="H28" s="171"/>
      <c r="J28" s="172">
        <f>SUM(L28:S28)</f>
        <v>9414554.9317114875</v>
      </c>
      <c r="L28" s="160">
        <v>0</v>
      </c>
      <c r="M28" s="160">
        <v>0</v>
      </c>
      <c r="N28" s="160">
        <v>0</v>
      </c>
      <c r="O28" s="160">
        <v>0</v>
      </c>
      <c r="P28" s="160">
        <v>0</v>
      </c>
      <c r="Q28" s="160">
        <v>0</v>
      </c>
      <c r="R28" s="171"/>
      <c r="S28" s="160">
        <v>9414554.9317114875</v>
      </c>
      <c r="T28" s="6"/>
      <c r="U28" s="242">
        <v>0</v>
      </c>
      <c r="V28" s="242">
        <v>0</v>
      </c>
      <c r="W28" s="6"/>
      <c r="X28" s="6"/>
      <c r="Y28" s="6"/>
      <c r="Z28" s="239"/>
    </row>
    <row r="29" spans="1:26" s="8" customFormat="1" ht="12.75" x14ac:dyDescent="0.2">
      <c r="A29" s="14"/>
      <c r="B29" s="32"/>
      <c r="F29" s="32"/>
      <c r="H29" s="171"/>
      <c r="R29" s="6"/>
      <c r="T29" s="6"/>
      <c r="W29" s="6"/>
      <c r="X29" s="6"/>
      <c r="Y29" s="6"/>
      <c r="Z29" s="239"/>
    </row>
    <row r="30" spans="1:26" s="8" customFormat="1" ht="12.75" x14ac:dyDescent="0.2">
      <c r="A30" s="14"/>
      <c r="B30" s="7" t="s">
        <v>59</v>
      </c>
      <c r="F30" s="32"/>
      <c r="H30" s="171"/>
      <c r="R30" s="6"/>
      <c r="T30" s="6"/>
      <c r="W30" s="6"/>
      <c r="X30" s="6"/>
      <c r="Y30" s="6"/>
      <c r="Z30" s="239"/>
    </row>
    <row r="31" spans="1:26" s="8" customFormat="1" ht="12.75" x14ac:dyDescent="0.2">
      <c r="A31" s="14"/>
      <c r="B31" s="32" t="s">
        <v>60</v>
      </c>
      <c r="F31" s="32" t="s">
        <v>20</v>
      </c>
      <c r="H31" s="171"/>
      <c r="J31" s="172">
        <f>SUM(L31:S31)</f>
        <v>135517.27272727274</v>
      </c>
      <c r="L31" s="160">
        <v>0</v>
      </c>
      <c r="M31" s="160">
        <v>0</v>
      </c>
      <c r="N31" s="160">
        <v>0</v>
      </c>
      <c r="O31" s="160">
        <v>0</v>
      </c>
      <c r="P31" s="160">
        <v>0</v>
      </c>
      <c r="Q31" s="160">
        <v>135517.27272727274</v>
      </c>
      <c r="R31" s="171"/>
      <c r="S31" s="160">
        <v>0</v>
      </c>
      <c r="T31" s="6"/>
      <c r="U31" s="242">
        <v>0</v>
      </c>
      <c r="V31" s="242">
        <v>0</v>
      </c>
      <c r="W31" s="6"/>
      <c r="X31" s="6"/>
      <c r="Y31" s="6"/>
      <c r="Z31" s="239"/>
    </row>
    <row r="32" spans="1:26" s="32" customFormat="1" ht="12.75" x14ac:dyDescent="0.2">
      <c r="A32" s="37"/>
      <c r="B32" s="32" t="s">
        <v>61</v>
      </c>
      <c r="F32" s="32" t="s">
        <v>20</v>
      </c>
      <c r="G32" s="171"/>
      <c r="H32" s="171"/>
      <c r="J32" s="172">
        <f>SUM(L32:S32)</f>
        <v>1973123.9056655543</v>
      </c>
      <c r="L32" s="160">
        <v>0</v>
      </c>
      <c r="M32" s="160">
        <v>9997.2579960844796</v>
      </c>
      <c r="N32" s="160">
        <v>438211.73255678132</v>
      </c>
      <c r="O32" s="160">
        <v>0</v>
      </c>
      <c r="P32" s="160">
        <v>1401960.6625199611</v>
      </c>
      <c r="Q32" s="160">
        <v>13551.727272727274</v>
      </c>
      <c r="R32" s="171"/>
      <c r="S32" s="160">
        <v>109402.52532</v>
      </c>
      <c r="T32" s="6"/>
      <c r="U32" s="242">
        <v>9997.2579960844796</v>
      </c>
      <c r="V32" s="242">
        <v>0</v>
      </c>
      <c r="W32" s="6"/>
      <c r="X32" s="6"/>
      <c r="Y32" s="6"/>
      <c r="Z32" s="239"/>
    </row>
    <row r="33" spans="1:26" s="32" customFormat="1" ht="12.75" x14ac:dyDescent="0.2">
      <c r="A33" s="37"/>
      <c r="B33" s="32" t="s">
        <v>62</v>
      </c>
      <c r="F33" s="32" t="s">
        <v>20</v>
      </c>
      <c r="G33" s="171"/>
      <c r="H33" s="171"/>
      <c r="J33" s="172">
        <f>SUM(L33:S33)</f>
        <v>22081121.132525884</v>
      </c>
      <c r="L33" s="160">
        <v>0</v>
      </c>
      <c r="M33" s="160">
        <v>261676.10627581627</v>
      </c>
      <c r="N33" s="160">
        <v>3864988.9015953448</v>
      </c>
      <c r="O33" s="160">
        <v>0</v>
      </c>
      <c r="P33" s="160">
        <v>17121374.164620176</v>
      </c>
      <c r="Q33" s="160">
        <v>121965.54545454546</v>
      </c>
      <c r="R33" s="171"/>
      <c r="S33" s="160">
        <v>711116.41457999998</v>
      </c>
      <c r="T33" s="6"/>
      <c r="U33" s="242">
        <v>261676.10627581627</v>
      </c>
      <c r="V33" s="242">
        <v>0</v>
      </c>
      <c r="W33" s="6"/>
      <c r="X33" s="6"/>
      <c r="Y33" s="6"/>
      <c r="Z33" s="239"/>
    </row>
    <row r="34" spans="1:26" s="39" customFormat="1" ht="15" customHeight="1" x14ac:dyDescent="0.2">
      <c r="B34" s="32"/>
      <c r="G34" s="180"/>
      <c r="H34" s="180"/>
      <c r="R34" s="6"/>
      <c r="T34" s="6"/>
      <c r="U34" s="203"/>
      <c r="V34" s="203"/>
      <c r="W34" s="6"/>
      <c r="X34" s="6"/>
      <c r="Y34" s="6"/>
    </row>
    <row r="35" spans="1:26" s="24" customFormat="1" ht="12.75" x14ac:dyDescent="0.2">
      <c r="B35" s="24" t="s">
        <v>126</v>
      </c>
      <c r="U35" s="47"/>
      <c r="V35" s="47"/>
    </row>
    <row r="36" spans="1:26" s="39" customFormat="1" ht="15" customHeight="1" x14ac:dyDescent="0.2">
      <c r="B36" s="32"/>
      <c r="G36" s="180"/>
      <c r="H36" s="180"/>
      <c r="R36" s="180"/>
      <c r="T36" s="180"/>
      <c r="U36" s="203"/>
      <c r="V36" s="203"/>
    </row>
    <row r="37" spans="1:26" s="6" customFormat="1" ht="12.75" x14ac:dyDescent="0.2">
      <c r="A37" s="13"/>
      <c r="B37" s="7" t="s">
        <v>48</v>
      </c>
      <c r="F37" s="32"/>
      <c r="H37" s="171"/>
      <c r="J37" s="32"/>
      <c r="M37" s="12"/>
    </row>
    <row r="38" spans="1:26" s="6" customFormat="1" ht="12.75" x14ac:dyDescent="0.2">
      <c r="A38" s="13"/>
      <c r="B38" s="32" t="s">
        <v>49</v>
      </c>
      <c r="F38" s="32" t="s">
        <v>87</v>
      </c>
      <c r="H38" s="171"/>
      <c r="J38" s="172">
        <f>SUM(L38:S38)</f>
        <v>0</v>
      </c>
      <c r="L38" s="160">
        <v>0</v>
      </c>
      <c r="M38" s="160">
        <v>0</v>
      </c>
      <c r="N38" s="160">
        <v>0</v>
      </c>
      <c r="O38" s="160">
        <v>0</v>
      </c>
      <c r="P38" s="160">
        <v>0</v>
      </c>
      <c r="Q38" s="160">
        <v>0</v>
      </c>
      <c r="R38" s="171"/>
      <c r="S38" s="160">
        <v>0</v>
      </c>
      <c r="U38" s="242">
        <v>0</v>
      </c>
      <c r="V38" s="242">
        <v>0</v>
      </c>
    </row>
    <row r="39" spans="1:26" s="6" customFormat="1" ht="12.75" x14ac:dyDescent="0.2">
      <c r="A39" s="13"/>
      <c r="B39" s="32" t="s">
        <v>50</v>
      </c>
      <c r="F39" s="32" t="s">
        <v>87</v>
      </c>
      <c r="H39" s="171"/>
      <c r="J39" s="172">
        <f>SUM(L39:S39)</f>
        <v>396363125.96203488</v>
      </c>
      <c r="L39" s="160">
        <v>2509386.0201889072</v>
      </c>
      <c r="M39" s="160">
        <v>145964679.56064981</v>
      </c>
      <c r="N39" s="160">
        <v>127904614.8514788</v>
      </c>
      <c r="O39" s="160">
        <v>1977784.7198085978</v>
      </c>
      <c r="P39" s="160">
        <v>103429386.62866174</v>
      </c>
      <c r="Q39" s="160">
        <v>4108413.6352841179</v>
      </c>
      <c r="R39" s="171"/>
      <c r="S39" s="160">
        <v>10468860.545962902</v>
      </c>
      <c r="U39" s="242">
        <v>145964679.56064981</v>
      </c>
      <c r="V39" s="242">
        <v>1977784.7198085978</v>
      </c>
    </row>
    <row r="40" spans="1:26" s="6" customFormat="1" ht="12.75" x14ac:dyDescent="0.2">
      <c r="A40" s="13"/>
      <c r="B40" s="32" t="s">
        <v>51</v>
      </c>
      <c r="F40" s="32" t="s">
        <v>87</v>
      </c>
      <c r="H40" s="171"/>
      <c r="J40" s="172">
        <f>SUM(L40:S40)</f>
        <v>5143259167.9063177</v>
      </c>
      <c r="L40" s="160">
        <v>16822694.843950901</v>
      </c>
      <c r="M40" s="160">
        <v>1741337250.339231</v>
      </c>
      <c r="N40" s="160">
        <v>2001507809.4228218</v>
      </c>
      <c r="O40" s="160">
        <v>5551190.2908954201</v>
      </c>
      <c r="P40" s="160">
        <v>1233482977.860594</v>
      </c>
      <c r="Q40" s="160">
        <v>65988744.806981988</v>
      </c>
      <c r="R40" s="171"/>
      <c r="S40" s="160">
        <v>78568500.3418428</v>
      </c>
      <c r="U40" s="242">
        <v>1741337250.339231</v>
      </c>
      <c r="V40" s="242">
        <v>5551190.2908954201</v>
      </c>
    </row>
    <row r="41" spans="1:26" s="6" customFormat="1" ht="12.75" x14ac:dyDescent="0.2">
      <c r="A41" s="13"/>
      <c r="B41" s="32"/>
      <c r="F41" s="32"/>
      <c r="H41" s="171"/>
    </row>
    <row r="42" spans="1:26" s="6" customFormat="1" ht="12.75" x14ac:dyDescent="0.2">
      <c r="A42" s="13"/>
      <c r="B42" s="7" t="s">
        <v>52</v>
      </c>
      <c r="F42" s="32"/>
      <c r="H42" s="171"/>
    </row>
    <row r="43" spans="1:26" s="6" customFormat="1" ht="12.75" x14ac:dyDescent="0.2">
      <c r="A43" s="13"/>
      <c r="B43" s="32" t="s">
        <v>53</v>
      </c>
      <c r="F43" s="32" t="s">
        <v>87</v>
      </c>
      <c r="H43" s="171"/>
      <c r="J43" s="172">
        <f>SUM(L43:S43)</f>
        <v>624136933.42560112</v>
      </c>
      <c r="L43" s="160">
        <v>1740079</v>
      </c>
      <c r="M43" s="160">
        <v>172171099.18536517</v>
      </c>
      <c r="N43" s="160">
        <v>215270396.06003869</v>
      </c>
      <c r="O43" s="160">
        <v>1567341.61</v>
      </c>
      <c r="P43" s="160">
        <v>196655835.9883123</v>
      </c>
      <c r="Q43" s="160">
        <v>6412773.4016152136</v>
      </c>
      <c r="R43" s="171"/>
      <c r="S43" s="160">
        <v>30319408.18026967</v>
      </c>
      <c r="U43" s="242">
        <v>188493998.485365</v>
      </c>
      <c r="V43" s="242">
        <v>1717260.9200000002</v>
      </c>
    </row>
    <row r="44" spans="1:26" s="6" customFormat="1" ht="12.75" x14ac:dyDescent="0.2">
      <c r="A44" s="13"/>
      <c r="B44" s="32" t="s">
        <v>46</v>
      </c>
      <c r="F44" s="32" t="s">
        <v>87</v>
      </c>
      <c r="H44" s="171"/>
      <c r="J44" s="172">
        <f>SUM(L44:S44)</f>
        <v>178481712.79250535</v>
      </c>
      <c r="L44" s="160">
        <v>1062424.4693051297</v>
      </c>
      <c r="M44" s="160">
        <v>55226976.282121919</v>
      </c>
      <c r="N44" s="160">
        <v>51112685.394823387</v>
      </c>
      <c r="O44" s="160">
        <v>773027.55141564994</v>
      </c>
      <c r="P44" s="160">
        <v>58456089.617354333</v>
      </c>
      <c r="Q44" s="160">
        <v>5662250.1453099381</v>
      </c>
      <c r="R44" s="171"/>
      <c r="S44" s="160">
        <v>6188259.3321750239</v>
      </c>
      <c r="U44" s="242">
        <v>75831768.240247995</v>
      </c>
      <c r="V44" s="242">
        <v>861155.12284168461</v>
      </c>
    </row>
    <row r="45" spans="1:26" s="6" customFormat="1" ht="12.75" x14ac:dyDescent="0.2">
      <c r="A45" s="13"/>
      <c r="B45" s="32" t="s">
        <v>54</v>
      </c>
      <c r="F45" s="32" t="s">
        <v>87</v>
      </c>
      <c r="H45" s="171"/>
      <c r="J45" s="172">
        <f>SUM(L45:S45)</f>
        <v>5989085935.9449606</v>
      </c>
      <c r="L45" s="160">
        <v>41686419.788765952</v>
      </c>
      <c r="M45" s="160">
        <v>1858576357.8373995</v>
      </c>
      <c r="N45" s="160">
        <v>1916596248.0812833</v>
      </c>
      <c r="O45" s="160">
        <v>24471341.002985973</v>
      </c>
      <c r="P45" s="160">
        <v>1760753518.0643528</v>
      </c>
      <c r="Q45" s="160">
        <v>182307054.81578946</v>
      </c>
      <c r="R45" s="171"/>
      <c r="S45" s="160">
        <v>204694996.35438329</v>
      </c>
      <c r="U45" s="242">
        <v>1920161219.7895367</v>
      </c>
      <c r="V45" s="242">
        <v>24927096.408512849</v>
      </c>
    </row>
    <row r="46" spans="1:26" s="6" customFormat="1" ht="12.75" x14ac:dyDescent="0.2">
      <c r="A46" s="13"/>
      <c r="B46" s="32"/>
      <c r="F46" s="32"/>
      <c r="H46" s="171"/>
    </row>
    <row r="47" spans="1:26" s="8" customFormat="1" ht="12.75" x14ac:dyDescent="0.2">
      <c r="A47" s="14"/>
      <c r="B47" s="7" t="s">
        <v>55</v>
      </c>
      <c r="F47" s="32"/>
      <c r="H47" s="171"/>
      <c r="R47" s="6"/>
      <c r="T47" s="6"/>
      <c r="W47" s="6"/>
      <c r="X47" s="6"/>
      <c r="Y47" s="6"/>
    </row>
    <row r="48" spans="1:26" s="8" customFormat="1" ht="12.75" x14ac:dyDescent="0.2">
      <c r="A48" s="14"/>
      <c r="B48" s="32" t="s">
        <v>56</v>
      </c>
      <c r="F48" s="32" t="s">
        <v>87</v>
      </c>
      <c r="H48" s="171"/>
      <c r="J48" s="172">
        <f>SUM(L48:S48)</f>
        <v>0</v>
      </c>
      <c r="L48" s="160">
        <v>0</v>
      </c>
      <c r="M48" s="160">
        <v>0</v>
      </c>
      <c r="N48" s="160">
        <v>0</v>
      </c>
      <c r="O48" s="160">
        <v>0</v>
      </c>
      <c r="P48" s="160">
        <v>0</v>
      </c>
      <c r="Q48" s="160">
        <v>0</v>
      </c>
      <c r="R48" s="171"/>
      <c r="S48" s="160">
        <v>0</v>
      </c>
      <c r="T48" s="6"/>
      <c r="U48" s="242">
        <v>0</v>
      </c>
      <c r="V48" s="242">
        <v>0</v>
      </c>
      <c r="W48" s="6"/>
      <c r="X48" s="6"/>
      <c r="Y48" s="6"/>
    </row>
    <row r="49" spans="1:25" s="8" customFormat="1" ht="12.75" x14ac:dyDescent="0.2">
      <c r="A49" s="14"/>
      <c r="B49" s="32" t="s">
        <v>57</v>
      </c>
      <c r="F49" s="32" t="s">
        <v>87</v>
      </c>
      <c r="H49" s="171"/>
      <c r="J49" s="172">
        <f>SUM(L49:S49)</f>
        <v>254128.59362666524</v>
      </c>
      <c r="L49" s="160">
        <v>0</v>
      </c>
      <c r="M49" s="160">
        <v>0</v>
      </c>
      <c r="N49" s="160">
        <v>0</v>
      </c>
      <c r="O49" s="160">
        <v>0</v>
      </c>
      <c r="P49" s="160">
        <v>0</v>
      </c>
      <c r="Q49" s="160">
        <v>0</v>
      </c>
      <c r="R49" s="171"/>
      <c r="S49" s="160">
        <v>254128.59362666524</v>
      </c>
      <c r="T49" s="6"/>
      <c r="U49" s="242">
        <v>0</v>
      </c>
      <c r="V49" s="242">
        <v>0</v>
      </c>
      <c r="W49" s="6"/>
      <c r="X49" s="6"/>
      <c r="Y49" s="6"/>
    </row>
    <row r="50" spans="1:25" s="8" customFormat="1" ht="12.75" x14ac:dyDescent="0.2">
      <c r="A50" s="14"/>
      <c r="B50" s="32" t="s">
        <v>58</v>
      </c>
      <c r="F50" s="32" t="s">
        <v>87</v>
      </c>
      <c r="H50" s="171"/>
      <c r="J50" s="172">
        <f>SUM(L50:S50)</f>
        <v>9235742.7775385156</v>
      </c>
      <c r="L50" s="160">
        <v>0</v>
      </c>
      <c r="M50" s="160">
        <v>0</v>
      </c>
      <c r="N50" s="160">
        <v>0</v>
      </c>
      <c r="O50" s="160">
        <v>0</v>
      </c>
      <c r="P50" s="160">
        <v>0</v>
      </c>
      <c r="Q50" s="160">
        <v>0</v>
      </c>
      <c r="R50" s="171"/>
      <c r="S50" s="160">
        <v>9235742.7775385156</v>
      </c>
      <c r="T50" s="6"/>
      <c r="U50" s="242">
        <v>0</v>
      </c>
      <c r="V50" s="242">
        <v>0</v>
      </c>
      <c r="W50" s="6"/>
      <c r="X50" s="6"/>
      <c r="Y50" s="6"/>
    </row>
    <row r="51" spans="1:25" s="8" customFormat="1" ht="12.75" x14ac:dyDescent="0.2">
      <c r="A51" s="14"/>
      <c r="B51" s="32"/>
      <c r="F51" s="32"/>
      <c r="H51" s="171"/>
      <c r="R51" s="6"/>
      <c r="T51" s="6"/>
      <c r="W51" s="6"/>
      <c r="X51" s="6"/>
      <c r="Y51" s="6"/>
    </row>
    <row r="52" spans="1:25" s="8" customFormat="1" ht="12.75" x14ac:dyDescent="0.2">
      <c r="A52" s="14"/>
      <c r="B52" s="7" t="s">
        <v>59</v>
      </c>
      <c r="F52" s="32"/>
      <c r="H52" s="171"/>
      <c r="R52" s="6"/>
      <c r="T52" s="6"/>
      <c r="W52" s="6"/>
      <c r="X52" s="6"/>
      <c r="Y52" s="6"/>
    </row>
    <row r="53" spans="1:25" s="8" customFormat="1" ht="12.75" x14ac:dyDescent="0.2">
      <c r="A53" s="14"/>
      <c r="B53" s="32" t="s">
        <v>60</v>
      </c>
      <c r="F53" s="32" t="s">
        <v>87</v>
      </c>
      <c r="H53" s="171"/>
      <c r="J53" s="172">
        <f>SUM(L53:S53)</f>
        <v>0</v>
      </c>
      <c r="L53" s="160">
        <v>0</v>
      </c>
      <c r="M53" s="160">
        <v>0</v>
      </c>
      <c r="N53" s="160">
        <v>0</v>
      </c>
      <c r="O53" s="160">
        <v>0</v>
      </c>
      <c r="P53" s="160">
        <v>0</v>
      </c>
      <c r="Q53" s="160">
        <v>0</v>
      </c>
      <c r="R53" s="171"/>
      <c r="S53" s="160">
        <v>0</v>
      </c>
      <c r="T53" s="6"/>
      <c r="U53" s="242">
        <v>0</v>
      </c>
      <c r="V53" s="242">
        <v>0</v>
      </c>
      <c r="W53" s="6"/>
      <c r="X53" s="6"/>
      <c r="Y53" s="6"/>
    </row>
    <row r="54" spans="1:25" s="32" customFormat="1" ht="12.75" x14ac:dyDescent="0.2">
      <c r="A54" s="37"/>
      <c r="B54" s="32" t="s">
        <v>61</v>
      </c>
      <c r="F54" s="32" t="s">
        <v>87</v>
      </c>
      <c r="G54" s="171"/>
      <c r="H54" s="171"/>
      <c r="J54" s="172">
        <f>SUM(L54:S54)</f>
        <v>1825764.9778318403</v>
      </c>
      <c r="L54" s="160">
        <v>0</v>
      </c>
      <c r="M54" s="160">
        <v>10077.236060053154</v>
      </c>
      <c r="N54" s="160">
        <v>441717.42641723558</v>
      </c>
      <c r="O54" s="160">
        <v>0</v>
      </c>
      <c r="P54" s="160">
        <v>1236372.2876501733</v>
      </c>
      <c r="Q54" s="160">
        <v>27320.28218181818</v>
      </c>
      <c r="R54" s="171"/>
      <c r="S54" s="160">
        <v>110277.74552255998</v>
      </c>
      <c r="T54" s="6"/>
      <c r="U54" s="242">
        <v>10077.236060053154</v>
      </c>
      <c r="V54" s="242">
        <v>0</v>
      </c>
      <c r="W54" s="6"/>
      <c r="X54" s="6"/>
      <c r="Y54" s="6"/>
    </row>
    <row r="55" spans="1:25" s="32" customFormat="1" ht="12.75" x14ac:dyDescent="0.2">
      <c r="A55" s="37"/>
      <c r="B55" s="32" t="s">
        <v>62</v>
      </c>
      <c r="F55" s="32" t="s">
        <v>87</v>
      </c>
      <c r="G55" s="171"/>
      <c r="H55" s="171"/>
      <c r="J55" s="172">
        <f>SUM(L55:S55)</f>
        <v>20432005.123754252</v>
      </c>
      <c r="L55" s="160">
        <v>0</v>
      </c>
      <c r="M55" s="160">
        <v>253692.27906596969</v>
      </c>
      <c r="N55" s="160">
        <v>3454191.3863908718</v>
      </c>
      <c r="O55" s="160">
        <v>0</v>
      </c>
      <c r="P55" s="160">
        <v>16021972.870286964</v>
      </c>
      <c r="Q55" s="160">
        <v>95620.987636363643</v>
      </c>
      <c r="R55" s="171"/>
      <c r="S55" s="160">
        <v>606527.60037407989</v>
      </c>
      <c r="T55" s="6"/>
      <c r="U55" s="242">
        <v>253692.27906596969</v>
      </c>
      <c r="V55" s="242">
        <v>0</v>
      </c>
      <c r="W55" s="6"/>
      <c r="X55" s="6"/>
      <c r="Y55" s="6"/>
    </row>
    <row r="56" spans="1:25" x14ac:dyDescent="0.2">
      <c r="U56" s="203"/>
      <c r="V56" s="203"/>
    </row>
    <row r="57" spans="1:25" s="24" customFormat="1" ht="12.75" x14ac:dyDescent="0.2">
      <c r="B57" s="24" t="s">
        <v>127</v>
      </c>
      <c r="U57" s="47"/>
      <c r="V57" s="47"/>
    </row>
    <row r="58" spans="1:25" s="39" customFormat="1" ht="15" customHeight="1" x14ac:dyDescent="0.2">
      <c r="B58" s="32"/>
      <c r="G58" s="180"/>
      <c r="H58" s="180"/>
      <c r="R58" s="180"/>
      <c r="T58" s="180"/>
      <c r="U58" s="203"/>
      <c r="V58" s="203"/>
    </row>
    <row r="59" spans="1:25" s="6" customFormat="1" ht="12.75" x14ac:dyDescent="0.2">
      <c r="A59" s="13"/>
      <c r="B59" s="7" t="s">
        <v>48</v>
      </c>
      <c r="F59" s="32"/>
      <c r="H59" s="171"/>
      <c r="J59" s="32"/>
      <c r="M59" s="12"/>
    </row>
    <row r="60" spans="1:25" s="6" customFormat="1" ht="12.75" x14ac:dyDescent="0.2">
      <c r="A60" s="13"/>
      <c r="B60" s="32" t="s">
        <v>49</v>
      </c>
      <c r="F60" s="32" t="s">
        <v>92</v>
      </c>
      <c r="H60" s="171"/>
      <c r="J60" s="172">
        <f>SUM(L60:S60)</f>
        <v>0</v>
      </c>
      <c r="L60" s="160">
        <v>0</v>
      </c>
      <c r="M60" s="160">
        <v>0</v>
      </c>
      <c r="N60" s="160">
        <v>0</v>
      </c>
      <c r="O60" s="160">
        <v>0</v>
      </c>
      <c r="P60" s="160">
        <v>0</v>
      </c>
      <c r="Q60" s="160">
        <v>0</v>
      </c>
      <c r="R60" s="171"/>
      <c r="S60" s="160">
        <v>0</v>
      </c>
      <c r="U60" s="242">
        <v>0</v>
      </c>
      <c r="V60" s="242">
        <v>0</v>
      </c>
    </row>
    <row r="61" spans="1:25" s="6" customFormat="1" ht="12.75" x14ac:dyDescent="0.2">
      <c r="A61" s="13"/>
      <c r="B61" s="32" t="s">
        <v>50</v>
      </c>
      <c r="F61" s="32" t="s">
        <v>92</v>
      </c>
      <c r="H61" s="171"/>
      <c r="J61" s="172">
        <f>SUM(L61:S61)</f>
        <v>397155852.21395898</v>
      </c>
      <c r="L61" s="160">
        <v>2514404.7922292855</v>
      </c>
      <c r="M61" s="160">
        <v>146256608.91977111</v>
      </c>
      <c r="N61" s="160">
        <v>128160424.08118175</v>
      </c>
      <c r="O61" s="160">
        <v>1981740.2892482153</v>
      </c>
      <c r="P61" s="160">
        <v>103636245.40191907</v>
      </c>
      <c r="Q61" s="160">
        <v>4116630.4625546862</v>
      </c>
      <c r="R61" s="171"/>
      <c r="S61" s="160">
        <v>10489798.267054828</v>
      </c>
      <c r="U61" s="242">
        <v>146256608.91977111</v>
      </c>
      <c r="V61" s="242">
        <v>1981740.2892482153</v>
      </c>
    </row>
    <row r="62" spans="1:25" s="6" customFormat="1" ht="12.75" x14ac:dyDescent="0.2">
      <c r="A62" s="13"/>
      <c r="B62" s="32" t="s">
        <v>51</v>
      </c>
      <c r="F62" s="32" t="s">
        <v>92</v>
      </c>
      <c r="H62" s="171"/>
      <c r="J62" s="172">
        <f>SUM(L62:S62)</f>
        <v>4756389834.0889988</v>
      </c>
      <c r="L62" s="160">
        <v>14341935.502236543</v>
      </c>
      <c r="M62" s="160">
        <v>1598563315.9201384</v>
      </c>
      <c r="N62" s="160">
        <v>1877350400.9604855</v>
      </c>
      <c r="O62" s="160">
        <v>3580552.3822289961</v>
      </c>
      <c r="P62" s="160">
        <v>1132313698.4143963</v>
      </c>
      <c r="Q62" s="160">
        <v>62004091.83404126</v>
      </c>
      <c r="R62" s="171"/>
      <c r="S62" s="160">
        <v>68235839.075471655</v>
      </c>
      <c r="U62" s="242">
        <v>1598563315.9201384</v>
      </c>
      <c r="V62" s="242">
        <v>3580552.3822289961</v>
      </c>
    </row>
    <row r="63" spans="1:25" s="6" customFormat="1" ht="12.75" x14ac:dyDescent="0.2">
      <c r="A63" s="13"/>
      <c r="B63" s="32"/>
      <c r="F63" s="32"/>
      <c r="H63" s="171"/>
    </row>
    <row r="64" spans="1:25" s="6" customFormat="1" ht="12.75" x14ac:dyDescent="0.2">
      <c r="A64" s="13"/>
      <c r="B64" s="7" t="s">
        <v>52</v>
      </c>
      <c r="F64" s="32"/>
      <c r="H64" s="171"/>
    </row>
    <row r="65" spans="1:25" s="6" customFormat="1" ht="12.75" x14ac:dyDescent="0.2">
      <c r="A65" s="13"/>
      <c r="B65" s="32" t="s">
        <v>53</v>
      </c>
      <c r="F65" s="32" t="s">
        <v>92</v>
      </c>
      <c r="H65" s="171"/>
      <c r="J65" s="172">
        <f>SUM(L65:S65)</f>
        <v>630211996.32270074</v>
      </c>
      <c r="L65" s="160">
        <v>1675372.107765842</v>
      </c>
      <c r="M65" s="160">
        <v>178947115.90898648</v>
      </c>
      <c r="N65" s="160">
        <v>250719912.23842701</v>
      </c>
      <c r="O65" s="160">
        <v>1673688.9</v>
      </c>
      <c r="P65" s="160">
        <v>167471022.67502934</v>
      </c>
      <c r="Q65" s="160">
        <v>3393932.5041513927</v>
      </c>
      <c r="R65" s="171"/>
      <c r="S65" s="160">
        <v>26330951.988340773</v>
      </c>
      <c r="U65" s="242">
        <v>178947115.90898648</v>
      </c>
      <c r="V65" s="242">
        <v>2128927.34</v>
      </c>
    </row>
    <row r="66" spans="1:25" s="6" customFormat="1" ht="12.75" x14ac:dyDescent="0.2">
      <c r="A66" s="13"/>
      <c r="B66" s="32" t="s">
        <v>46</v>
      </c>
      <c r="F66" s="32" t="s">
        <v>92</v>
      </c>
      <c r="H66" s="171"/>
      <c r="J66" s="172">
        <f>SUM(L66:S66)</f>
        <v>191962592.20522988</v>
      </c>
      <c r="L66" s="160">
        <v>1121574.5720236162</v>
      </c>
      <c r="M66" s="160">
        <v>56175844.218598194</v>
      </c>
      <c r="N66" s="160">
        <v>56954716.184026785</v>
      </c>
      <c r="O66" s="160">
        <v>795179.78214792069</v>
      </c>
      <c r="P66" s="160">
        <v>64438885.929654919</v>
      </c>
      <c r="Q66" s="160">
        <v>5668580.1531864312</v>
      </c>
      <c r="R66" s="171"/>
      <c r="S66" s="160">
        <v>6807811.3655919898</v>
      </c>
      <c r="U66" s="242">
        <v>74496293.838529706</v>
      </c>
      <c r="V66" s="242">
        <v>924260.53889080707</v>
      </c>
    </row>
    <row r="67" spans="1:25" s="6" customFormat="1" ht="12.75" x14ac:dyDescent="0.2">
      <c r="A67" s="13"/>
      <c r="B67" s="32" t="s">
        <v>54</v>
      </c>
      <c r="F67" s="32" t="s">
        <v>92</v>
      </c>
      <c r="H67" s="171"/>
      <c r="J67" s="172">
        <f>SUM(L67:S67)</f>
        <v>6439313511.9343214</v>
      </c>
      <c r="L67" s="160">
        <v>42323590.164085701</v>
      </c>
      <c r="M67" s="160">
        <v>1985064782.2434616</v>
      </c>
      <c r="N67" s="160">
        <v>2114194636.6318467</v>
      </c>
      <c r="O67" s="160">
        <v>25398792.802844036</v>
      </c>
      <c r="P67" s="160">
        <v>1867307161.8458562</v>
      </c>
      <c r="Q67" s="160">
        <v>180397021.27638596</v>
      </c>
      <c r="R67" s="171"/>
      <c r="S67" s="160">
        <v>224627526.96984082</v>
      </c>
      <c r="U67" s="242">
        <v>2028452364.2995718</v>
      </c>
      <c r="V67" s="242">
        <v>26181617.402439062</v>
      </c>
    </row>
    <row r="68" spans="1:25" s="6" customFormat="1" ht="12.75" x14ac:dyDescent="0.2">
      <c r="A68" s="13"/>
      <c r="B68" s="32"/>
      <c r="F68" s="32"/>
      <c r="H68" s="171"/>
    </row>
    <row r="69" spans="1:25" s="8" customFormat="1" ht="12.75" x14ac:dyDescent="0.2">
      <c r="A69" s="14"/>
      <c r="B69" s="7" t="s">
        <v>55</v>
      </c>
      <c r="F69" s="32"/>
      <c r="H69" s="171"/>
      <c r="R69" s="6"/>
      <c r="T69" s="6"/>
      <c r="W69" s="6"/>
      <c r="X69" s="6"/>
      <c r="Y69" s="6"/>
    </row>
    <row r="70" spans="1:25" s="8" customFormat="1" ht="12.75" x14ac:dyDescent="0.2">
      <c r="A70" s="14"/>
      <c r="B70" s="32" t="s">
        <v>56</v>
      </c>
      <c r="F70" s="32" t="s">
        <v>92</v>
      </c>
      <c r="H70" s="171"/>
      <c r="J70" s="172">
        <f>SUM(L70:S70)</f>
        <v>0</v>
      </c>
      <c r="L70" s="160">
        <v>0</v>
      </c>
      <c r="M70" s="160">
        <v>0</v>
      </c>
      <c r="N70" s="160">
        <v>0</v>
      </c>
      <c r="O70" s="160">
        <v>0</v>
      </c>
      <c r="P70" s="160">
        <v>0</v>
      </c>
      <c r="Q70" s="160">
        <v>0</v>
      </c>
      <c r="R70" s="171"/>
      <c r="S70" s="160">
        <v>0</v>
      </c>
      <c r="T70" s="6"/>
      <c r="U70" s="242">
        <v>0</v>
      </c>
      <c r="V70" s="242">
        <v>0</v>
      </c>
      <c r="W70" s="6"/>
      <c r="X70" s="6"/>
      <c r="Y70" s="6"/>
    </row>
    <row r="71" spans="1:25" s="8" customFormat="1" ht="12.75" x14ac:dyDescent="0.2">
      <c r="A71" s="14"/>
      <c r="B71" s="32" t="s">
        <v>57</v>
      </c>
      <c r="F71" s="32" t="s">
        <v>92</v>
      </c>
      <c r="H71" s="171"/>
      <c r="J71" s="172">
        <f>SUM(L71:S71)</f>
        <v>254636.8508139186</v>
      </c>
      <c r="L71" s="160">
        <v>0</v>
      </c>
      <c r="M71" s="160">
        <v>0</v>
      </c>
      <c r="N71" s="160">
        <v>0</v>
      </c>
      <c r="O71" s="160">
        <v>0</v>
      </c>
      <c r="P71" s="160">
        <v>0</v>
      </c>
      <c r="Q71" s="160">
        <v>0</v>
      </c>
      <c r="R71" s="171"/>
      <c r="S71" s="160">
        <v>254636.8508139186</v>
      </c>
      <c r="T71" s="6"/>
      <c r="U71" s="242">
        <v>0</v>
      </c>
      <c r="V71" s="242">
        <v>0</v>
      </c>
      <c r="W71" s="6"/>
      <c r="X71" s="6"/>
      <c r="Y71" s="6"/>
    </row>
    <row r="72" spans="1:25" s="8" customFormat="1" ht="12.75" x14ac:dyDescent="0.2">
      <c r="A72" s="14"/>
      <c r="B72" s="32" t="s">
        <v>58</v>
      </c>
      <c r="F72" s="32" t="s">
        <v>92</v>
      </c>
      <c r="H72" s="171"/>
      <c r="J72" s="172">
        <f>SUM(L72:S72)</f>
        <v>8999577.4122796748</v>
      </c>
      <c r="L72" s="160">
        <v>0</v>
      </c>
      <c r="M72" s="160">
        <v>0</v>
      </c>
      <c r="N72" s="160">
        <v>0</v>
      </c>
      <c r="O72" s="160">
        <v>0</v>
      </c>
      <c r="P72" s="160">
        <v>0</v>
      </c>
      <c r="Q72" s="160">
        <v>0</v>
      </c>
      <c r="R72" s="171"/>
      <c r="S72" s="160">
        <v>8999577.4122796748</v>
      </c>
      <c r="T72" s="6"/>
      <c r="U72" s="242">
        <v>0</v>
      </c>
      <c r="V72" s="242">
        <v>0</v>
      </c>
      <c r="W72" s="6"/>
      <c r="X72" s="6"/>
      <c r="Y72" s="6"/>
    </row>
    <row r="73" spans="1:25" s="8" customFormat="1" ht="12.75" x14ac:dyDescent="0.2">
      <c r="A73" s="14"/>
      <c r="B73" s="32"/>
      <c r="F73" s="32"/>
      <c r="H73" s="171"/>
      <c r="R73" s="6"/>
      <c r="T73" s="6"/>
      <c r="W73" s="6"/>
      <c r="X73" s="6"/>
      <c r="Y73" s="6"/>
    </row>
    <row r="74" spans="1:25" s="8" customFormat="1" ht="12.75" x14ac:dyDescent="0.2">
      <c r="A74" s="14"/>
      <c r="B74" s="7" t="s">
        <v>59</v>
      </c>
      <c r="F74" s="32"/>
      <c r="H74" s="171"/>
      <c r="R74" s="6"/>
      <c r="T74" s="6"/>
      <c r="W74" s="6"/>
      <c r="X74" s="6"/>
      <c r="Y74" s="6"/>
    </row>
    <row r="75" spans="1:25" s="8" customFormat="1" ht="12.75" x14ac:dyDescent="0.2">
      <c r="A75" s="14"/>
      <c r="B75" s="32" t="s">
        <v>60</v>
      </c>
      <c r="F75" s="32" t="s">
        <v>92</v>
      </c>
      <c r="H75" s="171"/>
      <c r="J75" s="172">
        <f>SUM(L75:S75)</f>
        <v>0</v>
      </c>
      <c r="L75" s="160">
        <v>0</v>
      </c>
      <c r="M75" s="160">
        <v>0</v>
      </c>
      <c r="N75" s="160">
        <v>0</v>
      </c>
      <c r="O75" s="160">
        <v>0</v>
      </c>
      <c r="P75" s="160">
        <v>0</v>
      </c>
      <c r="Q75" s="160">
        <v>0</v>
      </c>
      <c r="R75" s="171"/>
      <c r="S75" s="160">
        <v>0</v>
      </c>
      <c r="T75" s="6"/>
      <c r="U75" s="242">
        <v>0</v>
      </c>
      <c r="V75" s="242">
        <v>0</v>
      </c>
      <c r="W75" s="6"/>
      <c r="X75" s="6"/>
      <c r="Y75" s="6"/>
    </row>
    <row r="76" spans="1:25" s="32" customFormat="1" ht="12.75" x14ac:dyDescent="0.2">
      <c r="A76" s="37"/>
      <c r="B76" s="32" t="s">
        <v>61</v>
      </c>
      <c r="F76" s="32" t="s">
        <v>92</v>
      </c>
      <c r="G76" s="171"/>
      <c r="H76" s="171"/>
      <c r="J76" s="172">
        <f>SUM(L76:S76)</f>
        <v>1652258.8394972167</v>
      </c>
      <c r="L76" s="160">
        <v>0</v>
      </c>
      <c r="M76" s="160">
        <v>10097.39053217326</v>
      </c>
      <c r="N76" s="160">
        <v>442600.86127007002</v>
      </c>
      <c r="O76" s="160">
        <v>0</v>
      </c>
      <c r="P76" s="160">
        <v>1061687.3639351865</v>
      </c>
      <c r="Q76" s="160">
        <v>27374.922746181819</v>
      </c>
      <c r="R76" s="171"/>
      <c r="S76" s="160">
        <v>110498.3010136051</v>
      </c>
      <c r="T76" s="6"/>
      <c r="U76" s="242">
        <v>10097.39053217326</v>
      </c>
      <c r="V76" s="242">
        <v>0</v>
      </c>
      <c r="W76" s="6"/>
      <c r="X76" s="6"/>
      <c r="Y76" s="6"/>
    </row>
    <row r="77" spans="1:25" s="32" customFormat="1" ht="12.75" x14ac:dyDescent="0.2">
      <c r="A77" s="37"/>
      <c r="B77" s="32" t="s">
        <v>62</v>
      </c>
      <c r="F77" s="32" t="s">
        <v>92</v>
      </c>
      <c r="G77" s="171"/>
      <c r="H77" s="171"/>
      <c r="J77" s="172">
        <f>SUM(L77:S77)</f>
        <v>18820610.294504542</v>
      </c>
      <c r="L77" s="160">
        <v>0</v>
      </c>
      <c r="M77" s="160">
        <v>244102.27309192836</v>
      </c>
      <c r="N77" s="160">
        <v>3018498.9078935841</v>
      </c>
      <c r="O77" s="160">
        <v>0</v>
      </c>
      <c r="P77" s="160">
        <v>14992329.452092351</v>
      </c>
      <c r="Q77" s="160">
        <v>68437.306865454535</v>
      </c>
      <c r="R77" s="171"/>
      <c r="S77" s="160">
        <v>497242.35456122301</v>
      </c>
      <c r="T77" s="6"/>
      <c r="U77" s="242">
        <v>244102.27309192836</v>
      </c>
      <c r="V77" s="242">
        <v>0</v>
      </c>
      <c r="W77" s="6"/>
      <c r="X77" s="6"/>
      <c r="Y77" s="6"/>
    </row>
    <row r="78" spans="1:25" x14ac:dyDescent="0.2">
      <c r="U78" s="203"/>
      <c r="V78" s="203"/>
    </row>
    <row r="79" spans="1:25" s="24" customFormat="1" ht="12.75" x14ac:dyDescent="0.2">
      <c r="B79" s="24" t="s">
        <v>128</v>
      </c>
      <c r="U79" s="47"/>
      <c r="V79" s="47"/>
    </row>
    <row r="80" spans="1:25" s="39" customFormat="1" ht="15" customHeight="1" x14ac:dyDescent="0.2">
      <c r="B80" s="32"/>
      <c r="G80" s="180"/>
      <c r="H80" s="238"/>
      <c r="R80" s="180"/>
      <c r="T80" s="180"/>
      <c r="U80" s="203"/>
      <c r="V80" s="203"/>
    </row>
    <row r="81" spans="1:25" s="6" customFormat="1" ht="12.75" x14ac:dyDescent="0.2">
      <c r="A81" s="13"/>
      <c r="B81" s="7" t="s">
        <v>48</v>
      </c>
      <c r="F81" s="32"/>
      <c r="H81" s="171"/>
      <c r="J81" s="32"/>
      <c r="M81" s="12"/>
    </row>
    <row r="82" spans="1:25" s="6" customFormat="1" ht="12.75" x14ac:dyDescent="0.2">
      <c r="A82" s="13"/>
      <c r="B82" s="32" t="s">
        <v>49</v>
      </c>
      <c r="F82" s="32" t="s">
        <v>97</v>
      </c>
      <c r="H82" s="171"/>
      <c r="J82" s="172">
        <f>SUM(L82:S82)</f>
        <v>0</v>
      </c>
      <c r="L82" s="160">
        <v>0</v>
      </c>
      <c r="M82" s="160">
        <v>0</v>
      </c>
      <c r="N82" s="160">
        <v>0</v>
      </c>
      <c r="O82" s="160">
        <v>0</v>
      </c>
      <c r="P82" s="160">
        <v>0</v>
      </c>
      <c r="Q82" s="160">
        <v>0</v>
      </c>
      <c r="R82" s="171"/>
      <c r="S82" s="160">
        <v>0</v>
      </c>
      <c r="U82" s="242">
        <v>0</v>
      </c>
      <c r="V82" s="242">
        <v>0</v>
      </c>
    </row>
    <row r="83" spans="1:25" s="6" customFormat="1" ht="12.75" x14ac:dyDescent="0.2">
      <c r="A83" s="13"/>
      <c r="B83" s="32" t="s">
        <v>50</v>
      </c>
      <c r="F83" s="32" t="s">
        <v>97</v>
      </c>
      <c r="H83" s="171"/>
      <c r="J83" s="172">
        <f>SUM(L83:S83)</f>
        <v>402716034.14495432</v>
      </c>
      <c r="L83" s="160">
        <v>2549606.4593204954</v>
      </c>
      <c r="M83" s="160">
        <v>148304201.44464791</v>
      </c>
      <c r="N83" s="160">
        <v>129954670.01831831</v>
      </c>
      <c r="O83" s="160">
        <v>2009484.6532976902</v>
      </c>
      <c r="P83" s="160">
        <v>105087152.83754593</v>
      </c>
      <c r="Q83" s="160">
        <v>4174263.2890304523</v>
      </c>
      <c r="R83" s="171"/>
      <c r="S83" s="160">
        <v>10636655.442793595</v>
      </c>
      <c r="U83" s="242">
        <v>148304201.44464791</v>
      </c>
      <c r="V83" s="242">
        <v>2009484.6532976902</v>
      </c>
    </row>
    <row r="84" spans="1:25" s="6" customFormat="1" ht="12.75" x14ac:dyDescent="0.2">
      <c r="A84" s="13"/>
      <c r="B84" s="32" t="s">
        <v>51</v>
      </c>
      <c r="F84" s="32" t="s">
        <v>97</v>
      </c>
      <c r="H84" s="171"/>
      <c r="J84" s="172">
        <f>SUM(L84:S84)</f>
        <v>4420263257.5596123</v>
      </c>
      <c r="L84" s="160">
        <v>11993116.078268753</v>
      </c>
      <c r="M84" s="160">
        <v>1472639000.8983724</v>
      </c>
      <c r="N84" s="160">
        <v>1773678636.555614</v>
      </c>
      <c r="O84" s="160">
        <v>1621195.4622825116</v>
      </c>
      <c r="P84" s="160">
        <v>1043078937.3546519</v>
      </c>
      <c r="Q84" s="160">
        <v>58697885.830687381</v>
      </c>
      <c r="R84" s="171"/>
      <c r="S84" s="160">
        <v>58554485.379734658</v>
      </c>
      <c r="U84" s="242">
        <v>1472639000.8983724</v>
      </c>
      <c r="V84" s="242">
        <v>1621195.4622825116</v>
      </c>
    </row>
    <row r="85" spans="1:25" s="6" customFormat="1" ht="12.75" x14ac:dyDescent="0.2">
      <c r="A85" s="13"/>
      <c r="B85" s="32"/>
      <c r="F85" s="32"/>
      <c r="H85" s="171"/>
    </row>
    <row r="86" spans="1:25" s="6" customFormat="1" ht="12.75" x14ac:dyDescent="0.2">
      <c r="A86" s="13"/>
      <c r="B86" s="7" t="s">
        <v>52</v>
      </c>
      <c r="F86" s="32"/>
      <c r="H86" s="171"/>
    </row>
    <row r="87" spans="1:25" s="6" customFormat="1" ht="12.75" x14ac:dyDescent="0.2">
      <c r="A87" s="13"/>
      <c r="B87" s="32" t="s">
        <v>53</v>
      </c>
      <c r="F87" s="32" t="s">
        <v>97</v>
      </c>
      <c r="H87" s="171"/>
      <c r="J87" s="172">
        <f>SUM(L87:S87)</f>
        <v>685824513.27449739</v>
      </c>
      <c r="L87" s="160">
        <v>652292.92836747342</v>
      </c>
      <c r="M87" s="160">
        <v>188343213.80789405</v>
      </c>
      <c r="N87" s="160">
        <v>285864011.88682652</v>
      </c>
      <c r="O87" s="160">
        <v>1216233.1600000001</v>
      </c>
      <c r="P87" s="160">
        <v>183215119.52949914</v>
      </c>
      <c r="Q87" s="160">
        <v>6419420.056244893</v>
      </c>
      <c r="R87" s="171"/>
      <c r="S87" s="160">
        <v>20114221.905665431</v>
      </c>
      <c r="U87" s="242">
        <v>188343213.80789405</v>
      </c>
      <c r="V87" s="242">
        <v>1438304.6800000002</v>
      </c>
    </row>
    <row r="88" spans="1:25" s="6" customFormat="1" ht="12.75" x14ac:dyDescent="0.2">
      <c r="A88" s="13"/>
      <c r="B88" s="32" t="s">
        <v>46</v>
      </c>
      <c r="F88" s="32" t="s">
        <v>97</v>
      </c>
      <c r="H88" s="171"/>
      <c r="J88" s="172">
        <f>SUM(L88:S88)</f>
        <v>207584135.60689464</v>
      </c>
      <c r="L88" s="160">
        <v>1164443.6423057283</v>
      </c>
      <c r="M88" s="160">
        <v>59522544.83897233</v>
      </c>
      <c r="N88" s="160">
        <v>62849881.808409072</v>
      </c>
      <c r="O88" s="160">
        <v>806657.76505664038</v>
      </c>
      <c r="P88" s="160">
        <v>70122323.364497393</v>
      </c>
      <c r="Q88" s="160">
        <v>5788826.9209909132</v>
      </c>
      <c r="R88" s="171"/>
      <c r="S88" s="160">
        <v>7329457.2666625725</v>
      </c>
      <c r="U88" s="242">
        <v>72610964.929347157</v>
      </c>
      <c r="V88" s="242">
        <v>985765.83048392693</v>
      </c>
    </row>
    <row r="89" spans="1:25" s="6" customFormat="1" ht="12.75" x14ac:dyDescent="0.2">
      <c r="A89" s="13"/>
      <c r="B89" s="32" t="s">
        <v>54</v>
      </c>
      <c r="F89" s="32" t="s">
        <v>97</v>
      </c>
      <c r="H89" s="171"/>
      <c r="J89" s="172">
        <f>SUM(L89:S89)</f>
        <v>7007704278.769001</v>
      </c>
      <c r="L89" s="160">
        <v>42403969.712444641</v>
      </c>
      <c r="M89" s="160">
        <v>2141676358.1637917</v>
      </c>
      <c r="N89" s="160">
        <v>2366807491.6231065</v>
      </c>
      <c r="O89" s="160">
        <v>26163951.297027223</v>
      </c>
      <c r="P89" s="160">
        <v>2006542258.2767</v>
      </c>
      <c r="Q89" s="160">
        <v>183553172.70950937</v>
      </c>
      <c r="R89" s="171"/>
      <c r="S89" s="160">
        <v>240557076.9864215</v>
      </c>
      <c r="U89" s="242">
        <v>2172582946.2783127</v>
      </c>
      <c r="V89" s="242">
        <v>27000698.895589285</v>
      </c>
    </row>
    <row r="90" spans="1:25" s="6" customFormat="1" ht="12.75" x14ac:dyDescent="0.2">
      <c r="A90" s="13"/>
      <c r="B90" s="32"/>
      <c r="F90" s="32"/>
      <c r="H90" s="171"/>
    </row>
    <row r="91" spans="1:25" s="8" customFormat="1" ht="12.75" x14ac:dyDescent="0.2">
      <c r="A91" s="14"/>
      <c r="B91" s="7" t="s">
        <v>55</v>
      </c>
      <c r="F91" s="32"/>
      <c r="H91" s="171"/>
      <c r="R91" s="6"/>
      <c r="T91" s="6"/>
      <c r="W91" s="6"/>
      <c r="X91" s="6"/>
      <c r="Y91" s="6"/>
    </row>
    <row r="92" spans="1:25" s="8" customFormat="1" ht="12.75" x14ac:dyDescent="0.2">
      <c r="A92" s="14"/>
      <c r="B92" s="32" t="s">
        <v>56</v>
      </c>
      <c r="F92" s="32" t="s">
        <v>97</v>
      </c>
      <c r="H92" s="171"/>
      <c r="J92" s="172">
        <f>SUM(L92:S92)</f>
        <v>0</v>
      </c>
      <c r="L92" s="160">
        <v>0</v>
      </c>
      <c r="M92" s="160">
        <v>0</v>
      </c>
      <c r="N92" s="160">
        <v>0</v>
      </c>
      <c r="O92" s="160">
        <v>0</v>
      </c>
      <c r="P92" s="160">
        <v>0</v>
      </c>
      <c r="Q92" s="160">
        <v>0</v>
      </c>
      <c r="R92" s="171"/>
      <c r="S92" s="160">
        <v>0</v>
      </c>
      <c r="T92" s="6"/>
      <c r="U92" s="242">
        <v>0</v>
      </c>
      <c r="V92" s="242">
        <v>0</v>
      </c>
      <c r="W92" s="6"/>
      <c r="X92" s="6"/>
      <c r="Y92" s="6"/>
    </row>
    <row r="93" spans="1:25" s="8" customFormat="1" ht="12.75" x14ac:dyDescent="0.2">
      <c r="A93" s="14"/>
      <c r="B93" s="32" t="s">
        <v>57</v>
      </c>
      <c r="F93" s="32" t="s">
        <v>97</v>
      </c>
      <c r="H93" s="171"/>
      <c r="J93" s="172">
        <f>SUM(L93:S93)</f>
        <v>258201.76672531341</v>
      </c>
      <c r="L93" s="160">
        <v>0</v>
      </c>
      <c r="M93" s="160">
        <v>0</v>
      </c>
      <c r="N93" s="160">
        <v>0</v>
      </c>
      <c r="O93" s="160">
        <v>0</v>
      </c>
      <c r="P93" s="160">
        <v>0</v>
      </c>
      <c r="Q93" s="160">
        <v>0</v>
      </c>
      <c r="R93" s="171"/>
      <c r="S93" s="160">
        <v>258201.76672531341</v>
      </c>
      <c r="T93" s="6"/>
      <c r="U93" s="242">
        <v>0</v>
      </c>
      <c r="V93" s="242">
        <v>0</v>
      </c>
      <c r="W93" s="6"/>
      <c r="X93" s="6"/>
      <c r="Y93" s="6"/>
    </row>
    <row r="94" spans="1:25" s="8" customFormat="1" ht="12.75" x14ac:dyDescent="0.2">
      <c r="A94" s="14"/>
      <c r="B94" s="32" t="s">
        <v>58</v>
      </c>
      <c r="F94" s="32" t="s">
        <v>97</v>
      </c>
      <c r="H94" s="171"/>
      <c r="J94" s="172">
        <f>SUM(L94:S94)</f>
        <v>8867369.7293262761</v>
      </c>
      <c r="L94" s="160">
        <v>0</v>
      </c>
      <c r="M94" s="160">
        <v>0</v>
      </c>
      <c r="N94" s="160">
        <v>0</v>
      </c>
      <c r="O94" s="160">
        <v>0</v>
      </c>
      <c r="P94" s="160">
        <v>0</v>
      </c>
      <c r="Q94" s="160">
        <v>0</v>
      </c>
      <c r="R94" s="171"/>
      <c r="S94" s="160">
        <v>8867369.7293262761</v>
      </c>
      <c r="T94" s="6"/>
      <c r="U94" s="242">
        <v>0</v>
      </c>
      <c r="V94" s="242">
        <v>0</v>
      </c>
      <c r="W94" s="6"/>
      <c r="X94" s="6"/>
      <c r="Y94" s="6"/>
    </row>
    <row r="95" spans="1:25" s="8" customFormat="1" ht="12.75" x14ac:dyDescent="0.2">
      <c r="A95" s="14"/>
      <c r="B95" s="32"/>
      <c r="F95" s="32"/>
      <c r="H95" s="171"/>
      <c r="R95" s="6"/>
      <c r="T95" s="6"/>
      <c r="W95" s="6"/>
      <c r="X95" s="6"/>
      <c r="Y95" s="6"/>
    </row>
    <row r="96" spans="1:25" s="8" customFormat="1" ht="12.75" x14ac:dyDescent="0.2">
      <c r="A96" s="14"/>
      <c r="B96" s="7" t="s">
        <v>59</v>
      </c>
      <c r="F96" s="32"/>
      <c r="H96" s="171"/>
      <c r="R96" s="6"/>
      <c r="T96" s="6"/>
      <c r="W96" s="6"/>
      <c r="X96" s="6"/>
      <c r="Y96" s="6"/>
    </row>
    <row r="97" spans="1:25" s="8" customFormat="1" ht="12.75" x14ac:dyDescent="0.2">
      <c r="A97" s="14"/>
      <c r="B97" s="32" t="s">
        <v>60</v>
      </c>
      <c r="F97" s="32" t="s">
        <v>97</v>
      </c>
      <c r="H97" s="171"/>
      <c r="J97" s="172">
        <f>SUM(L97:S97)</f>
        <v>0</v>
      </c>
      <c r="L97" s="160">
        <v>0</v>
      </c>
      <c r="M97" s="160">
        <v>0</v>
      </c>
      <c r="N97" s="160">
        <v>0</v>
      </c>
      <c r="O97" s="160">
        <v>0</v>
      </c>
      <c r="P97" s="160">
        <v>0</v>
      </c>
      <c r="Q97" s="160">
        <v>0</v>
      </c>
      <c r="R97" s="171"/>
      <c r="S97" s="160">
        <v>0</v>
      </c>
      <c r="T97" s="6"/>
      <c r="U97" s="242">
        <v>0</v>
      </c>
      <c r="V97" s="242">
        <v>0</v>
      </c>
      <c r="W97" s="6"/>
      <c r="X97" s="6"/>
      <c r="Y97" s="6"/>
    </row>
    <row r="98" spans="1:25" s="32" customFormat="1" ht="12.75" x14ac:dyDescent="0.2">
      <c r="A98" s="37"/>
      <c r="B98" s="32" t="s">
        <v>61</v>
      </c>
      <c r="F98" s="32" t="s">
        <v>97</v>
      </c>
      <c r="G98" s="171"/>
      <c r="H98" s="171"/>
      <c r="J98" s="172">
        <f>SUM(L98:S98)</f>
        <v>1675390.4632501779</v>
      </c>
      <c r="L98" s="160">
        <v>0</v>
      </c>
      <c r="M98" s="160">
        <v>10238.753999623685</v>
      </c>
      <c r="N98" s="160">
        <v>448797.27332785097</v>
      </c>
      <c r="O98" s="160">
        <v>0</v>
      </c>
      <c r="P98" s="160">
        <v>1076550.9870302791</v>
      </c>
      <c r="Q98" s="160">
        <v>27758.171664628357</v>
      </c>
      <c r="R98" s="171"/>
      <c r="S98" s="160">
        <v>112045.27722779557</v>
      </c>
      <c r="T98" s="6"/>
      <c r="U98" s="242">
        <v>10238.753999623685</v>
      </c>
      <c r="V98" s="242">
        <v>0</v>
      </c>
      <c r="W98" s="6"/>
      <c r="X98" s="6"/>
      <c r="Y98" s="6"/>
    </row>
    <row r="99" spans="1:25" s="32" customFormat="1" ht="12.75" x14ac:dyDescent="0.2">
      <c r="A99" s="37"/>
      <c r="B99" s="32" t="s">
        <v>62</v>
      </c>
      <c r="F99" s="32" t="s">
        <v>97</v>
      </c>
      <c r="G99" s="171"/>
      <c r="H99" s="171"/>
      <c r="J99" s="172">
        <f>SUM(L99:S99)</f>
        <v>17408708.375377428</v>
      </c>
      <c r="L99" s="160">
        <v>0</v>
      </c>
      <c r="M99" s="160">
        <v>237280.95091559167</v>
      </c>
      <c r="N99" s="160">
        <v>2611960.6192762433</v>
      </c>
      <c r="O99" s="160">
        <v>0</v>
      </c>
      <c r="P99" s="160">
        <v>14125671.077391366</v>
      </c>
      <c r="Q99" s="160">
        <v>41637.257496942533</v>
      </c>
      <c r="R99" s="171"/>
      <c r="S99" s="160">
        <v>392158.47029728448</v>
      </c>
      <c r="T99" s="6"/>
      <c r="U99" s="242">
        <v>237280.95091559167</v>
      </c>
      <c r="V99" s="242">
        <v>0</v>
      </c>
      <c r="W99" s="6"/>
      <c r="X99" s="6"/>
      <c r="Y99" s="6"/>
    </row>
    <row r="100" spans="1:25" x14ac:dyDescent="0.2">
      <c r="U100" s="203"/>
      <c r="V100" s="203"/>
    </row>
    <row r="101" spans="1:25" s="24" customFormat="1" ht="12.75" x14ac:dyDescent="0.2">
      <c r="B101" s="24" t="s">
        <v>129</v>
      </c>
      <c r="U101" s="47"/>
      <c r="V101" s="47"/>
    </row>
    <row r="102" spans="1:25" s="39" customFormat="1" ht="15" customHeight="1" x14ac:dyDescent="0.2">
      <c r="B102" s="32"/>
      <c r="G102" s="180"/>
      <c r="H102" s="180"/>
      <c r="R102" s="180"/>
      <c r="T102" s="180"/>
      <c r="U102" s="203"/>
      <c r="V102" s="203"/>
    </row>
    <row r="103" spans="1:25" s="6" customFormat="1" ht="12.75" x14ac:dyDescent="0.2">
      <c r="A103" s="13"/>
      <c r="B103" s="7" t="s">
        <v>48</v>
      </c>
      <c r="F103" s="32"/>
      <c r="H103" s="171"/>
      <c r="J103" s="32"/>
      <c r="M103" s="12"/>
    </row>
    <row r="104" spans="1:25" s="6" customFormat="1" ht="12.75" x14ac:dyDescent="0.2">
      <c r="A104" s="13"/>
      <c r="B104" s="32" t="s">
        <v>49</v>
      </c>
      <c r="F104" s="32" t="s">
        <v>106</v>
      </c>
      <c r="H104" s="171"/>
      <c r="J104" s="172">
        <f>SUM(L104:S104)</f>
        <v>0</v>
      </c>
      <c r="L104" s="160">
        <v>0</v>
      </c>
      <c r="M104" s="160">
        <v>0</v>
      </c>
      <c r="N104" s="160">
        <v>0</v>
      </c>
      <c r="O104" s="160">
        <v>0</v>
      </c>
      <c r="P104" s="160">
        <v>0</v>
      </c>
      <c r="Q104" s="160">
        <v>0</v>
      </c>
      <c r="R104" s="171"/>
      <c r="S104" s="160">
        <v>0</v>
      </c>
      <c r="U104" s="242">
        <v>0</v>
      </c>
      <c r="V104" s="242">
        <v>0</v>
      </c>
    </row>
    <row r="105" spans="1:25" s="6" customFormat="1" ht="12.75" x14ac:dyDescent="0.2">
      <c r="A105" s="13"/>
      <c r="B105" s="32" t="s">
        <v>50</v>
      </c>
      <c r="F105" s="32" t="s">
        <v>106</v>
      </c>
      <c r="H105" s="171"/>
      <c r="J105" s="172">
        <f>SUM(L105:S105)</f>
        <v>410776627.59797186</v>
      </c>
      <c r="L105" s="160">
        <v>2603148.1949662254</v>
      </c>
      <c r="M105" s="160">
        <v>151418589.67498547</v>
      </c>
      <c r="N105" s="160">
        <v>132683718.08870298</v>
      </c>
      <c r="O105" s="160">
        <v>1655240.5669904125</v>
      </c>
      <c r="P105" s="160">
        <v>107293983.04713438</v>
      </c>
      <c r="Q105" s="160">
        <v>4261922.8181000911</v>
      </c>
      <c r="R105" s="171"/>
      <c r="S105" s="160">
        <v>10860025.207092259</v>
      </c>
      <c r="U105" s="242">
        <v>151418589.67498547</v>
      </c>
      <c r="V105" s="242">
        <v>1655240.5669904125</v>
      </c>
    </row>
    <row r="106" spans="1:25" s="6" customFormat="1" ht="12.75" x14ac:dyDescent="0.2">
      <c r="A106" s="13"/>
      <c r="B106" s="32" t="s">
        <v>51</v>
      </c>
      <c r="F106" s="32" t="s">
        <v>106</v>
      </c>
      <c r="H106" s="171"/>
      <c r="J106" s="172">
        <f>SUM(L106:S106)</f>
        <v>4102312158.3703914</v>
      </c>
      <c r="L106" s="160">
        <v>9641823.32094617</v>
      </c>
      <c r="M106" s="160">
        <v>1352145830.2422528</v>
      </c>
      <c r="N106" s="160">
        <v>1678242169.8345788</v>
      </c>
      <c r="O106" s="160">
        <v>3.1541338441832125E-8</v>
      </c>
      <c r="P106" s="160">
        <v>957689611.99196517</v>
      </c>
      <c r="Q106" s="160">
        <v>55668618.615031712</v>
      </c>
      <c r="R106" s="171"/>
      <c r="S106" s="160">
        <v>48924104.365616806</v>
      </c>
      <c r="U106" s="242">
        <v>1352145830.2422528</v>
      </c>
      <c r="V106" s="242">
        <v>3.1541338441832125E-8</v>
      </c>
    </row>
    <row r="107" spans="1:25" s="6" customFormat="1" ht="12.75" x14ac:dyDescent="0.2">
      <c r="A107" s="13"/>
      <c r="B107" s="32"/>
      <c r="F107" s="32"/>
      <c r="H107" s="171"/>
    </row>
    <row r="108" spans="1:25" s="6" customFormat="1" ht="12.75" x14ac:dyDescent="0.2">
      <c r="A108" s="13"/>
      <c r="B108" s="7" t="s">
        <v>52</v>
      </c>
      <c r="F108" s="32"/>
      <c r="H108" s="171"/>
    </row>
    <row r="109" spans="1:25" s="6" customFormat="1" ht="12.75" x14ac:dyDescent="0.2">
      <c r="A109" s="13"/>
      <c r="B109" s="32" t="s">
        <v>53</v>
      </c>
      <c r="F109" s="32" t="s">
        <v>106</v>
      </c>
      <c r="H109" s="171"/>
      <c r="J109" s="172">
        <f>SUM(L109:S109)</f>
        <v>850882628.75255919</v>
      </c>
      <c r="L109" s="160">
        <v>1668590</v>
      </c>
      <c r="M109" s="160">
        <v>249518130.33873323</v>
      </c>
      <c r="N109" s="160">
        <v>324592531.82439685</v>
      </c>
      <c r="O109" s="160">
        <v>1871396.6500000001</v>
      </c>
      <c r="P109" s="160">
        <v>227271891.43007874</v>
      </c>
      <c r="Q109" s="160">
        <v>7456757.5444897888</v>
      </c>
      <c r="R109" s="171"/>
      <c r="S109" s="160">
        <v>38503330.964860693</v>
      </c>
      <c r="U109" s="242">
        <v>249518130.33873323</v>
      </c>
      <c r="V109" s="242">
        <v>2087769.9900000002</v>
      </c>
    </row>
    <row r="110" spans="1:25" s="6" customFormat="1" ht="12.75" x14ac:dyDescent="0.2">
      <c r="A110" s="13"/>
      <c r="B110" s="32" t="s">
        <v>46</v>
      </c>
      <c r="F110" s="32" t="s">
        <v>106</v>
      </c>
      <c r="H110" s="171"/>
      <c r="J110" s="172">
        <f>SUM(L110:S110)</f>
        <v>228109543.88942164</v>
      </c>
      <c r="L110" s="160">
        <v>1219450.3381252547</v>
      </c>
      <c r="M110" s="160">
        <v>64751932.130235232</v>
      </c>
      <c r="N110" s="160">
        <v>70930150.42903994</v>
      </c>
      <c r="O110" s="160">
        <v>845285.38816291187</v>
      </c>
      <c r="P110" s="160">
        <v>76146384.816962957</v>
      </c>
      <c r="Q110" s="160">
        <v>5951366.7952460079</v>
      </c>
      <c r="R110" s="171"/>
      <c r="S110" s="160">
        <v>8264973.9916493157</v>
      </c>
      <c r="U110" s="242">
        <v>75468307.174550831</v>
      </c>
      <c r="V110" s="242">
        <v>1043436.1062096255</v>
      </c>
    </row>
    <row r="111" spans="1:25" s="6" customFormat="1" ht="12.75" x14ac:dyDescent="0.2">
      <c r="A111" s="13"/>
      <c r="B111" s="32" t="s">
        <v>54</v>
      </c>
      <c r="F111" s="32" t="s">
        <v>106</v>
      </c>
      <c r="H111" s="171"/>
      <c r="J111" s="172">
        <f>SUM(L111:S111)</f>
        <v>7777639153.48629</v>
      </c>
      <c r="L111" s="160">
        <v>43743592.738280721</v>
      </c>
      <c r="M111" s="160">
        <v>2371417759.8937297</v>
      </c>
      <c r="N111" s="160">
        <v>2670172830.3425498</v>
      </c>
      <c r="O111" s="160">
        <v>27739505.536101844</v>
      </c>
      <c r="P111" s="160">
        <v>2199805152.3136268</v>
      </c>
      <c r="Q111" s="160">
        <v>188913180.08565289</v>
      </c>
      <c r="R111" s="171"/>
      <c r="S111" s="160">
        <v>275847132.57634771</v>
      </c>
      <c r="U111" s="242">
        <v>2392257011.3143396</v>
      </c>
      <c r="V111" s="242">
        <v>28612047.456187036</v>
      </c>
    </row>
    <row r="112" spans="1:25" s="8" customFormat="1" ht="12.75" x14ac:dyDescent="0.2">
      <c r="A112" s="14"/>
      <c r="B112" s="32"/>
      <c r="F112" s="32"/>
      <c r="H112" s="171"/>
      <c r="J112" s="6"/>
      <c r="L112" s="6"/>
      <c r="M112" s="6"/>
      <c r="N112" s="6"/>
      <c r="O112" s="6"/>
      <c r="P112" s="6"/>
      <c r="Q112" s="6"/>
      <c r="R112" s="6"/>
      <c r="S112" s="6"/>
      <c r="T112" s="6"/>
      <c r="U112" s="6"/>
      <c r="V112" s="6"/>
      <c r="W112" s="6"/>
      <c r="X112" s="6"/>
      <c r="Y112" s="6"/>
    </row>
    <row r="113" spans="1:25" s="8" customFormat="1" ht="12.75" x14ac:dyDescent="0.2">
      <c r="A113" s="14"/>
      <c r="B113" s="7" t="s">
        <v>55</v>
      </c>
      <c r="F113" s="32"/>
      <c r="H113" s="171"/>
      <c r="R113" s="6"/>
      <c r="T113" s="6"/>
      <c r="W113" s="6"/>
      <c r="X113" s="6"/>
      <c r="Y113" s="6"/>
    </row>
    <row r="114" spans="1:25" s="8" customFormat="1" ht="12.75" x14ac:dyDescent="0.2">
      <c r="A114" s="14"/>
      <c r="B114" s="32" t="s">
        <v>56</v>
      </c>
      <c r="F114" s="32" t="s">
        <v>106</v>
      </c>
      <c r="H114" s="171"/>
      <c r="J114" s="172">
        <f>SUM(L114:S114)</f>
        <v>0</v>
      </c>
      <c r="L114" s="160">
        <v>0</v>
      </c>
      <c r="M114" s="160">
        <v>0</v>
      </c>
      <c r="N114" s="160">
        <v>0</v>
      </c>
      <c r="O114" s="160">
        <v>0</v>
      </c>
      <c r="P114" s="160">
        <v>0</v>
      </c>
      <c r="Q114" s="160">
        <v>0</v>
      </c>
      <c r="R114" s="171"/>
      <c r="S114" s="160">
        <v>0</v>
      </c>
      <c r="T114" s="6"/>
      <c r="U114" s="242">
        <v>0</v>
      </c>
      <c r="V114" s="242">
        <v>0</v>
      </c>
      <c r="W114" s="6"/>
      <c r="X114" s="6"/>
      <c r="Y114" s="6"/>
    </row>
    <row r="115" spans="1:25" s="8" customFormat="1" ht="12.75" x14ac:dyDescent="0.2">
      <c r="A115" s="14"/>
      <c r="B115" s="32" t="s">
        <v>57</v>
      </c>
      <c r="F115" s="32" t="s">
        <v>106</v>
      </c>
      <c r="H115" s="171"/>
      <c r="J115" s="172">
        <f>SUM(L115:S115)</f>
        <v>263624.00382654497</v>
      </c>
      <c r="L115" s="160">
        <v>0</v>
      </c>
      <c r="M115" s="160">
        <v>0</v>
      </c>
      <c r="N115" s="160">
        <v>0</v>
      </c>
      <c r="O115" s="160">
        <v>0</v>
      </c>
      <c r="P115" s="160">
        <v>0</v>
      </c>
      <c r="Q115" s="160">
        <v>0</v>
      </c>
      <c r="R115" s="171"/>
      <c r="S115" s="160">
        <v>263624.00382654497</v>
      </c>
      <c r="T115" s="6"/>
      <c r="U115" s="242">
        <v>0</v>
      </c>
      <c r="V115" s="242">
        <v>0</v>
      </c>
      <c r="W115" s="6"/>
      <c r="X115" s="6"/>
      <c r="Y115" s="6"/>
    </row>
    <row r="116" spans="1:25" s="8" customFormat="1" ht="12.75" x14ac:dyDescent="0.2">
      <c r="A116" s="14"/>
      <c r="B116" s="32" t="s">
        <v>58</v>
      </c>
      <c r="F116" s="32" t="s">
        <v>106</v>
      </c>
      <c r="H116" s="171"/>
      <c r="J116" s="172">
        <f>SUM(L116:S116)</f>
        <v>8789960.4898155816</v>
      </c>
      <c r="L116" s="160">
        <v>0</v>
      </c>
      <c r="M116" s="160">
        <v>0</v>
      </c>
      <c r="N116" s="160">
        <v>0</v>
      </c>
      <c r="O116" s="160">
        <v>0</v>
      </c>
      <c r="P116" s="160">
        <v>0</v>
      </c>
      <c r="Q116" s="160">
        <v>0</v>
      </c>
      <c r="R116" s="171"/>
      <c r="S116" s="160">
        <v>8789960.4898155816</v>
      </c>
      <c r="T116" s="6"/>
      <c r="U116" s="242">
        <v>0</v>
      </c>
      <c r="V116" s="242">
        <v>0</v>
      </c>
      <c r="W116" s="6"/>
      <c r="X116" s="6"/>
      <c r="Y116" s="6"/>
    </row>
    <row r="117" spans="1:25" s="8" customFormat="1" ht="12.75" x14ac:dyDescent="0.2">
      <c r="A117" s="14"/>
      <c r="B117" s="32"/>
      <c r="F117" s="32"/>
      <c r="H117" s="171"/>
      <c r="R117" s="6"/>
      <c r="T117" s="6"/>
      <c r="W117" s="6"/>
      <c r="X117" s="6"/>
      <c r="Y117" s="6"/>
    </row>
    <row r="118" spans="1:25" s="8" customFormat="1" ht="12.75" x14ac:dyDescent="0.2">
      <c r="A118" s="14"/>
      <c r="B118" s="7" t="s">
        <v>59</v>
      </c>
      <c r="F118" s="32"/>
      <c r="H118" s="171"/>
      <c r="R118" s="6"/>
      <c r="T118" s="6"/>
      <c r="W118" s="6"/>
      <c r="X118" s="6"/>
      <c r="Y118" s="6"/>
    </row>
    <row r="119" spans="1:25" s="8" customFormat="1" ht="12.75" x14ac:dyDescent="0.2">
      <c r="A119" s="14"/>
      <c r="B119" s="32" t="s">
        <v>60</v>
      </c>
      <c r="F119" s="32" t="s">
        <v>106</v>
      </c>
      <c r="H119" s="171"/>
      <c r="J119" s="172">
        <f>SUM(L119:S119)</f>
        <v>0</v>
      </c>
      <c r="L119" s="160">
        <v>0</v>
      </c>
      <c r="M119" s="160">
        <v>0</v>
      </c>
      <c r="N119" s="160">
        <v>0</v>
      </c>
      <c r="O119" s="160">
        <v>0</v>
      </c>
      <c r="P119" s="160">
        <v>0</v>
      </c>
      <c r="Q119" s="160">
        <v>0</v>
      </c>
      <c r="R119" s="171"/>
      <c r="S119" s="160">
        <v>0</v>
      </c>
      <c r="T119" s="6"/>
      <c r="U119" s="242">
        <v>0</v>
      </c>
      <c r="V119" s="242">
        <v>0</v>
      </c>
      <c r="W119" s="6"/>
      <c r="X119" s="6"/>
      <c r="Y119" s="6"/>
    </row>
    <row r="120" spans="1:25" s="32" customFormat="1" ht="12.75" x14ac:dyDescent="0.2">
      <c r="A120" s="37"/>
      <c r="B120" s="32" t="s">
        <v>61</v>
      </c>
      <c r="F120" s="32" t="s">
        <v>106</v>
      </c>
      <c r="G120" s="171"/>
      <c r="H120" s="171"/>
      <c r="J120" s="172">
        <f>SUM(L120:S120)</f>
        <v>1710573.6629784314</v>
      </c>
      <c r="L120" s="160">
        <v>0</v>
      </c>
      <c r="M120" s="160">
        <v>10453.767833615781</v>
      </c>
      <c r="N120" s="160">
        <v>458222.01606773573</v>
      </c>
      <c r="O120" s="160">
        <v>0</v>
      </c>
      <c r="P120" s="160">
        <v>1099158.557757915</v>
      </c>
      <c r="Q120" s="160">
        <v>28341.093269585548</v>
      </c>
      <c r="R120" s="171"/>
      <c r="S120" s="160">
        <v>114398.22804957925</v>
      </c>
      <c r="T120" s="6"/>
      <c r="U120" s="242">
        <v>10453.767833615781</v>
      </c>
      <c r="V120" s="242">
        <v>0</v>
      </c>
      <c r="W120" s="6"/>
      <c r="X120" s="6"/>
      <c r="Y120" s="6"/>
    </row>
    <row r="121" spans="1:25" s="32" customFormat="1" ht="12.75" x14ac:dyDescent="0.2">
      <c r="A121" s="37"/>
      <c r="B121" s="32" t="s">
        <v>62</v>
      </c>
      <c r="F121" s="32" t="s">
        <v>106</v>
      </c>
      <c r="G121" s="171"/>
      <c r="H121" s="171"/>
      <c r="J121" s="172">
        <f>SUM(L121:S121)</f>
        <v>16063717.588281922</v>
      </c>
      <c r="L121" s="160">
        <v>0</v>
      </c>
      <c r="M121" s="160">
        <v>231810.08305120331</v>
      </c>
      <c r="N121" s="160">
        <v>2208589.7762133083</v>
      </c>
      <c r="O121" s="160">
        <v>0</v>
      </c>
      <c r="P121" s="160">
        <v>13323151.612258669</v>
      </c>
      <c r="Q121" s="160">
        <v>14170.546634792774</v>
      </c>
      <c r="R121" s="171"/>
      <c r="S121" s="160">
        <v>285995.57012394816</v>
      </c>
      <c r="T121" s="6"/>
      <c r="U121" s="242">
        <v>231810.08305120331</v>
      </c>
      <c r="V121" s="242">
        <v>0</v>
      </c>
      <c r="W121" s="6"/>
      <c r="X121" s="6"/>
      <c r="Y121" s="6"/>
    </row>
    <row r="122" spans="1:25" x14ac:dyDescent="0.2">
      <c r="U122" s="203"/>
      <c r="V122" s="203"/>
    </row>
    <row r="123" spans="1:25" s="24" customFormat="1" ht="12.75" x14ac:dyDescent="0.2">
      <c r="B123" s="24" t="s">
        <v>130</v>
      </c>
      <c r="U123" s="47"/>
      <c r="V123" s="47"/>
    </row>
    <row r="124" spans="1:25" s="39" customFormat="1" ht="15" customHeight="1" x14ac:dyDescent="0.2">
      <c r="B124" s="32"/>
      <c r="G124" s="180"/>
      <c r="H124" s="180"/>
      <c r="R124" s="180"/>
      <c r="T124" s="180"/>
      <c r="U124" s="203"/>
      <c r="V124" s="203"/>
    </row>
    <row r="125" spans="1:25" s="6" customFormat="1" ht="12.75" x14ac:dyDescent="0.2">
      <c r="A125" s="13"/>
      <c r="B125" s="7" t="s">
        <v>48</v>
      </c>
      <c r="F125" s="32"/>
      <c r="H125" s="171"/>
      <c r="J125" s="32"/>
      <c r="M125" s="12"/>
    </row>
    <row r="126" spans="1:25" s="6" customFormat="1" ht="12.75" x14ac:dyDescent="0.2">
      <c r="A126" s="13"/>
      <c r="B126" s="32" t="s">
        <v>49</v>
      </c>
      <c r="F126" s="32" t="s">
        <v>113</v>
      </c>
      <c r="H126" s="171"/>
      <c r="J126" s="198">
        <f>SUM(L126:S126)</f>
        <v>0</v>
      </c>
      <c r="K126" s="12"/>
      <c r="L126" s="242">
        <v>0</v>
      </c>
      <c r="M126" s="242">
        <v>0</v>
      </c>
      <c r="N126" s="242">
        <v>0</v>
      </c>
      <c r="O126" s="242">
        <v>0</v>
      </c>
      <c r="P126" s="242">
        <v>0</v>
      </c>
      <c r="Q126" s="242">
        <v>0</v>
      </c>
      <c r="R126" s="79"/>
      <c r="S126" s="242">
        <v>0</v>
      </c>
      <c r="U126" s="242">
        <v>0</v>
      </c>
      <c r="V126" s="242">
        <v>0</v>
      </c>
    </row>
    <row r="127" spans="1:25" s="6" customFormat="1" ht="12.75" x14ac:dyDescent="0.2">
      <c r="A127" s="13"/>
      <c r="B127" s="32" t="s">
        <v>50</v>
      </c>
      <c r="F127" s="32" t="s">
        <v>113</v>
      </c>
      <c r="H127" s="171"/>
      <c r="J127" s="198">
        <f>SUM(L127:S127)</f>
        <v>420576785.8985337</v>
      </c>
      <c r="K127" s="12"/>
      <c r="L127" s="242">
        <v>2676036.349521108</v>
      </c>
      <c r="M127" s="242">
        <v>155658310.19683427</v>
      </c>
      <c r="N127" s="242">
        <v>136398862.20018211</v>
      </c>
      <c r="O127" s="242">
        <v>0</v>
      </c>
      <c r="P127" s="242">
        <v>110298214.57539038</v>
      </c>
      <c r="Q127" s="242">
        <v>4381256.6590848016</v>
      </c>
      <c r="R127" s="79"/>
      <c r="S127" s="242">
        <v>11164105.91752106</v>
      </c>
      <c r="U127" s="242">
        <v>155658310.19683427</v>
      </c>
      <c r="V127" s="242">
        <v>0</v>
      </c>
    </row>
    <row r="128" spans="1:25" s="6" customFormat="1" ht="12.75" x14ac:dyDescent="0.2">
      <c r="A128" s="13"/>
      <c r="B128" s="32" t="s">
        <v>51</v>
      </c>
      <c r="F128" s="32" t="s">
        <v>113</v>
      </c>
      <c r="H128" s="171"/>
      <c r="J128" s="198">
        <f>SUM(L128:S128)</f>
        <v>3796600112.8558135</v>
      </c>
      <c r="K128" s="12"/>
      <c r="L128" s="242">
        <v>7235758.0432862397</v>
      </c>
      <c r="M128" s="242">
        <v>1234347603.1936595</v>
      </c>
      <c r="N128" s="242">
        <v>1588834088.344806</v>
      </c>
      <c r="O128" s="242">
        <v>0</v>
      </c>
      <c r="P128" s="242">
        <v>874206706.57856071</v>
      </c>
      <c r="Q128" s="242">
        <v>52846083.304308757</v>
      </c>
      <c r="R128" s="79"/>
      <c r="S128" s="242">
        <v>39129873.391192131</v>
      </c>
      <c r="U128" s="242">
        <v>1234347603.1936595</v>
      </c>
      <c r="V128" s="242">
        <v>0</v>
      </c>
    </row>
    <row r="129" spans="1:25" s="6" customFormat="1" ht="12.75" x14ac:dyDescent="0.2">
      <c r="A129" s="13"/>
      <c r="B129" s="32"/>
      <c r="F129" s="32"/>
      <c r="H129" s="171"/>
      <c r="K129" s="12"/>
      <c r="O129" s="12"/>
      <c r="R129" s="12"/>
      <c r="S129" s="12"/>
    </row>
    <row r="130" spans="1:25" s="6" customFormat="1" ht="12.75" x14ac:dyDescent="0.2">
      <c r="A130" s="13"/>
      <c r="B130" s="7" t="s">
        <v>52</v>
      </c>
      <c r="F130" s="32"/>
      <c r="H130" s="171"/>
      <c r="K130" s="12"/>
      <c r="O130" s="12"/>
      <c r="R130" s="12"/>
      <c r="S130" s="12"/>
    </row>
    <row r="131" spans="1:25" s="6" customFormat="1" ht="12.75" x14ac:dyDescent="0.2">
      <c r="A131" s="13"/>
      <c r="B131" s="32" t="s">
        <v>53</v>
      </c>
      <c r="F131" s="32" t="s">
        <v>113</v>
      </c>
      <c r="H131" s="171"/>
      <c r="J131" s="198">
        <f>SUM(L131:S131)</f>
        <v>1067691610.2243378</v>
      </c>
      <c r="K131" s="12"/>
      <c r="L131" s="242">
        <v>1955140</v>
      </c>
      <c r="M131" s="242">
        <v>323543355.31970507</v>
      </c>
      <c r="N131" s="242">
        <v>440297686.85973799</v>
      </c>
      <c r="O131" s="242">
        <v>3845138.2899999996</v>
      </c>
      <c r="P131" s="242">
        <v>262267205.30024162</v>
      </c>
      <c r="Q131" s="242">
        <v>4442127.6327220369</v>
      </c>
      <c r="R131" s="79"/>
      <c r="S131" s="242">
        <v>31340956.821931131</v>
      </c>
      <c r="U131" s="242">
        <v>323543355.31970507</v>
      </c>
      <c r="V131" s="242">
        <v>3845138.2899999996</v>
      </c>
    </row>
    <row r="132" spans="1:25" s="6" customFormat="1" ht="12.75" x14ac:dyDescent="0.2">
      <c r="A132" s="13"/>
      <c r="B132" s="32" t="s">
        <v>46</v>
      </c>
      <c r="F132" s="32" t="s">
        <v>113</v>
      </c>
      <c r="H132" s="171"/>
      <c r="J132" s="198">
        <f>SUM(L132:S132)</f>
        <v>256670523.73873618</v>
      </c>
      <c r="K132" s="12"/>
      <c r="L132" s="242">
        <v>1314515.4913112472</v>
      </c>
      <c r="M132" s="242">
        <v>72766349.827278614</v>
      </c>
      <c r="N132" s="242">
        <v>82542666.523706764</v>
      </c>
      <c r="O132" s="242">
        <v>958210.43075512536</v>
      </c>
      <c r="P132" s="242">
        <v>83611854.71953015</v>
      </c>
      <c r="Q132" s="242">
        <v>6179205.3553517545</v>
      </c>
      <c r="R132" s="79"/>
      <c r="S132" s="242">
        <v>9297721.390802538</v>
      </c>
      <c r="U132" s="242">
        <v>80813250.46458146</v>
      </c>
      <c r="V132" s="242">
        <v>1151166.222427024</v>
      </c>
    </row>
    <row r="133" spans="1:25" s="6" customFormat="1" ht="12.75" x14ac:dyDescent="0.2">
      <c r="A133" s="13"/>
      <c r="B133" s="32" t="s">
        <v>54</v>
      </c>
      <c r="F133" s="32" t="s">
        <v>113</v>
      </c>
      <c r="H133" s="171"/>
      <c r="J133" s="198">
        <f>SUM(L133:S133)</f>
        <v>8806434135.9382973</v>
      </c>
      <c r="K133" s="12"/>
      <c r="L133" s="242">
        <v>45609037.878906198</v>
      </c>
      <c r="M133" s="242">
        <v>2688594462.6631837</v>
      </c>
      <c r="N133" s="242">
        <v>3102692689.6520967</v>
      </c>
      <c r="O133" s="242">
        <v>31403139.550357576</v>
      </c>
      <c r="P133" s="242">
        <v>2440055047.0013843</v>
      </c>
      <c r="Q133" s="242">
        <v>192465671.47275493</v>
      </c>
      <c r="R133" s="79"/>
      <c r="S133" s="242">
        <v>305614087.71961379</v>
      </c>
      <c r="U133" s="242">
        <v>2701970312.486268</v>
      </c>
      <c r="V133" s="242">
        <v>32107156.83614558</v>
      </c>
    </row>
    <row r="134" spans="1:25" s="8" customFormat="1" ht="12.75" x14ac:dyDescent="0.2">
      <c r="A134" s="14"/>
      <c r="B134" s="32"/>
      <c r="F134" s="32"/>
      <c r="H134" s="171"/>
      <c r="J134" s="6"/>
      <c r="K134" s="1"/>
      <c r="L134" s="6"/>
      <c r="M134" s="6"/>
      <c r="N134" s="6"/>
      <c r="O134" s="6"/>
      <c r="P134" s="6"/>
      <c r="Q134" s="6"/>
      <c r="R134" s="12"/>
      <c r="S134" s="12"/>
      <c r="T134" s="6"/>
      <c r="U134" s="6"/>
      <c r="V134" s="6"/>
      <c r="W134" s="6"/>
      <c r="X134" s="6"/>
      <c r="Y134" s="6"/>
    </row>
    <row r="135" spans="1:25" s="8" customFormat="1" ht="12.75" x14ac:dyDescent="0.2">
      <c r="A135" s="14"/>
      <c r="B135" s="7" t="s">
        <v>55</v>
      </c>
      <c r="F135" s="32"/>
      <c r="H135" s="171"/>
      <c r="K135" s="1"/>
      <c r="R135" s="12"/>
      <c r="S135" s="1"/>
      <c r="T135" s="6"/>
      <c r="W135" s="6"/>
      <c r="X135" s="6"/>
      <c r="Y135" s="6"/>
    </row>
    <row r="136" spans="1:25" s="8" customFormat="1" ht="12.75" x14ac:dyDescent="0.2">
      <c r="A136" s="14"/>
      <c r="B136" s="32" t="s">
        <v>56</v>
      </c>
      <c r="F136" s="32" t="s">
        <v>113</v>
      </c>
      <c r="H136" s="171"/>
      <c r="J136" s="198">
        <f>SUM(L136:S136)</f>
        <v>0</v>
      </c>
      <c r="K136" s="1"/>
      <c r="L136" s="242">
        <v>0</v>
      </c>
      <c r="M136" s="242">
        <v>0</v>
      </c>
      <c r="N136" s="242">
        <v>0</v>
      </c>
      <c r="O136" s="242">
        <v>0</v>
      </c>
      <c r="P136" s="242">
        <v>0</v>
      </c>
      <c r="Q136" s="242">
        <v>0</v>
      </c>
      <c r="R136" s="79"/>
      <c r="S136" s="242">
        <v>0</v>
      </c>
      <c r="T136" s="6"/>
      <c r="U136" s="242">
        <v>0</v>
      </c>
      <c r="V136" s="242">
        <v>0</v>
      </c>
      <c r="W136" s="6"/>
      <c r="X136" s="6"/>
      <c r="Y136" s="6"/>
    </row>
    <row r="137" spans="1:25" s="8" customFormat="1" ht="12.75" x14ac:dyDescent="0.2">
      <c r="A137" s="14"/>
      <c r="B137" s="32" t="s">
        <v>57</v>
      </c>
      <c r="F137" s="32" t="s">
        <v>113</v>
      </c>
      <c r="H137" s="171"/>
      <c r="J137" s="198">
        <f>SUM(L137:S137)</f>
        <v>271005.47593368817</v>
      </c>
      <c r="K137" s="1"/>
      <c r="L137" s="242">
        <v>0</v>
      </c>
      <c r="M137" s="242">
        <v>0</v>
      </c>
      <c r="N137" s="242">
        <v>0</v>
      </c>
      <c r="O137" s="242">
        <v>0</v>
      </c>
      <c r="P137" s="242">
        <v>0</v>
      </c>
      <c r="Q137" s="242">
        <v>0</v>
      </c>
      <c r="R137" s="79"/>
      <c r="S137" s="242">
        <v>271005.47593368817</v>
      </c>
      <c r="T137" s="6"/>
      <c r="U137" s="242">
        <v>0</v>
      </c>
      <c r="V137" s="242">
        <v>0</v>
      </c>
      <c r="W137" s="6"/>
      <c r="X137" s="6"/>
      <c r="Y137" s="6"/>
    </row>
    <row r="138" spans="1:25" s="8" customFormat="1" ht="12.75" x14ac:dyDescent="0.2">
      <c r="A138" s="14"/>
      <c r="B138" s="32" t="s">
        <v>58</v>
      </c>
      <c r="F138" s="32" t="s">
        <v>113</v>
      </c>
      <c r="H138" s="171"/>
      <c r="J138" s="198">
        <f>SUM(L138:S138)</f>
        <v>8765073.9075967278</v>
      </c>
      <c r="K138" s="1"/>
      <c r="L138" s="242">
        <v>0</v>
      </c>
      <c r="M138" s="242">
        <v>0</v>
      </c>
      <c r="N138" s="242">
        <v>0</v>
      </c>
      <c r="O138" s="242">
        <v>0</v>
      </c>
      <c r="P138" s="242">
        <v>0</v>
      </c>
      <c r="Q138" s="242">
        <v>0</v>
      </c>
      <c r="R138" s="79"/>
      <c r="S138" s="242">
        <v>8765073.9075967278</v>
      </c>
      <c r="T138" s="6"/>
      <c r="U138" s="242">
        <v>0</v>
      </c>
      <c r="V138" s="242">
        <v>0</v>
      </c>
      <c r="W138" s="6"/>
      <c r="X138" s="6"/>
      <c r="Y138" s="6"/>
    </row>
    <row r="139" spans="1:25" s="8" customFormat="1" ht="12.75" x14ac:dyDescent="0.2">
      <c r="A139" s="14"/>
      <c r="B139" s="32"/>
      <c r="F139" s="32"/>
      <c r="H139" s="171"/>
      <c r="K139" s="1"/>
      <c r="R139" s="12"/>
      <c r="S139" s="1"/>
      <c r="T139" s="6"/>
      <c r="W139" s="6"/>
      <c r="X139" s="6"/>
      <c r="Y139" s="6"/>
    </row>
    <row r="140" spans="1:25" s="8" customFormat="1" ht="12.75" x14ac:dyDescent="0.2">
      <c r="A140" s="14"/>
      <c r="B140" s="7" t="s">
        <v>59</v>
      </c>
      <c r="F140" s="32"/>
      <c r="H140" s="171"/>
      <c r="K140" s="1"/>
      <c r="R140" s="12"/>
      <c r="S140" s="1"/>
      <c r="T140" s="6"/>
      <c r="W140" s="6"/>
      <c r="X140" s="6"/>
      <c r="Y140" s="6"/>
    </row>
    <row r="141" spans="1:25" s="8" customFormat="1" ht="12.75" x14ac:dyDescent="0.2">
      <c r="A141" s="14"/>
      <c r="B141" s="32" t="s">
        <v>60</v>
      </c>
      <c r="F141" s="32" t="s">
        <v>113</v>
      </c>
      <c r="H141" s="171"/>
      <c r="J141" s="198">
        <f>SUM(L141:S141)</f>
        <v>0</v>
      </c>
      <c r="K141" s="1"/>
      <c r="L141" s="242">
        <v>0</v>
      </c>
      <c r="M141" s="242">
        <v>0</v>
      </c>
      <c r="N141" s="242">
        <v>0</v>
      </c>
      <c r="O141" s="242">
        <v>0</v>
      </c>
      <c r="P141" s="242">
        <v>0</v>
      </c>
      <c r="Q141" s="242">
        <v>0</v>
      </c>
      <c r="R141" s="79"/>
      <c r="S141" s="242">
        <v>0</v>
      </c>
      <c r="T141" s="6"/>
      <c r="U141" s="242">
        <v>0</v>
      </c>
      <c r="V141" s="242">
        <v>0</v>
      </c>
      <c r="W141" s="6"/>
      <c r="X141" s="6"/>
      <c r="Y141" s="6"/>
    </row>
    <row r="142" spans="1:25" s="32" customFormat="1" ht="12.75" x14ac:dyDescent="0.2">
      <c r="A142" s="37"/>
      <c r="B142" s="32" t="s">
        <v>61</v>
      </c>
      <c r="F142" s="32" t="s">
        <v>113</v>
      </c>
      <c r="G142" s="171"/>
      <c r="H142" s="171"/>
      <c r="J142" s="198">
        <f>SUM(L142:S142)</f>
        <v>1743902.4036012602</v>
      </c>
      <c r="K142" s="79"/>
      <c r="L142" s="242">
        <v>0</v>
      </c>
      <c r="M142" s="242">
        <v>10746.473332957021</v>
      </c>
      <c r="N142" s="242">
        <v>471052.23251763236</v>
      </c>
      <c r="O142" s="242">
        <v>0</v>
      </c>
      <c r="P142" s="242">
        <v>1129934.9973751365</v>
      </c>
      <c r="Q142" s="242">
        <v>14567.321940566975</v>
      </c>
      <c r="R142" s="79"/>
      <c r="S142" s="242">
        <v>117601.37843496747</v>
      </c>
      <c r="T142" s="6"/>
      <c r="U142" s="242">
        <v>10746.473332957021</v>
      </c>
      <c r="V142" s="242">
        <v>0</v>
      </c>
      <c r="W142" s="6"/>
      <c r="X142" s="6"/>
      <c r="Y142" s="6"/>
    </row>
    <row r="143" spans="1:25" s="32" customFormat="1" ht="12.75" x14ac:dyDescent="0.2">
      <c r="A143" s="37"/>
      <c r="B143" s="32" t="s">
        <v>62</v>
      </c>
      <c r="F143" s="32" t="s">
        <v>113</v>
      </c>
      <c r="G143" s="171"/>
      <c r="H143" s="171"/>
      <c r="J143" s="198">
        <f>SUM(L143:S143)</f>
        <v>14769599.277152557</v>
      </c>
      <c r="K143" s="79"/>
      <c r="L143" s="242">
        <v>0</v>
      </c>
      <c r="M143" s="242">
        <v>227554.29204368001</v>
      </c>
      <c r="N143" s="242">
        <v>1799378.0574296485</v>
      </c>
      <c r="O143" s="242">
        <v>0</v>
      </c>
      <c r="P143" s="242">
        <v>12566264.860026777</v>
      </c>
      <c r="Q143" s="242">
        <v>5.4569682106375694E-12</v>
      </c>
      <c r="R143" s="79"/>
      <c r="S143" s="242">
        <v>176402.06765245122</v>
      </c>
      <c r="T143" s="6"/>
      <c r="U143" s="242">
        <v>227554.29204368001</v>
      </c>
      <c r="V143" s="242">
        <v>0</v>
      </c>
      <c r="W143" s="6"/>
      <c r="X143" s="6"/>
      <c r="Y143" s="6"/>
    </row>
    <row r="144" spans="1:25" s="32" customFormat="1" ht="12.75" x14ac:dyDescent="0.2">
      <c r="A144" s="37"/>
      <c r="G144" s="171"/>
      <c r="H144" s="171"/>
      <c r="J144" s="93"/>
      <c r="L144" s="34"/>
      <c r="M144" s="34"/>
      <c r="N144" s="34"/>
      <c r="O144" s="34"/>
      <c r="P144" s="34"/>
      <c r="Q144" s="202"/>
      <c r="R144" s="6"/>
      <c r="S144" s="34"/>
      <c r="T144" s="6"/>
      <c r="U144" s="96"/>
      <c r="V144" s="96"/>
      <c r="W144" s="6"/>
      <c r="X144" s="6"/>
      <c r="Y144" s="6"/>
    </row>
    <row r="145" spans="10:10" x14ac:dyDescent="0.2">
      <c r="J145" s="252"/>
    </row>
    <row r="146" spans="10:10" x14ac:dyDescent="0.2">
      <c r="J146" s="252"/>
    </row>
  </sheetData>
  <mergeCells count="3">
    <mergeCell ref="B5:F5"/>
    <mergeCell ref="B8:F8"/>
    <mergeCell ref="B9:E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
  <sheetViews>
    <sheetView showGridLines="0" zoomScale="85" zoomScaleNormal="85" workbookViewId="0"/>
  </sheetViews>
  <sheetFormatPr defaultRowHeight="12.75" x14ac:dyDescent="0.2"/>
  <cols>
    <col min="1" max="16384" width="9.140625" style="125"/>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A1:W300"/>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4.25" x14ac:dyDescent="0.2"/>
  <cols>
    <col min="1" max="1" width="2.7109375" style="180" customWidth="1"/>
    <col min="2" max="2" width="67" style="180" customWidth="1"/>
    <col min="3" max="3" width="2.7109375" style="180" customWidth="1"/>
    <col min="4" max="4" width="13.7109375" style="180" customWidth="1"/>
    <col min="5" max="5" width="2.7109375" style="180" customWidth="1"/>
    <col min="6" max="6" width="13.7109375" style="180" customWidth="1"/>
    <col min="7" max="7" width="2.7109375" style="180" customWidth="1"/>
    <col min="8" max="8" width="13.7109375" style="180" customWidth="1"/>
    <col min="9" max="9" width="2.7109375" style="180" customWidth="1"/>
    <col min="10" max="10" width="15" style="180" customWidth="1"/>
    <col min="11" max="11" width="2.7109375" style="180" customWidth="1"/>
    <col min="12" max="17" width="13.7109375" style="180" customWidth="1"/>
    <col min="18" max="18" width="2.7109375" style="105" customWidth="1"/>
    <col min="19" max="19" width="13.7109375" style="180" customWidth="1"/>
    <col min="20" max="20" width="2.7109375" style="180" customWidth="1"/>
    <col min="21" max="21" width="14.7109375" style="180" customWidth="1"/>
    <col min="22" max="22" width="17.42578125" style="180" customWidth="1"/>
    <col min="23" max="23" width="20" style="180" customWidth="1"/>
    <col min="24" max="24" width="9.140625" style="180"/>
    <col min="25" max="25" width="4.5703125" style="180" customWidth="1"/>
    <col min="26" max="26" width="9.140625" style="180" customWidth="1"/>
    <col min="27" max="16384" width="9.140625" style="180"/>
  </cols>
  <sheetData>
    <row r="1" spans="1:21" s="171" customFormat="1" ht="12.75" x14ac:dyDescent="0.2">
      <c r="A1" s="17"/>
      <c r="B1" s="17"/>
      <c r="C1" s="17"/>
      <c r="D1" s="17"/>
      <c r="E1" s="17"/>
      <c r="F1" s="17"/>
      <c r="G1" s="17"/>
      <c r="H1" s="17"/>
      <c r="I1" s="17"/>
      <c r="J1" s="17"/>
      <c r="K1" s="17"/>
      <c r="L1" s="17"/>
      <c r="M1" s="17"/>
      <c r="N1" s="17"/>
      <c r="O1" s="17"/>
      <c r="P1" s="17"/>
      <c r="Q1" s="17"/>
      <c r="R1" s="43"/>
      <c r="S1" s="17"/>
      <c r="T1" s="17"/>
    </row>
    <row r="2" spans="1:21" s="18" customFormat="1" ht="18" x14ac:dyDescent="0.2">
      <c r="B2" s="18" t="s">
        <v>577</v>
      </c>
    </row>
    <row r="3" spans="1:21" s="171" customFormat="1" ht="12.75" x14ac:dyDescent="0.2">
      <c r="A3" s="17"/>
      <c r="B3" s="17"/>
      <c r="C3" s="17"/>
      <c r="D3" s="17"/>
      <c r="E3" s="17"/>
      <c r="F3" s="17"/>
      <c r="G3" s="17"/>
      <c r="H3" s="17"/>
      <c r="I3" s="17"/>
      <c r="J3" s="17"/>
      <c r="K3" s="17"/>
      <c r="L3" s="17"/>
      <c r="M3" s="17"/>
      <c r="N3" s="17"/>
      <c r="O3" s="17"/>
      <c r="P3" s="17"/>
      <c r="Q3" s="17"/>
      <c r="R3" s="43"/>
      <c r="S3" s="17"/>
      <c r="T3" s="17"/>
    </row>
    <row r="4" spans="1:21" s="171" customFormat="1" ht="12.75" x14ac:dyDescent="0.2">
      <c r="A4" s="17"/>
      <c r="B4" s="19" t="s">
        <v>596</v>
      </c>
      <c r="C4" s="17"/>
      <c r="D4" s="17"/>
      <c r="E4" s="17"/>
      <c r="F4" s="17"/>
      <c r="G4" s="17"/>
      <c r="H4" s="17"/>
      <c r="I4" s="17"/>
      <c r="J4" s="17"/>
      <c r="K4" s="20"/>
      <c r="L4" s="20"/>
      <c r="M4" s="17"/>
      <c r="N4" s="17"/>
      <c r="O4" s="17"/>
      <c r="P4" s="17"/>
      <c r="Q4" s="17"/>
      <c r="R4" s="41"/>
      <c r="S4" s="17"/>
      <c r="T4" s="20"/>
    </row>
    <row r="5" spans="1:21" s="171" customFormat="1" ht="12.75" customHeight="1" x14ac:dyDescent="0.2">
      <c r="A5" s="17"/>
      <c r="B5" s="253" t="s">
        <v>601</v>
      </c>
      <c r="C5" s="253"/>
      <c r="D5" s="253"/>
      <c r="E5" s="253"/>
      <c r="F5" s="253"/>
      <c r="G5" s="17"/>
      <c r="H5" s="17"/>
      <c r="I5" s="17"/>
      <c r="J5" s="17"/>
      <c r="K5" s="17"/>
      <c r="L5" s="17"/>
      <c r="M5" s="17"/>
      <c r="N5" s="17"/>
      <c r="O5" s="17"/>
      <c r="P5" s="17"/>
      <c r="Q5" s="17"/>
      <c r="R5" s="43"/>
      <c r="S5" s="17"/>
      <c r="T5" s="17"/>
    </row>
    <row r="6" spans="1:21" s="171" customFormat="1" ht="12.75" customHeight="1" x14ac:dyDescent="0.2">
      <c r="A6" s="17"/>
      <c r="B6" s="21"/>
      <c r="C6" s="17"/>
      <c r="D6" s="17"/>
      <c r="E6" s="17"/>
      <c r="F6" s="17"/>
      <c r="G6" s="17"/>
      <c r="H6" s="17"/>
      <c r="I6" s="17"/>
      <c r="J6" s="17"/>
      <c r="K6" s="17"/>
      <c r="L6" s="17"/>
      <c r="M6" s="17"/>
      <c r="N6" s="17"/>
      <c r="O6" s="17"/>
      <c r="P6" s="17"/>
      <c r="Q6" s="17"/>
      <c r="R6" s="43"/>
      <c r="S6" s="17"/>
      <c r="T6" s="17"/>
    </row>
    <row r="7" spans="1:21" s="171" customFormat="1" ht="12.75" customHeight="1" x14ac:dyDescent="0.2">
      <c r="B7" s="22" t="s">
        <v>80</v>
      </c>
      <c r="D7" s="31"/>
      <c r="F7" s="31"/>
      <c r="G7" s="31"/>
      <c r="H7" s="31"/>
      <c r="I7" s="31"/>
      <c r="J7" s="31"/>
      <c r="K7" s="31"/>
      <c r="L7" s="31"/>
      <c r="M7" s="31"/>
      <c r="N7" s="31"/>
      <c r="O7" s="31"/>
      <c r="P7" s="31"/>
      <c r="Q7" s="31"/>
      <c r="R7" s="46"/>
      <c r="S7" s="31"/>
      <c r="T7" s="31"/>
    </row>
    <row r="8" spans="1:21" s="171" customFormat="1" ht="12.75" customHeight="1" x14ac:dyDescent="0.2">
      <c r="B8" s="253" t="s">
        <v>597</v>
      </c>
      <c r="C8" s="253"/>
      <c r="D8" s="253"/>
      <c r="E8" s="253"/>
      <c r="F8" s="253"/>
      <c r="G8" s="31"/>
      <c r="H8" s="31"/>
      <c r="I8" s="31"/>
      <c r="J8" s="31"/>
      <c r="K8" s="31"/>
      <c r="L8" s="31"/>
      <c r="M8" s="31"/>
      <c r="N8" s="31"/>
      <c r="O8" s="31"/>
      <c r="P8" s="31"/>
      <c r="Q8" s="31"/>
      <c r="R8" s="46"/>
      <c r="S8" s="31"/>
      <c r="T8" s="31"/>
    </row>
    <row r="9" spans="1:21" s="171" customFormat="1" ht="12.75" x14ac:dyDescent="0.2">
      <c r="R9" s="102"/>
    </row>
    <row r="10" spans="1:21" s="24" customFormat="1" ht="12.75" x14ac:dyDescent="0.2">
      <c r="B10" s="24" t="s">
        <v>81</v>
      </c>
      <c r="D10" s="24" t="s">
        <v>66</v>
      </c>
      <c r="F10" s="24" t="s">
        <v>0</v>
      </c>
      <c r="H10" s="24" t="s">
        <v>439</v>
      </c>
      <c r="J10" s="24" t="s">
        <v>440</v>
      </c>
      <c r="L10" s="24" t="s">
        <v>82</v>
      </c>
      <c r="M10" s="24" t="s">
        <v>1</v>
      </c>
      <c r="N10" s="24" t="s">
        <v>2</v>
      </c>
      <c r="O10" s="24" t="s">
        <v>3</v>
      </c>
      <c r="P10" s="24" t="s">
        <v>4</v>
      </c>
      <c r="Q10" s="24" t="s">
        <v>5</v>
      </c>
      <c r="S10" s="24" t="s">
        <v>35</v>
      </c>
      <c r="U10" s="24" t="s">
        <v>550</v>
      </c>
    </row>
    <row r="12" spans="1:21" s="211" customFormat="1" ht="12.75" x14ac:dyDescent="0.2">
      <c r="B12" s="211" t="s">
        <v>527</v>
      </c>
    </row>
    <row r="13" spans="1:21" s="17" customFormat="1" ht="12.75" x14ac:dyDescent="0.2"/>
    <row r="14" spans="1:21" s="17" customFormat="1" ht="12.75" x14ac:dyDescent="0.2">
      <c r="B14" s="155" t="s">
        <v>528</v>
      </c>
      <c r="R14" s="109"/>
    </row>
    <row r="15" spans="1:21" s="17" customFormat="1" ht="12.75" x14ac:dyDescent="0.2">
      <c r="B15" s="171" t="s">
        <v>7</v>
      </c>
      <c r="F15" s="17" t="s">
        <v>97</v>
      </c>
      <c r="J15" s="225">
        <f>SUM(L15:Q15,S15)</f>
        <v>494844741.74999994</v>
      </c>
      <c r="L15" s="226">
        <f>'3) Input operationele kosten'!L76</f>
        <v>0</v>
      </c>
      <c r="M15" s="226">
        <f>'3) Input operationele kosten'!M76</f>
        <v>185367881.91999999</v>
      </c>
      <c r="N15" s="226">
        <f>'3) Input operationele kosten'!N76</f>
        <v>175318026.47999999</v>
      </c>
      <c r="O15" s="226">
        <f>'3) Input operationele kosten'!O76</f>
        <v>0</v>
      </c>
      <c r="P15" s="226">
        <f>'3) Input operationele kosten'!P76</f>
        <v>110754495.11999999</v>
      </c>
      <c r="Q15" s="226">
        <f>'3) Input operationele kosten'!Q76</f>
        <v>11015037.459999999</v>
      </c>
      <c r="R15" s="109"/>
      <c r="S15" s="226">
        <f>'3) Input operationele kosten'!S76</f>
        <v>12389300.77</v>
      </c>
    </row>
    <row r="16" spans="1:21" s="17" customFormat="1" ht="12.75" x14ac:dyDescent="0.2">
      <c r="B16" s="171" t="s">
        <v>8</v>
      </c>
      <c r="F16" s="17" t="s">
        <v>97</v>
      </c>
      <c r="J16" s="225">
        <f>SUM(L16:Q16,S16)</f>
        <v>9953512.3379720375</v>
      </c>
      <c r="L16" s="226">
        <f>'3) Input operationele kosten'!L77</f>
        <v>3382920</v>
      </c>
      <c r="M16" s="226">
        <f>'3) Input operationele kosten'!M77</f>
        <v>137712.92963203668</v>
      </c>
      <c r="N16" s="226">
        <f>'3) Input operationele kosten'!N77</f>
        <v>1335603.0800000003</v>
      </c>
      <c r="O16" s="226">
        <f>'3) Input operationele kosten'!O77</f>
        <v>2126441.4700000002</v>
      </c>
      <c r="P16" s="226">
        <f>'3) Input operationele kosten'!P77</f>
        <v>2687274.2512000003</v>
      </c>
      <c r="Q16" s="226">
        <f>'3) Input operationele kosten'!Q77</f>
        <v>283560.60713999998</v>
      </c>
      <c r="R16" s="109"/>
      <c r="S16" s="226">
        <f>'3) Input operationele kosten'!S77</f>
        <v>0</v>
      </c>
    </row>
    <row r="17" spans="2:19" s="17" customFormat="1" ht="12.75" x14ac:dyDescent="0.2">
      <c r="B17" s="171"/>
      <c r="L17" s="228"/>
      <c r="M17" s="228"/>
      <c r="N17" s="228"/>
      <c r="O17" s="228"/>
      <c r="P17" s="228"/>
      <c r="Q17" s="228"/>
      <c r="R17" s="109"/>
    </row>
    <row r="18" spans="2:19" s="17" customFormat="1" ht="12.75" x14ac:dyDescent="0.2">
      <c r="B18" s="155" t="s">
        <v>529</v>
      </c>
      <c r="R18" s="109"/>
    </row>
    <row r="19" spans="2:19" s="17" customFormat="1" ht="12.75" x14ac:dyDescent="0.2">
      <c r="B19" s="171" t="s">
        <v>7</v>
      </c>
      <c r="F19" s="17" t="s">
        <v>106</v>
      </c>
      <c r="J19" s="225">
        <f>SUM(L19:Q19,S19)</f>
        <v>499474660.78420085</v>
      </c>
      <c r="L19" s="226">
        <f>'3) Input operationele kosten'!L96</f>
        <v>0</v>
      </c>
      <c r="M19" s="226">
        <f>'3) Input operationele kosten'!M96</f>
        <v>184852300.02000001</v>
      </c>
      <c r="N19" s="226">
        <f>'3) Input operationele kosten'!N96</f>
        <v>178686025.66</v>
      </c>
      <c r="O19" s="226">
        <f>'3) Input operationele kosten'!O96</f>
        <v>0</v>
      </c>
      <c r="P19" s="226">
        <f>'3) Input operationele kosten'!P96</f>
        <v>112692097.59420086</v>
      </c>
      <c r="Q19" s="226">
        <f>'3) Input operationele kosten'!Q96</f>
        <v>10813594.76</v>
      </c>
      <c r="R19" s="109"/>
      <c r="S19" s="226">
        <f>'3) Input operationele kosten'!S96</f>
        <v>12430642.750000002</v>
      </c>
    </row>
    <row r="20" spans="2:19" s="17" customFormat="1" ht="12.75" x14ac:dyDescent="0.2">
      <c r="B20" s="171" t="s">
        <v>8</v>
      </c>
      <c r="F20" s="17" t="s">
        <v>106</v>
      </c>
      <c r="J20" s="225">
        <f>SUM(L20:Q20,S20)</f>
        <v>9832581.9408000018</v>
      </c>
      <c r="L20" s="226">
        <f>'3) Input operationele kosten'!L97</f>
        <v>3453224</v>
      </c>
      <c r="M20" s="226">
        <f>'3) Input operationele kosten'!M97</f>
        <v>156753.23199999999</v>
      </c>
      <c r="N20" s="226">
        <f>'3) Input operationele kosten'!N97</f>
        <v>1401377.91</v>
      </c>
      <c r="O20" s="226">
        <f>'3) Input operationele kosten'!O97</f>
        <v>2215766.8200000003</v>
      </c>
      <c r="P20" s="226">
        <f>'3) Input operationele kosten'!P97</f>
        <v>2313946.0800000015</v>
      </c>
      <c r="Q20" s="226">
        <f>'3) Input operationele kosten'!Q97</f>
        <v>291513.89879999997</v>
      </c>
      <c r="R20" s="109"/>
      <c r="S20" s="226">
        <f>'3) Input operationele kosten'!S97</f>
        <v>0</v>
      </c>
    </row>
    <row r="21" spans="2:19" s="17" customFormat="1" ht="12.75" x14ac:dyDescent="0.2">
      <c r="B21" s="171"/>
      <c r="L21" s="228"/>
      <c r="M21" s="228"/>
      <c r="N21" s="228"/>
      <c r="O21" s="228"/>
      <c r="P21" s="228"/>
      <c r="Q21" s="228"/>
      <c r="R21" s="109"/>
    </row>
    <row r="22" spans="2:19" s="17" customFormat="1" ht="12.75" x14ac:dyDescent="0.2">
      <c r="B22" s="155" t="s">
        <v>530</v>
      </c>
      <c r="R22" s="109"/>
    </row>
    <row r="23" spans="2:19" s="17" customFormat="1" ht="12.75" x14ac:dyDescent="0.2">
      <c r="B23" s="171" t="s">
        <v>7</v>
      </c>
      <c r="F23" s="17" t="s">
        <v>113</v>
      </c>
      <c r="J23" s="225">
        <f>SUM(L23:Q23,S23)</f>
        <v>668687979.60228491</v>
      </c>
      <c r="L23" s="226">
        <f>'3) Input operationele kosten'!L116</f>
        <v>0</v>
      </c>
      <c r="M23" s="226">
        <f>'3) Input operationele kosten'!M116</f>
        <v>248461562.47228497</v>
      </c>
      <c r="N23" s="226">
        <f>'3) Input operationele kosten'!N116</f>
        <v>241221441.29000002</v>
      </c>
      <c r="O23" s="226">
        <f>'3) Input operationele kosten'!O116</f>
        <v>0</v>
      </c>
      <c r="P23" s="226">
        <f>'3) Input operationele kosten'!P116</f>
        <v>148890130.38999999</v>
      </c>
      <c r="Q23" s="226">
        <f>'3) Input operationele kosten'!Q116</f>
        <v>13952560.029999999</v>
      </c>
      <c r="R23" s="109"/>
      <c r="S23" s="226">
        <f>'3) Input operationele kosten'!S116</f>
        <v>16162285.420000006</v>
      </c>
    </row>
    <row r="24" spans="2:19" s="17" customFormat="1" ht="12.75" x14ac:dyDescent="0.2">
      <c r="B24" s="171" t="s">
        <v>8</v>
      </c>
      <c r="F24" s="17" t="s">
        <v>113</v>
      </c>
      <c r="J24" s="225">
        <f>SUM(L24:Q24,S24)</f>
        <v>9461730.3294889592</v>
      </c>
      <c r="L24" s="226">
        <f>'3) Input operationele kosten'!L117</f>
        <v>3319302</v>
      </c>
      <c r="M24" s="226">
        <f>'3) Input operationele kosten'!M117</f>
        <v>156069.12040000001</v>
      </c>
      <c r="N24" s="226">
        <f>'3) Input operationele kosten'!N117</f>
        <v>1082254.3999999999</v>
      </c>
      <c r="O24" s="226">
        <f>'3) Input operationele kosten'!O117</f>
        <v>2257368.81</v>
      </c>
      <c r="P24" s="226">
        <f>'3) Input operationele kosten'!P117</f>
        <v>2369957.0836</v>
      </c>
      <c r="Q24" s="226">
        <f>'3) Input operationele kosten'!Q117</f>
        <v>276778.91548895999</v>
      </c>
      <c r="R24" s="109"/>
      <c r="S24" s="226">
        <f>'3) Input operationele kosten'!S117</f>
        <v>0</v>
      </c>
    </row>
    <row r="25" spans="2:19" s="17" customFormat="1" ht="12.75" x14ac:dyDescent="0.2">
      <c r="R25" s="109"/>
    </row>
    <row r="26" spans="2:19" s="17" customFormat="1" ht="12.75" x14ac:dyDescent="0.2">
      <c r="B26" s="155" t="s">
        <v>452</v>
      </c>
      <c r="R26" s="109"/>
    </row>
    <row r="27" spans="2:19" s="17" customFormat="1" ht="12.75" x14ac:dyDescent="0.2">
      <c r="B27" s="212" t="s">
        <v>453</v>
      </c>
      <c r="F27" s="17" t="s">
        <v>454</v>
      </c>
      <c r="H27" s="227">
        <f>'4) Input inkoopkosten transport'!H14</f>
        <v>22.271913830961925</v>
      </c>
      <c r="R27" s="109"/>
    </row>
    <row r="28" spans="2:19" s="17" customFormat="1" ht="12.75" x14ac:dyDescent="0.2">
      <c r="B28" s="212" t="s">
        <v>456</v>
      </c>
      <c r="F28" s="17" t="s">
        <v>454</v>
      </c>
      <c r="H28" s="227">
        <f>'4) Input inkoopkosten transport'!H15</f>
        <v>40.09423271955238</v>
      </c>
      <c r="R28" s="109"/>
    </row>
    <row r="29" spans="2:19" s="17" customFormat="1" ht="12.75" x14ac:dyDescent="0.2">
      <c r="R29" s="109"/>
    </row>
    <row r="30" spans="2:19" s="17" customFormat="1" ht="12.75" x14ac:dyDescent="0.2">
      <c r="B30" s="155" t="s">
        <v>531</v>
      </c>
      <c r="R30" s="109"/>
    </row>
    <row r="31" spans="2:19" s="17" customFormat="1" ht="12.75" x14ac:dyDescent="0.2">
      <c r="B31" s="155"/>
      <c r="R31" s="109"/>
    </row>
    <row r="32" spans="2:19" s="17" customFormat="1" ht="12.75" x14ac:dyDescent="0.2">
      <c r="B32" s="155" t="s">
        <v>532</v>
      </c>
      <c r="R32" s="109"/>
    </row>
    <row r="33" spans="2:19" s="17" customFormat="1" ht="12.75" x14ac:dyDescent="0.2">
      <c r="B33" s="17" t="s">
        <v>459</v>
      </c>
      <c r="F33" s="17" t="s">
        <v>454</v>
      </c>
      <c r="L33" s="218"/>
      <c r="M33" s="226">
        <f>'4) Input inkoopkosten transport'!M20</f>
        <v>0.99999679460467872</v>
      </c>
      <c r="N33" s="226">
        <f>'4) Input inkoopkosten transport'!N20</f>
        <v>1</v>
      </c>
      <c r="O33" s="218"/>
      <c r="P33" s="218"/>
      <c r="Q33" s="218"/>
      <c r="R33" s="219"/>
      <c r="S33" s="218"/>
    </row>
    <row r="34" spans="2:19" s="17" customFormat="1" ht="12.75" x14ac:dyDescent="0.2">
      <c r="B34" s="17" t="s">
        <v>460</v>
      </c>
      <c r="F34" s="17" t="s">
        <v>454</v>
      </c>
      <c r="L34" s="218"/>
      <c r="M34" s="226">
        <f>'4) Input inkoopkosten transport'!M21</f>
        <v>190000</v>
      </c>
      <c r="N34" s="226">
        <f>'4) Input inkoopkosten transport'!N21</f>
        <v>861148</v>
      </c>
      <c r="O34" s="218"/>
      <c r="P34" s="218"/>
      <c r="Q34" s="218"/>
      <c r="R34" s="219"/>
      <c r="S34" s="218"/>
    </row>
    <row r="35" spans="2:19" s="17" customFormat="1" ht="12.75" x14ac:dyDescent="0.2">
      <c r="B35" s="17" t="s">
        <v>461</v>
      </c>
      <c r="F35" s="17" t="s">
        <v>454</v>
      </c>
      <c r="L35" s="218"/>
      <c r="M35" s="226">
        <f>'4) Input inkoopkosten transport'!M22</f>
        <v>1772104</v>
      </c>
      <c r="N35" s="226">
        <f>'4) Input inkoopkosten transport'!N22</f>
        <v>8313296</v>
      </c>
      <c r="O35" s="218"/>
      <c r="P35" s="218"/>
      <c r="Q35" s="218"/>
      <c r="R35" s="219"/>
      <c r="S35" s="218"/>
    </row>
    <row r="36" spans="2:19" s="17" customFormat="1" ht="12.75" x14ac:dyDescent="0.2">
      <c r="R36" s="109"/>
    </row>
    <row r="37" spans="2:19" s="17" customFormat="1" ht="12.75" x14ac:dyDescent="0.2">
      <c r="B37" s="155" t="s">
        <v>533</v>
      </c>
      <c r="R37" s="109"/>
    </row>
    <row r="38" spans="2:19" s="17" customFormat="1" ht="12.75" x14ac:dyDescent="0.2">
      <c r="B38" s="17" t="s">
        <v>459</v>
      </c>
      <c r="F38" s="17" t="s">
        <v>454</v>
      </c>
      <c r="L38" s="218"/>
      <c r="M38" s="226">
        <f>'4) Input inkoopkosten transport'!M25</f>
        <v>3</v>
      </c>
      <c r="N38" s="226">
        <f>'4) Input inkoopkosten transport'!N25</f>
        <v>4</v>
      </c>
      <c r="O38" s="218"/>
      <c r="P38" s="226">
        <f>'4) Input inkoopkosten transport'!P25</f>
        <v>3</v>
      </c>
      <c r="Q38" s="226">
        <f>'4) Input inkoopkosten transport'!Q25</f>
        <v>1</v>
      </c>
      <c r="R38" s="228"/>
      <c r="S38" s="226">
        <f>'4) Input inkoopkosten transport'!S25</f>
        <v>1</v>
      </c>
    </row>
    <row r="39" spans="2:19" s="17" customFormat="1" ht="12.75" x14ac:dyDescent="0.2">
      <c r="B39" s="17" t="s">
        <v>460</v>
      </c>
      <c r="F39" s="17" t="s">
        <v>454</v>
      </c>
      <c r="L39" s="218"/>
      <c r="M39" s="226">
        <f>'4) Input inkoopkosten transport'!M26</f>
        <v>4964400</v>
      </c>
      <c r="N39" s="226">
        <f>'4) Input inkoopkosten transport'!N26</f>
        <v>4564324</v>
      </c>
      <c r="O39" s="218"/>
      <c r="P39" s="226">
        <f>'4) Input inkoopkosten transport'!P26</f>
        <v>3108810</v>
      </c>
      <c r="Q39" s="226">
        <f>'4) Input inkoopkosten transport'!Q26</f>
        <v>346812</v>
      </c>
      <c r="R39" s="228"/>
      <c r="S39" s="226">
        <f>'4) Input inkoopkosten transport'!S26</f>
        <v>331097.65999999997</v>
      </c>
    </row>
    <row r="40" spans="2:19" s="17" customFormat="1" ht="12.75" x14ac:dyDescent="0.2">
      <c r="B40" s="17" t="s">
        <v>461</v>
      </c>
      <c r="F40" s="17" t="s">
        <v>454</v>
      </c>
      <c r="L40" s="218"/>
      <c r="M40" s="226">
        <f>'4) Input inkoopkosten transport'!M27</f>
        <v>53050088</v>
      </c>
      <c r="N40" s="226">
        <f>'4) Input inkoopkosten transport'!N27</f>
        <v>47817264</v>
      </c>
      <c r="O40" s="218"/>
      <c r="P40" s="226">
        <f>'4) Input inkoopkosten transport'!P27</f>
        <v>33064248</v>
      </c>
      <c r="Q40" s="226">
        <f>'4) Input inkoopkosten transport'!Q27</f>
        <v>2864304</v>
      </c>
      <c r="R40" s="228"/>
      <c r="S40" s="226">
        <f>'4) Input inkoopkosten transport'!S27</f>
        <v>3347829.6603412381</v>
      </c>
    </row>
    <row r="41" spans="2:19" s="17" customFormat="1" ht="12.75" x14ac:dyDescent="0.2">
      <c r="B41" s="17" t="s">
        <v>463</v>
      </c>
      <c r="F41" s="17" t="s">
        <v>454</v>
      </c>
      <c r="L41" s="218"/>
      <c r="M41" s="218"/>
      <c r="N41" s="226">
        <f>'4) Input inkoopkosten transport'!N28</f>
        <v>1</v>
      </c>
      <c r="O41" s="218"/>
      <c r="P41" s="218"/>
      <c r="Q41" s="218"/>
      <c r="R41" s="219"/>
      <c r="S41" s="218"/>
    </row>
    <row r="42" spans="2:19" s="17" customFormat="1" ht="12.75" x14ac:dyDescent="0.2">
      <c r="B42" s="17" t="s">
        <v>464</v>
      </c>
      <c r="F42" s="17" t="s">
        <v>454</v>
      </c>
      <c r="L42" s="218"/>
      <c r="M42" s="218"/>
      <c r="N42" s="226">
        <f>'4) Input inkoopkosten transport'!N29</f>
        <v>40112</v>
      </c>
      <c r="O42" s="218"/>
      <c r="P42" s="218"/>
      <c r="Q42" s="218"/>
      <c r="R42" s="219"/>
      <c r="S42" s="218"/>
    </row>
    <row r="43" spans="2:19" s="17" customFormat="1" ht="12.75" x14ac:dyDescent="0.2">
      <c r="B43" s="17" t="s">
        <v>465</v>
      </c>
      <c r="F43" s="17" t="s">
        <v>454</v>
      </c>
      <c r="L43" s="218"/>
      <c r="M43" s="218"/>
      <c r="N43" s="226">
        <f>'4) Input inkoopkosten transport'!N30</f>
        <v>52380</v>
      </c>
      <c r="O43" s="218"/>
      <c r="P43" s="218"/>
      <c r="Q43" s="218"/>
      <c r="R43" s="219"/>
      <c r="S43" s="218"/>
    </row>
    <row r="44" spans="2:19" s="109" customFormat="1" ht="12.75" x14ac:dyDescent="0.2">
      <c r="L44" s="219"/>
      <c r="M44" s="219"/>
      <c r="N44" s="228"/>
      <c r="O44" s="219"/>
      <c r="P44" s="219"/>
      <c r="Q44" s="219"/>
      <c r="R44" s="219"/>
      <c r="S44" s="219"/>
    </row>
    <row r="45" spans="2:19" s="17" customFormat="1" ht="12.75" x14ac:dyDescent="0.2">
      <c r="B45" s="155" t="s">
        <v>491</v>
      </c>
      <c r="R45" s="109"/>
    </row>
    <row r="46" spans="2:19" s="17" customFormat="1" ht="12.75" x14ac:dyDescent="0.2">
      <c r="B46" s="17" t="s">
        <v>459</v>
      </c>
      <c r="F46" s="17" t="s">
        <v>97</v>
      </c>
      <c r="H46" s="227">
        <f>'4) Input inkoopkosten transport'!H61</f>
        <v>12478.96</v>
      </c>
      <c r="R46" s="109"/>
    </row>
    <row r="47" spans="2:19" s="17" customFormat="1" ht="12.75" x14ac:dyDescent="0.2">
      <c r="B47" s="17" t="s">
        <v>460</v>
      </c>
      <c r="F47" s="17" t="s">
        <v>97</v>
      </c>
      <c r="H47" s="227">
        <f>'4) Input inkoopkosten transport'!H62</f>
        <v>6.87</v>
      </c>
      <c r="R47" s="109"/>
    </row>
    <row r="48" spans="2:19" s="17" customFormat="1" ht="12.75" x14ac:dyDescent="0.2">
      <c r="B48" s="17" t="s">
        <v>461</v>
      </c>
      <c r="F48" s="17" t="s">
        <v>97</v>
      </c>
      <c r="H48" s="227">
        <f>'4) Input inkoopkosten transport'!H63</f>
        <v>0.7</v>
      </c>
      <c r="R48" s="109"/>
    </row>
    <row r="49" spans="2:18" s="17" customFormat="1" ht="12.75" x14ac:dyDescent="0.2">
      <c r="H49" s="220"/>
      <c r="R49" s="109"/>
    </row>
    <row r="50" spans="2:18" s="17" customFormat="1" ht="12.75" x14ac:dyDescent="0.2">
      <c r="B50" s="155" t="s">
        <v>492</v>
      </c>
      <c r="H50" s="220"/>
      <c r="R50" s="109"/>
    </row>
    <row r="51" spans="2:18" s="17" customFormat="1" ht="12.75" x14ac:dyDescent="0.2">
      <c r="B51" s="17" t="s">
        <v>459</v>
      </c>
      <c r="F51" s="17" t="s">
        <v>97</v>
      </c>
      <c r="H51" s="227">
        <f>'4) Input inkoopkosten transport'!H66</f>
        <v>2760</v>
      </c>
      <c r="R51" s="109"/>
    </row>
    <row r="52" spans="2:18" s="17" customFormat="1" ht="12.75" x14ac:dyDescent="0.2">
      <c r="B52" s="17" t="s">
        <v>460</v>
      </c>
      <c r="F52" s="17" t="s">
        <v>97</v>
      </c>
      <c r="H52" s="227">
        <f>'4) Input inkoopkosten transport'!H67</f>
        <v>17</v>
      </c>
      <c r="R52" s="109"/>
    </row>
    <row r="53" spans="2:18" s="17" customFormat="1" ht="12.75" x14ac:dyDescent="0.2">
      <c r="B53" s="17" t="s">
        <v>461</v>
      </c>
      <c r="F53" s="17" t="s">
        <v>97</v>
      </c>
      <c r="H53" s="227">
        <f>'4) Input inkoopkosten transport'!H68</f>
        <v>1.63</v>
      </c>
      <c r="R53" s="109"/>
    </row>
    <row r="54" spans="2:18" s="17" customFormat="1" ht="12.75" x14ac:dyDescent="0.2">
      <c r="B54" s="17" t="s">
        <v>463</v>
      </c>
      <c r="F54" s="17" t="s">
        <v>97</v>
      </c>
      <c r="H54" s="227">
        <f>'4) Input inkoopkosten transport'!H69</f>
        <v>2760</v>
      </c>
      <c r="R54" s="109"/>
    </row>
    <row r="55" spans="2:18" s="17" customFormat="1" ht="12.75" x14ac:dyDescent="0.2">
      <c r="B55" s="17" t="s">
        <v>464</v>
      </c>
      <c r="F55" s="17" t="s">
        <v>97</v>
      </c>
      <c r="H55" s="227">
        <f>'4) Input inkoopkosten transport'!H70</f>
        <v>8.51</v>
      </c>
      <c r="R55" s="109"/>
    </row>
    <row r="56" spans="2:18" s="17" customFormat="1" ht="12.75" x14ac:dyDescent="0.2">
      <c r="B56" s="17" t="s">
        <v>465</v>
      </c>
      <c r="F56" s="17" t="s">
        <v>97</v>
      </c>
      <c r="H56" s="227">
        <f>'4) Input inkoopkosten transport'!H71</f>
        <v>0.56000000000000005</v>
      </c>
      <c r="R56" s="109"/>
    </row>
    <row r="57" spans="2:18" s="17" customFormat="1" ht="12.75" x14ac:dyDescent="0.2">
      <c r="H57" s="220"/>
      <c r="R57" s="109"/>
    </row>
    <row r="58" spans="2:18" s="17" customFormat="1" ht="12.75" x14ac:dyDescent="0.2">
      <c r="B58" s="155" t="s">
        <v>534</v>
      </c>
      <c r="H58" s="220"/>
      <c r="R58" s="109"/>
    </row>
    <row r="59" spans="2:18" s="17" customFormat="1" ht="12.75" x14ac:dyDescent="0.2">
      <c r="B59" s="17" t="s">
        <v>459</v>
      </c>
      <c r="F59" s="17" t="s">
        <v>97</v>
      </c>
      <c r="H59" s="227">
        <f>'4) Input inkoopkosten transport'!H102</f>
        <v>12478.96</v>
      </c>
      <c r="R59" s="109"/>
    </row>
    <row r="60" spans="2:18" s="17" customFormat="1" ht="12.75" x14ac:dyDescent="0.2">
      <c r="B60" s="17" t="s">
        <v>460</v>
      </c>
      <c r="F60" s="17" t="s">
        <v>97</v>
      </c>
      <c r="H60" s="227">
        <f>'4) Input inkoopkosten transport'!H103</f>
        <v>4.0199999999999996</v>
      </c>
      <c r="R60" s="109"/>
    </row>
    <row r="61" spans="2:18" s="17" customFormat="1" ht="12.75" x14ac:dyDescent="0.2">
      <c r="B61" s="17" t="s">
        <v>461</v>
      </c>
      <c r="F61" s="17" t="s">
        <v>97</v>
      </c>
      <c r="H61" s="227">
        <f>'4) Input inkoopkosten transport'!H104</f>
        <v>0.41</v>
      </c>
      <c r="R61" s="109"/>
    </row>
    <row r="62" spans="2:18" s="17" customFormat="1" ht="12.75" x14ac:dyDescent="0.2">
      <c r="H62" s="220"/>
      <c r="R62" s="109"/>
    </row>
    <row r="63" spans="2:18" s="17" customFormat="1" ht="12.75" x14ac:dyDescent="0.2">
      <c r="B63" s="155" t="s">
        <v>535</v>
      </c>
      <c r="H63" s="220"/>
      <c r="R63" s="109"/>
    </row>
    <row r="64" spans="2:18" s="17" customFormat="1" ht="12.75" x14ac:dyDescent="0.2">
      <c r="B64" s="17" t="s">
        <v>459</v>
      </c>
      <c r="F64" s="17" t="s">
        <v>97</v>
      </c>
      <c r="H64" s="227">
        <f>'4) Input inkoopkosten transport'!H107</f>
        <v>2760</v>
      </c>
      <c r="R64" s="109"/>
    </row>
    <row r="65" spans="2:19" s="17" customFormat="1" ht="12.75" x14ac:dyDescent="0.2">
      <c r="B65" s="17" t="s">
        <v>460</v>
      </c>
      <c r="F65" s="17" t="s">
        <v>97</v>
      </c>
      <c r="H65" s="227">
        <f>'4) Input inkoopkosten transport'!H108</f>
        <v>14.3</v>
      </c>
      <c r="R65" s="109"/>
    </row>
    <row r="66" spans="2:19" s="17" customFormat="1" ht="12.75" x14ac:dyDescent="0.2">
      <c r="B66" s="17" t="s">
        <v>461</v>
      </c>
      <c r="F66" s="17" t="s">
        <v>97</v>
      </c>
      <c r="H66" s="227">
        <f>'4) Input inkoopkosten transport'!H109</f>
        <v>1.37</v>
      </c>
      <c r="R66" s="109"/>
    </row>
    <row r="67" spans="2:19" s="17" customFormat="1" ht="12.75" x14ac:dyDescent="0.2">
      <c r="B67" s="17" t="s">
        <v>463</v>
      </c>
      <c r="F67" s="17" t="s">
        <v>97</v>
      </c>
      <c r="H67" s="227">
        <f>'4) Input inkoopkosten transport'!H110</f>
        <v>2760</v>
      </c>
      <c r="R67" s="109"/>
    </row>
    <row r="68" spans="2:19" s="17" customFormat="1" ht="12.75" x14ac:dyDescent="0.2">
      <c r="B68" s="17" t="s">
        <v>464</v>
      </c>
      <c r="F68" s="17" t="s">
        <v>97</v>
      </c>
      <c r="H68" s="227">
        <f>'4) Input inkoopkosten transport'!H111</f>
        <v>7.15</v>
      </c>
      <c r="R68" s="109"/>
    </row>
    <row r="69" spans="2:19" s="17" customFormat="1" ht="12.75" x14ac:dyDescent="0.2">
      <c r="B69" s="17" t="s">
        <v>465</v>
      </c>
      <c r="F69" s="17" t="s">
        <v>97</v>
      </c>
      <c r="H69" s="227">
        <f>'4) Input inkoopkosten transport'!H112</f>
        <v>0.47</v>
      </c>
      <c r="R69" s="109"/>
    </row>
    <row r="70" spans="2:19" s="17" customFormat="1" ht="12.75" x14ac:dyDescent="0.2">
      <c r="R70" s="109"/>
    </row>
    <row r="71" spans="2:19" s="17" customFormat="1" ht="12.75" x14ac:dyDescent="0.2">
      <c r="B71" s="155" t="s">
        <v>536</v>
      </c>
      <c r="R71" s="109"/>
    </row>
    <row r="72" spans="2:19" s="17" customFormat="1" ht="12.75" x14ac:dyDescent="0.2">
      <c r="R72" s="109"/>
    </row>
    <row r="73" spans="2:19" s="17" customFormat="1" ht="12.75" x14ac:dyDescent="0.2">
      <c r="B73" s="155" t="s">
        <v>532</v>
      </c>
      <c r="R73" s="109"/>
    </row>
    <row r="74" spans="2:19" s="17" customFormat="1" ht="12.75" x14ac:dyDescent="0.2">
      <c r="B74" s="17" t="s">
        <v>459</v>
      </c>
      <c r="F74" s="17" t="s">
        <v>454</v>
      </c>
      <c r="L74" s="218"/>
      <c r="M74" s="226">
        <f>'4) Input inkoopkosten transport'!M33</f>
        <v>0.99999679460467872</v>
      </c>
      <c r="N74" s="226">
        <f>'4) Input inkoopkosten transport'!N33</f>
        <v>1</v>
      </c>
      <c r="O74" s="218"/>
      <c r="P74" s="218"/>
      <c r="Q74" s="218"/>
      <c r="R74" s="219"/>
      <c r="S74" s="218"/>
    </row>
    <row r="75" spans="2:19" s="17" customFormat="1" ht="12.75" x14ac:dyDescent="0.2">
      <c r="B75" s="17" t="s">
        <v>460</v>
      </c>
      <c r="F75" s="17" t="s">
        <v>454</v>
      </c>
      <c r="L75" s="218"/>
      <c r="M75" s="226">
        <f>'4) Input inkoopkosten transport'!M34</f>
        <v>166472</v>
      </c>
      <c r="N75" s="226">
        <f>'4) Input inkoopkosten transport'!N34</f>
        <v>859800</v>
      </c>
      <c r="O75" s="218"/>
      <c r="P75" s="218"/>
      <c r="Q75" s="218"/>
      <c r="R75" s="219"/>
      <c r="S75" s="218"/>
    </row>
    <row r="76" spans="2:19" s="17" customFormat="1" ht="12.75" x14ac:dyDescent="0.2">
      <c r="B76" s="17" t="s">
        <v>461</v>
      </c>
      <c r="F76" s="17" t="s">
        <v>454</v>
      </c>
      <c r="L76" s="218"/>
      <c r="M76" s="226">
        <f>'4) Input inkoopkosten transport'!M35</f>
        <v>1618908</v>
      </c>
      <c r="N76" s="226">
        <f>'4) Input inkoopkosten transport'!N35</f>
        <v>7564352</v>
      </c>
      <c r="O76" s="218"/>
      <c r="P76" s="218"/>
      <c r="Q76" s="218"/>
      <c r="R76" s="219"/>
      <c r="S76" s="218"/>
    </row>
    <row r="77" spans="2:19" s="17" customFormat="1" ht="12.75" x14ac:dyDescent="0.2">
      <c r="R77" s="109"/>
    </row>
    <row r="78" spans="2:19" s="17" customFormat="1" ht="12.75" x14ac:dyDescent="0.2">
      <c r="B78" s="155" t="s">
        <v>533</v>
      </c>
      <c r="R78" s="109"/>
    </row>
    <row r="79" spans="2:19" s="17" customFormat="1" ht="12.75" x14ac:dyDescent="0.2">
      <c r="B79" s="17" t="s">
        <v>459</v>
      </c>
      <c r="F79" s="17" t="s">
        <v>454</v>
      </c>
      <c r="L79" s="218"/>
      <c r="M79" s="226">
        <f>'4) Input inkoopkosten transport'!M38</f>
        <v>3</v>
      </c>
      <c r="N79" s="226">
        <f>'4) Input inkoopkosten transport'!N38</f>
        <v>4</v>
      </c>
      <c r="O79" s="218"/>
      <c r="P79" s="226">
        <f>'4) Input inkoopkosten transport'!P38</f>
        <v>3</v>
      </c>
      <c r="Q79" s="226">
        <f>'4) Input inkoopkosten transport'!Q38</f>
        <v>1</v>
      </c>
      <c r="R79" s="228"/>
      <c r="S79" s="226">
        <f>'4) Input inkoopkosten transport'!S38</f>
        <v>1</v>
      </c>
    </row>
    <row r="80" spans="2:19" s="17" customFormat="1" ht="12.75" x14ac:dyDescent="0.2">
      <c r="B80" s="17" t="s">
        <v>460</v>
      </c>
      <c r="F80" s="17" t="s">
        <v>454</v>
      </c>
      <c r="L80" s="218"/>
      <c r="M80" s="226">
        <f>'4) Input inkoopkosten transport'!M39</f>
        <v>4878204</v>
      </c>
      <c r="N80" s="226">
        <f>'4) Input inkoopkosten transport'!N39</f>
        <v>4534776</v>
      </c>
      <c r="O80" s="218"/>
      <c r="P80" s="226">
        <f>'4) Input inkoopkosten transport'!P39</f>
        <v>3129344</v>
      </c>
      <c r="Q80" s="226">
        <f>'4) Input inkoopkosten transport'!Q39</f>
        <v>341320</v>
      </c>
      <c r="R80" s="228"/>
      <c r="S80" s="226">
        <f>'4) Input inkoopkosten transport'!S39</f>
        <v>337516</v>
      </c>
    </row>
    <row r="81" spans="2:19" s="17" customFormat="1" ht="12.75" x14ac:dyDescent="0.2">
      <c r="B81" s="17" t="s">
        <v>461</v>
      </c>
      <c r="F81" s="17" t="s">
        <v>454</v>
      </c>
      <c r="L81" s="218"/>
      <c r="M81" s="226">
        <f>'4) Input inkoopkosten transport'!M40</f>
        <v>52119968</v>
      </c>
      <c r="N81" s="226">
        <f>'4) Input inkoopkosten transport'!N40</f>
        <v>47694892</v>
      </c>
      <c r="O81" s="218"/>
      <c r="P81" s="226">
        <f>'4) Input inkoopkosten transport'!P40</f>
        <v>33228148</v>
      </c>
      <c r="Q81" s="226">
        <f>'4) Input inkoopkosten transport'!Q40</f>
        <v>2730752</v>
      </c>
      <c r="R81" s="228"/>
      <c r="S81" s="226">
        <f>'4) Input inkoopkosten transport'!S40</f>
        <v>3311720</v>
      </c>
    </row>
    <row r="82" spans="2:19" s="17" customFormat="1" ht="12.75" x14ac:dyDescent="0.2">
      <c r="B82" s="17" t="s">
        <v>463</v>
      </c>
      <c r="F82" s="17" t="s">
        <v>454</v>
      </c>
      <c r="L82" s="218"/>
      <c r="M82" s="218"/>
      <c r="N82" s="226">
        <f>'4) Input inkoopkosten transport'!N41</f>
        <v>1</v>
      </c>
      <c r="O82" s="218"/>
      <c r="P82" s="218"/>
      <c r="Q82" s="218"/>
      <c r="R82" s="219"/>
      <c r="S82" s="218"/>
    </row>
    <row r="83" spans="2:19" s="17" customFormat="1" ht="12.75" x14ac:dyDescent="0.2">
      <c r="B83" s="17" t="s">
        <v>464</v>
      </c>
      <c r="F83" s="17" t="s">
        <v>454</v>
      </c>
      <c r="L83" s="218"/>
      <c r="M83" s="218"/>
      <c r="N83" s="226">
        <f>'4) Input inkoopkosten transport'!N42</f>
        <v>99936</v>
      </c>
      <c r="O83" s="218"/>
      <c r="P83" s="218"/>
      <c r="Q83" s="218"/>
      <c r="R83" s="219"/>
      <c r="S83" s="218"/>
    </row>
    <row r="84" spans="2:19" s="17" customFormat="1" ht="12.75" x14ac:dyDescent="0.2">
      <c r="B84" s="17" t="s">
        <v>465</v>
      </c>
      <c r="F84" s="17" t="s">
        <v>454</v>
      </c>
      <c r="L84" s="218"/>
      <c r="M84" s="218"/>
      <c r="N84" s="226">
        <f>'4) Input inkoopkosten transport'!N43</f>
        <v>145376</v>
      </c>
      <c r="O84" s="218"/>
      <c r="P84" s="218"/>
      <c r="Q84" s="218"/>
      <c r="R84" s="219"/>
      <c r="S84" s="218"/>
    </row>
    <row r="85" spans="2:19" s="109" customFormat="1" ht="12.75" x14ac:dyDescent="0.2">
      <c r="L85" s="219"/>
      <c r="M85" s="219"/>
      <c r="N85" s="228"/>
      <c r="O85" s="219"/>
      <c r="P85" s="219"/>
      <c r="Q85" s="219"/>
      <c r="R85" s="219"/>
      <c r="S85" s="219"/>
    </row>
    <row r="86" spans="2:19" s="17" customFormat="1" ht="12.75" x14ac:dyDescent="0.2">
      <c r="B86" s="155" t="s">
        <v>467</v>
      </c>
      <c r="R86" s="109"/>
    </row>
    <row r="87" spans="2:19" s="17" customFormat="1" ht="12.75" x14ac:dyDescent="0.2">
      <c r="B87" s="17" t="s">
        <v>459</v>
      </c>
      <c r="F87" s="17" t="s">
        <v>106</v>
      </c>
      <c r="H87" s="227">
        <f>'4) Input inkoopkosten transport'!H74</f>
        <v>12478.96</v>
      </c>
      <c r="R87" s="109"/>
    </row>
    <row r="88" spans="2:19" s="17" customFormat="1" ht="12.75" x14ac:dyDescent="0.2">
      <c r="B88" s="17" t="s">
        <v>460</v>
      </c>
      <c r="F88" s="17" t="s">
        <v>106</v>
      </c>
      <c r="H88" s="227">
        <f>'4) Input inkoopkosten transport'!H75</f>
        <v>8.61</v>
      </c>
      <c r="R88" s="109"/>
    </row>
    <row r="89" spans="2:19" s="17" customFormat="1" ht="12.75" x14ac:dyDescent="0.2">
      <c r="B89" s="17" t="s">
        <v>461</v>
      </c>
      <c r="F89" s="17" t="s">
        <v>106</v>
      </c>
      <c r="H89" s="227">
        <f>'4) Input inkoopkosten transport'!H76</f>
        <v>0.87</v>
      </c>
      <c r="R89" s="109"/>
    </row>
    <row r="90" spans="2:19" s="17" customFormat="1" ht="12.75" x14ac:dyDescent="0.2">
      <c r="H90" s="220"/>
      <c r="R90" s="109"/>
    </row>
    <row r="91" spans="2:19" s="17" customFormat="1" ht="12.75" x14ac:dyDescent="0.2">
      <c r="B91" s="155" t="s">
        <v>471</v>
      </c>
      <c r="H91" s="220"/>
      <c r="R91" s="109"/>
    </row>
    <row r="92" spans="2:19" s="17" customFormat="1" ht="12.75" x14ac:dyDescent="0.2">
      <c r="B92" s="17" t="s">
        <v>459</v>
      </c>
      <c r="F92" s="17" t="s">
        <v>106</v>
      </c>
      <c r="H92" s="227">
        <f>'4) Input inkoopkosten transport'!H79</f>
        <v>2760</v>
      </c>
      <c r="R92" s="109"/>
    </row>
    <row r="93" spans="2:19" s="17" customFormat="1" ht="12.75" x14ac:dyDescent="0.2">
      <c r="B93" s="17" t="s">
        <v>460</v>
      </c>
      <c r="F93" s="17" t="s">
        <v>106</v>
      </c>
      <c r="H93" s="227">
        <f>'4) Input inkoopkosten transport'!H80</f>
        <v>17.100000000000001</v>
      </c>
      <c r="R93" s="109"/>
    </row>
    <row r="94" spans="2:19" s="17" customFormat="1" ht="12.75" x14ac:dyDescent="0.2">
      <c r="B94" s="17" t="s">
        <v>461</v>
      </c>
      <c r="F94" s="17" t="s">
        <v>106</v>
      </c>
      <c r="H94" s="227">
        <f>'4) Input inkoopkosten transport'!H81</f>
        <v>1.66</v>
      </c>
      <c r="R94" s="109"/>
    </row>
    <row r="95" spans="2:19" s="17" customFormat="1" ht="12.75" x14ac:dyDescent="0.2">
      <c r="B95" s="17" t="s">
        <v>463</v>
      </c>
      <c r="F95" s="17" t="s">
        <v>106</v>
      </c>
      <c r="H95" s="227">
        <f>'4) Input inkoopkosten transport'!H82</f>
        <v>2760</v>
      </c>
      <c r="R95" s="109"/>
    </row>
    <row r="96" spans="2:19" s="17" customFormat="1" ht="12.75" x14ac:dyDescent="0.2">
      <c r="B96" s="17" t="s">
        <v>464</v>
      </c>
      <c r="F96" s="17" t="s">
        <v>106</v>
      </c>
      <c r="H96" s="227">
        <f>'4) Input inkoopkosten transport'!H83</f>
        <v>8.5500000000000007</v>
      </c>
      <c r="R96" s="109"/>
    </row>
    <row r="97" spans="2:18" s="17" customFormat="1" ht="12.75" x14ac:dyDescent="0.2">
      <c r="B97" s="17" t="s">
        <v>465</v>
      </c>
      <c r="F97" s="17" t="s">
        <v>106</v>
      </c>
      <c r="H97" s="227">
        <f>'4) Input inkoopkosten transport'!H84</f>
        <v>0.57999999999999996</v>
      </c>
      <c r="R97" s="109"/>
    </row>
    <row r="98" spans="2:18" s="17" customFormat="1" ht="12.75" x14ac:dyDescent="0.2">
      <c r="H98" s="220"/>
      <c r="R98" s="109"/>
    </row>
    <row r="99" spans="2:18" s="17" customFormat="1" ht="12.75" x14ac:dyDescent="0.2">
      <c r="B99" s="155" t="s">
        <v>534</v>
      </c>
      <c r="H99" s="220"/>
      <c r="R99" s="109"/>
    </row>
    <row r="100" spans="2:18" s="17" customFormat="1" ht="12.75" x14ac:dyDescent="0.2">
      <c r="B100" s="17" t="s">
        <v>459</v>
      </c>
      <c r="F100" s="17" t="s">
        <v>106</v>
      </c>
      <c r="H100" s="227">
        <f>'4) Input inkoopkosten transport'!H115</f>
        <v>12478.96</v>
      </c>
      <c r="R100" s="109"/>
    </row>
    <row r="101" spans="2:18" s="17" customFormat="1" ht="12.75" x14ac:dyDescent="0.2">
      <c r="B101" s="17" t="s">
        <v>460</v>
      </c>
      <c r="F101" s="17" t="s">
        <v>106</v>
      </c>
      <c r="H101" s="227">
        <f>'4) Input inkoopkosten transport'!H116</f>
        <v>5.91</v>
      </c>
      <c r="R101" s="109"/>
    </row>
    <row r="102" spans="2:18" s="17" customFormat="1" ht="12.75" x14ac:dyDescent="0.2">
      <c r="B102" s="17" t="s">
        <v>461</v>
      </c>
      <c r="F102" s="17" t="s">
        <v>106</v>
      </c>
      <c r="H102" s="227">
        <f>'4) Input inkoopkosten transport'!H117</f>
        <v>0.6</v>
      </c>
      <c r="R102" s="109"/>
    </row>
    <row r="103" spans="2:18" s="17" customFormat="1" ht="12.75" x14ac:dyDescent="0.2">
      <c r="H103" s="220"/>
      <c r="R103" s="109"/>
    </row>
    <row r="104" spans="2:18" s="17" customFormat="1" ht="12.75" x14ac:dyDescent="0.2">
      <c r="B104" s="155" t="s">
        <v>535</v>
      </c>
      <c r="H104" s="220"/>
      <c r="R104" s="109"/>
    </row>
    <row r="105" spans="2:18" s="17" customFormat="1" ht="12.75" x14ac:dyDescent="0.2">
      <c r="B105" s="17" t="s">
        <v>459</v>
      </c>
      <c r="F105" s="17" t="s">
        <v>106</v>
      </c>
      <c r="H105" s="227">
        <f>'4) Input inkoopkosten transport'!H120</f>
        <v>2760</v>
      </c>
      <c r="R105" s="109"/>
    </row>
    <row r="106" spans="2:18" s="17" customFormat="1" ht="12.75" x14ac:dyDescent="0.2">
      <c r="B106" s="17" t="s">
        <v>460</v>
      </c>
      <c r="F106" s="17" t="s">
        <v>106</v>
      </c>
      <c r="H106" s="227">
        <f>'4) Input inkoopkosten transport'!H121</f>
        <v>14.61</v>
      </c>
      <c r="R106" s="109"/>
    </row>
    <row r="107" spans="2:18" s="17" customFormat="1" ht="12.75" x14ac:dyDescent="0.2">
      <c r="B107" s="17" t="s">
        <v>461</v>
      </c>
      <c r="F107" s="17" t="s">
        <v>106</v>
      </c>
      <c r="H107" s="227">
        <f>'4) Input inkoopkosten transport'!H122</f>
        <v>1.42</v>
      </c>
      <c r="R107" s="109"/>
    </row>
    <row r="108" spans="2:18" s="17" customFormat="1" ht="12.75" x14ac:dyDescent="0.2">
      <c r="B108" s="17" t="s">
        <v>463</v>
      </c>
      <c r="F108" s="17" t="s">
        <v>106</v>
      </c>
      <c r="H108" s="227">
        <f>'4) Input inkoopkosten transport'!H123</f>
        <v>2760</v>
      </c>
      <c r="R108" s="109"/>
    </row>
    <row r="109" spans="2:18" s="17" customFormat="1" ht="12.75" x14ac:dyDescent="0.2">
      <c r="B109" s="17" t="s">
        <v>464</v>
      </c>
      <c r="F109" s="17" t="s">
        <v>106</v>
      </c>
      <c r="H109" s="227">
        <f>'4) Input inkoopkosten transport'!H124</f>
        <v>7.3</v>
      </c>
      <c r="R109" s="109"/>
    </row>
    <row r="110" spans="2:18" s="17" customFormat="1" ht="12.75" x14ac:dyDescent="0.2">
      <c r="B110" s="17" t="s">
        <v>465</v>
      </c>
      <c r="F110" s="17" t="s">
        <v>106</v>
      </c>
      <c r="H110" s="227">
        <f>'4) Input inkoopkosten transport'!H125</f>
        <v>0.49</v>
      </c>
      <c r="R110" s="109"/>
    </row>
    <row r="111" spans="2:18" s="17" customFormat="1" ht="12.75" x14ac:dyDescent="0.2">
      <c r="R111" s="109"/>
    </row>
    <row r="112" spans="2:18" s="17" customFormat="1" ht="12.75" x14ac:dyDescent="0.2">
      <c r="B112" s="155" t="s">
        <v>537</v>
      </c>
      <c r="R112" s="109"/>
    </row>
    <row r="113" spans="2:19" s="17" customFormat="1" ht="12.75" x14ac:dyDescent="0.2">
      <c r="R113" s="109"/>
    </row>
    <row r="114" spans="2:19" s="17" customFormat="1" ht="12.75" x14ac:dyDescent="0.2">
      <c r="B114" s="155" t="s">
        <v>532</v>
      </c>
      <c r="R114" s="109"/>
    </row>
    <row r="115" spans="2:19" s="17" customFormat="1" ht="12.75" x14ac:dyDescent="0.2">
      <c r="B115" s="17" t="s">
        <v>459</v>
      </c>
      <c r="F115" s="17" t="s">
        <v>454</v>
      </c>
      <c r="L115" s="218"/>
      <c r="M115" s="226">
        <f>'4) Input inkoopkosten transport'!M46</f>
        <v>1.0000352593485358</v>
      </c>
      <c r="N115" s="226">
        <f>'4) Input inkoopkosten transport'!N46</f>
        <v>1</v>
      </c>
      <c r="O115" s="218"/>
      <c r="P115" s="218"/>
      <c r="Q115" s="218"/>
      <c r="R115" s="219"/>
      <c r="S115" s="218"/>
    </row>
    <row r="116" spans="2:19" s="17" customFormat="1" ht="12.75" x14ac:dyDescent="0.2">
      <c r="B116" s="17" t="s">
        <v>460</v>
      </c>
      <c r="F116" s="17" t="s">
        <v>454</v>
      </c>
      <c r="L116" s="218"/>
      <c r="M116" s="226">
        <f>'4) Input inkoopkosten transport'!M47</f>
        <v>146544</v>
      </c>
      <c r="N116" s="226">
        <f>'4) Input inkoopkosten transport'!N47</f>
        <v>752548.00902934535</v>
      </c>
      <c r="O116" s="218"/>
      <c r="P116" s="218"/>
      <c r="Q116" s="218"/>
      <c r="R116" s="219"/>
      <c r="S116" s="218"/>
    </row>
    <row r="117" spans="2:19" s="17" customFormat="1" ht="12.75" x14ac:dyDescent="0.2">
      <c r="B117" s="17" t="s">
        <v>461</v>
      </c>
      <c r="F117" s="17" t="s">
        <v>454</v>
      </c>
      <c r="L117" s="218"/>
      <c r="M117" s="226">
        <f>'4) Input inkoopkosten transport'!M48</f>
        <v>1510324</v>
      </c>
      <c r="N117" s="226">
        <f>'4) Input inkoopkosten transport'!N48</f>
        <v>6701843.4074074067</v>
      </c>
      <c r="O117" s="218"/>
      <c r="P117" s="218"/>
      <c r="Q117" s="218"/>
      <c r="R117" s="219"/>
      <c r="S117" s="218"/>
    </row>
    <row r="118" spans="2:19" s="17" customFormat="1" ht="12.75" x14ac:dyDescent="0.2">
      <c r="R118" s="109"/>
    </row>
    <row r="119" spans="2:19" s="17" customFormat="1" ht="12.75" x14ac:dyDescent="0.2">
      <c r="B119" s="155" t="s">
        <v>533</v>
      </c>
      <c r="R119" s="109"/>
    </row>
    <row r="120" spans="2:19" s="17" customFormat="1" ht="12.75" x14ac:dyDescent="0.2">
      <c r="B120" s="17" t="s">
        <v>459</v>
      </c>
      <c r="F120" s="17" t="s">
        <v>454</v>
      </c>
      <c r="L120" s="218"/>
      <c r="M120" s="226">
        <f>'4) Input inkoopkosten transport'!M51</f>
        <v>3</v>
      </c>
      <c r="N120" s="226">
        <f>'4) Input inkoopkosten transport'!N51</f>
        <v>4</v>
      </c>
      <c r="O120" s="218"/>
      <c r="P120" s="226">
        <f>'4) Input inkoopkosten transport'!P51</f>
        <v>3</v>
      </c>
      <c r="Q120" s="226">
        <f>'4) Input inkoopkosten transport'!Q51</f>
        <v>1</v>
      </c>
      <c r="R120" s="228"/>
      <c r="S120" s="226">
        <f>'4) Input inkoopkosten transport'!S51</f>
        <v>1</v>
      </c>
    </row>
    <row r="121" spans="2:19" s="17" customFormat="1" ht="12.75" x14ac:dyDescent="0.2">
      <c r="B121" s="17" t="s">
        <v>460</v>
      </c>
      <c r="F121" s="17" t="s">
        <v>454</v>
      </c>
      <c r="L121" s="218"/>
      <c r="M121" s="226">
        <f>'4) Input inkoopkosten transport'!M52</f>
        <v>4970304</v>
      </c>
      <c r="N121" s="226">
        <f>'4) Input inkoopkosten transport'!N52</f>
        <v>4573828.0139949117</v>
      </c>
      <c r="O121" s="218"/>
      <c r="P121" s="226">
        <f>'4) Input inkoopkosten transport'!P52</f>
        <v>3082212</v>
      </c>
      <c r="Q121" s="226">
        <f>'4) Input inkoopkosten transport'!Q52</f>
        <v>325932</v>
      </c>
      <c r="R121" s="228"/>
      <c r="S121" s="226">
        <f>'4) Input inkoopkosten transport'!S52</f>
        <v>330864</v>
      </c>
    </row>
    <row r="122" spans="2:19" s="17" customFormat="1" ht="12.75" x14ac:dyDescent="0.2">
      <c r="B122" s="17" t="s">
        <v>461</v>
      </c>
      <c r="F122" s="17" t="s">
        <v>454</v>
      </c>
      <c r="L122" s="218"/>
      <c r="M122" s="226">
        <f>'4) Input inkoopkosten transport'!M53</f>
        <v>50070472</v>
      </c>
      <c r="N122" s="226">
        <f>'4) Input inkoopkosten transport'!N53</f>
        <v>45756359.462882094</v>
      </c>
      <c r="O122" s="218"/>
      <c r="P122" s="226">
        <f>'4) Input inkoopkosten transport'!P53</f>
        <v>31494240</v>
      </c>
      <c r="Q122" s="226">
        <f>'4) Input inkoopkosten transport'!Q53</f>
        <v>2528020</v>
      </c>
      <c r="R122" s="228"/>
      <c r="S122" s="226">
        <f>'4) Input inkoopkosten transport'!S53</f>
        <v>3213291.4756958336</v>
      </c>
    </row>
    <row r="123" spans="2:19" s="17" customFormat="1" ht="12.75" x14ac:dyDescent="0.2">
      <c r="B123" s="17" t="s">
        <v>463</v>
      </c>
      <c r="F123" s="17" t="s">
        <v>454</v>
      </c>
      <c r="L123" s="218"/>
      <c r="M123" s="218"/>
      <c r="N123" s="226">
        <f>'4) Input inkoopkosten transport'!N54</f>
        <v>1</v>
      </c>
      <c r="O123" s="218"/>
      <c r="P123" s="218"/>
      <c r="Q123" s="218"/>
      <c r="R123" s="219"/>
      <c r="S123" s="218"/>
    </row>
    <row r="124" spans="2:19" s="17" customFormat="1" ht="12.75" x14ac:dyDescent="0.2">
      <c r="B124" s="17" t="s">
        <v>464</v>
      </c>
      <c r="F124" s="17" t="s">
        <v>454</v>
      </c>
      <c r="L124" s="218"/>
      <c r="M124" s="218"/>
      <c r="N124" s="226">
        <f>'4) Input inkoopkosten transport'!N55</f>
        <v>57019.916501743493</v>
      </c>
      <c r="O124" s="218"/>
      <c r="P124" s="218"/>
      <c r="Q124" s="218"/>
      <c r="R124" s="219"/>
      <c r="S124" s="218"/>
    </row>
    <row r="125" spans="2:19" s="17" customFormat="1" ht="12.75" x14ac:dyDescent="0.2">
      <c r="B125" s="17" t="s">
        <v>465</v>
      </c>
      <c r="F125" s="17" t="s">
        <v>454</v>
      </c>
      <c r="L125" s="218"/>
      <c r="M125" s="218"/>
      <c r="N125" s="226">
        <f>'4) Input inkoopkosten transport'!N56</f>
        <v>57020</v>
      </c>
      <c r="O125" s="218"/>
      <c r="P125" s="218"/>
      <c r="Q125" s="218"/>
      <c r="R125" s="219"/>
      <c r="S125" s="218"/>
    </row>
    <row r="126" spans="2:19" s="109" customFormat="1" ht="12.75" x14ac:dyDescent="0.2">
      <c r="L126" s="219"/>
      <c r="M126" s="219"/>
      <c r="N126" s="228"/>
      <c r="O126" s="219"/>
      <c r="P126" s="219"/>
      <c r="Q126" s="219"/>
      <c r="R126" s="219"/>
      <c r="S126" s="219"/>
    </row>
    <row r="127" spans="2:19" s="17" customFormat="1" ht="12.75" x14ac:dyDescent="0.2">
      <c r="B127" s="155" t="s">
        <v>495</v>
      </c>
      <c r="R127" s="109"/>
    </row>
    <row r="128" spans="2:19" s="17" customFormat="1" ht="12.75" x14ac:dyDescent="0.2">
      <c r="B128" s="17" t="s">
        <v>459</v>
      </c>
      <c r="F128" s="17" t="s">
        <v>113</v>
      </c>
      <c r="H128" s="227">
        <f>'4) Input inkoopkosten transport'!H87</f>
        <v>12478.96</v>
      </c>
    </row>
    <row r="129" spans="2:8" s="17" customFormat="1" ht="12.75" x14ac:dyDescent="0.2">
      <c r="B129" s="17" t="s">
        <v>460</v>
      </c>
      <c r="F129" s="17" t="s">
        <v>113</v>
      </c>
      <c r="H129" s="227">
        <f>'4) Input inkoopkosten transport'!H88</f>
        <v>13.29</v>
      </c>
    </row>
    <row r="130" spans="2:8" s="17" customFormat="1" ht="12.75" x14ac:dyDescent="0.2">
      <c r="B130" s="17" t="s">
        <v>461</v>
      </c>
      <c r="F130" s="17" t="s">
        <v>113</v>
      </c>
      <c r="H130" s="227">
        <f>'4) Input inkoopkosten transport'!H89</f>
        <v>1.35</v>
      </c>
    </row>
    <row r="131" spans="2:8" s="17" customFormat="1" ht="12.75" x14ac:dyDescent="0.2">
      <c r="H131" s="220"/>
    </row>
    <row r="132" spans="2:8" s="17" customFormat="1" ht="12.75" x14ac:dyDescent="0.2">
      <c r="B132" s="155" t="s">
        <v>496</v>
      </c>
      <c r="H132" s="220"/>
    </row>
    <row r="133" spans="2:8" s="17" customFormat="1" ht="12.75" x14ac:dyDescent="0.2">
      <c r="B133" s="17" t="s">
        <v>459</v>
      </c>
      <c r="F133" s="17" t="s">
        <v>113</v>
      </c>
      <c r="H133" s="227">
        <f>'4) Input inkoopkosten transport'!H92</f>
        <v>2760</v>
      </c>
    </row>
    <row r="134" spans="2:8" s="17" customFormat="1" ht="12.75" x14ac:dyDescent="0.2">
      <c r="B134" s="17" t="s">
        <v>460</v>
      </c>
      <c r="F134" s="17" t="s">
        <v>113</v>
      </c>
      <c r="H134" s="227">
        <f>'4) Input inkoopkosten transport'!H93</f>
        <v>23.58</v>
      </c>
    </row>
    <row r="135" spans="2:8" s="17" customFormat="1" ht="12.75" x14ac:dyDescent="0.2">
      <c r="B135" s="17" t="s">
        <v>461</v>
      </c>
      <c r="F135" s="17" t="s">
        <v>113</v>
      </c>
      <c r="H135" s="227">
        <f>'4) Input inkoopkosten transport'!H94</f>
        <v>2.29</v>
      </c>
    </row>
    <row r="136" spans="2:8" s="17" customFormat="1" ht="12.75" x14ac:dyDescent="0.2">
      <c r="B136" s="17" t="s">
        <v>463</v>
      </c>
      <c r="F136" s="17" t="s">
        <v>113</v>
      </c>
      <c r="H136" s="227">
        <f>'4) Input inkoopkosten transport'!H95</f>
        <v>2760</v>
      </c>
    </row>
    <row r="137" spans="2:8" s="17" customFormat="1" ht="12.75" x14ac:dyDescent="0.2">
      <c r="B137" s="17" t="s">
        <v>464</v>
      </c>
      <c r="F137" s="17" t="s">
        <v>113</v>
      </c>
      <c r="H137" s="227">
        <f>'4) Input inkoopkosten transport'!H96</f>
        <v>11.79</v>
      </c>
    </row>
    <row r="138" spans="2:8" s="17" customFormat="1" ht="12.75" x14ac:dyDescent="0.2">
      <c r="B138" s="17" t="s">
        <v>465</v>
      </c>
      <c r="F138" s="17" t="s">
        <v>113</v>
      </c>
      <c r="H138" s="227">
        <f>'4) Input inkoopkosten transport'!H97</f>
        <v>0.79</v>
      </c>
    </row>
    <row r="139" spans="2:8" s="17" customFormat="1" ht="12.75" x14ac:dyDescent="0.2">
      <c r="H139" s="220"/>
    </row>
    <row r="140" spans="2:8" s="17" customFormat="1" ht="12.75" x14ac:dyDescent="0.2">
      <c r="B140" s="155" t="s">
        <v>534</v>
      </c>
      <c r="H140" s="220"/>
    </row>
    <row r="141" spans="2:8" s="17" customFormat="1" ht="12.75" x14ac:dyDescent="0.2">
      <c r="B141" s="17" t="s">
        <v>459</v>
      </c>
      <c r="F141" s="17" t="s">
        <v>113</v>
      </c>
      <c r="H141" s="227">
        <f>'4) Input inkoopkosten transport'!H128</f>
        <v>12478.96</v>
      </c>
    </row>
    <row r="142" spans="2:8" s="17" customFormat="1" ht="12.75" x14ac:dyDescent="0.2">
      <c r="B142" s="17" t="s">
        <v>460</v>
      </c>
      <c r="F142" s="17" t="s">
        <v>113</v>
      </c>
      <c r="H142" s="227">
        <f>'4) Input inkoopkosten transport'!H129</f>
        <v>5.47</v>
      </c>
    </row>
    <row r="143" spans="2:8" s="17" customFormat="1" ht="12.75" x14ac:dyDescent="0.2">
      <c r="B143" s="17" t="s">
        <v>461</v>
      </c>
      <c r="F143" s="17" t="s">
        <v>113</v>
      </c>
      <c r="H143" s="227">
        <f>'4) Input inkoopkosten transport'!H130</f>
        <v>0.55000000000000004</v>
      </c>
    </row>
    <row r="144" spans="2:8" s="17" customFormat="1" ht="12.75" x14ac:dyDescent="0.2">
      <c r="H144" s="220"/>
    </row>
    <row r="145" spans="2:19" s="17" customFormat="1" ht="12.75" x14ac:dyDescent="0.2">
      <c r="B145" s="155" t="s">
        <v>535</v>
      </c>
      <c r="H145" s="220"/>
    </row>
    <row r="146" spans="2:19" s="17" customFormat="1" ht="12.75" x14ac:dyDescent="0.2">
      <c r="B146" s="17" t="s">
        <v>459</v>
      </c>
      <c r="F146" s="17" t="s">
        <v>113</v>
      </c>
      <c r="H146" s="227">
        <f>'4) Input inkoopkosten transport'!H133</f>
        <v>2760</v>
      </c>
    </row>
    <row r="147" spans="2:19" s="17" customFormat="1" ht="12.75" x14ac:dyDescent="0.2">
      <c r="B147" s="17" t="s">
        <v>460</v>
      </c>
      <c r="F147" s="17" t="s">
        <v>113</v>
      </c>
      <c r="H147" s="227">
        <f>'4) Input inkoopkosten transport'!H134</f>
        <v>16.329999999999998</v>
      </c>
    </row>
    <row r="148" spans="2:19" s="17" customFormat="1" ht="12.75" x14ac:dyDescent="0.2">
      <c r="B148" s="17" t="s">
        <v>461</v>
      </c>
      <c r="F148" s="17" t="s">
        <v>113</v>
      </c>
      <c r="H148" s="227">
        <f>'4) Input inkoopkosten transport'!H135</f>
        <v>1.59</v>
      </c>
    </row>
    <row r="149" spans="2:19" s="17" customFormat="1" ht="12.75" x14ac:dyDescent="0.2">
      <c r="B149" s="17" t="s">
        <v>463</v>
      </c>
      <c r="F149" s="17" t="s">
        <v>113</v>
      </c>
      <c r="H149" s="227">
        <f>'4) Input inkoopkosten transport'!H136</f>
        <v>2760</v>
      </c>
    </row>
    <row r="150" spans="2:19" s="17" customFormat="1" ht="12.75" x14ac:dyDescent="0.2">
      <c r="B150" s="17" t="s">
        <v>464</v>
      </c>
      <c r="F150" s="17" t="s">
        <v>113</v>
      </c>
      <c r="H150" s="227">
        <f>'4) Input inkoopkosten transport'!H137</f>
        <v>8.17</v>
      </c>
    </row>
    <row r="151" spans="2:19" s="17" customFormat="1" ht="12.75" x14ac:dyDescent="0.2">
      <c r="B151" s="17" t="s">
        <v>465</v>
      </c>
      <c r="F151" s="17" t="s">
        <v>113</v>
      </c>
      <c r="H151" s="227">
        <f>'4) Input inkoopkosten transport'!H138</f>
        <v>0.55000000000000004</v>
      </c>
    </row>
    <row r="152" spans="2:19" s="17" customFormat="1" ht="12.75" x14ac:dyDescent="0.2"/>
    <row r="153" spans="2:19" s="211" customFormat="1" ht="12.75" x14ac:dyDescent="0.2">
      <c r="B153" s="211" t="s">
        <v>598</v>
      </c>
    </row>
    <row r="154" spans="2:19" s="17" customFormat="1" ht="12.75" x14ac:dyDescent="0.2">
      <c r="R154" s="109"/>
    </row>
    <row r="155" spans="2:19" s="17" customFormat="1" ht="12.75" x14ac:dyDescent="0.2">
      <c r="B155" s="17" t="s">
        <v>7</v>
      </c>
      <c r="F155" s="17" t="s">
        <v>97</v>
      </c>
      <c r="J155" s="123">
        <f>J15</f>
        <v>494844741.74999994</v>
      </c>
      <c r="R155" s="109"/>
    </row>
    <row r="156" spans="2:19" s="17" customFormat="1" ht="12.75" x14ac:dyDescent="0.2">
      <c r="B156" s="17" t="s">
        <v>8</v>
      </c>
      <c r="F156" s="17" t="s">
        <v>97</v>
      </c>
      <c r="J156" s="123">
        <f>J16</f>
        <v>9953512.3379720375</v>
      </c>
      <c r="R156" s="109"/>
    </row>
    <row r="157" spans="2:19" s="17" customFormat="1" ht="12.75" x14ac:dyDescent="0.2">
      <c r="R157" s="109"/>
    </row>
    <row r="158" spans="2:19" s="17" customFormat="1" ht="12.75" x14ac:dyDescent="0.2">
      <c r="B158" s="155" t="s">
        <v>544</v>
      </c>
      <c r="R158" s="109"/>
    </row>
    <row r="159" spans="2:19" s="17" customFormat="1" ht="12.75" x14ac:dyDescent="0.2">
      <c r="B159" s="17" t="s">
        <v>459</v>
      </c>
      <c r="F159" s="17" t="s">
        <v>454</v>
      </c>
      <c r="L159" s="218"/>
      <c r="M159" s="229">
        <f t="shared" ref="M159:N161" si="0">$H46*M33</f>
        <v>12478.92</v>
      </c>
      <c r="N159" s="229">
        <f t="shared" si="0"/>
        <v>12478.96</v>
      </c>
      <c r="O159" s="218"/>
      <c r="P159" s="218"/>
      <c r="Q159" s="218"/>
      <c r="R159" s="219"/>
      <c r="S159" s="218"/>
    </row>
    <row r="160" spans="2:19" s="17" customFormat="1" ht="12.75" x14ac:dyDescent="0.2">
      <c r="B160" s="17" t="s">
        <v>460</v>
      </c>
      <c r="F160" s="17" t="s">
        <v>454</v>
      </c>
      <c r="L160" s="218"/>
      <c r="M160" s="229">
        <f t="shared" si="0"/>
        <v>1305300</v>
      </c>
      <c r="N160" s="229">
        <f t="shared" si="0"/>
        <v>5916086.7599999998</v>
      </c>
      <c r="O160" s="218"/>
      <c r="P160" s="218"/>
      <c r="Q160" s="218"/>
      <c r="R160" s="219"/>
      <c r="S160" s="218"/>
    </row>
    <row r="161" spans="2:19" s="17" customFormat="1" ht="12.75" x14ac:dyDescent="0.2">
      <c r="B161" s="17" t="s">
        <v>461</v>
      </c>
      <c r="F161" s="17" t="s">
        <v>454</v>
      </c>
      <c r="L161" s="218"/>
      <c r="M161" s="229">
        <f t="shared" si="0"/>
        <v>1240472.7999999998</v>
      </c>
      <c r="N161" s="229">
        <f t="shared" si="0"/>
        <v>5819307.1999999993</v>
      </c>
      <c r="O161" s="218"/>
      <c r="P161" s="218"/>
      <c r="Q161" s="218"/>
      <c r="R161" s="219"/>
      <c r="S161" s="218"/>
    </row>
    <row r="162" spans="2:19" s="17" customFormat="1" ht="12.75" x14ac:dyDescent="0.2">
      <c r="R162" s="109"/>
    </row>
    <row r="163" spans="2:19" s="17" customFormat="1" ht="12.75" x14ac:dyDescent="0.2">
      <c r="B163" s="155" t="s">
        <v>545</v>
      </c>
      <c r="R163" s="109"/>
    </row>
    <row r="164" spans="2:19" s="17" customFormat="1" ht="12.75" x14ac:dyDescent="0.2">
      <c r="B164" s="17" t="s">
        <v>459</v>
      </c>
      <c r="F164" s="17" t="s">
        <v>454</v>
      </c>
      <c r="L164" s="218"/>
      <c r="M164" s="229">
        <f t="shared" ref="M164:N166" si="1">$H51*M38</f>
        <v>8280</v>
      </c>
      <c r="N164" s="229">
        <f t="shared" si="1"/>
        <v>11040</v>
      </c>
      <c r="O164" s="218"/>
      <c r="P164" s="229">
        <f t="shared" ref="P164:Q166" si="2">$H51*P38</f>
        <v>8280</v>
      </c>
      <c r="Q164" s="229">
        <f t="shared" si="2"/>
        <v>2760</v>
      </c>
      <c r="R164" s="214"/>
      <c r="S164" s="229">
        <f>$H51*S38</f>
        <v>2760</v>
      </c>
    </row>
    <row r="165" spans="2:19" s="17" customFormat="1" ht="12.75" x14ac:dyDescent="0.2">
      <c r="B165" s="17" t="s">
        <v>460</v>
      </c>
      <c r="F165" s="17" t="s">
        <v>454</v>
      </c>
      <c r="L165" s="218"/>
      <c r="M165" s="229">
        <f t="shared" si="1"/>
        <v>84394800</v>
      </c>
      <c r="N165" s="229">
        <f t="shared" si="1"/>
        <v>77593508</v>
      </c>
      <c r="O165" s="218"/>
      <c r="P165" s="229">
        <f t="shared" si="2"/>
        <v>52849770</v>
      </c>
      <c r="Q165" s="229">
        <f t="shared" si="2"/>
        <v>5895804</v>
      </c>
      <c r="R165" s="214"/>
      <c r="S165" s="229">
        <f>$H52*S39</f>
        <v>5628660.2199999997</v>
      </c>
    </row>
    <row r="166" spans="2:19" s="17" customFormat="1" ht="12.75" x14ac:dyDescent="0.2">
      <c r="B166" s="17" t="s">
        <v>461</v>
      </c>
      <c r="F166" s="17" t="s">
        <v>454</v>
      </c>
      <c r="L166" s="218"/>
      <c r="M166" s="229">
        <f t="shared" si="1"/>
        <v>86471643.439999998</v>
      </c>
      <c r="N166" s="229">
        <f t="shared" si="1"/>
        <v>77942140.319999993</v>
      </c>
      <c r="O166" s="218"/>
      <c r="P166" s="229">
        <f t="shared" si="2"/>
        <v>53894724.239999995</v>
      </c>
      <c r="Q166" s="229">
        <f t="shared" si="2"/>
        <v>4668815.5199999996</v>
      </c>
      <c r="R166" s="214"/>
      <c r="S166" s="229">
        <f>$H53*S40</f>
        <v>5456962.3463562177</v>
      </c>
    </row>
    <row r="167" spans="2:19" s="17" customFormat="1" ht="12.75" x14ac:dyDescent="0.2">
      <c r="B167" s="17" t="s">
        <v>463</v>
      </c>
      <c r="F167" s="17" t="s">
        <v>454</v>
      </c>
      <c r="L167" s="218"/>
      <c r="M167" s="218"/>
      <c r="N167" s="229">
        <f>$H54*N41</f>
        <v>2760</v>
      </c>
      <c r="O167" s="218"/>
      <c r="P167" s="218"/>
      <c r="Q167" s="218"/>
      <c r="R167" s="219"/>
      <c r="S167" s="218"/>
    </row>
    <row r="168" spans="2:19" s="17" customFormat="1" ht="12.75" x14ac:dyDescent="0.2">
      <c r="B168" s="17" t="s">
        <v>464</v>
      </c>
      <c r="F168" s="17" t="s">
        <v>454</v>
      </c>
      <c r="L168" s="218"/>
      <c r="M168" s="218"/>
      <c r="N168" s="229">
        <f>$H55*N42</f>
        <v>341353.12</v>
      </c>
      <c r="O168" s="218"/>
      <c r="P168" s="218"/>
      <c r="Q168" s="218"/>
      <c r="R168" s="219"/>
      <c r="S168" s="218"/>
    </row>
    <row r="169" spans="2:19" s="17" customFormat="1" ht="12.75" x14ac:dyDescent="0.2">
      <c r="B169" s="17" t="s">
        <v>465</v>
      </c>
      <c r="F169" s="17" t="s">
        <v>454</v>
      </c>
      <c r="L169" s="218"/>
      <c r="M169" s="218"/>
      <c r="N169" s="229">
        <f>$H56*N43</f>
        <v>29332.800000000003</v>
      </c>
      <c r="O169" s="218"/>
      <c r="P169" s="218"/>
      <c r="Q169" s="218"/>
      <c r="R169" s="219"/>
      <c r="S169" s="218"/>
    </row>
    <row r="170" spans="2:19" s="17" customFormat="1" ht="12.75" x14ac:dyDescent="0.2">
      <c r="R170" s="109"/>
    </row>
    <row r="171" spans="2:19" s="17" customFormat="1" ht="12.75" x14ac:dyDescent="0.2">
      <c r="B171" s="17" t="s">
        <v>540</v>
      </c>
      <c r="F171" s="109" t="s">
        <v>97</v>
      </c>
      <c r="J171" s="225">
        <f>SUM(L171:Q171,S171)</f>
        <v>469509518.64635628</v>
      </c>
      <c r="L171" s="218"/>
      <c r="M171" s="229">
        <f>SUM(M159:M169)</f>
        <v>173432975.16</v>
      </c>
      <c r="N171" s="229">
        <f t="shared" ref="N171" si="3">SUM(N159:N169)</f>
        <v>167668007.16000003</v>
      </c>
      <c r="O171" s="230"/>
      <c r="P171" s="229">
        <f t="shared" ref="P171:Q171" si="4">SUM(P159:P169)</f>
        <v>106752774.23999999</v>
      </c>
      <c r="Q171" s="229">
        <f t="shared" si="4"/>
        <v>10567379.52</v>
      </c>
      <c r="R171" s="214"/>
      <c r="S171" s="229">
        <f t="shared" ref="S171" si="5">SUM(S159:S169)</f>
        <v>11088382.566356217</v>
      </c>
    </row>
    <row r="172" spans="2:19" s="17" customFormat="1" ht="12.75" x14ac:dyDescent="0.2">
      <c r="R172" s="109"/>
    </row>
    <row r="173" spans="2:19" s="17" customFormat="1" ht="12.75" x14ac:dyDescent="0.2">
      <c r="B173" s="155" t="s">
        <v>538</v>
      </c>
      <c r="R173" s="109"/>
    </row>
    <row r="174" spans="2:19" s="17" customFormat="1" ht="12.75" x14ac:dyDescent="0.2">
      <c r="B174" s="17" t="s">
        <v>459</v>
      </c>
      <c r="F174" s="17" t="s">
        <v>454</v>
      </c>
      <c r="L174" s="218"/>
      <c r="M174" s="229">
        <f t="shared" ref="M174:N176" si="6">$H59*M33</f>
        <v>12478.92</v>
      </c>
      <c r="N174" s="229">
        <f t="shared" si="6"/>
        <v>12478.96</v>
      </c>
      <c r="O174" s="218"/>
      <c r="P174" s="218"/>
      <c r="Q174" s="218"/>
      <c r="R174" s="219"/>
      <c r="S174" s="218"/>
    </row>
    <row r="175" spans="2:19" s="17" customFormat="1" ht="12.75" x14ac:dyDescent="0.2">
      <c r="B175" s="17" t="s">
        <v>460</v>
      </c>
      <c r="F175" s="17" t="s">
        <v>454</v>
      </c>
      <c r="L175" s="218"/>
      <c r="M175" s="229">
        <f t="shared" si="6"/>
        <v>763799.99999999988</v>
      </c>
      <c r="N175" s="229">
        <f t="shared" si="6"/>
        <v>3461814.9599999995</v>
      </c>
      <c r="O175" s="218"/>
      <c r="P175" s="218"/>
      <c r="Q175" s="218"/>
      <c r="R175" s="219"/>
      <c r="S175" s="218"/>
    </row>
    <row r="176" spans="2:19" s="17" customFormat="1" ht="12.75" x14ac:dyDescent="0.2">
      <c r="B176" s="17" t="s">
        <v>461</v>
      </c>
      <c r="F176" s="17" t="s">
        <v>454</v>
      </c>
      <c r="L176" s="218"/>
      <c r="M176" s="229">
        <f t="shared" si="6"/>
        <v>726562.64</v>
      </c>
      <c r="N176" s="229">
        <f t="shared" si="6"/>
        <v>3408451.36</v>
      </c>
      <c r="O176" s="218"/>
      <c r="P176" s="218"/>
      <c r="Q176" s="218"/>
      <c r="R176" s="219"/>
      <c r="S176" s="218"/>
    </row>
    <row r="177" spans="2:19" s="17" customFormat="1" ht="12.75" x14ac:dyDescent="0.2">
      <c r="R177" s="109"/>
    </row>
    <row r="178" spans="2:19" s="17" customFormat="1" ht="12.75" x14ac:dyDescent="0.2">
      <c r="B178" s="155" t="s">
        <v>539</v>
      </c>
      <c r="R178" s="109"/>
    </row>
    <row r="179" spans="2:19" s="17" customFormat="1" ht="12.75" x14ac:dyDescent="0.2">
      <c r="B179" s="17" t="s">
        <v>459</v>
      </c>
      <c r="F179" s="17" t="s">
        <v>454</v>
      </c>
      <c r="L179" s="218"/>
      <c r="M179" s="229">
        <f t="shared" ref="M179:N181" si="7">$H64*M38</f>
        <v>8280</v>
      </c>
      <c r="N179" s="229">
        <f t="shared" si="7"/>
        <v>11040</v>
      </c>
      <c r="O179" s="218"/>
      <c r="P179" s="229">
        <f t="shared" ref="P179:Q181" si="8">$H64*P38</f>
        <v>8280</v>
      </c>
      <c r="Q179" s="229">
        <f t="shared" si="8"/>
        <v>2760</v>
      </c>
      <c r="R179" s="214"/>
      <c r="S179" s="229">
        <f>$H64*S38</f>
        <v>2760</v>
      </c>
    </row>
    <row r="180" spans="2:19" s="17" customFormat="1" ht="12.75" x14ac:dyDescent="0.2">
      <c r="B180" s="17" t="s">
        <v>460</v>
      </c>
      <c r="F180" s="17" t="s">
        <v>454</v>
      </c>
      <c r="L180" s="218"/>
      <c r="M180" s="229">
        <f t="shared" si="7"/>
        <v>70990920</v>
      </c>
      <c r="N180" s="229">
        <f t="shared" si="7"/>
        <v>65269833.200000003</v>
      </c>
      <c r="O180" s="218"/>
      <c r="P180" s="229">
        <f t="shared" si="8"/>
        <v>44455983</v>
      </c>
      <c r="Q180" s="229">
        <f t="shared" si="8"/>
        <v>4959411.6000000006</v>
      </c>
      <c r="R180" s="214"/>
      <c r="S180" s="229">
        <f>$H65*S39</f>
        <v>4734696.5379999997</v>
      </c>
    </row>
    <row r="181" spans="2:19" s="17" customFormat="1" ht="12.75" x14ac:dyDescent="0.2">
      <c r="B181" s="17" t="s">
        <v>461</v>
      </c>
      <c r="F181" s="17" t="s">
        <v>454</v>
      </c>
      <c r="L181" s="218"/>
      <c r="M181" s="229">
        <f t="shared" si="7"/>
        <v>72678620.560000002</v>
      </c>
      <c r="N181" s="229">
        <f t="shared" si="7"/>
        <v>65509651.680000007</v>
      </c>
      <c r="O181" s="218"/>
      <c r="P181" s="229">
        <f t="shared" si="8"/>
        <v>45298019.760000005</v>
      </c>
      <c r="Q181" s="229">
        <f t="shared" si="8"/>
        <v>3924096.4800000004</v>
      </c>
      <c r="R181" s="214"/>
      <c r="S181" s="229">
        <f>$H66*S40</f>
        <v>4586526.6346674962</v>
      </c>
    </row>
    <row r="182" spans="2:19" s="17" customFormat="1" ht="12.75" x14ac:dyDescent="0.2">
      <c r="B182" s="17" t="s">
        <v>463</v>
      </c>
      <c r="F182" s="17" t="s">
        <v>454</v>
      </c>
      <c r="L182" s="218"/>
      <c r="M182" s="218"/>
      <c r="N182" s="229">
        <f>$H67*N41</f>
        <v>2760</v>
      </c>
      <c r="O182" s="218"/>
      <c r="P182" s="218"/>
      <c r="Q182" s="218"/>
      <c r="R182" s="219"/>
      <c r="S182" s="218"/>
    </row>
    <row r="183" spans="2:19" s="17" customFormat="1" ht="12.75" x14ac:dyDescent="0.2">
      <c r="B183" s="17" t="s">
        <v>464</v>
      </c>
      <c r="F183" s="17" t="s">
        <v>454</v>
      </c>
      <c r="L183" s="218"/>
      <c r="M183" s="218"/>
      <c r="N183" s="229">
        <f>$H68*N42</f>
        <v>286800.8</v>
      </c>
      <c r="O183" s="218"/>
      <c r="P183" s="218"/>
      <c r="Q183" s="218"/>
      <c r="R183" s="219"/>
      <c r="S183" s="218"/>
    </row>
    <row r="184" spans="2:19" s="17" customFormat="1" ht="12.75" x14ac:dyDescent="0.2">
      <c r="B184" s="17" t="s">
        <v>465</v>
      </c>
      <c r="F184" s="17" t="s">
        <v>454</v>
      </c>
      <c r="L184" s="218"/>
      <c r="M184" s="218"/>
      <c r="N184" s="229">
        <f>$H69*N43</f>
        <v>24618.6</v>
      </c>
      <c r="O184" s="218"/>
      <c r="P184" s="218"/>
      <c r="Q184" s="218"/>
      <c r="R184" s="219"/>
      <c r="S184" s="218"/>
    </row>
    <row r="185" spans="2:19" s="17" customFormat="1" ht="12.75" x14ac:dyDescent="0.2">
      <c r="R185" s="109"/>
    </row>
    <row r="186" spans="2:19" s="17" customFormat="1" ht="12.75" x14ac:dyDescent="0.2">
      <c r="B186" s="17" t="s">
        <v>546</v>
      </c>
      <c r="F186" s="109" t="s">
        <v>97</v>
      </c>
      <c r="J186" s="225">
        <f>SUM(L186:Q186,S186)</f>
        <v>391140645.69266754</v>
      </c>
      <c r="L186" s="218"/>
      <c r="M186" s="229">
        <f>SUM(M174:M184)</f>
        <v>145180662.12</v>
      </c>
      <c r="N186" s="229">
        <f t="shared" ref="N186" si="9">SUM(N174:N184)</f>
        <v>137987449.56000003</v>
      </c>
      <c r="O186" s="230"/>
      <c r="P186" s="229">
        <f t="shared" ref="P186:Q186" si="10">SUM(P174:P184)</f>
        <v>89762282.760000005</v>
      </c>
      <c r="Q186" s="229">
        <f t="shared" si="10"/>
        <v>8886268.0800000019</v>
      </c>
      <c r="R186" s="214"/>
      <c r="S186" s="229">
        <f t="shared" ref="S186" si="11">SUM(S174:S184)</f>
        <v>9323983.1726674959</v>
      </c>
    </row>
    <row r="187" spans="2:19" s="17" customFormat="1" ht="12.75" x14ac:dyDescent="0.2">
      <c r="R187" s="109"/>
    </row>
    <row r="188" spans="2:19" s="17" customFormat="1" ht="12.75" x14ac:dyDescent="0.2">
      <c r="B188" s="17" t="s">
        <v>543</v>
      </c>
      <c r="F188" s="109" t="s">
        <v>97</v>
      </c>
      <c r="J188" s="225">
        <f>SUM(L188:Q188,S188)</f>
        <v>78368872.953688696</v>
      </c>
      <c r="L188" s="218"/>
      <c r="M188" s="229">
        <f>M171-M186</f>
        <v>28252313.039999992</v>
      </c>
      <c r="N188" s="229">
        <f>N171-N186</f>
        <v>29680557.599999994</v>
      </c>
      <c r="O188" s="230"/>
      <c r="P188" s="229">
        <f>P171-P186</f>
        <v>16990491.479999989</v>
      </c>
      <c r="Q188" s="229">
        <f>Q171-Q186</f>
        <v>1681111.4399999976</v>
      </c>
      <c r="R188" s="214"/>
      <c r="S188" s="229">
        <f t="shared" ref="S188" si="12">S171-S186</f>
        <v>1764399.3936887216</v>
      </c>
    </row>
    <row r="189" spans="2:19" s="17" customFormat="1" ht="12.75" x14ac:dyDescent="0.2">
      <c r="R189" s="109"/>
    </row>
    <row r="190" spans="2:19" s="17" customFormat="1" ht="12.75" x14ac:dyDescent="0.2">
      <c r="B190" s="212" t="s">
        <v>541</v>
      </c>
      <c r="H190" s="231">
        <f>H27/H28</f>
        <v>0.55548921429043308</v>
      </c>
      <c r="R190" s="109"/>
    </row>
    <row r="191" spans="2:19" s="17" customFormat="1" ht="12.75" x14ac:dyDescent="0.2">
      <c r="R191" s="109"/>
    </row>
    <row r="192" spans="2:19" s="109" customFormat="1" ht="12.75" x14ac:dyDescent="0.2">
      <c r="B192" s="17" t="s">
        <v>542</v>
      </c>
      <c r="F192" s="17" t="s">
        <v>63</v>
      </c>
      <c r="L192" s="232">
        <f>L16*$H$190/$J$155</f>
        <v>3.7975053875721862E-3</v>
      </c>
      <c r="M192" s="232">
        <f t="shared" ref="M192:S192" si="13">M16*$H$190/$J$155</f>
        <v>1.5458999687134448E-4</v>
      </c>
      <c r="N192" s="232">
        <f t="shared" si="13"/>
        <v>1.4992846097330137E-3</v>
      </c>
      <c r="O192" s="232">
        <f t="shared" si="13"/>
        <v>2.387042241224126E-3</v>
      </c>
      <c r="P192" s="232">
        <f t="shared" si="13"/>
        <v>3.0166064958130887E-3</v>
      </c>
      <c r="Q192" s="232">
        <f t="shared" si="13"/>
        <v>3.1831167551032541E-4</v>
      </c>
      <c r="R192" s="234"/>
      <c r="S192" s="232">
        <f t="shared" si="13"/>
        <v>0</v>
      </c>
    </row>
    <row r="193" spans="2:23" s="17" customFormat="1" ht="12.75" x14ac:dyDescent="0.2">
      <c r="B193" s="17" t="s">
        <v>548</v>
      </c>
      <c r="F193" s="109" t="s">
        <v>97</v>
      </c>
      <c r="J193" s="225">
        <f>SUM(L193:Q193,S193)</f>
        <v>875642.09480287624</v>
      </c>
      <c r="L193" s="229">
        <f>(L192*$J$188)</f>
        <v>297606.21725959302</v>
      </c>
      <c r="M193" s="229">
        <f t="shared" ref="M193:S193" si="14">(M192*$J$188)</f>
        <v>12115.04382472153</v>
      </c>
      <c r="N193" s="229">
        <f t="shared" si="14"/>
        <v>117497.24510158729</v>
      </c>
      <c r="O193" s="229">
        <f t="shared" si="14"/>
        <v>187069.81013758187</v>
      </c>
      <c r="P193" s="229">
        <f t="shared" si="14"/>
        <v>236408.051221648</v>
      </c>
      <c r="Q193" s="229">
        <f t="shared" si="14"/>
        <v>24945.727257744475</v>
      </c>
      <c r="R193" s="214"/>
      <c r="S193" s="229">
        <f t="shared" si="14"/>
        <v>0</v>
      </c>
      <c r="W193" s="133"/>
    </row>
    <row r="194" spans="2:23" s="17" customFormat="1" ht="12.75" x14ac:dyDescent="0.2">
      <c r="R194" s="109"/>
    </row>
    <row r="195" spans="2:23" s="17" customFormat="1" ht="12.75" x14ac:dyDescent="0.2">
      <c r="B195" s="109" t="s">
        <v>547</v>
      </c>
      <c r="F195" s="17" t="s">
        <v>97</v>
      </c>
      <c r="J195" s="225">
        <f>SUM(L195:Q195,S195)</f>
        <v>416475868.79631126</v>
      </c>
      <c r="L195" s="141">
        <f t="shared" ref="L195:Q195" si="15">L15-L188</f>
        <v>0</v>
      </c>
      <c r="M195" s="141">
        <f t="shared" si="15"/>
        <v>157115568.88</v>
      </c>
      <c r="N195" s="141">
        <f t="shared" si="15"/>
        <v>145637468.88</v>
      </c>
      <c r="O195" s="141">
        <f t="shared" si="15"/>
        <v>0</v>
      </c>
      <c r="P195" s="141">
        <f t="shared" si="15"/>
        <v>93764003.640000001</v>
      </c>
      <c r="Q195" s="141">
        <f t="shared" si="15"/>
        <v>9333926.0200000014</v>
      </c>
      <c r="R195" s="214"/>
      <c r="S195" s="141">
        <f>S15-S188</f>
        <v>10624901.376311278</v>
      </c>
    </row>
    <row r="196" spans="2:23" s="17" customFormat="1" ht="12.75" x14ac:dyDescent="0.2">
      <c r="B196" s="17" t="s">
        <v>549</v>
      </c>
      <c r="F196" s="17" t="s">
        <v>97</v>
      </c>
      <c r="J196" s="225">
        <f>SUM(L196:Q196,S196)</f>
        <v>9077870.2431691624</v>
      </c>
      <c r="L196" s="141">
        <f t="shared" ref="L196:Q196" si="16">L16-L193</f>
        <v>3085313.7827404072</v>
      </c>
      <c r="M196" s="141">
        <f t="shared" si="16"/>
        <v>125597.88580731515</v>
      </c>
      <c r="N196" s="141">
        <f t="shared" si="16"/>
        <v>1218105.8348984129</v>
      </c>
      <c r="O196" s="141">
        <f t="shared" si="16"/>
        <v>1939371.6598624184</v>
      </c>
      <c r="P196" s="141">
        <f t="shared" si="16"/>
        <v>2450866.1999783525</v>
      </c>
      <c r="Q196" s="141">
        <f t="shared" si="16"/>
        <v>258614.87988225551</v>
      </c>
      <c r="R196" s="214"/>
      <c r="S196" s="141">
        <f>S16-S193</f>
        <v>0</v>
      </c>
    </row>
    <row r="197" spans="2:23" s="17" customFormat="1" ht="12.75" x14ac:dyDescent="0.2">
      <c r="R197" s="109"/>
    </row>
    <row r="198" spans="2:23" s="211" customFormat="1" ht="12.75" x14ac:dyDescent="0.2">
      <c r="B198" s="211" t="s">
        <v>599</v>
      </c>
    </row>
    <row r="199" spans="2:23" s="17" customFormat="1" ht="12.75" x14ac:dyDescent="0.2">
      <c r="R199" s="109"/>
    </row>
    <row r="200" spans="2:23" s="17" customFormat="1" ht="12.75" x14ac:dyDescent="0.2">
      <c r="B200" s="171" t="s">
        <v>7</v>
      </c>
      <c r="F200" s="17" t="s">
        <v>106</v>
      </c>
      <c r="J200" s="123">
        <f>J19</f>
        <v>499474660.78420085</v>
      </c>
      <c r="R200" s="109"/>
    </row>
    <row r="201" spans="2:23" s="17" customFormat="1" ht="12.75" x14ac:dyDescent="0.2">
      <c r="B201" s="171" t="s">
        <v>8</v>
      </c>
      <c r="F201" s="17" t="s">
        <v>106</v>
      </c>
      <c r="J201" s="123">
        <f>J20</f>
        <v>9832581.9408000018</v>
      </c>
      <c r="R201" s="109"/>
    </row>
    <row r="202" spans="2:23" s="17" customFormat="1" ht="12.75" x14ac:dyDescent="0.2">
      <c r="R202" s="109"/>
    </row>
    <row r="203" spans="2:23" s="17" customFormat="1" ht="12.75" x14ac:dyDescent="0.2">
      <c r="B203" s="155" t="s">
        <v>544</v>
      </c>
      <c r="R203" s="109"/>
    </row>
    <row r="204" spans="2:23" s="17" customFormat="1" ht="12.75" x14ac:dyDescent="0.2">
      <c r="B204" s="17" t="s">
        <v>459</v>
      </c>
      <c r="F204" s="17" t="s">
        <v>454</v>
      </c>
      <c r="L204" s="218"/>
      <c r="M204" s="229">
        <f t="shared" ref="M204:N206" si="17">$H87*M74</f>
        <v>12478.92</v>
      </c>
      <c r="N204" s="229">
        <f t="shared" si="17"/>
        <v>12478.96</v>
      </c>
      <c r="O204" s="218"/>
      <c r="P204" s="218"/>
      <c r="Q204" s="218"/>
      <c r="R204" s="219"/>
      <c r="S204" s="218"/>
    </row>
    <row r="205" spans="2:23" s="17" customFormat="1" ht="12.75" x14ac:dyDescent="0.2">
      <c r="B205" s="17" t="s">
        <v>460</v>
      </c>
      <c r="F205" s="17" t="s">
        <v>454</v>
      </c>
      <c r="L205" s="218"/>
      <c r="M205" s="229">
        <f t="shared" si="17"/>
        <v>1433323.92</v>
      </c>
      <c r="N205" s="229">
        <f t="shared" si="17"/>
        <v>7402877.9999999991</v>
      </c>
      <c r="O205" s="218"/>
      <c r="P205" s="218"/>
      <c r="Q205" s="218"/>
      <c r="R205" s="219"/>
      <c r="S205" s="218"/>
    </row>
    <row r="206" spans="2:23" s="17" customFormat="1" ht="12.75" x14ac:dyDescent="0.2">
      <c r="B206" s="17" t="s">
        <v>461</v>
      </c>
      <c r="F206" s="17" t="s">
        <v>454</v>
      </c>
      <c r="L206" s="218"/>
      <c r="M206" s="229">
        <f t="shared" si="17"/>
        <v>1408449.96</v>
      </c>
      <c r="N206" s="229">
        <f t="shared" si="17"/>
        <v>6580986.2400000002</v>
      </c>
      <c r="O206" s="218"/>
      <c r="P206" s="218"/>
      <c r="Q206" s="218"/>
      <c r="R206" s="219"/>
      <c r="S206" s="218"/>
    </row>
    <row r="207" spans="2:23" s="17" customFormat="1" ht="12.75" x14ac:dyDescent="0.2">
      <c r="R207" s="109"/>
    </row>
    <row r="208" spans="2:23" s="17" customFormat="1" ht="12.75" x14ac:dyDescent="0.2">
      <c r="B208" s="155" t="s">
        <v>545</v>
      </c>
      <c r="R208" s="109"/>
    </row>
    <row r="209" spans="2:19" s="17" customFormat="1" ht="12.75" x14ac:dyDescent="0.2">
      <c r="B209" s="17" t="s">
        <v>459</v>
      </c>
      <c r="F209" s="17" t="s">
        <v>454</v>
      </c>
      <c r="L209" s="218"/>
      <c r="M209" s="229">
        <f t="shared" ref="M209:N211" si="18">$H92*M79</f>
        <v>8280</v>
      </c>
      <c r="N209" s="229">
        <f t="shared" si="18"/>
        <v>11040</v>
      </c>
      <c r="O209" s="218"/>
      <c r="P209" s="229">
        <f t="shared" ref="P209:Q211" si="19">$H92*P79</f>
        <v>8280</v>
      </c>
      <c r="Q209" s="229">
        <f t="shared" si="19"/>
        <v>2760</v>
      </c>
      <c r="R209" s="214"/>
      <c r="S209" s="229">
        <f>$H92*S79</f>
        <v>2760</v>
      </c>
    </row>
    <row r="210" spans="2:19" s="17" customFormat="1" ht="12.75" x14ac:dyDescent="0.2">
      <c r="B210" s="17" t="s">
        <v>460</v>
      </c>
      <c r="F210" s="17" t="s">
        <v>454</v>
      </c>
      <c r="L210" s="218"/>
      <c r="M210" s="229">
        <f t="shared" si="18"/>
        <v>83417288.400000006</v>
      </c>
      <c r="N210" s="229">
        <f t="shared" si="18"/>
        <v>77544669.600000009</v>
      </c>
      <c r="O210" s="218"/>
      <c r="P210" s="229">
        <f t="shared" si="19"/>
        <v>53511782.400000006</v>
      </c>
      <c r="Q210" s="229">
        <f t="shared" si="19"/>
        <v>5836572.0000000009</v>
      </c>
      <c r="R210" s="214"/>
      <c r="S210" s="229">
        <f>$H93*S80</f>
        <v>5771523.6000000006</v>
      </c>
    </row>
    <row r="211" spans="2:19" s="17" customFormat="1" ht="12.75" x14ac:dyDescent="0.2">
      <c r="B211" s="17" t="s">
        <v>461</v>
      </c>
      <c r="F211" s="17" t="s">
        <v>454</v>
      </c>
      <c r="L211" s="218"/>
      <c r="M211" s="229">
        <f t="shared" si="18"/>
        <v>86519146.879999995</v>
      </c>
      <c r="N211" s="229">
        <f t="shared" si="18"/>
        <v>79173520.719999999</v>
      </c>
      <c r="O211" s="218"/>
      <c r="P211" s="229">
        <f t="shared" si="19"/>
        <v>55158725.68</v>
      </c>
      <c r="Q211" s="229">
        <f t="shared" si="19"/>
        <v>4533048.3199999994</v>
      </c>
      <c r="R211" s="214"/>
      <c r="S211" s="229">
        <f>$H94*S81</f>
        <v>5497455.2000000002</v>
      </c>
    </row>
    <row r="212" spans="2:19" s="17" customFormat="1" ht="12.75" x14ac:dyDescent="0.2">
      <c r="B212" s="17" t="s">
        <v>463</v>
      </c>
      <c r="F212" s="17" t="s">
        <v>454</v>
      </c>
      <c r="L212" s="218"/>
      <c r="M212" s="218"/>
      <c r="N212" s="229">
        <f>$H95*N82</f>
        <v>2760</v>
      </c>
      <c r="O212" s="218"/>
      <c r="P212" s="218"/>
      <c r="Q212" s="218"/>
      <c r="R212" s="219"/>
      <c r="S212" s="218"/>
    </row>
    <row r="213" spans="2:19" s="17" customFormat="1" ht="12.75" x14ac:dyDescent="0.2">
      <c r="B213" s="17" t="s">
        <v>464</v>
      </c>
      <c r="F213" s="17" t="s">
        <v>454</v>
      </c>
      <c r="L213" s="218"/>
      <c r="M213" s="218"/>
      <c r="N213" s="229">
        <f>$H96*N83</f>
        <v>854452.8</v>
      </c>
      <c r="O213" s="218"/>
      <c r="P213" s="218"/>
      <c r="Q213" s="218"/>
      <c r="R213" s="219"/>
      <c r="S213" s="218"/>
    </row>
    <row r="214" spans="2:19" s="17" customFormat="1" ht="12.75" x14ac:dyDescent="0.2">
      <c r="B214" s="17" t="s">
        <v>465</v>
      </c>
      <c r="F214" s="17" t="s">
        <v>454</v>
      </c>
      <c r="L214" s="218"/>
      <c r="M214" s="218"/>
      <c r="N214" s="229">
        <f>$H97*N84</f>
        <v>84318.079999999987</v>
      </c>
      <c r="O214" s="218"/>
      <c r="P214" s="218"/>
      <c r="Q214" s="218"/>
      <c r="R214" s="219"/>
      <c r="S214" s="218"/>
    </row>
    <row r="215" spans="2:19" s="17" customFormat="1" ht="12.75" x14ac:dyDescent="0.2">
      <c r="R215" s="109"/>
    </row>
    <row r="216" spans="2:19" s="17" customFormat="1" ht="12.75" x14ac:dyDescent="0.2">
      <c r="B216" s="17" t="s">
        <v>540</v>
      </c>
      <c r="F216" s="17" t="s">
        <v>106</v>
      </c>
      <c r="J216" s="225">
        <f>SUM(L216:Q216,S216)</f>
        <v>474788979.68000007</v>
      </c>
      <c r="L216" s="218"/>
      <c r="M216" s="229">
        <f>SUM(M204:M214)</f>
        <v>172798968.07999998</v>
      </c>
      <c r="N216" s="229">
        <f t="shared" ref="N216:Q216" si="20">SUM(N204:N214)</f>
        <v>171667104.40000004</v>
      </c>
      <c r="O216" s="230"/>
      <c r="P216" s="229">
        <f t="shared" si="20"/>
        <v>108678788.08000001</v>
      </c>
      <c r="Q216" s="229">
        <f t="shared" si="20"/>
        <v>10372380.32</v>
      </c>
      <c r="R216" s="214"/>
      <c r="S216" s="229">
        <f t="shared" ref="S216" si="21">SUM(S204:S214)</f>
        <v>11271738.800000001</v>
      </c>
    </row>
    <row r="217" spans="2:19" s="17" customFormat="1" ht="12.75" x14ac:dyDescent="0.2">
      <c r="R217" s="109"/>
    </row>
    <row r="218" spans="2:19" s="17" customFormat="1" ht="12.75" x14ac:dyDescent="0.2">
      <c r="B218" s="155" t="s">
        <v>538</v>
      </c>
      <c r="R218" s="109"/>
    </row>
    <row r="219" spans="2:19" s="17" customFormat="1" ht="12.75" x14ac:dyDescent="0.2">
      <c r="B219" s="17" t="s">
        <v>459</v>
      </c>
      <c r="F219" s="17" t="s">
        <v>454</v>
      </c>
      <c r="L219" s="218"/>
      <c r="M219" s="229">
        <f t="shared" ref="M219:N221" si="22">$H100*M74</f>
        <v>12478.92</v>
      </c>
      <c r="N219" s="229">
        <f t="shared" si="22"/>
        <v>12478.96</v>
      </c>
      <c r="O219" s="218"/>
      <c r="P219" s="218"/>
      <c r="Q219" s="218"/>
      <c r="R219" s="219"/>
      <c r="S219" s="218"/>
    </row>
    <row r="220" spans="2:19" s="17" customFormat="1" ht="12.75" x14ac:dyDescent="0.2">
      <c r="B220" s="17" t="s">
        <v>460</v>
      </c>
      <c r="F220" s="17" t="s">
        <v>454</v>
      </c>
      <c r="L220" s="218"/>
      <c r="M220" s="229">
        <f t="shared" si="22"/>
        <v>983849.52</v>
      </c>
      <c r="N220" s="229">
        <f t="shared" si="22"/>
        <v>5081418</v>
      </c>
      <c r="O220" s="218"/>
      <c r="P220" s="218"/>
      <c r="Q220" s="218"/>
      <c r="R220" s="219"/>
      <c r="S220" s="218"/>
    </row>
    <row r="221" spans="2:19" s="17" customFormat="1" ht="12.75" x14ac:dyDescent="0.2">
      <c r="B221" s="17" t="s">
        <v>461</v>
      </c>
      <c r="F221" s="17" t="s">
        <v>454</v>
      </c>
      <c r="L221" s="218"/>
      <c r="M221" s="229">
        <f t="shared" si="22"/>
        <v>971344.79999999993</v>
      </c>
      <c r="N221" s="229">
        <f t="shared" si="22"/>
        <v>4538611.2</v>
      </c>
      <c r="O221" s="218"/>
      <c r="P221" s="218"/>
      <c r="Q221" s="218"/>
      <c r="R221" s="219"/>
      <c r="S221" s="218"/>
    </row>
    <row r="222" spans="2:19" s="17" customFormat="1" ht="12.75" x14ac:dyDescent="0.2">
      <c r="R222" s="109"/>
    </row>
    <row r="223" spans="2:19" s="17" customFormat="1" ht="12.75" x14ac:dyDescent="0.2">
      <c r="B223" s="155" t="s">
        <v>539</v>
      </c>
      <c r="R223" s="109"/>
    </row>
    <row r="224" spans="2:19" s="17" customFormat="1" ht="12.75" x14ac:dyDescent="0.2">
      <c r="B224" s="17" t="s">
        <v>459</v>
      </c>
      <c r="F224" s="17" t="s">
        <v>454</v>
      </c>
      <c r="L224" s="218"/>
      <c r="M224" s="229">
        <f t="shared" ref="M224:N226" si="23">$H105*M79</f>
        <v>8280</v>
      </c>
      <c r="N224" s="229">
        <f t="shared" si="23"/>
        <v>11040</v>
      </c>
      <c r="O224" s="218"/>
      <c r="P224" s="229">
        <f t="shared" ref="P224:Q226" si="24">$H105*P79</f>
        <v>8280</v>
      </c>
      <c r="Q224" s="229">
        <f t="shared" si="24"/>
        <v>2760</v>
      </c>
      <c r="R224" s="214"/>
      <c r="S224" s="229">
        <f>$H105*S79</f>
        <v>2760</v>
      </c>
    </row>
    <row r="225" spans="2:23" s="17" customFormat="1" ht="12.75" x14ac:dyDescent="0.2">
      <c r="B225" s="17" t="s">
        <v>460</v>
      </c>
      <c r="F225" s="17" t="s">
        <v>454</v>
      </c>
      <c r="L225" s="218"/>
      <c r="M225" s="229">
        <f t="shared" si="23"/>
        <v>71270560.439999998</v>
      </c>
      <c r="N225" s="229">
        <f t="shared" si="23"/>
        <v>66253077.359999999</v>
      </c>
      <c r="O225" s="218"/>
      <c r="P225" s="229">
        <f t="shared" si="24"/>
        <v>45719715.839999996</v>
      </c>
      <c r="Q225" s="229">
        <f t="shared" si="24"/>
        <v>4986685.2</v>
      </c>
      <c r="R225" s="214"/>
      <c r="S225" s="229">
        <f>$H106*S80</f>
        <v>4931108.76</v>
      </c>
    </row>
    <row r="226" spans="2:23" s="17" customFormat="1" ht="12.75" x14ac:dyDescent="0.2">
      <c r="B226" s="17" t="s">
        <v>461</v>
      </c>
      <c r="F226" s="17" t="s">
        <v>454</v>
      </c>
      <c r="L226" s="218"/>
      <c r="M226" s="229">
        <f t="shared" si="23"/>
        <v>74010354.560000002</v>
      </c>
      <c r="N226" s="229">
        <f t="shared" si="23"/>
        <v>67726746.640000001</v>
      </c>
      <c r="O226" s="218"/>
      <c r="P226" s="229">
        <f t="shared" si="24"/>
        <v>47183970.159999996</v>
      </c>
      <c r="Q226" s="229">
        <f t="shared" si="24"/>
        <v>3877667.84</v>
      </c>
      <c r="R226" s="214"/>
      <c r="S226" s="229">
        <f>$H107*S81</f>
        <v>4702642.3999999994</v>
      </c>
    </row>
    <row r="227" spans="2:23" s="17" customFormat="1" ht="12.75" x14ac:dyDescent="0.2">
      <c r="B227" s="17" t="s">
        <v>463</v>
      </c>
      <c r="F227" s="17" t="s">
        <v>454</v>
      </c>
      <c r="L227" s="218"/>
      <c r="M227" s="218"/>
      <c r="N227" s="229">
        <f>$H108*N82</f>
        <v>2760</v>
      </c>
      <c r="O227" s="218"/>
      <c r="P227" s="218"/>
      <c r="Q227" s="218"/>
      <c r="R227" s="219"/>
      <c r="S227" s="218"/>
    </row>
    <row r="228" spans="2:23" s="17" customFormat="1" ht="12.75" x14ac:dyDescent="0.2">
      <c r="B228" s="17" t="s">
        <v>464</v>
      </c>
      <c r="F228" s="17" t="s">
        <v>454</v>
      </c>
      <c r="L228" s="218"/>
      <c r="M228" s="218"/>
      <c r="N228" s="229">
        <f>$H109*N83</f>
        <v>729532.79999999993</v>
      </c>
      <c r="O228" s="218"/>
      <c r="P228" s="218"/>
      <c r="Q228" s="218"/>
      <c r="R228" s="219"/>
      <c r="S228" s="218"/>
    </row>
    <row r="229" spans="2:23" s="17" customFormat="1" ht="12.75" x14ac:dyDescent="0.2">
      <c r="B229" s="17" t="s">
        <v>465</v>
      </c>
      <c r="F229" s="17" t="s">
        <v>454</v>
      </c>
      <c r="L229" s="218"/>
      <c r="M229" s="218"/>
      <c r="N229" s="229">
        <f>$H110*N84</f>
        <v>71234.240000000005</v>
      </c>
      <c r="O229" s="218"/>
      <c r="P229" s="218"/>
      <c r="Q229" s="218"/>
      <c r="R229" s="219"/>
      <c r="S229" s="218"/>
    </row>
    <row r="230" spans="2:23" s="17" customFormat="1" ht="12.75" x14ac:dyDescent="0.2">
      <c r="R230" s="109"/>
    </row>
    <row r="231" spans="2:23" s="17" customFormat="1" ht="12.75" x14ac:dyDescent="0.2">
      <c r="B231" s="17" t="s">
        <v>546</v>
      </c>
      <c r="F231" s="17" t="s">
        <v>106</v>
      </c>
      <c r="J231" s="225">
        <f>SUM(L231:Q231,S231)</f>
        <v>403099357.6400001</v>
      </c>
      <c r="L231" s="218"/>
      <c r="M231" s="229">
        <f>SUM(M219:M229)</f>
        <v>147256868.24000001</v>
      </c>
      <c r="N231" s="229">
        <f t="shared" ref="N231" si="25">SUM(N219:N229)</f>
        <v>144426899.20000002</v>
      </c>
      <c r="O231" s="230"/>
      <c r="P231" s="229">
        <f t="shared" ref="P231:Q231" si="26">SUM(P219:P229)</f>
        <v>92911966</v>
      </c>
      <c r="Q231" s="229">
        <f t="shared" si="26"/>
        <v>8867113.0399999991</v>
      </c>
      <c r="R231" s="214"/>
      <c r="S231" s="229">
        <f t="shared" ref="S231" si="27">SUM(S219:S229)</f>
        <v>9636511.1600000001</v>
      </c>
    </row>
    <row r="232" spans="2:23" s="17" customFormat="1" ht="12.75" x14ac:dyDescent="0.2">
      <c r="R232" s="109"/>
    </row>
    <row r="233" spans="2:23" s="17" customFormat="1" ht="12.75" x14ac:dyDescent="0.2">
      <c r="B233" s="17" t="s">
        <v>543</v>
      </c>
      <c r="F233" s="17" t="s">
        <v>106</v>
      </c>
      <c r="J233" s="225">
        <f>SUM(L233:Q233,S233)</f>
        <v>71689622.040000007</v>
      </c>
      <c r="L233" s="218"/>
      <c r="M233" s="229">
        <f>M216-M231</f>
        <v>25542099.839999974</v>
      </c>
      <c r="N233" s="229">
        <f>N216-N231</f>
        <v>27240205.200000018</v>
      </c>
      <c r="O233" s="230"/>
      <c r="P233" s="229">
        <f>P216-P231</f>
        <v>15766822.080000013</v>
      </c>
      <c r="Q233" s="229">
        <f>Q216-Q231</f>
        <v>1505267.2800000012</v>
      </c>
      <c r="R233" s="214"/>
      <c r="S233" s="229">
        <f t="shared" ref="S233" si="28">S216-S231</f>
        <v>1635227.6400000006</v>
      </c>
    </row>
    <row r="234" spans="2:23" s="17" customFormat="1" ht="12.75" x14ac:dyDescent="0.2">
      <c r="R234" s="109"/>
    </row>
    <row r="235" spans="2:23" s="17" customFormat="1" ht="12.75" x14ac:dyDescent="0.2">
      <c r="B235" s="212" t="s">
        <v>541</v>
      </c>
      <c r="H235" s="231">
        <f>H27/H28</f>
        <v>0.55548921429043308</v>
      </c>
      <c r="R235" s="109"/>
    </row>
    <row r="236" spans="2:23" s="17" customFormat="1" ht="12.75" x14ac:dyDescent="0.2">
      <c r="R236" s="109"/>
    </row>
    <row r="237" spans="2:23" s="17" customFormat="1" ht="12.75" x14ac:dyDescent="0.2">
      <c r="B237" s="17" t="s">
        <v>542</v>
      </c>
      <c r="F237" s="17" t="s">
        <v>63</v>
      </c>
      <c r="J237" s="234"/>
      <c r="L237" s="232">
        <f t="shared" ref="L237:Q237" si="29">L20*$H$235/$J$200</f>
        <v>3.840492495689669E-3</v>
      </c>
      <c r="M237" s="232">
        <f t="shared" si="29"/>
        <v>1.7433262689333262E-4</v>
      </c>
      <c r="N237" s="232">
        <f t="shared" si="29"/>
        <v>1.5585381507195223E-3</v>
      </c>
      <c r="O237" s="232">
        <f t="shared" si="29"/>
        <v>2.4642582828128621E-3</v>
      </c>
      <c r="P237" s="232">
        <f t="shared" si="29"/>
        <v>2.5734480461361707E-3</v>
      </c>
      <c r="Q237" s="232">
        <f t="shared" si="29"/>
        <v>3.2420628975433902E-4</v>
      </c>
      <c r="R237" s="234"/>
      <c r="S237" s="232">
        <f>S20*$H$235/$J$200</f>
        <v>0</v>
      </c>
      <c r="W237" s="133"/>
    </row>
    <row r="238" spans="2:23" s="17" customFormat="1" ht="12.75" x14ac:dyDescent="0.2">
      <c r="B238" s="17" t="s">
        <v>548</v>
      </c>
      <c r="F238" s="17" t="s">
        <v>106</v>
      </c>
      <c r="J238" s="225">
        <f>SUM(L238:Q238,S238)</f>
        <v>783945.79560102662</v>
      </c>
      <c r="L238" s="229">
        <f t="shared" ref="L238:Q238" si="30">(L237*$J$233)</f>
        <v>275323.45546344871</v>
      </c>
      <c r="M238" s="229">
        <f t="shared" si="30"/>
        <v>12497.840131223356</v>
      </c>
      <c r="N238" s="229">
        <f t="shared" si="30"/>
        <v>111731.01096000311</v>
      </c>
      <c r="O238" s="229">
        <f t="shared" si="30"/>
        <v>176661.74490379353</v>
      </c>
      <c r="P238" s="229">
        <f t="shared" si="30"/>
        <v>184489.51776707859</v>
      </c>
      <c r="Q238" s="229">
        <f t="shared" si="30"/>
        <v>23242.226375479291</v>
      </c>
      <c r="R238" s="214"/>
      <c r="S238" s="229">
        <f t="shared" ref="S238" si="31">(S237*$J$233)</f>
        <v>0</v>
      </c>
    </row>
    <row r="239" spans="2:23" s="17" customFormat="1" ht="12.75" x14ac:dyDescent="0.2">
      <c r="R239" s="109"/>
    </row>
    <row r="240" spans="2:23" s="109" customFormat="1" ht="12.75" x14ac:dyDescent="0.2">
      <c r="B240" s="109" t="s">
        <v>547</v>
      </c>
      <c r="F240" s="109" t="s">
        <v>106</v>
      </c>
      <c r="J240" s="225">
        <f>SUM(L240:Q240,S240)</f>
        <v>427785038.74420089</v>
      </c>
      <c r="L240" s="141">
        <f t="shared" ref="L240:Q240" si="32">L19-L233</f>
        <v>0</v>
      </c>
      <c r="M240" s="141">
        <f t="shared" si="32"/>
        <v>159310200.18000004</v>
      </c>
      <c r="N240" s="141">
        <f t="shared" si="32"/>
        <v>151445820.45999998</v>
      </c>
      <c r="O240" s="141">
        <f t="shared" si="32"/>
        <v>0</v>
      </c>
      <c r="P240" s="141">
        <f t="shared" si="32"/>
        <v>96925275.514200851</v>
      </c>
      <c r="Q240" s="141">
        <f t="shared" si="32"/>
        <v>9308327.4799999986</v>
      </c>
      <c r="R240" s="214"/>
      <c r="S240" s="141">
        <f>S19-S233</f>
        <v>10795415.110000001</v>
      </c>
    </row>
    <row r="241" spans="2:19" s="17" customFormat="1" ht="12.75" x14ac:dyDescent="0.2">
      <c r="B241" s="17" t="s">
        <v>549</v>
      </c>
      <c r="F241" s="17" t="s">
        <v>106</v>
      </c>
      <c r="J241" s="225">
        <f>SUM(L241:Q241,S241)</f>
        <v>9048636.1451989748</v>
      </c>
      <c r="L241" s="141">
        <f t="shared" ref="L241:Q241" si="33">L20-L238</f>
        <v>3177900.5445365515</v>
      </c>
      <c r="M241" s="141">
        <f t="shared" si="33"/>
        <v>144255.39186877664</v>
      </c>
      <c r="N241" s="141">
        <f t="shared" si="33"/>
        <v>1289646.8990399968</v>
      </c>
      <c r="O241" s="141">
        <f t="shared" si="33"/>
        <v>2039105.0750962067</v>
      </c>
      <c r="P241" s="141">
        <f t="shared" si="33"/>
        <v>2129456.5622329228</v>
      </c>
      <c r="Q241" s="141">
        <f t="shared" si="33"/>
        <v>268271.67242452066</v>
      </c>
      <c r="R241" s="214"/>
      <c r="S241" s="141">
        <f>S20-S238</f>
        <v>0</v>
      </c>
    </row>
    <row r="242" spans="2:19" s="109" customFormat="1" ht="12.75" x14ac:dyDescent="0.2">
      <c r="J242" s="233"/>
      <c r="L242" s="214"/>
      <c r="M242" s="214"/>
      <c r="N242" s="214"/>
      <c r="O242" s="214"/>
      <c r="P242" s="214"/>
      <c r="Q242" s="214"/>
      <c r="R242" s="214"/>
      <c r="S242" s="214"/>
    </row>
    <row r="243" spans="2:19" s="211" customFormat="1" ht="12.75" x14ac:dyDescent="0.2">
      <c r="B243" s="211" t="s">
        <v>600</v>
      </c>
    </row>
    <row r="244" spans="2:19" s="17" customFormat="1" ht="12.75" x14ac:dyDescent="0.2"/>
    <row r="245" spans="2:19" s="17" customFormat="1" ht="12.75" x14ac:dyDescent="0.2">
      <c r="B245" s="171" t="s">
        <v>7</v>
      </c>
      <c r="F245" s="17" t="s">
        <v>113</v>
      </c>
      <c r="J245" s="123">
        <f>J23</f>
        <v>668687979.60228491</v>
      </c>
      <c r="R245" s="109"/>
    </row>
    <row r="246" spans="2:19" s="17" customFormat="1" ht="12.75" x14ac:dyDescent="0.2">
      <c r="B246" s="171" t="s">
        <v>8</v>
      </c>
      <c r="F246" s="17" t="s">
        <v>113</v>
      </c>
      <c r="J246" s="123">
        <f>J24</f>
        <v>9461730.3294889592</v>
      </c>
      <c r="R246" s="109"/>
    </row>
    <row r="247" spans="2:19" s="17" customFormat="1" ht="12.75" x14ac:dyDescent="0.2">
      <c r="R247" s="109"/>
    </row>
    <row r="248" spans="2:19" s="17" customFormat="1" ht="12.75" x14ac:dyDescent="0.2">
      <c r="B248" s="155" t="s">
        <v>544</v>
      </c>
      <c r="R248" s="109"/>
    </row>
    <row r="249" spans="2:19" s="17" customFormat="1" ht="12.75" x14ac:dyDescent="0.2">
      <c r="B249" s="17" t="s">
        <v>459</v>
      </c>
      <c r="F249" s="17" t="s">
        <v>454</v>
      </c>
      <c r="L249" s="218"/>
      <c r="M249" s="229">
        <f t="shared" ref="M249:N251" si="34">$H128*M115</f>
        <v>12479.400000000003</v>
      </c>
      <c r="N249" s="229">
        <f t="shared" si="34"/>
        <v>12478.96</v>
      </c>
      <c r="O249" s="218"/>
      <c r="P249" s="218"/>
      <c r="Q249" s="218"/>
      <c r="R249" s="219"/>
      <c r="S249" s="218"/>
    </row>
    <row r="250" spans="2:19" s="17" customFormat="1" ht="12.75" x14ac:dyDescent="0.2">
      <c r="B250" s="17" t="s">
        <v>460</v>
      </c>
      <c r="F250" s="17" t="s">
        <v>454</v>
      </c>
      <c r="L250" s="218"/>
      <c r="M250" s="229">
        <f t="shared" si="34"/>
        <v>1947569.7599999998</v>
      </c>
      <c r="N250" s="229">
        <f t="shared" si="34"/>
        <v>10001363.039999999</v>
      </c>
      <c r="O250" s="218"/>
      <c r="P250" s="218"/>
      <c r="Q250" s="218"/>
      <c r="R250" s="219"/>
      <c r="S250" s="218"/>
    </row>
    <row r="251" spans="2:19" s="17" customFormat="1" ht="12.75" x14ac:dyDescent="0.2">
      <c r="B251" s="17" t="s">
        <v>461</v>
      </c>
      <c r="F251" s="17" t="s">
        <v>454</v>
      </c>
      <c r="L251" s="218"/>
      <c r="M251" s="229">
        <f t="shared" si="34"/>
        <v>2038937.4000000001</v>
      </c>
      <c r="N251" s="229">
        <f t="shared" si="34"/>
        <v>9047488.5999999996</v>
      </c>
      <c r="O251" s="218"/>
      <c r="P251" s="218"/>
      <c r="Q251" s="218"/>
      <c r="R251" s="219"/>
      <c r="S251" s="218"/>
    </row>
    <row r="252" spans="2:19" s="17" customFormat="1" ht="12.75" x14ac:dyDescent="0.2">
      <c r="R252" s="109"/>
    </row>
    <row r="253" spans="2:19" s="17" customFormat="1" ht="12.75" x14ac:dyDescent="0.2">
      <c r="B253" s="155" t="s">
        <v>545</v>
      </c>
      <c r="R253" s="109"/>
    </row>
    <row r="254" spans="2:19" s="17" customFormat="1" ht="12.75" x14ac:dyDescent="0.2">
      <c r="B254" s="17" t="s">
        <v>459</v>
      </c>
      <c r="F254" s="17" t="s">
        <v>454</v>
      </c>
      <c r="L254" s="218"/>
      <c r="M254" s="229">
        <f t="shared" ref="M254:N256" si="35">$H133*M120</f>
        <v>8280</v>
      </c>
      <c r="N254" s="229">
        <f t="shared" si="35"/>
        <v>11040</v>
      </c>
      <c r="O254" s="218"/>
      <c r="P254" s="229">
        <f t="shared" ref="P254:Q256" si="36">$H133*P120</f>
        <v>8280</v>
      </c>
      <c r="Q254" s="229">
        <f t="shared" si="36"/>
        <v>2760</v>
      </c>
      <c r="R254" s="214"/>
      <c r="S254" s="229">
        <f>$H133*S120</f>
        <v>2760</v>
      </c>
    </row>
    <row r="255" spans="2:19" s="17" customFormat="1" ht="12.75" x14ac:dyDescent="0.2">
      <c r="B255" s="17" t="s">
        <v>460</v>
      </c>
      <c r="F255" s="17" t="s">
        <v>454</v>
      </c>
      <c r="L255" s="218"/>
      <c r="M255" s="229">
        <f t="shared" si="35"/>
        <v>117199768.31999999</v>
      </c>
      <c r="N255" s="229">
        <f t="shared" si="35"/>
        <v>107850864.57000001</v>
      </c>
      <c r="O255" s="218"/>
      <c r="P255" s="229">
        <f t="shared" si="36"/>
        <v>72678558.959999993</v>
      </c>
      <c r="Q255" s="229">
        <f t="shared" si="36"/>
        <v>7685476.5599999996</v>
      </c>
      <c r="R255" s="214"/>
      <c r="S255" s="229">
        <f>$H134*S121</f>
        <v>7801773.1199999992</v>
      </c>
    </row>
    <row r="256" spans="2:19" s="17" customFormat="1" ht="12.75" x14ac:dyDescent="0.2">
      <c r="B256" s="17" t="s">
        <v>461</v>
      </c>
      <c r="F256" s="17" t="s">
        <v>454</v>
      </c>
      <c r="L256" s="218"/>
      <c r="M256" s="229">
        <f t="shared" si="35"/>
        <v>114661380.88</v>
      </c>
      <c r="N256" s="229">
        <f t="shared" si="35"/>
        <v>104782063.17</v>
      </c>
      <c r="O256" s="218"/>
      <c r="P256" s="229">
        <f t="shared" si="36"/>
        <v>72121809.599999994</v>
      </c>
      <c r="Q256" s="229">
        <f t="shared" si="36"/>
        <v>5789165.7999999998</v>
      </c>
      <c r="R256" s="214"/>
      <c r="S256" s="229">
        <f>$H135*S122</f>
        <v>7358437.479343459</v>
      </c>
    </row>
    <row r="257" spans="2:19" s="17" customFormat="1" ht="12.75" x14ac:dyDescent="0.2">
      <c r="B257" s="17" t="s">
        <v>463</v>
      </c>
      <c r="F257" s="17" t="s">
        <v>454</v>
      </c>
      <c r="L257" s="218"/>
      <c r="M257" s="218"/>
      <c r="N257" s="229">
        <f>$H136*N123</f>
        <v>2760</v>
      </c>
      <c r="O257" s="218"/>
      <c r="P257" s="218"/>
      <c r="Q257" s="218"/>
      <c r="R257" s="219"/>
      <c r="S257" s="218"/>
    </row>
    <row r="258" spans="2:19" s="17" customFormat="1" ht="12.75" x14ac:dyDescent="0.2">
      <c r="B258" s="17" t="s">
        <v>464</v>
      </c>
      <c r="F258" s="17" t="s">
        <v>454</v>
      </c>
      <c r="L258" s="218"/>
      <c r="M258" s="218"/>
      <c r="N258" s="229">
        <f>$H137*N124</f>
        <v>672264.81555555575</v>
      </c>
      <c r="O258" s="218"/>
      <c r="P258" s="218"/>
      <c r="Q258" s="218"/>
      <c r="R258" s="219"/>
      <c r="S258" s="218"/>
    </row>
    <row r="259" spans="2:19" s="17" customFormat="1" ht="12.75" x14ac:dyDescent="0.2">
      <c r="B259" s="17" t="s">
        <v>465</v>
      </c>
      <c r="F259" s="17" t="s">
        <v>454</v>
      </c>
      <c r="L259" s="218"/>
      <c r="M259" s="218"/>
      <c r="N259" s="229">
        <f>$H138*N125</f>
        <v>45045.8</v>
      </c>
      <c r="O259" s="218"/>
      <c r="P259" s="218"/>
      <c r="Q259" s="218"/>
      <c r="R259" s="219"/>
      <c r="S259" s="218"/>
    </row>
    <row r="260" spans="2:19" s="17" customFormat="1" ht="12.75" x14ac:dyDescent="0.2">
      <c r="R260" s="109"/>
    </row>
    <row r="261" spans="2:19" s="17" customFormat="1" ht="12.75" x14ac:dyDescent="0.2">
      <c r="B261" s="17" t="s">
        <v>540</v>
      </c>
      <c r="F261" s="17" t="s">
        <v>113</v>
      </c>
      <c r="J261" s="225">
        <f>SUM(L261:Q261,S261)</f>
        <v>641742806.23489904</v>
      </c>
      <c r="L261" s="218"/>
      <c r="M261" s="229">
        <f>SUM(M249:M259)</f>
        <v>235868415.75999999</v>
      </c>
      <c r="N261" s="229">
        <f t="shared" ref="N261" si="37">SUM(N249:N259)</f>
        <v>232425368.95555559</v>
      </c>
      <c r="O261" s="230"/>
      <c r="P261" s="229">
        <f t="shared" ref="P261:Q261" si="38">SUM(P249:P259)</f>
        <v>144808648.56</v>
      </c>
      <c r="Q261" s="229">
        <f t="shared" si="38"/>
        <v>13477402.359999999</v>
      </c>
      <c r="R261" s="214"/>
      <c r="S261" s="229">
        <f t="shared" ref="S261" si="39">SUM(S249:S259)</f>
        <v>15162970.599343458</v>
      </c>
    </row>
    <row r="262" spans="2:19" s="17" customFormat="1" ht="12.75" x14ac:dyDescent="0.2">
      <c r="R262" s="109"/>
    </row>
    <row r="263" spans="2:19" s="17" customFormat="1" ht="12.75" x14ac:dyDescent="0.2">
      <c r="B263" s="155" t="s">
        <v>538</v>
      </c>
      <c r="R263" s="109"/>
    </row>
    <row r="264" spans="2:19" s="17" customFormat="1" ht="12.75" x14ac:dyDescent="0.2">
      <c r="B264" s="17" t="s">
        <v>459</v>
      </c>
      <c r="F264" s="17" t="s">
        <v>454</v>
      </c>
      <c r="L264" s="218"/>
      <c r="M264" s="229">
        <f t="shared" ref="M264:N266" si="40">$H141*M115</f>
        <v>12479.400000000003</v>
      </c>
      <c r="N264" s="229">
        <f t="shared" si="40"/>
        <v>12478.96</v>
      </c>
      <c r="O264" s="218"/>
      <c r="P264" s="218"/>
      <c r="Q264" s="218"/>
      <c r="R264" s="219"/>
      <c r="S264" s="218"/>
    </row>
    <row r="265" spans="2:19" s="17" customFormat="1" ht="12.75" x14ac:dyDescent="0.2">
      <c r="B265" s="17" t="s">
        <v>460</v>
      </c>
      <c r="F265" s="17" t="s">
        <v>454</v>
      </c>
      <c r="L265" s="218"/>
      <c r="M265" s="229">
        <f t="shared" si="40"/>
        <v>801595.67999999993</v>
      </c>
      <c r="N265" s="229">
        <f t="shared" si="40"/>
        <v>4116437.6093905191</v>
      </c>
      <c r="O265" s="218"/>
      <c r="P265" s="218"/>
      <c r="Q265" s="218"/>
      <c r="R265" s="219"/>
      <c r="S265" s="218"/>
    </row>
    <row r="266" spans="2:19" s="17" customFormat="1" ht="12.75" x14ac:dyDescent="0.2">
      <c r="B266" s="17" t="s">
        <v>461</v>
      </c>
      <c r="F266" s="17" t="s">
        <v>454</v>
      </c>
      <c r="L266" s="218"/>
      <c r="M266" s="229">
        <f t="shared" si="40"/>
        <v>830678.20000000007</v>
      </c>
      <c r="N266" s="229">
        <f t="shared" si="40"/>
        <v>3686013.874074074</v>
      </c>
      <c r="O266" s="218"/>
      <c r="P266" s="218"/>
      <c r="Q266" s="218"/>
      <c r="R266" s="219"/>
      <c r="S266" s="218"/>
    </row>
    <row r="267" spans="2:19" s="17" customFormat="1" ht="12.75" x14ac:dyDescent="0.2">
      <c r="R267" s="109"/>
    </row>
    <row r="268" spans="2:19" s="17" customFormat="1" ht="12.75" x14ac:dyDescent="0.2">
      <c r="B268" s="155" t="s">
        <v>539</v>
      </c>
      <c r="R268" s="109"/>
    </row>
    <row r="269" spans="2:19" s="17" customFormat="1" ht="12.75" x14ac:dyDescent="0.2">
      <c r="B269" s="17" t="s">
        <v>459</v>
      </c>
      <c r="F269" s="17" t="s">
        <v>454</v>
      </c>
      <c r="L269" s="218"/>
      <c r="M269" s="229">
        <f t="shared" ref="M269:N271" si="41">$H146*M120</f>
        <v>8280</v>
      </c>
      <c r="N269" s="229">
        <f t="shared" si="41"/>
        <v>11040</v>
      </c>
      <c r="O269" s="218"/>
      <c r="P269" s="229">
        <f t="shared" ref="P269:Q271" si="42">$H146*P120</f>
        <v>8280</v>
      </c>
      <c r="Q269" s="229">
        <f t="shared" si="42"/>
        <v>2760</v>
      </c>
      <c r="R269" s="214"/>
      <c r="S269" s="229">
        <f>$H146*S120</f>
        <v>2760</v>
      </c>
    </row>
    <row r="270" spans="2:19" s="17" customFormat="1" ht="12.75" x14ac:dyDescent="0.2">
      <c r="B270" s="17" t="s">
        <v>460</v>
      </c>
      <c r="F270" s="17" t="s">
        <v>454</v>
      </c>
      <c r="L270" s="218"/>
      <c r="M270" s="229">
        <f t="shared" si="41"/>
        <v>81165064.319999993</v>
      </c>
      <c r="N270" s="229">
        <f t="shared" si="41"/>
        <v>74690611.468536898</v>
      </c>
      <c r="O270" s="218"/>
      <c r="P270" s="229">
        <f t="shared" si="42"/>
        <v>50332521.959999993</v>
      </c>
      <c r="Q270" s="229">
        <f t="shared" si="42"/>
        <v>5322469.5599999996</v>
      </c>
      <c r="R270" s="214"/>
      <c r="S270" s="229">
        <f>$H147*S121</f>
        <v>5403009.1199999992</v>
      </c>
    </row>
    <row r="271" spans="2:19" s="17" customFormat="1" ht="12.75" x14ac:dyDescent="0.2">
      <c r="B271" s="17" t="s">
        <v>461</v>
      </c>
      <c r="F271" s="17" t="s">
        <v>454</v>
      </c>
      <c r="L271" s="218"/>
      <c r="M271" s="229">
        <f t="shared" si="41"/>
        <v>79612050.480000004</v>
      </c>
      <c r="N271" s="229">
        <f t="shared" si="41"/>
        <v>72752611.54598254</v>
      </c>
      <c r="O271" s="218"/>
      <c r="P271" s="229">
        <f t="shared" si="42"/>
        <v>50075841.600000001</v>
      </c>
      <c r="Q271" s="229">
        <f t="shared" si="42"/>
        <v>4019551.8000000003</v>
      </c>
      <c r="R271" s="214"/>
      <c r="S271" s="229">
        <f>$H148*S122</f>
        <v>5109133.4463563757</v>
      </c>
    </row>
    <row r="272" spans="2:19" s="17" customFormat="1" ht="12.75" x14ac:dyDescent="0.2">
      <c r="B272" s="17" t="s">
        <v>463</v>
      </c>
      <c r="F272" s="17" t="s">
        <v>454</v>
      </c>
      <c r="L272" s="218"/>
      <c r="M272" s="218"/>
      <c r="N272" s="229">
        <f>$H149*N123</f>
        <v>2760</v>
      </c>
      <c r="O272" s="218"/>
      <c r="P272" s="218"/>
      <c r="Q272" s="218"/>
      <c r="R272" s="219"/>
      <c r="S272" s="218"/>
    </row>
    <row r="273" spans="2:23" s="17" customFormat="1" ht="12.75" x14ac:dyDescent="0.2">
      <c r="B273" s="17" t="s">
        <v>464</v>
      </c>
      <c r="F273" s="17" t="s">
        <v>454</v>
      </c>
      <c r="L273" s="218"/>
      <c r="M273" s="218"/>
      <c r="N273" s="229">
        <f>$H150*N124</f>
        <v>465852.71781924431</v>
      </c>
      <c r="O273" s="218"/>
      <c r="P273" s="218"/>
      <c r="Q273" s="218"/>
      <c r="R273" s="219"/>
      <c r="S273" s="218"/>
    </row>
    <row r="274" spans="2:23" s="17" customFormat="1" ht="12.75" x14ac:dyDescent="0.2">
      <c r="B274" s="17" t="s">
        <v>465</v>
      </c>
      <c r="F274" s="17" t="s">
        <v>454</v>
      </c>
      <c r="L274" s="218"/>
      <c r="M274" s="218"/>
      <c r="N274" s="229">
        <f>$H151*N125</f>
        <v>31361.000000000004</v>
      </c>
      <c r="O274" s="218"/>
      <c r="P274" s="218"/>
      <c r="Q274" s="218"/>
      <c r="R274" s="219"/>
      <c r="S274" s="218"/>
    </row>
    <row r="275" spans="2:23" s="17" customFormat="1" ht="12.75" x14ac:dyDescent="0.2">
      <c r="R275" s="109"/>
    </row>
    <row r="276" spans="2:23" s="17" customFormat="1" ht="12.75" x14ac:dyDescent="0.2">
      <c r="B276" s="17" t="s">
        <v>546</v>
      </c>
      <c r="F276" s="17" t="s">
        <v>113</v>
      </c>
      <c r="J276" s="225">
        <f>SUM(L276:Q276,S276)</f>
        <v>438475642.74215961</v>
      </c>
      <c r="L276" s="218"/>
      <c r="M276" s="229">
        <f>SUM(M264:M274)</f>
        <v>162430148.07999998</v>
      </c>
      <c r="N276" s="229">
        <f t="shared" ref="N276" si="43">SUM(N264:N274)</f>
        <v>155769167.17580327</v>
      </c>
      <c r="O276" s="230"/>
      <c r="P276" s="229">
        <f t="shared" ref="P276:Q276" si="44">SUM(P264:P274)</f>
        <v>100416643.56</v>
      </c>
      <c r="Q276" s="229">
        <f t="shared" si="44"/>
        <v>9344781.3599999994</v>
      </c>
      <c r="R276" s="214"/>
      <c r="S276" s="229">
        <f t="shared" ref="S276" si="45">SUM(S264:S274)</f>
        <v>10514902.566356376</v>
      </c>
    </row>
    <row r="277" spans="2:23" s="17" customFormat="1" ht="12.75" x14ac:dyDescent="0.2">
      <c r="R277" s="109"/>
    </row>
    <row r="278" spans="2:23" s="17" customFormat="1" ht="12.75" x14ac:dyDescent="0.2">
      <c r="B278" s="17" t="s">
        <v>543</v>
      </c>
      <c r="F278" s="17" t="s">
        <v>113</v>
      </c>
      <c r="J278" s="225">
        <f>SUM(L278:Q278,S278)</f>
        <v>203267163.49273941</v>
      </c>
      <c r="L278" s="218"/>
      <c r="M278" s="229">
        <f>M261-M276</f>
        <v>73438267.680000007</v>
      </c>
      <c r="N278" s="229">
        <f>N261-N276</f>
        <v>76656201.779752314</v>
      </c>
      <c r="O278" s="230"/>
      <c r="P278" s="229">
        <f>P261-P276</f>
        <v>44392005</v>
      </c>
      <c r="Q278" s="229">
        <f>Q261-Q276</f>
        <v>4132621</v>
      </c>
      <c r="R278" s="214"/>
      <c r="S278" s="229">
        <f t="shared" ref="S278" si="46">S261-S276</f>
        <v>4648068.0329870824</v>
      </c>
    </row>
    <row r="279" spans="2:23" s="17" customFormat="1" ht="12.75" x14ac:dyDescent="0.2">
      <c r="R279" s="109"/>
    </row>
    <row r="280" spans="2:23" s="17" customFormat="1" ht="12.75" x14ac:dyDescent="0.2">
      <c r="B280" s="212" t="s">
        <v>541</v>
      </c>
      <c r="H280" s="231">
        <f>H27/H28</f>
        <v>0.55548921429043308</v>
      </c>
      <c r="R280" s="109"/>
    </row>
    <row r="281" spans="2:23" s="17" customFormat="1" ht="12.75" x14ac:dyDescent="0.2">
      <c r="R281" s="109"/>
    </row>
    <row r="282" spans="2:23" s="109" customFormat="1" ht="12.75" x14ac:dyDescent="0.2">
      <c r="B282" s="17" t="s">
        <v>542</v>
      </c>
      <c r="F282" s="17" t="s">
        <v>63</v>
      </c>
      <c r="J282" s="233"/>
      <c r="L282" s="232">
        <f>L24*$H$280/$J$245</f>
        <v>2.7573943546425352E-3</v>
      </c>
      <c r="M282" s="232">
        <f>M24*$H$280/$J$245</f>
        <v>1.2964897786492044E-4</v>
      </c>
      <c r="N282" s="232">
        <f>N24*$H$280/$J$245</f>
        <v>8.990450922654956E-4</v>
      </c>
      <c r="O282" s="232">
        <f t="shared" ref="O282:S282" si="47">O24*$H$280/$J$245</f>
        <v>1.8752303987525504E-3</v>
      </c>
      <c r="P282" s="232">
        <f>P24*$H$280/$J$245</f>
        <v>1.9687591798106126E-3</v>
      </c>
      <c r="Q282" s="232">
        <f t="shared" si="47"/>
        <v>2.2992442961000282E-4</v>
      </c>
      <c r="R282" s="234"/>
      <c r="S282" s="232">
        <f t="shared" si="47"/>
        <v>0</v>
      </c>
    </row>
    <row r="283" spans="2:23" s="17" customFormat="1" ht="12.75" x14ac:dyDescent="0.2">
      <c r="B283" s="17" t="s">
        <v>548</v>
      </c>
      <c r="F283" s="109" t="s">
        <v>113</v>
      </c>
      <c r="J283" s="225">
        <f>SUM(L283:Q283,S283)</f>
        <v>1597680.3995909879</v>
      </c>
      <c r="L283" s="229">
        <f>(L282*$J$278)</f>
        <v>560487.7290990809</v>
      </c>
      <c r="M283" s="229">
        <f t="shared" ref="M283:Q283" si="48">(M282*$J$278)</f>
        <v>26353.379980335336</v>
      </c>
      <c r="N283" s="229">
        <f t="shared" si="48"/>
        <v>182746.34575687547</v>
      </c>
      <c r="O283" s="229">
        <f t="shared" si="48"/>
        <v>381172.76404978958</v>
      </c>
      <c r="P283" s="229">
        <f t="shared" si="48"/>
        <v>400184.09408039536</v>
      </c>
      <c r="Q283" s="229">
        <f t="shared" si="48"/>
        <v>46736.086624511299</v>
      </c>
      <c r="R283" s="214"/>
      <c r="S283" s="229">
        <f>(S282*$J$278)</f>
        <v>0</v>
      </c>
      <c r="W283" s="133"/>
    </row>
    <row r="284" spans="2:23" s="17" customFormat="1" ht="12.75" x14ac:dyDescent="0.2">
      <c r="R284" s="109"/>
    </row>
    <row r="285" spans="2:23" s="17" customFormat="1" ht="12.75" x14ac:dyDescent="0.2">
      <c r="B285" s="109" t="s">
        <v>547</v>
      </c>
      <c r="F285" s="109" t="s">
        <v>113</v>
      </c>
      <c r="J285" s="225">
        <f>SUM(L285:Q285,S285)</f>
        <v>465420816.10954553</v>
      </c>
      <c r="L285" s="141">
        <f>L23-L278</f>
        <v>0</v>
      </c>
      <c r="M285" s="141">
        <f t="shared" ref="M285:S285" si="49">M23-M278</f>
        <v>175023294.79228497</v>
      </c>
      <c r="N285" s="141">
        <f t="shared" si="49"/>
        <v>164565239.51024771</v>
      </c>
      <c r="O285" s="141">
        <f t="shared" si="49"/>
        <v>0</v>
      </c>
      <c r="P285" s="141">
        <f t="shared" si="49"/>
        <v>104498125.38999999</v>
      </c>
      <c r="Q285" s="141">
        <f t="shared" si="49"/>
        <v>9819939.0299999993</v>
      </c>
      <c r="R285" s="214"/>
      <c r="S285" s="141">
        <f t="shared" si="49"/>
        <v>11514217.387012923</v>
      </c>
    </row>
    <row r="286" spans="2:23" s="17" customFormat="1" ht="12.75" x14ac:dyDescent="0.2">
      <c r="B286" s="17" t="s">
        <v>549</v>
      </c>
      <c r="F286" s="17" t="s">
        <v>113</v>
      </c>
      <c r="J286" s="225">
        <f>SUM(L286:Q286,S286)</f>
        <v>7864049.9298979724</v>
      </c>
      <c r="L286" s="141">
        <f t="shared" ref="L286:Q286" si="50">L24-L283</f>
        <v>2758814.2709009191</v>
      </c>
      <c r="M286" s="141">
        <f t="shared" si="50"/>
        <v>129715.74041966468</v>
      </c>
      <c r="N286" s="141">
        <f t="shared" si="50"/>
        <v>899508.05424312444</v>
      </c>
      <c r="O286" s="141">
        <f t="shared" si="50"/>
        <v>1876196.0459502104</v>
      </c>
      <c r="P286" s="141">
        <f t="shared" si="50"/>
        <v>1969772.9895196047</v>
      </c>
      <c r="Q286" s="141">
        <f t="shared" si="50"/>
        <v>230042.8288644487</v>
      </c>
      <c r="R286" s="214"/>
      <c r="S286" s="141">
        <f>S24-S283</f>
        <v>0</v>
      </c>
    </row>
    <row r="287" spans="2:23" s="17" customFormat="1" ht="12.75" x14ac:dyDescent="0.2"/>
    <row r="288" spans="2:23" s="17" customFormat="1" ht="12.75" x14ac:dyDescent="0.2"/>
    <row r="289" s="17" customFormat="1" ht="12.75" x14ac:dyDescent="0.2"/>
    <row r="290" s="17" customFormat="1" ht="12.75" x14ac:dyDescent="0.2"/>
    <row r="291" s="17" customFormat="1" ht="12.75" x14ac:dyDescent="0.2"/>
    <row r="292" s="17" customFormat="1" ht="12.75" x14ac:dyDescent="0.2"/>
    <row r="293" s="17" customFormat="1" ht="12.75" x14ac:dyDescent="0.2"/>
    <row r="294" s="17" customFormat="1" ht="12.75" x14ac:dyDescent="0.2"/>
    <row r="295" s="17" customFormat="1" ht="12.75" x14ac:dyDescent="0.2"/>
    <row r="296" s="17" customFormat="1" ht="12.75" x14ac:dyDescent="0.2"/>
    <row r="297" s="17" customFormat="1" ht="12.75" x14ac:dyDescent="0.2"/>
    <row r="298" s="17" customFormat="1" ht="12.75" x14ac:dyDescent="0.2"/>
    <row r="299" s="17" customFormat="1" ht="12.75" x14ac:dyDescent="0.2"/>
    <row r="300" s="17" customFormat="1" ht="12.75" x14ac:dyDescent="0.2"/>
  </sheetData>
  <mergeCells count="2">
    <mergeCell ref="B8:F8"/>
    <mergeCell ref="B5:F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4">
    <tabColor rgb="FFFFFFCC"/>
  </sheetPr>
  <dimension ref="A1:U417"/>
  <sheetViews>
    <sheetView showGridLines="0" zoomScale="85" zoomScaleNormal="85" workbookViewId="0">
      <pane xSplit="6" ySplit="11" topLeftCell="G12" activePane="bottomRight" state="frozen"/>
      <selection pane="topRight" activeCell="G1" sqref="G1"/>
      <selection pane="bottomLeft" activeCell="A11" sqref="A11"/>
      <selection pane="bottomRight" activeCell="G12" sqref="G12"/>
    </sheetView>
  </sheetViews>
  <sheetFormatPr defaultRowHeight="14.25" x14ac:dyDescent="0.2"/>
  <cols>
    <col min="1" max="1" width="2.7109375" style="15" customWidth="1"/>
    <col min="2" max="2" width="67" style="15" customWidth="1"/>
    <col min="3" max="3" width="2.7109375" style="15" customWidth="1"/>
    <col min="4" max="4" width="13.7109375" style="15" customWidth="1"/>
    <col min="5" max="5" width="2.7109375" style="15" customWidth="1"/>
    <col min="6" max="6" width="13.7109375" style="15" customWidth="1"/>
    <col min="7" max="7" width="2.7109375" style="180" customWidth="1"/>
    <col min="8" max="8" width="13.7109375" style="180" customWidth="1"/>
    <col min="9" max="9" width="2.7109375" style="15" customWidth="1"/>
    <col min="10" max="10" width="15" style="15" customWidth="1"/>
    <col min="11" max="11" width="2.7109375" style="15" customWidth="1"/>
    <col min="12" max="17" width="13.7109375" style="15" customWidth="1"/>
    <col min="18" max="18" width="2.7109375" style="72" customWidth="1"/>
    <col min="19" max="19" width="13.7109375" style="15" customWidth="1"/>
    <col min="20" max="20" width="2.7109375" style="15" customWidth="1"/>
    <col min="21" max="21" width="14.7109375" style="15" customWidth="1"/>
    <col min="22" max="22" width="17.42578125" style="15" customWidth="1"/>
    <col min="23" max="23" width="20" style="15" customWidth="1"/>
    <col min="24" max="24" width="9.140625" style="15"/>
    <col min="25" max="25" width="4.5703125" style="15" customWidth="1"/>
    <col min="26" max="26" width="9.140625" style="15" customWidth="1"/>
    <col min="27" max="16384" width="9.140625" style="15"/>
  </cols>
  <sheetData>
    <row r="1" spans="1:21" s="32" customFormat="1" ht="12.75" x14ac:dyDescent="0.2">
      <c r="A1" s="17"/>
      <c r="B1" s="17"/>
      <c r="C1" s="17"/>
      <c r="D1" s="17"/>
      <c r="E1" s="17"/>
      <c r="F1" s="17"/>
      <c r="G1" s="17"/>
      <c r="H1" s="17"/>
      <c r="I1" s="17"/>
      <c r="J1" s="17"/>
      <c r="K1" s="17"/>
      <c r="L1" s="17"/>
      <c r="M1" s="17"/>
      <c r="N1" s="17"/>
      <c r="O1" s="17"/>
      <c r="P1" s="17"/>
      <c r="Q1" s="17"/>
      <c r="R1" s="43"/>
      <c r="S1" s="17"/>
      <c r="T1" s="17"/>
    </row>
    <row r="2" spans="1:21" s="18" customFormat="1" ht="18" x14ac:dyDescent="0.2">
      <c r="B2" s="18" t="s">
        <v>576</v>
      </c>
    </row>
    <row r="3" spans="1:21" s="171" customFormat="1" ht="12.75" customHeight="1" x14ac:dyDescent="0.2">
      <c r="A3" s="17"/>
      <c r="B3" s="21"/>
      <c r="C3" s="17"/>
      <c r="D3" s="17"/>
      <c r="E3" s="17"/>
      <c r="F3" s="17"/>
      <c r="G3" s="17"/>
      <c r="H3" s="17"/>
      <c r="I3" s="17"/>
      <c r="J3" s="17"/>
      <c r="K3" s="17"/>
      <c r="L3" s="17"/>
      <c r="M3" s="17"/>
      <c r="N3" s="17"/>
      <c r="O3" s="17"/>
      <c r="P3" s="17"/>
      <c r="Q3" s="17"/>
      <c r="R3" s="43"/>
      <c r="S3" s="17"/>
      <c r="T3" s="17"/>
    </row>
    <row r="4" spans="1:21" s="32" customFormat="1" ht="12.75" x14ac:dyDescent="0.2">
      <c r="A4" s="17"/>
      <c r="B4" s="19" t="s">
        <v>596</v>
      </c>
      <c r="C4" s="17"/>
      <c r="D4" s="17"/>
      <c r="E4" s="17"/>
      <c r="F4" s="17"/>
      <c r="G4" s="17"/>
      <c r="H4" s="17"/>
      <c r="I4" s="17"/>
      <c r="J4" s="17"/>
      <c r="K4" s="20"/>
      <c r="L4" s="20"/>
      <c r="M4" s="17"/>
      <c r="N4" s="17"/>
      <c r="O4" s="17"/>
      <c r="P4" s="17"/>
      <c r="Q4" s="17"/>
      <c r="R4" s="41"/>
      <c r="S4" s="17"/>
      <c r="T4" s="20"/>
    </row>
    <row r="5" spans="1:21" s="32" customFormat="1" ht="76.5" customHeight="1" x14ac:dyDescent="0.2">
      <c r="A5" s="17"/>
      <c r="B5" s="253" t="s">
        <v>602</v>
      </c>
      <c r="C5" s="253"/>
      <c r="D5" s="253"/>
      <c r="E5" s="17"/>
      <c r="F5" s="17"/>
      <c r="G5" s="17"/>
      <c r="H5" s="17"/>
      <c r="I5" s="17"/>
      <c r="J5" s="17"/>
      <c r="K5" s="17"/>
      <c r="L5" s="17"/>
      <c r="M5" s="17"/>
      <c r="N5" s="17"/>
      <c r="O5" s="17"/>
      <c r="P5" s="17"/>
      <c r="Q5" s="17"/>
      <c r="R5" s="43"/>
      <c r="S5" s="17"/>
      <c r="T5" s="17"/>
    </row>
    <row r="6" spans="1:21" s="32" customFormat="1" ht="12.75" customHeight="1" x14ac:dyDescent="0.2">
      <c r="A6" s="17"/>
      <c r="B6" s="21"/>
      <c r="C6" s="17"/>
      <c r="D6" s="17"/>
      <c r="E6" s="17"/>
      <c r="F6" s="17"/>
      <c r="G6" s="17"/>
      <c r="H6" s="17"/>
      <c r="I6" s="17"/>
      <c r="J6" s="17"/>
      <c r="K6" s="17"/>
      <c r="L6" s="17"/>
      <c r="M6" s="17"/>
      <c r="N6" s="17"/>
      <c r="O6" s="17"/>
      <c r="P6" s="17"/>
      <c r="Q6" s="17"/>
      <c r="R6" s="43"/>
      <c r="S6" s="17"/>
      <c r="T6" s="17"/>
    </row>
    <row r="7" spans="1:21" s="32" customFormat="1" ht="12.75" x14ac:dyDescent="0.2">
      <c r="B7" s="22" t="s">
        <v>80</v>
      </c>
      <c r="D7" s="31"/>
      <c r="F7" s="31"/>
      <c r="G7" s="31"/>
      <c r="H7" s="31"/>
      <c r="I7" s="31"/>
      <c r="J7" s="31"/>
      <c r="K7" s="31"/>
      <c r="L7" s="31"/>
      <c r="M7" s="31"/>
      <c r="N7" s="31"/>
      <c r="O7" s="31"/>
      <c r="P7" s="31"/>
      <c r="Q7" s="31"/>
      <c r="R7" s="46"/>
      <c r="S7" s="31"/>
      <c r="T7" s="31"/>
    </row>
    <row r="8" spans="1:21" s="32" customFormat="1" ht="38.25" customHeight="1" x14ac:dyDescent="0.2">
      <c r="B8" s="253" t="s">
        <v>239</v>
      </c>
      <c r="C8" s="253"/>
      <c r="D8" s="253"/>
      <c r="F8" s="31"/>
      <c r="G8" s="31"/>
      <c r="H8" s="31"/>
      <c r="I8" s="31"/>
      <c r="J8" s="31"/>
      <c r="K8" s="31"/>
      <c r="L8" s="31"/>
      <c r="M8" s="31"/>
      <c r="N8" s="31"/>
      <c r="O8" s="31"/>
      <c r="P8" s="31"/>
      <c r="Q8" s="31"/>
      <c r="R8" s="46"/>
      <c r="S8" s="31"/>
      <c r="T8" s="31"/>
    </row>
    <row r="9" spans="1:21" s="171" customFormat="1" ht="12.75" customHeight="1" x14ac:dyDescent="0.2">
      <c r="B9" s="253" t="s">
        <v>597</v>
      </c>
      <c r="C9" s="253"/>
      <c r="D9" s="253"/>
      <c r="E9" s="253"/>
      <c r="F9" s="253"/>
      <c r="G9" s="31"/>
      <c r="H9" s="31"/>
      <c r="I9" s="31"/>
      <c r="J9" s="31"/>
      <c r="K9" s="31"/>
      <c r="L9" s="31"/>
      <c r="M9" s="31"/>
      <c r="N9" s="31"/>
      <c r="O9" s="31"/>
      <c r="P9" s="31"/>
      <c r="Q9" s="31"/>
      <c r="R9" s="46"/>
      <c r="S9" s="31"/>
      <c r="T9" s="31"/>
    </row>
    <row r="10" spans="1:21" s="171" customFormat="1" ht="12.75" customHeight="1" x14ac:dyDescent="0.2">
      <c r="A10" s="17"/>
      <c r="B10" s="21"/>
      <c r="C10" s="17"/>
      <c r="D10" s="17"/>
      <c r="E10" s="17"/>
      <c r="F10" s="17"/>
      <c r="G10" s="17"/>
      <c r="H10" s="17"/>
      <c r="I10" s="17"/>
      <c r="J10" s="17"/>
      <c r="K10" s="17"/>
      <c r="L10" s="17"/>
      <c r="M10" s="17"/>
      <c r="N10" s="17"/>
      <c r="O10" s="17"/>
      <c r="P10" s="17"/>
      <c r="Q10" s="17"/>
      <c r="R10" s="43"/>
      <c r="S10" s="17"/>
      <c r="T10" s="17"/>
    </row>
    <row r="11" spans="1:21" s="24" customFormat="1" ht="12.75" x14ac:dyDescent="0.2">
      <c r="B11" s="24" t="s">
        <v>81</v>
      </c>
      <c r="D11" s="24" t="s">
        <v>66</v>
      </c>
      <c r="F11" s="24" t="s">
        <v>0</v>
      </c>
      <c r="H11" s="24" t="s">
        <v>439</v>
      </c>
      <c r="J11" s="24" t="s">
        <v>440</v>
      </c>
      <c r="L11" s="24" t="s">
        <v>82</v>
      </c>
      <c r="M11" s="24" t="s">
        <v>1</v>
      </c>
      <c r="N11" s="24" t="s">
        <v>2</v>
      </c>
      <c r="O11" s="24" t="s">
        <v>3</v>
      </c>
      <c r="P11" s="24" t="s">
        <v>4</v>
      </c>
      <c r="Q11" s="24" t="s">
        <v>5</v>
      </c>
      <c r="S11" s="24" t="s">
        <v>35</v>
      </c>
      <c r="U11" s="24" t="s">
        <v>550</v>
      </c>
    </row>
    <row r="12" spans="1:21" s="39" customFormat="1" x14ac:dyDescent="0.2">
      <c r="G12" s="180"/>
      <c r="H12" s="180"/>
      <c r="R12" s="72"/>
    </row>
    <row r="13" spans="1:21" s="24" customFormat="1" ht="12.75" x14ac:dyDescent="0.2">
      <c r="B13" s="24" t="s">
        <v>603</v>
      </c>
    </row>
    <row r="14" spans="1:21" s="39" customFormat="1" x14ac:dyDescent="0.2">
      <c r="G14" s="180"/>
      <c r="H14" s="180"/>
      <c r="R14" s="72"/>
    </row>
    <row r="15" spans="1:21" s="39" customFormat="1" ht="15" x14ac:dyDescent="0.2">
      <c r="B15" s="40" t="s">
        <v>131</v>
      </c>
      <c r="G15" s="180"/>
      <c r="H15" s="180"/>
      <c r="R15" s="72"/>
    </row>
    <row r="16" spans="1:21" s="39" customFormat="1" x14ac:dyDescent="0.2">
      <c r="B16" s="7" t="s">
        <v>238</v>
      </c>
      <c r="G16" s="180"/>
      <c r="H16" s="180"/>
      <c r="R16" s="72"/>
    </row>
    <row r="17" spans="2:19" s="32" customFormat="1" ht="12.75" x14ac:dyDescent="0.2">
      <c r="B17" s="4" t="s">
        <v>6</v>
      </c>
      <c r="G17" s="171"/>
      <c r="H17" s="171"/>
      <c r="R17" s="71"/>
    </row>
    <row r="18" spans="2:19" s="32" customFormat="1" ht="12.75" x14ac:dyDescent="0.2">
      <c r="B18" s="32" t="s">
        <v>7</v>
      </c>
      <c r="F18" s="32" t="s">
        <v>20</v>
      </c>
      <c r="G18" s="171"/>
      <c r="H18" s="171"/>
      <c r="J18" s="76">
        <f>SUM(L18:S18)</f>
        <v>433245657.58773011</v>
      </c>
      <c r="L18" s="9">
        <f>'3) Input operationele kosten'!L16</f>
        <v>0</v>
      </c>
      <c r="M18" s="9">
        <f>'3) Input operationele kosten'!M16</f>
        <v>162038366.07091802</v>
      </c>
      <c r="N18" s="9">
        <f>'3) Input operationele kosten'!N16</f>
        <v>154902134.30083051</v>
      </c>
      <c r="O18" s="9">
        <f>'3) Input operationele kosten'!O16</f>
        <v>0</v>
      </c>
      <c r="P18" s="9">
        <f>'3) Input operationele kosten'!P16</f>
        <v>97956760.129999995</v>
      </c>
      <c r="Q18" s="9">
        <f>'3) Input operationele kosten'!Q16</f>
        <v>9556977.525981538</v>
      </c>
      <c r="R18" s="44"/>
      <c r="S18" s="9">
        <f>'3) Input operationele kosten'!S16</f>
        <v>8791419.5600000024</v>
      </c>
    </row>
    <row r="19" spans="2:19" s="32" customFormat="1" ht="12.75" x14ac:dyDescent="0.2">
      <c r="B19" s="32" t="s">
        <v>8</v>
      </c>
      <c r="F19" s="32" t="s">
        <v>20</v>
      </c>
      <c r="G19" s="171"/>
      <c r="H19" s="171"/>
      <c r="J19" s="172">
        <f>SUM(L19:S19)</f>
        <v>10161047.026570963</v>
      </c>
      <c r="L19" s="9">
        <f>'3) Input operationele kosten'!L17</f>
        <v>3321046.5</v>
      </c>
      <c r="M19" s="9">
        <f>'3) Input operationele kosten'!M17</f>
        <v>0</v>
      </c>
      <c r="N19" s="9">
        <f>'3) Input operationele kosten'!N17</f>
        <v>1278014.4207042954</v>
      </c>
      <c r="O19" s="9">
        <f>'3) Input operationele kosten'!O17</f>
        <v>2205049.6699999995</v>
      </c>
      <c r="P19" s="9">
        <f>'3) Input operationele kosten'!P17</f>
        <v>3263307.9200000004</v>
      </c>
      <c r="Q19" s="9">
        <f>'3) Input operationele kosten'!Q17</f>
        <v>93628.515866666668</v>
      </c>
      <c r="R19" s="44"/>
      <c r="S19" s="9">
        <f>'3) Input operationele kosten'!S17</f>
        <v>0</v>
      </c>
    </row>
    <row r="20" spans="2:19" s="32" customFormat="1" ht="12.75" x14ac:dyDescent="0.2">
      <c r="B20" s="32" t="s">
        <v>9</v>
      </c>
      <c r="F20" s="32" t="s">
        <v>20</v>
      </c>
      <c r="G20" s="171"/>
      <c r="H20" s="171"/>
      <c r="J20" s="172">
        <f>SUM(L20:S20)</f>
        <v>181349105.17467612</v>
      </c>
      <c r="L20" s="9">
        <f>'3) Input operationele kosten'!L18</f>
        <v>727083.75999999989</v>
      </c>
      <c r="M20" s="9">
        <f>'3) Input operationele kosten'!M18</f>
        <v>65172068.558161162</v>
      </c>
      <c r="N20" s="9">
        <f>'3) Input operationele kosten'!N18</f>
        <v>72650496.048697948</v>
      </c>
      <c r="O20" s="9">
        <f>'3) Input operationele kosten'!O18</f>
        <v>458862.42</v>
      </c>
      <c r="P20" s="9">
        <f>'3) Input operationele kosten'!P18</f>
        <v>36892731.467817038</v>
      </c>
      <c r="Q20" s="9">
        <f>'3) Input operationele kosten'!Q18</f>
        <v>1521059.1</v>
      </c>
      <c r="R20" s="44"/>
      <c r="S20" s="9">
        <f>'3) Input operationele kosten'!S18</f>
        <v>3926803.8199999994</v>
      </c>
    </row>
    <row r="21" spans="2:19" s="32" customFormat="1" ht="12.75" x14ac:dyDescent="0.2">
      <c r="B21" s="32" t="s">
        <v>10</v>
      </c>
      <c r="F21" s="32" t="s">
        <v>20</v>
      </c>
      <c r="G21" s="171"/>
      <c r="H21" s="171"/>
      <c r="J21" s="172">
        <f>SUM(L21:S21)</f>
        <v>0</v>
      </c>
      <c r="L21" s="9">
        <f>'3) Input operationele kosten'!L19</f>
        <v>0</v>
      </c>
      <c r="M21" s="9">
        <f>'3) Input operationele kosten'!M19</f>
        <v>0</v>
      </c>
      <c r="N21" s="9">
        <f>'3) Input operationele kosten'!N19</f>
        <v>0</v>
      </c>
      <c r="O21" s="9">
        <f>'3) Input operationele kosten'!O19</f>
        <v>0</v>
      </c>
      <c r="P21" s="9">
        <f>'3) Input operationele kosten'!P19</f>
        <v>0</v>
      </c>
      <c r="Q21" s="9">
        <f>'3) Input operationele kosten'!Q19</f>
        <v>0</v>
      </c>
      <c r="R21" s="44"/>
      <c r="S21" s="9">
        <f>'3) Input operationele kosten'!S19</f>
        <v>0</v>
      </c>
    </row>
    <row r="22" spans="2:19" s="32" customFormat="1" ht="12.75" x14ac:dyDescent="0.2">
      <c r="G22" s="171"/>
      <c r="H22" s="171"/>
      <c r="J22" s="77"/>
      <c r="L22" s="34"/>
      <c r="M22" s="34"/>
      <c r="N22" s="34"/>
      <c r="O22" s="34"/>
      <c r="P22" s="34"/>
      <c r="Q22" s="34"/>
      <c r="R22" s="44"/>
      <c r="S22" s="34"/>
    </row>
    <row r="23" spans="2:19" s="32" customFormat="1" ht="12.75" x14ac:dyDescent="0.2">
      <c r="B23" s="4" t="s">
        <v>11</v>
      </c>
      <c r="G23" s="171"/>
      <c r="H23" s="171"/>
      <c r="J23" s="77"/>
      <c r="L23" s="34"/>
      <c r="M23" s="34"/>
      <c r="N23" s="34"/>
      <c r="O23" s="34"/>
      <c r="P23" s="34"/>
      <c r="Q23" s="34"/>
      <c r="R23" s="44"/>
      <c r="S23" s="34"/>
    </row>
    <row r="24" spans="2:19" s="32" customFormat="1" ht="12.75" x14ac:dyDescent="0.2">
      <c r="B24" s="32" t="s">
        <v>12</v>
      </c>
      <c r="F24" s="32" t="s">
        <v>20</v>
      </c>
      <c r="G24" s="171"/>
      <c r="H24" s="171"/>
      <c r="J24" s="172">
        <f t="shared" ref="J24:J26" si="0">SUM(L24:S24)</f>
        <v>843407209.24740136</v>
      </c>
      <c r="L24" s="9">
        <f>'3) Input operationele kosten'!L22</f>
        <v>3993305.2884554057</v>
      </c>
      <c r="M24" s="175">
        <f>'3) Input operationele kosten'!M22</f>
        <v>251599469.18863535</v>
      </c>
      <c r="N24" s="175">
        <f>'3) Input operationele kosten'!N22</f>
        <v>365721629.67821509</v>
      </c>
      <c r="O24" s="175">
        <f>'3) Input operationele kosten'!O22</f>
        <v>2121105.62</v>
      </c>
      <c r="P24" s="175">
        <f>'3) Input operationele kosten'!P22</f>
        <v>186752871.51111409</v>
      </c>
      <c r="Q24" s="175">
        <f>'3) Input operationele kosten'!Q22</f>
        <v>11056134.162798595</v>
      </c>
      <c r="R24" s="44"/>
      <c r="S24" s="175">
        <f>'3) Input operationele kosten'!S22</f>
        <v>22162693.798182774</v>
      </c>
    </row>
    <row r="25" spans="2:19" s="171" customFormat="1" ht="12.75" x14ac:dyDescent="0.2">
      <c r="B25" s="171" t="s">
        <v>430</v>
      </c>
      <c r="C25" s="102"/>
      <c r="E25" s="102"/>
      <c r="F25" s="171" t="s">
        <v>20</v>
      </c>
      <c r="J25" s="172">
        <f t="shared" si="0"/>
        <v>1329154.2823920669</v>
      </c>
      <c r="L25" s="175">
        <f>'3) Input operationele kosten'!L23</f>
        <v>6668</v>
      </c>
      <c r="M25" s="175">
        <f>'3) Input operationele kosten'!M23</f>
        <v>451155.00030178478</v>
      </c>
      <c r="N25" s="175">
        <f>'3) Input operationele kosten'!N23</f>
        <v>498522.66</v>
      </c>
      <c r="O25" s="175">
        <f>'3) Input operationele kosten'!O23</f>
        <v>6487.46</v>
      </c>
      <c r="P25" s="175">
        <f>'3) Input operationele kosten'!P23</f>
        <v>308790.94751250098</v>
      </c>
      <c r="Q25" s="175">
        <f>'3) Input operationele kosten'!Q23</f>
        <v>20309.5145777814</v>
      </c>
      <c r="R25" s="44"/>
      <c r="S25" s="175">
        <f>'3) Input operationele kosten'!S23</f>
        <v>37220.699999999997</v>
      </c>
    </row>
    <row r="26" spans="2:19" s="32" customFormat="1" ht="12.75" x14ac:dyDescent="0.2">
      <c r="B26" s="32" t="s">
        <v>13</v>
      </c>
      <c r="F26" s="32" t="s">
        <v>20</v>
      </c>
      <c r="G26" s="171"/>
      <c r="H26" s="171"/>
      <c r="J26" s="172">
        <f t="shared" si="0"/>
        <v>1854450.56</v>
      </c>
      <c r="L26" s="9">
        <f>'3) Input operationele kosten'!L24</f>
        <v>11398</v>
      </c>
      <c r="M26" s="9">
        <f>'3) Input operationele kosten'!M24</f>
        <v>564100</v>
      </c>
      <c r="N26" s="9">
        <f>'3) Input operationele kosten'!N24</f>
        <v>603671</v>
      </c>
      <c r="O26" s="9">
        <f>'3) Input operationele kosten'!O24</f>
        <v>254626.56</v>
      </c>
      <c r="P26" s="9">
        <f>'3) Input operationele kosten'!P24</f>
        <v>409687</v>
      </c>
      <c r="Q26" s="9">
        <f>'3) Input operationele kosten'!Q24</f>
        <v>10968</v>
      </c>
      <c r="R26" s="44"/>
      <c r="S26" s="9">
        <f>'3) Input operationele kosten'!S24</f>
        <v>0</v>
      </c>
    </row>
    <row r="27" spans="2:19" s="32" customFormat="1" ht="12.75" x14ac:dyDescent="0.2">
      <c r="G27" s="171"/>
      <c r="H27" s="171"/>
      <c r="J27" s="77"/>
      <c r="L27" s="34"/>
      <c r="M27" s="34"/>
      <c r="N27" s="34"/>
      <c r="O27" s="34"/>
      <c r="P27" s="34"/>
      <c r="Q27" s="34"/>
      <c r="R27" s="44"/>
      <c r="S27" s="34"/>
    </row>
    <row r="28" spans="2:19" s="32" customFormat="1" ht="12.75" x14ac:dyDescent="0.2">
      <c r="B28" s="4" t="s">
        <v>14</v>
      </c>
      <c r="G28" s="171"/>
      <c r="H28" s="171"/>
      <c r="J28" s="77"/>
      <c r="L28" s="34"/>
      <c r="M28" s="34"/>
      <c r="N28" s="34"/>
      <c r="O28" s="34"/>
      <c r="P28" s="34"/>
      <c r="Q28" s="34"/>
      <c r="R28" s="44"/>
      <c r="S28" s="34"/>
    </row>
    <row r="29" spans="2:19" s="32" customFormat="1" ht="12.75" x14ac:dyDescent="0.2">
      <c r="B29" s="32" t="s">
        <v>15</v>
      </c>
      <c r="F29" s="32" t="s">
        <v>20</v>
      </c>
      <c r="G29" s="171"/>
      <c r="H29" s="171"/>
      <c r="J29" s="172">
        <f t="shared" ref="J29:J32" si="1">SUM(L29:S29)</f>
        <v>6853735.8912426112</v>
      </c>
      <c r="L29" s="9">
        <f>'3) Input operationele kosten'!L27</f>
        <v>8387.82</v>
      </c>
      <c r="M29" s="9">
        <f>'3) Input operationele kosten'!M27</f>
        <v>4313970.714857935</v>
      </c>
      <c r="N29" s="9">
        <f>'3) Input operationele kosten'!N27</f>
        <v>1311642.93</v>
      </c>
      <c r="O29" s="9">
        <f>'3) Input operationele kosten'!O27</f>
        <v>0</v>
      </c>
      <c r="P29" s="9">
        <f>'3) Input operationele kosten'!P27</f>
        <v>1207518.5463846761</v>
      </c>
      <c r="Q29" s="9">
        <f>'3) Input operationele kosten'!Q27</f>
        <v>12215.88</v>
      </c>
      <c r="R29" s="44"/>
      <c r="S29" s="9">
        <f>'3) Input operationele kosten'!S27</f>
        <v>0</v>
      </c>
    </row>
    <row r="30" spans="2:19" s="32" customFormat="1" ht="12.75" x14ac:dyDescent="0.2">
      <c r="B30" s="32" t="s">
        <v>16</v>
      </c>
      <c r="F30" s="32" t="s">
        <v>20</v>
      </c>
      <c r="G30" s="171"/>
      <c r="H30" s="171"/>
      <c r="J30" s="172">
        <f t="shared" si="1"/>
        <v>1290133.4196464689</v>
      </c>
      <c r="L30" s="9">
        <f>'3) Input operationele kosten'!L28</f>
        <v>-173.01</v>
      </c>
      <c r="M30" s="9">
        <f>'3) Input operationele kosten'!M28</f>
        <v>1230313.867921771</v>
      </c>
      <c r="N30" s="82">
        <f>'3) Input operationele kosten'!N28</f>
        <v>0</v>
      </c>
      <c r="O30" s="9">
        <f>'3) Input operationele kosten'!O28</f>
        <v>3620.94</v>
      </c>
      <c r="P30" s="9">
        <f>'3) Input operationele kosten'!P28</f>
        <v>56371.621724698067</v>
      </c>
      <c r="Q30" s="9">
        <f>'3) Input operationele kosten'!Q28</f>
        <v>0</v>
      </c>
      <c r="R30" s="44"/>
      <c r="S30" s="9">
        <f>'3) Input operationele kosten'!S28</f>
        <v>0</v>
      </c>
    </row>
    <row r="31" spans="2:19" s="32" customFormat="1" ht="12.75" x14ac:dyDescent="0.2">
      <c r="B31" s="32" t="s">
        <v>17</v>
      </c>
      <c r="F31" s="32" t="s">
        <v>20</v>
      </c>
      <c r="G31" s="171"/>
      <c r="H31" s="171"/>
      <c r="J31" s="172">
        <f t="shared" si="1"/>
        <v>2581312.6533622276</v>
      </c>
      <c r="L31" s="9">
        <f>'3) Input operationele kosten'!L29</f>
        <v>824.12</v>
      </c>
      <c r="M31" s="9">
        <f>'3) Input operationele kosten'!M29</f>
        <v>940791.88407319936</v>
      </c>
      <c r="N31" s="82">
        <f>'3) Input operationele kosten'!N29</f>
        <v>1007992.2916745904</v>
      </c>
      <c r="O31" s="9">
        <f>'3) Input operationele kosten'!O29</f>
        <v>4435.88</v>
      </c>
      <c r="P31" s="9">
        <f>'3) Input operationele kosten'!P29</f>
        <v>395240.2931658228</v>
      </c>
      <c r="Q31" s="9">
        <f>'3) Input operationele kosten'!Q29</f>
        <v>83110.539999999994</v>
      </c>
      <c r="R31" s="44"/>
      <c r="S31" s="9">
        <f>'3) Input operationele kosten'!S29</f>
        <v>148917.64444861509</v>
      </c>
    </row>
    <row r="32" spans="2:19" s="32" customFormat="1" ht="12.75" x14ac:dyDescent="0.2">
      <c r="B32" s="32" t="s">
        <v>18</v>
      </c>
      <c r="F32" s="32" t="s">
        <v>20</v>
      </c>
      <c r="G32" s="171"/>
      <c r="H32" s="171"/>
      <c r="J32" s="172">
        <f t="shared" si="1"/>
        <v>29742317.310290616</v>
      </c>
      <c r="L32" s="9">
        <f>'3) Input operationele kosten'!L30</f>
        <v>0</v>
      </c>
      <c r="M32" s="9">
        <f>'3) Input operationele kosten'!M30</f>
        <v>2829708.0683512497</v>
      </c>
      <c r="N32" s="9">
        <f>'3) Input operationele kosten'!N30</f>
        <v>16619999.029893739</v>
      </c>
      <c r="O32" s="9">
        <f>'3) Input operationele kosten'!O30</f>
        <v>10148.17</v>
      </c>
      <c r="P32" s="9">
        <f>'3) Input operationele kosten'!P30</f>
        <v>10281972.042045627</v>
      </c>
      <c r="Q32" s="9">
        <f>'3) Input operationele kosten'!Q30</f>
        <v>490</v>
      </c>
      <c r="R32" s="44"/>
      <c r="S32" s="9">
        <f>'3) Input operationele kosten'!S30</f>
        <v>0</v>
      </c>
    </row>
    <row r="33" spans="2:19" s="39" customFormat="1" x14ac:dyDescent="0.2">
      <c r="G33" s="180"/>
      <c r="H33" s="180"/>
      <c r="J33" s="77"/>
      <c r="R33" s="72"/>
    </row>
    <row r="34" spans="2:19" s="50" customFormat="1" x14ac:dyDescent="0.2">
      <c r="B34" s="49" t="s">
        <v>21</v>
      </c>
      <c r="G34" s="180"/>
      <c r="H34" s="180"/>
      <c r="J34" s="77"/>
      <c r="R34" s="72"/>
    </row>
    <row r="35" spans="2:19" s="39" customFormat="1" x14ac:dyDescent="0.2">
      <c r="B35" s="35" t="s">
        <v>76</v>
      </c>
      <c r="C35" s="36"/>
      <c r="D35" s="36"/>
      <c r="E35" s="36"/>
      <c r="F35" s="38"/>
      <c r="G35" s="180"/>
      <c r="H35" s="103"/>
      <c r="J35" s="77"/>
      <c r="R35" s="72"/>
    </row>
    <row r="36" spans="2:19" s="39" customFormat="1" x14ac:dyDescent="0.2">
      <c r="B36" s="36" t="s">
        <v>22</v>
      </c>
      <c r="C36" s="36"/>
      <c r="D36" s="36"/>
      <c r="E36" s="36"/>
      <c r="F36" s="38" t="s">
        <v>20</v>
      </c>
      <c r="G36" s="180"/>
      <c r="H36" s="103"/>
      <c r="J36" s="172">
        <f t="shared" ref="J36:J44" si="2">SUM(L36:S36)</f>
        <v>7199760.1410000008</v>
      </c>
      <c r="L36" s="53">
        <f>'5) Overige opbrengsten'!L34</f>
        <v>49854.700000000004</v>
      </c>
      <c r="M36" s="53">
        <f>'5) Overige opbrengsten'!M34</f>
        <v>3646386.9371400001</v>
      </c>
      <c r="N36" s="53">
        <f>'5) Overige opbrengsten'!N34</f>
        <v>1082847.56</v>
      </c>
      <c r="O36" s="53">
        <f>'5) Overige opbrengsten'!O34</f>
        <v>19329.93</v>
      </c>
      <c r="P36" s="53">
        <f>'5) Overige opbrengsten'!P34</f>
        <v>2226819.8328600004</v>
      </c>
      <c r="Q36" s="53">
        <f>'5) Overige opbrengsten'!Q34</f>
        <v>8746.9599999999991</v>
      </c>
      <c r="R36" s="44"/>
      <c r="S36" s="53">
        <f>'5) Overige opbrengsten'!S34</f>
        <v>165774.22099999999</v>
      </c>
    </row>
    <row r="37" spans="2:19" s="39" customFormat="1" x14ac:dyDescent="0.2">
      <c r="B37" s="36" t="s">
        <v>23</v>
      </c>
      <c r="C37" s="36"/>
      <c r="D37" s="36"/>
      <c r="E37" s="36"/>
      <c r="F37" s="38" t="s">
        <v>20</v>
      </c>
      <c r="G37" s="180"/>
      <c r="H37" s="103"/>
      <c r="J37" s="172">
        <f t="shared" si="2"/>
        <v>2994679.4779570326</v>
      </c>
      <c r="L37" s="53">
        <f>'5) Overige opbrengsten'!L35</f>
        <v>40627.070000000007</v>
      </c>
      <c r="M37" s="53">
        <f>'5) Overige opbrengsten'!M35</f>
        <v>1177294.5501711483</v>
      </c>
      <c r="N37" s="53">
        <f>'5) Overige opbrengsten'!N35</f>
        <v>214000.08555588452</v>
      </c>
      <c r="O37" s="53">
        <f>'5) Overige opbrengsten'!O35</f>
        <v>0</v>
      </c>
      <c r="P37" s="53">
        <f>'5) Overige opbrengsten'!P35</f>
        <v>1550992.8132300002</v>
      </c>
      <c r="Q37" s="53">
        <f>'5) Overige opbrengsten'!Q35</f>
        <v>3040</v>
      </c>
      <c r="R37" s="44"/>
      <c r="S37" s="53">
        <f>'5) Overige opbrengsten'!S35</f>
        <v>8724.9590000000007</v>
      </c>
    </row>
    <row r="38" spans="2:19" s="39" customFormat="1" x14ac:dyDescent="0.2">
      <c r="B38" s="36" t="s">
        <v>28</v>
      </c>
      <c r="C38" s="36"/>
      <c r="D38" s="36"/>
      <c r="E38" s="36"/>
      <c r="F38" s="38" t="s">
        <v>20</v>
      </c>
      <c r="G38" s="180"/>
      <c r="H38" s="103"/>
      <c r="J38" s="172">
        <f t="shared" si="2"/>
        <v>8700213.4485382531</v>
      </c>
      <c r="L38" s="53">
        <f>'5) Overige opbrengsten'!L36</f>
        <v>23488.66</v>
      </c>
      <c r="M38" s="53">
        <f>'5) Overige opbrengsten'!M36</f>
        <v>3796333.4412199999</v>
      </c>
      <c r="N38" s="53">
        <f>'5) Overige opbrengsten'!N36</f>
        <v>2490048.2799999998</v>
      </c>
      <c r="O38" s="53">
        <f>'5) Overige opbrengsten'!O36</f>
        <v>33984.379999999997</v>
      </c>
      <c r="P38" s="53">
        <f>'5) Overige opbrengsten'!P36</f>
        <v>2113348.5487800012</v>
      </c>
      <c r="Q38" s="53">
        <f>'5) Overige opbrengsten'!Q36</f>
        <v>31182.52</v>
      </c>
      <c r="R38" s="44"/>
      <c r="S38" s="53">
        <f>'5) Overige opbrengsten'!S36</f>
        <v>211827.61853825234</v>
      </c>
    </row>
    <row r="39" spans="2:19" s="39" customFormat="1" x14ac:dyDescent="0.2">
      <c r="B39" s="36" t="s">
        <v>29</v>
      </c>
      <c r="C39" s="36"/>
      <c r="D39" s="36"/>
      <c r="E39" s="36"/>
      <c r="F39" s="38" t="s">
        <v>20</v>
      </c>
      <c r="G39" s="180"/>
      <c r="H39" s="103"/>
      <c r="J39" s="172">
        <f t="shared" si="2"/>
        <v>1610004.7152832486</v>
      </c>
      <c r="L39" s="53">
        <f>'5) Overige opbrengsten'!L37</f>
        <v>0</v>
      </c>
      <c r="M39" s="53">
        <f>'5) Overige opbrengsten'!M37</f>
        <v>19145.110144589937</v>
      </c>
      <c r="N39" s="53">
        <f>'5) Overige opbrengsten'!N37</f>
        <v>126493.73993017653</v>
      </c>
      <c r="O39" s="53">
        <f>'5) Overige opbrengsten'!O37</f>
        <v>8094.38</v>
      </c>
      <c r="P39" s="53">
        <f>'5) Overige opbrengsten'!P37</f>
        <v>1453555.6702084821</v>
      </c>
      <c r="Q39" s="53">
        <f>'5) Overige opbrengsten'!Q37</f>
        <v>2715.8150000000001</v>
      </c>
      <c r="R39" s="44"/>
      <c r="S39" s="53">
        <f>'5) Overige opbrengsten'!S37</f>
        <v>0</v>
      </c>
    </row>
    <row r="40" spans="2:19" s="39" customFormat="1" x14ac:dyDescent="0.2">
      <c r="B40" s="36" t="s">
        <v>30</v>
      </c>
      <c r="C40" s="36"/>
      <c r="D40" s="36"/>
      <c r="E40" s="36"/>
      <c r="F40" s="38" t="s">
        <v>20</v>
      </c>
      <c r="G40" s="180"/>
      <c r="H40" s="103"/>
      <c r="J40" s="172">
        <f t="shared" si="2"/>
        <v>95287.689999999988</v>
      </c>
      <c r="L40" s="53">
        <f>'5) Overige opbrengsten'!L38</f>
        <v>0</v>
      </c>
      <c r="M40" s="53">
        <f>'5) Overige opbrengsten'!M38</f>
        <v>0</v>
      </c>
      <c r="N40" s="53">
        <f>'5) Overige opbrengsten'!N38</f>
        <v>125269.63999999998</v>
      </c>
      <c r="O40" s="53">
        <f>'5) Overige opbrengsten'!O38</f>
        <v>1222.57</v>
      </c>
      <c r="P40" s="53">
        <f>'5) Overige opbrengsten'!P38</f>
        <v>0</v>
      </c>
      <c r="Q40" s="53">
        <f>'5) Overige opbrengsten'!Q38</f>
        <v>-31204.52</v>
      </c>
      <c r="R40" s="44"/>
      <c r="S40" s="53">
        <f>'5) Overige opbrengsten'!S38</f>
        <v>0</v>
      </c>
    </row>
    <row r="41" spans="2:19" s="39" customFormat="1" x14ac:dyDescent="0.2">
      <c r="B41" s="36" t="s">
        <v>31</v>
      </c>
      <c r="C41" s="36"/>
      <c r="D41" s="36"/>
      <c r="E41" s="36"/>
      <c r="F41" s="38" t="s">
        <v>20</v>
      </c>
      <c r="G41" s="180"/>
      <c r="H41" s="103"/>
      <c r="J41" s="172">
        <f t="shared" si="2"/>
        <v>2318121.757803279</v>
      </c>
      <c r="L41" s="53">
        <f>'5) Overige opbrengsten'!L39</f>
        <v>0</v>
      </c>
      <c r="M41" s="53">
        <f>'5) Overige opbrengsten'!M39</f>
        <v>0</v>
      </c>
      <c r="N41" s="53">
        <f>'5) Overige opbrengsten'!N39</f>
        <v>2318121.757803279</v>
      </c>
      <c r="O41" s="53">
        <f>'5) Overige opbrengsten'!O39</f>
        <v>0</v>
      </c>
      <c r="P41" s="53">
        <f>'5) Overige opbrengsten'!P39</f>
        <v>0</v>
      </c>
      <c r="Q41" s="53">
        <f>'5) Overige opbrengsten'!Q39</f>
        <v>0</v>
      </c>
      <c r="R41" s="44"/>
      <c r="S41" s="53">
        <f>'5) Overige opbrengsten'!S39</f>
        <v>0</v>
      </c>
    </row>
    <row r="42" spans="2:19" s="39" customFormat="1" x14ac:dyDescent="0.2">
      <c r="B42" s="36" t="s">
        <v>32</v>
      </c>
      <c r="C42" s="36"/>
      <c r="D42" s="36"/>
      <c r="E42" s="36"/>
      <c r="F42" s="38" t="s">
        <v>20</v>
      </c>
      <c r="G42" s="180"/>
      <c r="H42" s="103"/>
      <c r="J42" s="172">
        <f t="shared" si="2"/>
        <v>6237.16</v>
      </c>
      <c r="L42" s="53">
        <f>'5) Overige opbrengsten'!L40</f>
        <v>0</v>
      </c>
      <c r="M42" s="53">
        <f>'5) Overige opbrengsten'!M40</f>
        <v>0</v>
      </c>
      <c r="N42" s="53">
        <f>'5) Overige opbrengsten'!N40</f>
        <v>6237.16</v>
      </c>
      <c r="O42" s="53">
        <f>'5) Overige opbrengsten'!O40</f>
        <v>0</v>
      </c>
      <c r="P42" s="53">
        <f>'5) Overige opbrengsten'!P40</f>
        <v>0</v>
      </c>
      <c r="Q42" s="53">
        <f>'5) Overige opbrengsten'!Q40</f>
        <v>0</v>
      </c>
      <c r="R42" s="44"/>
      <c r="S42" s="53">
        <f>'5) Overige opbrengsten'!S40</f>
        <v>0</v>
      </c>
    </row>
    <row r="43" spans="2:19" s="39" customFormat="1" x14ac:dyDescent="0.2">
      <c r="B43" s="36" t="s">
        <v>33</v>
      </c>
      <c r="C43" s="36"/>
      <c r="D43" s="36"/>
      <c r="E43" s="36"/>
      <c r="F43" s="38" t="s">
        <v>20</v>
      </c>
      <c r="G43" s="180"/>
      <c r="H43" s="103"/>
      <c r="J43" s="172">
        <f t="shared" si="2"/>
        <v>-638382.73</v>
      </c>
      <c r="L43" s="53">
        <f>'5) Overige opbrengsten'!L41</f>
        <v>0</v>
      </c>
      <c r="M43" s="53">
        <f>'5) Overige opbrengsten'!M41</f>
        <v>0</v>
      </c>
      <c r="N43" s="53">
        <f>'5) Overige opbrengsten'!N41</f>
        <v>-638382.73</v>
      </c>
      <c r="O43" s="53">
        <f>'5) Overige opbrengsten'!O41</f>
        <v>0</v>
      </c>
      <c r="P43" s="53">
        <f>'5) Overige opbrengsten'!P41</f>
        <v>0</v>
      </c>
      <c r="Q43" s="53">
        <f>'5) Overige opbrengsten'!Q41</f>
        <v>0</v>
      </c>
      <c r="R43" s="44"/>
      <c r="S43" s="53">
        <f>'5) Overige opbrengsten'!S41</f>
        <v>0</v>
      </c>
    </row>
    <row r="44" spans="2:19" s="39" customFormat="1" x14ac:dyDescent="0.2">
      <c r="B44" s="36" t="s">
        <v>34</v>
      </c>
      <c r="C44" s="36"/>
      <c r="D44" s="36"/>
      <c r="E44" s="36"/>
      <c r="F44" s="38" t="s">
        <v>20</v>
      </c>
      <c r="G44" s="180"/>
      <c r="H44" s="103"/>
      <c r="J44" s="172">
        <f t="shared" si="2"/>
        <v>0</v>
      </c>
      <c r="L44" s="53">
        <f>'5) Overige opbrengsten'!L42</f>
        <v>0</v>
      </c>
      <c r="M44" s="53">
        <f>'5) Overige opbrengsten'!M42</f>
        <v>0</v>
      </c>
      <c r="N44" s="53">
        <f>'5) Overige opbrengsten'!N42</f>
        <v>0</v>
      </c>
      <c r="O44" s="53">
        <f>'5) Overige opbrengsten'!O42</f>
        <v>0</v>
      </c>
      <c r="P44" s="53">
        <f>'5) Overige opbrengsten'!P42</f>
        <v>0</v>
      </c>
      <c r="Q44" s="53">
        <f>'5) Overige opbrengsten'!Q42</f>
        <v>0</v>
      </c>
      <c r="R44" s="44"/>
      <c r="S44" s="53">
        <f>'5) Overige opbrengsten'!S42</f>
        <v>0</v>
      </c>
    </row>
    <row r="45" spans="2:19" s="39" customFormat="1" x14ac:dyDescent="0.2">
      <c r="G45" s="180"/>
      <c r="H45" s="180"/>
      <c r="J45" s="77"/>
      <c r="L45" s="57"/>
      <c r="M45" s="57"/>
      <c r="N45" s="57"/>
      <c r="O45" s="57"/>
      <c r="P45" s="57"/>
      <c r="Q45" s="57"/>
      <c r="R45" s="72"/>
      <c r="S45" s="57"/>
    </row>
    <row r="46" spans="2:19" s="39" customFormat="1" x14ac:dyDescent="0.2">
      <c r="B46" s="54" t="s">
        <v>70</v>
      </c>
      <c r="C46" s="55"/>
      <c r="D46" s="55"/>
      <c r="E46" s="55"/>
      <c r="F46" s="56"/>
      <c r="G46" s="180"/>
      <c r="H46" s="103"/>
      <c r="J46" s="77"/>
      <c r="L46" s="57"/>
      <c r="M46" s="57"/>
      <c r="N46" s="57"/>
      <c r="O46" s="57"/>
      <c r="P46" s="57"/>
      <c r="Q46" s="57"/>
      <c r="R46" s="72"/>
      <c r="S46" s="57"/>
    </row>
    <row r="47" spans="2:19" x14ac:dyDescent="0.2">
      <c r="B47" s="55" t="s">
        <v>71</v>
      </c>
      <c r="C47" s="55"/>
      <c r="D47" s="55"/>
      <c r="E47" s="55"/>
      <c r="F47" s="56" t="s">
        <v>20</v>
      </c>
      <c r="H47" s="103"/>
      <c r="J47" s="172">
        <f>SUM(L47:S47)</f>
        <v>897716.79999999946</v>
      </c>
      <c r="L47" s="53">
        <f>'5) Overige opbrengsten'!L45</f>
        <v>5311.96</v>
      </c>
      <c r="M47" s="53">
        <f>'5) Overige opbrengsten'!M45</f>
        <v>388528.40203999949</v>
      </c>
      <c r="N47" s="53">
        <f>'5) Overige opbrengsten'!N45</f>
        <v>249285.12999999983</v>
      </c>
      <c r="O47" s="53">
        <f>'5) Overige opbrengsten'!O45</f>
        <v>1241.1600000000001</v>
      </c>
      <c r="P47" s="53">
        <f>'5) Overige opbrengsten'!P45</f>
        <v>253350.14796000006</v>
      </c>
      <c r="Q47" s="53">
        <f>'5) Overige opbrengsten'!Q45</f>
        <v>0</v>
      </c>
      <c r="R47" s="44"/>
      <c r="S47" s="53">
        <f>'5) Overige opbrengsten'!S45</f>
        <v>0</v>
      </c>
    </row>
    <row r="48" spans="2:19" x14ac:dyDescent="0.2">
      <c r="B48" s="52"/>
      <c r="C48" s="55"/>
      <c r="D48" s="55"/>
      <c r="E48" s="55"/>
      <c r="F48" s="56"/>
      <c r="H48" s="103"/>
      <c r="J48" s="77"/>
      <c r="L48" s="57"/>
      <c r="M48" s="57"/>
      <c r="N48" s="57"/>
      <c r="O48" s="57"/>
      <c r="P48" s="57"/>
      <c r="Q48" s="57"/>
      <c r="S48" s="57"/>
    </row>
    <row r="49" spans="2:19" s="61" customFormat="1" x14ac:dyDescent="0.2">
      <c r="B49" s="63" t="s">
        <v>24</v>
      </c>
      <c r="C49" s="60"/>
      <c r="D49" s="60"/>
      <c r="E49" s="60"/>
      <c r="G49" s="180"/>
      <c r="H49" s="180"/>
      <c r="J49" s="77"/>
      <c r="R49" s="72"/>
    </row>
    <row r="50" spans="2:19" s="61" customFormat="1" x14ac:dyDescent="0.2">
      <c r="B50" s="62" t="s">
        <v>25</v>
      </c>
      <c r="C50" s="60"/>
      <c r="D50" s="60"/>
      <c r="E50" s="60"/>
      <c r="F50" s="66" t="s">
        <v>20</v>
      </c>
      <c r="G50" s="180"/>
      <c r="H50" s="103"/>
      <c r="J50" s="172">
        <f t="shared" ref="J50:J51" si="3">SUM(L50:S50)</f>
        <v>2419046.1049049674</v>
      </c>
      <c r="L50" s="64">
        <f>'5) Overige opbrengsten'!L23</f>
        <v>76681.200000000026</v>
      </c>
      <c r="M50" s="64">
        <f>'5) Overige opbrengsten'!M23</f>
        <v>1381612.5507937646</v>
      </c>
      <c r="N50" s="64">
        <f>'5) Overige opbrengsten'!N23</f>
        <v>161640.20999999996</v>
      </c>
      <c r="O50" s="64">
        <f>'5) Overige opbrengsten'!O23</f>
        <v>21240</v>
      </c>
      <c r="P50" s="64">
        <f>'5) Overige opbrengsten'!P23</f>
        <v>694064.53411120293</v>
      </c>
      <c r="Q50" s="64">
        <f>'5) Overige opbrengsten'!Q23</f>
        <v>18067.629999999994</v>
      </c>
      <c r="R50" s="44"/>
      <c r="S50" s="64">
        <f>'5) Overige opbrengsten'!S23</f>
        <v>65739.98</v>
      </c>
    </row>
    <row r="51" spans="2:19" s="61" customFormat="1" x14ac:dyDescent="0.2">
      <c r="B51" s="62" t="s">
        <v>26</v>
      </c>
      <c r="C51" s="60"/>
      <c r="D51" s="60"/>
      <c r="E51" s="60"/>
      <c r="F51" s="66" t="s">
        <v>20</v>
      </c>
      <c r="G51" s="180"/>
      <c r="H51" s="103"/>
      <c r="J51" s="172">
        <f t="shared" si="3"/>
        <v>72150818.330351964</v>
      </c>
      <c r="L51" s="64">
        <f>'5) Overige opbrengsten'!L31</f>
        <v>108563.85071797598</v>
      </c>
      <c r="M51" s="64">
        <f>'5) Overige opbrengsten'!M31</f>
        <v>38691821.747285634</v>
      </c>
      <c r="N51" s="64">
        <f>'5) Overige opbrengsten'!N31</f>
        <v>20716750.927180529</v>
      </c>
      <c r="O51" s="64">
        <f>'5) Overige opbrengsten'!O31</f>
        <v>65997.5</v>
      </c>
      <c r="P51" s="64">
        <f>'5) Overige opbrengsten'!P31</f>
        <v>10643920.606344713</v>
      </c>
      <c r="Q51" s="64">
        <f>'5) Overige opbrengsten'!Q31</f>
        <v>714842.66882310295</v>
      </c>
      <c r="R51" s="44"/>
      <c r="S51" s="64">
        <f>'5) Overige opbrengsten'!S31</f>
        <v>1208921.03</v>
      </c>
    </row>
    <row r="52" spans="2:19" s="67" customFormat="1" x14ac:dyDescent="0.2">
      <c r="B52" s="62"/>
      <c r="C52" s="65"/>
      <c r="D52" s="65"/>
      <c r="E52" s="65"/>
      <c r="F52" s="66"/>
      <c r="G52" s="180"/>
      <c r="H52" s="103"/>
      <c r="J52" s="77"/>
      <c r="R52" s="72"/>
    </row>
    <row r="53" spans="2:19" x14ac:dyDescent="0.2">
      <c r="B53" s="69" t="s">
        <v>27</v>
      </c>
      <c r="C53" s="55"/>
      <c r="D53" s="55"/>
      <c r="E53" s="55"/>
      <c r="F53" s="56"/>
      <c r="H53" s="103"/>
      <c r="J53" s="77"/>
      <c r="L53" s="57"/>
      <c r="M53" s="57"/>
      <c r="N53" s="57"/>
      <c r="O53" s="57"/>
      <c r="P53" s="57"/>
      <c r="Q53" s="57"/>
      <c r="S53" s="57"/>
    </row>
    <row r="54" spans="2:19" x14ac:dyDescent="0.2">
      <c r="B54" s="68" t="s">
        <v>25</v>
      </c>
      <c r="C54" s="55"/>
      <c r="D54" s="55"/>
      <c r="E54" s="55"/>
      <c r="F54" s="56" t="s">
        <v>20</v>
      </c>
      <c r="H54" s="103"/>
      <c r="J54" s="172">
        <f>SUM(L54:S54)</f>
        <v>2367143.5885749464</v>
      </c>
      <c r="L54" s="53">
        <f>'5) Overige opbrengsten'!L16</f>
        <v>24778.683669978891</v>
      </c>
      <c r="M54" s="70">
        <f>'5) Overige opbrengsten'!M16</f>
        <v>1381612.5507937646</v>
      </c>
      <c r="N54" s="70">
        <f>'5) Overige opbrengsten'!N16</f>
        <v>161640.20999999996</v>
      </c>
      <c r="O54" s="70">
        <f>'5) Overige opbrengsten'!O16</f>
        <v>21240</v>
      </c>
      <c r="P54" s="70">
        <f>'5) Overige opbrengsten'!P16</f>
        <v>694064.53411120293</v>
      </c>
      <c r="Q54" s="70">
        <f>'5) Overige opbrengsten'!Q16</f>
        <v>18067.629999999994</v>
      </c>
      <c r="R54" s="44"/>
      <c r="S54" s="70">
        <f>'5) Overige opbrengsten'!S16</f>
        <v>65739.98</v>
      </c>
    </row>
    <row r="55" spans="2:19" x14ac:dyDescent="0.2">
      <c r="J55" s="77"/>
    </row>
    <row r="56" spans="2:19" ht="15" x14ac:dyDescent="0.2">
      <c r="B56" s="40" t="s">
        <v>133</v>
      </c>
      <c r="J56" s="77"/>
    </row>
    <row r="57" spans="2:19" x14ac:dyDescent="0.2">
      <c r="B57" s="59" t="s">
        <v>6</v>
      </c>
      <c r="C57" s="58"/>
      <c r="D57" s="58"/>
      <c r="E57" s="58"/>
      <c r="F57" s="58"/>
      <c r="H57" s="171"/>
      <c r="J57" s="77"/>
    </row>
    <row r="58" spans="2:19" x14ac:dyDescent="0.2">
      <c r="B58" s="58" t="s">
        <v>7</v>
      </c>
      <c r="C58" s="58"/>
      <c r="D58" s="58"/>
      <c r="E58" s="58"/>
      <c r="F58" s="58" t="s">
        <v>20</v>
      </c>
      <c r="H58" s="171"/>
      <c r="J58" s="172">
        <f>SUM(L58:S58)</f>
        <v>433245657.58773011</v>
      </c>
      <c r="L58" s="226">
        <f>L18</f>
        <v>0</v>
      </c>
      <c r="M58" s="226">
        <f t="shared" ref="M58:S58" si="4">M18</f>
        <v>162038366.07091802</v>
      </c>
      <c r="N58" s="226">
        <f t="shared" si="4"/>
        <v>154902134.30083051</v>
      </c>
      <c r="O58" s="226">
        <f t="shared" si="4"/>
        <v>0</v>
      </c>
      <c r="P58" s="226">
        <f t="shared" si="4"/>
        <v>97956760.129999995</v>
      </c>
      <c r="Q58" s="226">
        <f t="shared" si="4"/>
        <v>9556977.525981538</v>
      </c>
      <c r="R58" s="189"/>
      <c r="S58" s="226">
        <f t="shared" si="4"/>
        <v>8791419.5600000024</v>
      </c>
    </row>
    <row r="59" spans="2:19" x14ac:dyDescent="0.2">
      <c r="B59" s="58" t="s">
        <v>8</v>
      </c>
      <c r="C59" s="58"/>
      <c r="D59" s="58"/>
      <c r="E59" s="58"/>
      <c r="F59" s="58" t="s">
        <v>20</v>
      </c>
      <c r="H59" s="171"/>
      <c r="J59" s="172">
        <f>SUM(L59:S59)</f>
        <v>10161047.026570963</v>
      </c>
      <c r="L59" s="226">
        <f>L19</f>
        <v>3321046.5</v>
      </c>
      <c r="M59" s="226">
        <f t="shared" ref="M59:S61" si="5">M19</f>
        <v>0</v>
      </c>
      <c r="N59" s="226">
        <f t="shared" si="5"/>
        <v>1278014.4207042954</v>
      </c>
      <c r="O59" s="226">
        <f t="shared" si="5"/>
        <v>2205049.6699999995</v>
      </c>
      <c r="P59" s="226">
        <f t="shared" si="5"/>
        <v>3263307.9200000004</v>
      </c>
      <c r="Q59" s="226">
        <f t="shared" si="5"/>
        <v>93628.515866666668</v>
      </c>
      <c r="R59" s="189"/>
      <c r="S59" s="226">
        <f t="shared" si="5"/>
        <v>0</v>
      </c>
    </row>
    <row r="60" spans="2:19" x14ac:dyDescent="0.2">
      <c r="B60" s="58" t="s">
        <v>9</v>
      </c>
      <c r="C60" s="58"/>
      <c r="D60" s="58"/>
      <c r="E60" s="58"/>
      <c r="F60" s="58" t="s">
        <v>20</v>
      </c>
      <c r="H60" s="171"/>
      <c r="J60" s="172">
        <f>SUM(L60:S60)</f>
        <v>170256948.7557191</v>
      </c>
      <c r="L60" s="188">
        <f>L20-SUM(L36:L37,L47)</f>
        <v>631290.02999999991</v>
      </c>
      <c r="M60" s="188">
        <f t="shared" ref="M60:S60" si="6">M20-SUM(M36:M37,M47)</f>
        <v>59959858.668810017</v>
      </c>
      <c r="N60" s="188">
        <f t="shared" si="6"/>
        <v>71104363.27314207</v>
      </c>
      <c r="O60" s="188">
        <f t="shared" si="6"/>
        <v>438291.32999999996</v>
      </c>
      <c r="P60" s="188">
        <f t="shared" si="6"/>
        <v>32861568.673767038</v>
      </c>
      <c r="Q60" s="188">
        <f t="shared" si="6"/>
        <v>1509272.1400000001</v>
      </c>
      <c r="R60" s="189"/>
      <c r="S60" s="188">
        <f t="shared" si="6"/>
        <v>3752304.6399999992</v>
      </c>
    </row>
    <row r="61" spans="2:19" x14ac:dyDescent="0.2">
      <c r="B61" s="58" t="s">
        <v>10</v>
      </c>
      <c r="C61" s="58"/>
      <c r="D61" s="58"/>
      <c r="E61" s="58"/>
      <c r="F61" s="58" t="s">
        <v>20</v>
      </c>
      <c r="H61" s="171"/>
      <c r="J61" s="172">
        <f>SUM(L61:S61)</f>
        <v>0</v>
      </c>
      <c r="L61" s="226">
        <f>L21</f>
        <v>0</v>
      </c>
      <c r="M61" s="226">
        <f t="shared" si="5"/>
        <v>0</v>
      </c>
      <c r="N61" s="226">
        <f t="shared" si="5"/>
        <v>0</v>
      </c>
      <c r="O61" s="226">
        <f t="shared" si="5"/>
        <v>0</v>
      </c>
      <c r="P61" s="226">
        <f t="shared" si="5"/>
        <v>0</v>
      </c>
      <c r="Q61" s="226">
        <f t="shared" si="5"/>
        <v>0</v>
      </c>
      <c r="R61" s="189"/>
      <c r="S61" s="226">
        <f t="shared" si="5"/>
        <v>0</v>
      </c>
    </row>
    <row r="62" spans="2:19" x14ac:dyDescent="0.2">
      <c r="B62" s="58"/>
      <c r="C62" s="58"/>
      <c r="D62" s="58"/>
      <c r="E62" s="58"/>
      <c r="F62" s="58"/>
      <c r="H62" s="171"/>
      <c r="J62" s="77"/>
      <c r="L62" s="185"/>
      <c r="M62" s="185"/>
      <c r="N62" s="185"/>
      <c r="O62" s="185"/>
      <c r="P62" s="185"/>
      <c r="Q62" s="185"/>
      <c r="R62" s="190"/>
      <c r="S62" s="185"/>
    </row>
    <row r="63" spans="2:19" x14ac:dyDescent="0.2">
      <c r="B63" s="59" t="s">
        <v>11</v>
      </c>
      <c r="C63" s="58"/>
      <c r="D63" s="58"/>
      <c r="E63" s="58"/>
      <c r="F63" s="58"/>
      <c r="H63" s="171"/>
      <c r="J63" s="77"/>
      <c r="L63" s="185"/>
      <c r="M63" s="185"/>
      <c r="N63" s="185"/>
      <c r="O63" s="185"/>
      <c r="P63" s="185"/>
      <c r="Q63" s="185"/>
      <c r="R63" s="190"/>
      <c r="S63" s="185"/>
    </row>
    <row r="64" spans="2:19" x14ac:dyDescent="0.2">
      <c r="B64" s="58" t="s">
        <v>12</v>
      </c>
      <c r="C64" s="58"/>
      <c r="D64" s="58"/>
      <c r="E64" s="58"/>
      <c r="F64" s="58" t="s">
        <v>20</v>
      </c>
      <c r="H64" s="171"/>
      <c r="J64" s="172">
        <f>SUM(L64:S64)</f>
        <v>759216811.39175451</v>
      </c>
      <c r="L64" s="188">
        <f>L24-SUM(L38:L44)+L50-L51-L54</f>
        <v>3913155.2940674513</v>
      </c>
      <c r="M64" s="188">
        <f t="shared" ref="M64:Q64" si="7">M24-SUM(M38:M44)+M50-M51-M54</f>
        <v>209092168.88998511</v>
      </c>
      <c r="N64" s="188">
        <f t="shared" si="7"/>
        <v>340577090.90330112</v>
      </c>
      <c r="O64" s="188">
        <f t="shared" si="7"/>
        <v>2011806.79</v>
      </c>
      <c r="P64" s="188">
        <f t="shared" si="7"/>
        <v>172542046.68578091</v>
      </c>
      <c r="Q64" s="188">
        <f t="shared" si="7"/>
        <v>10338597.678975493</v>
      </c>
      <c r="R64" s="189"/>
      <c r="S64" s="188">
        <f>S24-SUM(S38:S44)+S50-S51-S54</f>
        <v>20741945.14964452</v>
      </c>
    </row>
    <row r="65" spans="2:21" s="180" customFormat="1" x14ac:dyDescent="0.2">
      <c r="B65" s="171" t="s">
        <v>430</v>
      </c>
      <c r="C65" s="102"/>
      <c r="D65" s="171"/>
      <c r="E65" s="102"/>
      <c r="F65" s="171" t="s">
        <v>20</v>
      </c>
      <c r="H65" s="171"/>
      <c r="J65" s="172">
        <f>SUM(L65:S65)</f>
        <v>1329154.2823920669</v>
      </c>
      <c r="L65" s="226">
        <f>L25</f>
        <v>6668</v>
      </c>
      <c r="M65" s="226">
        <f t="shared" ref="M65:Q65" si="8">M25</f>
        <v>451155.00030178478</v>
      </c>
      <c r="N65" s="226">
        <f t="shared" si="8"/>
        <v>498522.66</v>
      </c>
      <c r="O65" s="226">
        <f t="shared" si="8"/>
        <v>6487.46</v>
      </c>
      <c r="P65" s="226">
        <f t="shared" si="8"/>
        <v>308790.94751250098</v>
      </c>
      <c r="Q65" s="226">
        <f t="shared" si="8"/>
        <v>20309.5145777814</v>
      </c>
      <c r="R65" s="189"/>
      <c r="S65" s="226">
        <f>S25</f>
        <v>37220.699999999997</v>
      </c>
    </row>
    <row r="66" spans="2:21" x14ac:dyDescent="0.2">
      <c r="B66" s="58" t="s">
        <v>13</v>
      </c>
      <c r="C66" s="58"/>
      <c r="D66" s="58"/>
      <c r="E66" s="58"/>
      <c r="F66" s="58" t="s">
        <v>20</v>
      </c>
      <c r="H66" s="171"/>
      <c r="J66" s="172">
        <f>SUM(L66:S66)</f>
        <v>1854450.56</v>
      </c>
      <c r="L66" s="226">
        <f>L26</f>
        <v>11398</v>
      </c>
      <c r="M66" s="226">
        <f t="shared" ref="M66:Q66" si="9">M26</f>
        <v>564100</v>
      </c>
      <c r="N66" s="226">
        <f t="shared" si="9"/>
        <v>603671</v>
      </c>
      <c r="O66" s="226">
        <f t="shared" si="9"/>
        <v>254626.56</v>
      </c>
      <c r="P66" s="226">
        <f t="shared" si="9"/>
        <v>409687</v>
      </c>
      <c r="Q66" s="226">
        <f t="shared" si="9"/>
        <v>10968</v>
      </c>
      <c r="R66" s="189"/>
      <c r="S66" s="226">
        <f>S26</f>
        <v>0</v>
      </c>
    </row>
    <row r="67" spans="2:21" x14ac:dyDescent="0.2">
      <c r="B67" s="58"/>
      <c r="C67" s="58"/>
      <c r="D67" s="58"/>
      <c r="E67" s="58"/>
      <c r="F67" s="58"/>
      <c r="H67" s="171"/>
      <c r="J67" s="77"/>
      <c r="L67" s="185"/>
      <c r="M67" s="185"/>
      <c r="N67" s="185"/>
      <c r="O67" s="185"/>
      <c r="P67" s="185"/>
      <c r="Q67" s="185"/>
      <c r="R67" s="190"/>
      <c r="S67" s="185"/>
    </row>
    <row r="68" spans="2:21" x14ac:dyDescent="0.2">
      <c r="B68" s="59" t="s">
        <v>14</v>
      </c>
      <c r="C68" s="58"/>
      <c r="D68" s="58"/>
      <c r="E68" s="58"/>
      <c r="F68" s="58"/>
      <c r="G68" s="171"/>
      <c r="H68" s="171"/>
      <c r="I68" s="58"/>
      <c r="J68" s="77"/>
      <c r="K68" s="58"/>
      <c r="L68" s="185"/>
      <c r="M68" s="185"/>
      <c r="N68" s="185"/>
      <c r="O68" s="185"/>
      <c r="P68" s="185"/>
      <c r="Q68" s="185"/>
      <c r="R68" s="190"/>
      <c r="S68" s="185"/>
      <c r="T68" s="58"/>
      <c r="U68" s="58"/>
    </row>
    <row r="69" spans="2:21" x14ac:dyDescent="0.2">
      <c r="B69" s="58" t="s">
        <v>15</v>
      </c>
      <c r="C69" s="58"/>
      <c r="D69" s="58"/>
      <c r="E69" s="58"/>
      <c r="F69" s="58" t="s">
        <v>20</v>
      </c>
      <c r="H69" s="171"/>
      <c r="J69" s="172">
        <f>SUM(L69:S69)</f>
        <v>6853735.8912426112</v>
      </c>
      <c r="L69" s="226">
        <f>L29</f>
        <v>8387.82</v>
      </c>
      <c r="M69" s="226">
        <f t="shared" ref="M69:Q69" si="10">M29</f>
        <v>4313970.714857935</v>
      </c>
      <c r="N69" s="226">
        <f t="shared" si="10"/>
        <v>1311642.93</v>
      </c>
      <c r="O69" s="226">
        <f t="shared" si="10"/>
        <v>0</v>
      </c>
      <c r="P69" s="226">
        <f t="shared" si="10"/>
        <v>1207518.5463846761</v>
      </c>
      <c r="Q69" s="226">
        <f t="shared" si="10"/>
        <v>12215.88</v>
      </c>
      <c r="R69" s="189"/>
      <c r="S69" s="226">
        <f>S29</f>
        <v>0</v>
      </c>
    </row>
    <row r="70" spans="2:21" x14ac:dyDescent="0.2">
      <c r="B70" s="58" t="s">
        <v>16</v>
      </c>
      <c r="C70" s="58"/>
      <c r="D70" s="58"/>
      <c r="E70" s="58"/>
      <c r="F70" s="58" t="s">
        <v>20</v>
      </c>
      <c r="H70" s="171"/>
      <c r="J70" s="172">
        <f>SUM(L70:S70)</f>
        <v>1290133.4196464689</v>
      </c>
      <c r="L70" s="226">
        <f>L30</f>
        <v>-173.01</v>
      </c>
      <c r="M70" s="226">
        <f t="shared" ref="M70:Q70" si="11">M30</f>
        <v>1230313.867921771</v>
      </c>
      <c r="N70" s="226">
        <f t="shared" si="11"/>
        <v>0</v>
      </c>
      <c r="O70" s="226">
        <f t="shared" si="11"/>
        <v>3620.94</v>
      </c>
      <c r="P70" s="226">
        <f t="shared" si="11"/>
        <v>56371.621724698067</v>
      </c>
      <c r="Q70" s="226">
        <f t="shared" si="11"/>
        <v>0</v>
      </c>
      <c r="R70" s="189"/>
      <c r="S70" s="226">
        <f>S30</f>
        <v>0</v>
      </c>
    </row>
    <row r="71" spans="2:21" x14ac:dyDescent="0.2">
      <c r="B71" s="58" t="s">
        <v>17</v>
      </c>
      <c r="C71" s="58"/>
      <c r="D71" s="58"/>
      <c r="E71" s="58"/>
      <c r="F71" s="58" t="s">
        <v>20</v>
      </c>
      <c r="H71" s="171"/>
      <c r="J71" s="172">
        <f>SUM(L71:S71)</f>
        <v>2581312.6533622276</v>
      </c>
      <c r="L71" s="226">
        <f>L31</f>
        <v>824.12</v>
      </c>
      <c r="M71" s="226">
        <f t="shared" ref="M71:Q71" si="12">M31</f>
        <v>940791.88407319936</v>
      </c>
      <c r="N71" s="226">
        <f t="shared" si="12"/>
        <v>1007992.2916745904</v>
      </c>
      <c r="O71" s="226">
        <f t="shared" si="12"/>
        <v>4435.88</v>
      </c>
      <c r="P71" s="226">
        <f t="shared" si="12"/>
        <v>395240.2931658228</v>
      </c>
      <c r="Q71" s="226">
        <f t="shared" si="12"/>
        <v>83110.539999999994</v>
      </c>
      <c r="R71" s="189"/>
      <c r="S71" s="226">
        <f>S31</f>
        <v>148917.64444861509</v>
      </c>
    </row>
    <row r="72" spans="2:21" x14ac:dyDescent="0.2">
      <c r="B72" s="58" t="s">
        <v>18</v>
      </c>
      <c r="C72" s="58"/>
      <c r="D72" s="58"/>
      <c r="E72" s="58"/>
      <c r="F72" s="58" t="s">
        <v>20</v>
      </c>
      <c r="H72" s="171"/>
      <c r="J72" s="172">
        <f>SUM(L72:S72)</f>
        <v>29742317.310290616</v>
      </c>
      <c r="L72" s="226">
        <f>L32</f>
        <v>0</v>
      </c>
      <c r="M72" s="226">
        <f t="shared" ref="M72:Q72" si="13">M32</f>
        <v>2829708.0683512497</v>
      </c>
      <c r="N72" s="226">
        <f t="shared" si="13"/>
        <v>16619999.029893739</v>
      </c>
      <c r="O72" s="226">
        <f t="shared" si="13"/>
        <v>10148.17</v>
      </c>
      <c r="P72" s="226">
        <f t="shared" si="13"/>
        <v>10281972.042045627</v>
      </c>
      <c r="Q72" s="226">
        <f t="shared" si="13"/>
        <v>490</v>
      </c>
      <c r="R72" s="189"/>
      <c r="S72" s="226">
        <f>S32</f>
        <v>0</v>
      </c>
    </row>
    <row r="73" spans="2:21" x14ac:dyDescent="0.2">
      <c r="J73" s="77"/>
    </row>
    <row r="74" spans="2:21" s="180" customFormat="1" ht="15" x14ac:dyDescent="0.2">
      <c r="B74" s="40" t="s">
        <v>132</v>
      </c>
      <c r="J74" s="96"/>
      <c r="R74" s="105"/>
    </row>
    <row r="75" spans="2:21" x14ac:dyDescent="0.2">
      <c r="B75" s="94" t="s">
        <v>134</v>
      </c>
    </row>
    <row r="76" spans="2:21" x14ac:dyDescent="0.2">
      <c r="B76" s="83" t="s">
        <v>64</v>
      </c>
      <c r="D76" s="185" t="s">
        <v>431</v>
      </c>
      <c r="F76" s="74" t="s">
        <v>20</v>
      </c>
      <c r="H76" s="171"/>
      <c r="J76" s="76">
        <f>SUM(L76:Q76)</f>
        <v>973124864.26440775</v>
      </c>
      <c r="L76" s="191">
        <f>SUM(L60:L61,L64:L66,L69:L72)</f>
        <v>4571550.2540674517</v>
      </c>
      <c r="M76" s="191">
        <f>SUM(M60:M61,M64:M66,M69:M72)</f>
        <v>279382067.0943011</v>
      </c>
      <c r="N76" s="191">
        <f>SUM(N60:N61,N64:N66,N69:N72)</f>
        <v>431723282.08801162</v>
      </c>
      <c r="O76" s="191">
        <f>SUM(O60:O61,O64:O66,O69:O72)</f>
        <v>2729417.13</v>
      </c>
      <c r="P76" s="192">
        <f>SUM(P60:P61,P64:P66,P69:P72)+SUM(S60:S61,S64:S66,S69:S72)</f>
        <v>242743583.9444744</v>
      </c>
      <c r="Q76" s="191">
        <f>SUM(Q60:Q61,Q64:Q66,Q69:Q72)</f>
        <v>11974963.753553275</v>
      </c>
      <c r="S76" s="186"/>
      <c r="U76" s="88" t="s">
        <v>645</v>
      </c>
    </row>
    <row r="78" spans="2:21" s="24" customFormat="1" ht="12.75" x14ac:dyDescent="0.2">
      <c r="B78" s="24" t="s">
        <v>604</v>
      </c>
    </row>
    <row r="79" spans="2:21" s="91" customFormat="1" x14ac:dyDescent="0.2">
      <c r="G79" s="180"/>
      <c r="H79" s="180"/>
      <c r="R79" s="92"/>
    </row>
    <row r="80" spans="2:21" s="91" customFormat="1" ht="15" x14ac:dyDescent="0.2">
      <c r="B80" s="40" t="s">
        <v>131</v>
      </c>
      <c r="G80" s="180"/>
      <c r="H80" s="180"/>
      <c r="R80" s="92"/>
    </row>
    <row r="81" spans="2:20" s="91" customFormat="1" x14ac:dyDescent="0.2">
      <c r="B81" s="81" t="s">
        <v>238</v>
      </c>
      <c r="G81" s="180"/>
      <c r="H81" s="180"/>
      <c r="R81" s="92"/>
    </row>
    <row r="82" spans="2:20" s="74" customFormat="1" x14ac:dyDescent="0.2">
      <c r="B82" s="75" t="s">
        <v>6</v>
      </c>
      <c r="G82" s="171"/>
      <c r="H82" s="171"/>
      <c r="R82" s="92"/>
    </row>
    <row r="83" spans="2:20" s="74" customFormat="1" ht="12.75" x14ac:dyDescent="0.2">
      <c r="B83" s="74" t="s">
        <v>7</v>
      </c>
      <c r="F83" s="74" t="s">
        <v>87</v>
      </c>
      <c r="G83" s="171"/>
      <c r="H83" s="171"/>
      <c r="J83" s="76">
        <f>SUM(L83:S83)</f>
        <v>449635227.26949102</v>
      </c>
      <c r="L83" s="82">
        <f>'3) Input operationele kosten'!L36</f>
        <v>0</v>
      </c>
      <c r="M83" s="82">
        <f>'3) Input operationele kosten'!M36</f>
        <v>168365881.88999999</v>
      </c>
      <c r="N83" s="82">
        <f>'3) Input operationele kosten'!N36</f>
        <v>162369324.03999999</v>
      </c>
      <c r="O83" s="82">
        <f>'3) Input operationele kosten'!O36</f>
        <v>0</v>
      </c>
      <c r="P83" s="82">
        <f>'3) Input operationele kosten'!P36</f>
        <v>102145610.84</v>
      </c>
      <c r="Q83" s="82">
        <f>'3) Input operationele kosten'!Q36</f>
        <v>6427942.3394910097</v>
      </c>
      <c r="R83" s="44"/>
      <c r="S83" s="82">
        <f>'3) Input operationele kosten'!S36</f>
        <v>10326468.159999998</v>
      </c>
    </row>
    <row r="84" spans="2:20" s="74" customFormat="1" ht="12.75" x14ac:dyDescent="0.2">
      <c r="B84" s="74" t="s">
        <v>8</v>
      </c>
      <c r="F84" s="74" t="s">
        <v>87</v>
      </c>
      <c r="G84" s="171"/>
      <c r="H84" s="171"/>
      <c r="J84" s="172">
        <f t="shared" ref="J84:J86" si="14">SUM(L84:S84)</f>
        <v>10617154.986532025</v>
      </c>
      <c r="L84" s="82">
        <f>'3) Input operationele kosten'!L37</f>
        <v>3384368</v>
      </c>
      <c r="M84" s="82">
        <f>'3) Input operationele kosten'!M37</f>
        <v>345008.1657320261</v>
      </c>
      <c r="N84" s="82">
        <f>'3) Input operationele kosten'!N37</f>
        <v>1324634.1839999999</v>
      </c>
      <c r="O84" s="82">
        <f>'3) Input operationele kosten'!O37</f>
        <v>2242880.09</v>
      </c>
      <c r="P84" s="82">
        <f>'3) Input operationele kosten'!P37</f>
        <v>3029065.3299999987</v>
      </c>
      <c r="Q84" s="82">
        <f>'3) Input operationele kosten'!Q37</f>
        <v>291199.21680000005</v>
      </c>
      <c r="R84" s="44"/>
      <c r="S84" s="82">
        <f>'3) Input operationele kosten'!S37</f>
        <v>0</v>
      </c>
    </row>
    <row r="85" spans="2:20" s="74" customFormat="1" ht="12.75" x14ac:dyDescent="0.2">
      <c r="B85" s="74" t="s">
        <v>9</v>
      </c>
      <c r="F85" s="74" t="s">
        <v>87</v>
      </c>
      <c r="G85" s="171"/>
      <c r="H85" s="171"/>
      <c r="J85" s="172">
        <f t="shared" si="14"/>
        <v>162156561.84999999</v>
      </c>
      <c r="L85" s="82">
        <f>'3) Input operationele kosten'!L38</f>
        <v>599183</v>
      </c>
      <c r="M85" s="82">
        <f>'3) Input operationele kosten'!M38</f>
        <v>59982373.788028285</v>
      </c>
      <c r="N85" s="82">
        <f>'3) Input operationele kosten'!N38</f>
        <v>61055556</v>
      </c>
      <c r="O85" s="82">
        <f>'3) Input operationele kosten'!O38</f>
        <v>454489.98</v>
      </c>
      <c r="P85" s="82">
        <f>'3) Input operationele kosten'!P38</f>
        <v>33814907.081971712</v>
      </c>
      <c r="Q85" s="82">
        <f>'3) Input operationele kosten'!Q38</f>
        <v>1957414.55</v>
      </c>
      <c r="R85" s="44"/>
      <c r="S85" s="82">
        <f>'3) Input operationele kosten'!S38</f>
        <v>4292637.4499999993</v>
      </c>
    </row>
    <row r="86" spans="2:20" s="74" customFormat="1" ht="12.75" x14ac:dyDescent="0.2">
      <c r="B86" s="74" t="s">
        <v>10</v>
      </c>
      <c r="F86" s="74" t="s">
        <v>87</v>
      </c>
      <c r="G86" s="171"/>
      <c r="H86" s="171"/>
      <c r="J86" s="172">
        <f t="shared" si="14"/>
        <v>0</v>
      </c>
      <c r="L86" s="82">
        <f>'3) Input operationele kosten'!L39</f>
        <v>0</v>
      </c>
      <c r="M86" s="82">
        <f>'3) Input operationele kosten'!M39</f>
        <v>0</v>
      </c>
      <c r="N86" s="82">
        <f>'3) Input operationele kosten'!N39</f>
        <v>0</v>
      </c>
      <c r="O86" s="82">
        <f>'3) Input operationele kosten'!O39</f>
        <v>0</v>
      </c>
      <c r="P86" s="82">
        <f>'3) Input operationele kosten'!P39</f>
        <v>0</v>
      </c>
      <c r="Q86" s="82">
        <f>'3) Input operationele kosten'!Q39</f>
        <v>0</v>
      </c>
      <c r="R86" s="44"/>
      <c r="S86" s="82">
        <f>'3) Input operationele kosten'!S39</f>
        <v>0</v>
      </c>
    </row>
    <row r="87" spans="2:20" s="74" customFormat="1" ht="12.75" x14ac:dyDescent="0.2">
      <c r="G87" s="171"/>
      <c r="H87" s="171"/>
      <c r="J87" s="77"/>
      <c r="K87" s="77"/>
      <c r="L87" s="77"/>
      <c r="M87" s="77"/>
      <c r="N87" s="77"/>
      <c r="O87" s="77"/>
      <c r="P87" s="77"/>
      <c r="Q87" s="77"/>
      <c r="R87" s="77"/>
      <c r="S87" s="77"/>
      <c r="T87" s="77"/>
    </row>
    <row r="88" spans="2:20" s="74" customFormat="1" ht="12.75" x14ac:dyDescent="0.2">
      <c r="B88" s="75" t="s">
        <v>11</v>
      </c>
      <c r="G88" s="171"/>
      <c r="H88" s="171"/>
      <c r="J88" s="77"/>
      <c r="K88" s="77"/>
      <c r="L88" s="77"/>
      <c r="M88" s="77"/>
      <c r="N88" s="77"/>
      <c r="O88" s="77"/>
      <c r="P88" s="77"/>
      <c r="Q88" s="77"/>
      <c r="R88" s="77"/>
      <c r="S88" s="77"/>
      <c r="T88" s="77"/>
    </row>
    <row r="89" spans="2:20" s="74" customFormat="1" ht="12.75" x14ac:dyDescent="0.2">
      <c r="B89" s="74" t="s">
        <v>12</v>
      </c>
      <c r="F89" s="74" t="s">
        <v>87</v>
      </c>
      <c r="G89" s="171"/>
      <c r="H89" s="171"/>
      <c r="J89" s="172">
        <f>SUM(L89:S89)</f>
        <v>823409949.62412262</v>
      </c>
      <c r="L89" s="82">
        <f>'3) Input operationele kosten'!L42</f>
        <v>4330676</v>
      </c>
      <c r="M89" s="82">
        <f>'3) Input operationele kosten'!M42</f>
        <v>257727636.42505801</v>
      </c>
      <c r="N89" s="82">
        <f>'3) Input operationele kosten'!N42</f>
        <v>334535432.41055858</v>
      </c>
      <c r="O89" s="82">
        <f>'3) Input operationele kosten'!O42</f>
        <v>2092307.61</v>
      </c>
      <c r="P89" s="82">
        <f>'3) Input operationele kosten'!P42</f>
        <v>193431201.9361912</v>
      </c>
      <c r="Q89" s="82">
        <f>'3) Input operationele kosten'!Q42</f>
        <v>8245407.8762845658</v>
      </c>
      <c r="R89" s="44"/>
      <c r="S89" s="82">
        <f>'3) Input operationele kosten'!S42</f>
        <v>23047287.36603016</v>
      </c>
    </row>
    <row r="90" spans="2:20" s="171" customFormat="1" ht="12.75" x14ac:dyDescent="0.2">
      <c r="B90" s="171" t="s">
        <v>430</v>
      </c>
      <c r="F90" s="171" t="s">
        <v>87</v>
      </c>
      <c r="J90" s="172">
        <f t="shared" ref="J90:J91" si="15">SUM(L90:S90)</f>
        <v>724618.73961678089</v>
      </c>
      <c r="L90" s="175">
        <f>'3) Input operationele kosten'!L43</f>
        <v>2681</v>
      </c>
      <c r="M90" s="175">
        <f>'3) Input operationele kosten'!M43</f>
        <v>320733.74925137253</v>
      </c>
      <c r="N90" s="175">
        <f>'3) Input operationele kosten'!N43</f>
        <v>223252.39798857534</v>
      </c>
      <c r="O90" s="175">
        <f>'3) Input operationele kosten'!O43</f>
        <v>6131.79</v>
      </c>
      <c r="P90" s="175">
        <f>'3) Input operationele kosten'!P43</f>
        <v>142336.49795553571</v>
      </c>
      <c r="Q90" s="175">
        <f>'3) Input operationele kosten'!Q43</f>
        <v>10885.0544212972</v>
      </c>
      <c r="R90" s="44"/>
      <c r="S90" s="175">
        <f>'3) Input operationele kosten'!S43</f>
        <v>18598.25</v>
      </c>
    </row>
    <row r="91" spans="2:20" s="74" customFormat="1" ht="12.75" x14ac:dyDescent="0.2">
      <c r="B91" s="74" t="s">
        <v>13</v>
      </c>
      <c r="F91" s="171" t="s">
        <v>87</v>
      </c>
      <c r="G91" s="171"/>
      <c r="H91" s="171"/>
      <c r="J91" s="172">
        <f t="shared" si="15"/>
        <v>2315487.65</v>
      </c>
      <c r="L91" s="82">
        <f>'3) Input operationele kosten'!L44</f>
        <v>15396</v>
      </c>
      <c r="M91" s="82">
        <f>'3) Input operationele kosten'!M44</f>
        <v>761971</v>
      </c>
      <c r="N91" s="82">
        <f>'3) Input operationele kosten'!N44</f>
        <v>815422</v>
      </c>
      <c r="O91" s="82">
        <f>'3) Input operationele kosten'!O44</f>
        <v>154488.65</v>
      </c>
      <c r="P91" s="82">
        <f>'3) Input operationele kosten'!P44</f>
        <v>553395</v>
      </c>
      <c r="Q91" s="82">
        <f>'3) Input operationele kosten'!Q44</f>
        <v>14815</v>
      </c>
      <c r="R91" s="44"/>
      <c r="S91" s="82">
        <f>'3) Input operationele kosten'!S44</f>
        <v>0</v>
      </c>
    </row>
    <row r="92" spans="2:20" s="74" customFormat="1" ht="12.75" x14ac:dyDescent="0.2">
      <c r="G92" s="171"/>
      <c r="H92" s="171"/>
      <c r="J92" s="77"/>
      <c r="K92" s="77"/>
      <c r="L92" s="77"/>
      <c r="M92" s="77"/>
      <c r="N92" s="77"/>
      <c r="O92" s="77"/>
      <c r="P92" s="77"/>
      <c r="Q92" s="77"/>
      <c r="R92" s="77"/>
      <c r="S92" s="77"/>
      <c r="T92" s="77"/>
    </row>
    <row r="93" spans="2:20" s="74" customFormat="1" ht="12.75" x14ac:dyDescent="0.2">
      <c r="B93" s="75" t="s">
        <v>14</v>
      </c>
      <c r="G93" s="171"/>
      <c r="H93" s="171"/>
      <c r="J93" s="77"/>
      <c r="K93" s="77"/>
      <c r="L93" s="77"/>
      <c r="M93" s="77"/>
      <c r="N93" s="77"/>
      <c r="O93" s="77"/>
      <c r="P93" s="77"/>
      <c r="Q93" s="77"/>
      <c r="R93" s="77"/>
      <c r="S93" s="77"/>
      <c r="T93" s="77"/>
    </row>
    <row r="94" spans="2:20" s="74" customFormat="1" ht="12.75" x14ac:dyDescent="0.2">
      <c r="B94" s="74" t="s">
        <v>15</v>
      </c>
      <c r="F94" s="74" t="s">
        <v>87</v>
      </c>
      <c r="G94" s="171"/>
      <c r="H94" s="171"/>
      <c r="J94" s="172">
        <f>SUM(L94:S94)</f>
        <v>4915803.0889218822</v>
      </c>
      <c r="L94" s="82">
        <f>'3) Input operationele kosten'!L47</f>
        <v>12292</v>
      </c>
      <c r="M94" s="82">
        <f>'3) Input operationele kosten'!M47</f>
        <v>1928713.4459019748</v>
      </c>
      <c r="N94" s="82">
        <f>'3) Input operationele kosten'!N47</f>
        <v>1471393.0756646986</v>
      </c>
      <c r="O94" s="82">
        <f>'3) Input operationele kosten'!O47</f>
        <v>115013.19</v>
      </c>
      <c r="P94" s="82">
        <f>'3) Input operationele kosten'!P47</f>
        <v>1381691.8773552086</v>
      </c>
      <c r="Q94" s="82">
        <f>'3) Input operationele kosten'!Q47</f>
        <v>6699.4999999999991</v>
      </c>
      <c r="R94" s="44"/>
      <c r="S94" s="82">
        <f>'3) Input operationele kosten'!S47</f>
        <v>0</v>
      </c>
    </row>
    <row r="95" spans="2:20" s="74" customFormat="1" ht="12.75" x14ac:dyDescent="0.2">
      <c r="B95" s="74" t="s">
        <v>16</v>
      </c>
      <c r="F95" s="74" t="s">
        <v>87</v>
      </c>
      <c r="G95" s="171"/>
      <c r="H95" s="171"/>
      <c r="J95" s="172">
        <f t="shared" ref="J95:J97" si="16">SUM(L95:S95)</f>
        <v>1280258.9833676356</v>
      </c>
      <c r="L95" s="82">
        <f>'3) Input operationele kosten'!L48</f>
        <v>184</v>
      </c>
      <c r="M95" s="82">
        <f>'3) Input operationele kosten'!M48</f>
        <v>857669.67929164763</v>
      </c>
      <c r="N95" s="82">
        <f>'3) Input operationele kosten'!N48</f>
        <v>0</v>
      </c>
      <c r="O95" s="82">
        <f>'3) Input operationele kosten'!O48</f>
        <v>5058.3900000000003</v>
      </c>
      <c r="P95" s="82">
        <f>'3) Input operationele kosten'!P48</f>
        <v>416395.45407598803</v>
      </c>
      <c r="Q95" s="82">
        <f>'3) Input operationele kosten'!Q48</f>
        <v>951.46</v>
      </c>
      <c r="R95" s="44"/>
      <c r="S95" s="82">
        <f>'3) Input operationele kosten'!S48</f>
        <v>0</v>
      </c>
    </row>
    <row r="96" spans="2:20" s="74" customFormat="1" ht="12.75" x14ac:dyDescent="0.2">
      <c r="B96" s="74" t="s">
        <v>17</v>
      </c>
      <c r="F96" s="74" t="s">
        <v>87</v>
      </c>
      <c r="G96" s="171"/>
      <c r="H96" s="171"/>
      <c r="J96" s="172">
        <f t="shared" si="16"/>
        <v>2553074.4388384498</v>
      </c>
      <c r="L96" s="82">
        <f>'3) Input operationele kosten'!L49</f>
        <v>3453</v>
      </c>
      <c r="M96" s="82">
        <f>'3) Input operationele kosten'!M49</f>
        <v>971130.60590310488</v>
      </c>
      <c r="N96" s="82">
        <f>'3) Input operationele kosten'!N49</f>
        <v>827061.958277122</v>
      </c>
      <c r="O96" s="82">
        <f>'3) Input operationele kosten'!O49</f>
        <v>4297.79</v>
      </c>
      <c r="P96" s="82">
        <f>'3) Input operationele kosten'!P49</f>
        <v>405562.3827847403</v>
      </c>
      <c r="Q96" s="82">
        <f>'3) Input operationele kosten'!Q49</f>
        <v>224049.35595318998</v>
      </c>
      <c r="R96" s="44"/>
      <c r="S96" s="82">
        <f>'3) Input operationele kosten'!S49</f>
        <v>117519.3459202926</v>
      </c>
    </row>
    <row r="97" spans="2:19" s="74" customFormat="1" ht="12.75" x14ac:dyDescent="0.2">
      <c r="B97" s="74" t="s">
        <v>18</v>
      </c>
      <c r="F97" s="74" t="s">
        <v>87</v>
      </c>
      <c r="G97" s="171"/>
      <c r="H97" s="171"/>
      <c r="J97" s="172">
        <f t="shared" si="16"/>
        <v>24915665.612801727</v>
      </c>
      <c r="L97" s="82">
        <f>'3) Input operationele kosten'!L50</f>
        <v>0</v>
      </c>
      <c r="M97" s="82">
        <f>'3) Input operationele kosten'!M50</f>
        <v>2640182.349696212</v>
      </c>
      <c r="N97" s="82">
        <f>'3) Input operationele kosten'!N50</f>
        <v>17664211.721074909</v>
      </c>
      <c r="O97" s="82">
        <f>'3) Input operationele kosten'!O50</f>
        <v>12867.83</v>
      </c>
      <c r="P97" s="82">
        <f>'3) Input operationele kosten'!P50</f>
        <v>4064072.302030609</v>
      </c>
      <c r="Q97" s="82">
        <f>'3) Input operationele kosten'!Q50</f>
        <v>12250</v>
      </c>
      <c r="R97" s="44"/>
      <c r="S97" s="82">
        <f>'3) Input operationele kosten'!S50</f>
        <v>522081.40999999992</v>
      </c>
    </row>
    <row r="98" spans="2:19" s="91" customFormat="1" x14ac:dyDescent="0.2">
      <c r="G98" s="180"/>
      <c r="H98" s="180"/>
      <c r="J98" s="77"/>
      <c r="R98" s="92"/>
    </row>
    <row r="99" spans="2:19" s="91" customFormat="1" x14ac:dyDescent="0.2">
      <c r="B99" s="81" t="s">
        <v>21</v>
      </c>
      <c r="G99" s="180"/>
      <c r="H99" s="180"/>
      <c r="J99" s="77"/>
      <c r="R99" s="92"/>
    </row>
    <row r="100" spans="2:19" s="91" customFormat="1" x14ac:dyDescent="0.2">
      <c r="B100" s="84" t="s">
        <v>76</v>
      </c>
      <c r="C100" s="85"/>
      <c r="D100" s="85"/>
      <c r="E100" s="85"/>
      <c r="F100" s="90"/>
      <c r="G100" s="180"/>
      <c r="H100" s="103"/>
      <c r="J100" s="77"/>
      <c r="R100" s="92"/>
    </row>
    <row r="101" spans="2:19" s="91" customFormat="1" x14ac:dyDescent="0.2">
      <c r="B101" s="85" t="s">
        <v>22</v>
      </c>
      <c r="C101" s="85"/>
      <c r="D101" s="85"/>
      <c r="E101" s="85"/>
      <c r="F101" s="90" t="s">
        <v>87</v>
      </c>
      <c r="G101" s="180"/>
      <c r="H101" s="103"/>
      <c r="J101" s="172">
        <f>SUM(L101:S101)</f>
        <v>6742145.5246468252</v>
      </c>
      <c r="L101" s="82">
        <f>'5) Overige opbrengsten'!L72</f>
        <v>85005.47</v>
      </c>
      <c r="M101" s="82">
        <f>'5) Overige opbrengsten'!M72</f>
        <v>3515885.3301046486</v>
      </c>
      <c r="N101" s="82">
        <f>'5) Overige opbrengsten'!N72</f>
        <v>1259431.0666468248</v>
      </c>
      <c r="O101" s="82">
        <f>'5) Overige opbrengsten'!O72</f>
        <v>178641.38</v>
      </c>
      <c r="P101" s="82">
        <f>'5) Overige opbrengsten'!P72</f>
        <v>1561961.4198953519</v>
      </c>
      <c r="Q101" s="82">
        <f>'5) Overige opbrengsten'!Q72</f>
        <v>30735.819999999992</v>
      </c>
      <c r="R101" s="92"/>
      <c r="S101" s="82">
        <f>'5) Overige opbrengsten'!S72</f>
        <v>110485.03799999999</v>
      </c>
    </row>
    <row r="102" spans="2:19" s="91" customFormat="1" x14ac:dyDescent="0.2">
      <c r="B102" s="85" t="s">
        <v>23</v>
      </c>
      <c r="C102" s="85"/>
      <c r="D102" s="85"/>
      <c r="E102" s="85"/>
      <c r="F102" s="90" t="s">
        <v>87</v>
      </c>
      <c r="G102" s="180"/>
      <c r="H102" s="103"/>
      <c r="J102" s="172">
        <f t="shared" ref="J102:J109" si="17">SUM(L102:S102)</f>
        <v>2600003.6803633091</v>
      </c>
      <c r="L102" s="82">
        <f>'5) Overige opbrengsten'!L73</f>
        <v>52618.45</v>
      </c>
      <c r="M102" s="82">
        <f>'5) Overige opbrengsten'!M73</f>
        <v>1090573.5074342871</v>
      </c>
      <c r="N102" s="82">
        <f>'5) Overige opbrengsten'!N73</f>
        <v>200168.68254495965</v>
      </c>
      <c r="O102" s="82">
        <f>'5) Overige opbrengsten'!O73</f>
        <v>0</v>
      </c>
      <c r="P102" s="82">
        <f>'5) Overige opbrengsten'!P73</f>
        <v>1236189.0383840622</v>
      </c>
      <c r="Q102" s="82">
        <f>'5) Overige opbrengsten'!Q73</f>
        <v>14639</v>
      </c>
      <c r="R102" s="92"/>
      <c r="S102" s="82">
        <f>'5) Overige opbrengsten'!S73</f>
        <v>5815.0020000000004</v>
      </c>
    </row>
    <row r="103" spans="2:19" s="91" customFormat="1" x14ac:dyDescent="0.2">
      <c r="B103" s="85" t="s">
        <v>28</v>
      </c>
      <c r="C103" s="85"/>
      <c r="D103" s="85"/>
      <c r="E103" s="85"/>
      <c r="F103" s="90" t="s">
        <v>87</v>
      </c>
      <c r="G103" s="180"/>
      <c r="H103" s="103"/>
      <c r="J103" s="172">
        <f t="shared" si="17"/>
        <v>10304288.392309558</v>
      </c>
      <c r="L103" s="82">
        <f>'5) Overige opbrengsten'!L74</f>
        <v>14631.829999999993</v>
      </c>
      <c r="M103" s="82">
        <f>'5) Overige opbrengsten'!M74</f>
        <v>4089261.485407481</v>
      </c>
      <c r="N103" s="82">
        <f>'5) Overige opbrengsten'!N74</f>
        <v>3073171.7500000005</v>
      </c>
      <c r="O103" s="82">
        <f>'5) Overige opbrengsten'!O74</f>
        <v>31131.88</v>
      </c>
      <c r="P103" s="82">
        <f>'5) Overige opbrengsten'!P74</f>
        <v>2566507.4561885083</v>
      </c>
      <c r="Q103" s="82">
        <f>'5) Overige opbrengsten'!Q74</f>
        <v>295942.80999999994</v>
      </c>
      <c r="R103" s="92"/>
      <c r="S103" s="82">
        <f>'5) Overige opbrengsten'!S74</f>
        <v>233641.18071356785</v>
      </c>
    </row>
    <row r="104" spans="2:19" s="91" customFormat="1" x14ac:dyDescent="0.2">
      <c r="B104" s="85" t="s">
        <v>29</v>
      </c>
      <c r="C104" s="85"/>
      <c r="D104" s="85"/>
      <c r="E104" s="85"/>
      <c r="F104" s="90" t="s">
        <v>87</v>
      </c>
      <c r="G104" s="180"/>
      <c r="H104" s="103"/>
      <c r="J104" s="172">
        <f t="shared" si="17"/>
        <v>2394033.6202950627</v>
      </c>
      <c r="L104" s="82">
        <f>'5) Overige opbrengsten'!L75</f>
        <v>0</v>
      </c>
      <c r="M104" s="82">
        <f>'5) Overige opbrengsten'!M75</f>
        <v>16933.380995878004</v>
      </c>
      <c r="N104" s="82">
        <f>'5) Overige opbrengsten'!N75</f>
        <v>1086476.3874550404</v>
      </c>
      <c r="O104" s="82">
        <f>'5) Overige opbrengsten'!O75</f>
        <v>6248.77</v>
      </c>
      <c r="P104" s="82">
        <f>'5) Overige opbrengsten'!P75</f>
        <v>1281981.3368441442</v>
      </c>
      <c r="Q104" s="82">
        <f>'5) Overige opbrengsten'!Q75</f>
        <v>2393.7449999999999</v>
      </c>
      <c r="R104" s="92"/>
      <c r="S104" s="82">
        <f>'5) Overige opbrengsten'!S75</f>
        <v>0</v>
      </c>
    </row>
    <row r="105" spans="2:19" s="91" customFormat="1" x14ac:dyDescent="0.2">
      <c r="B105" s="85" t="s">
        <v>30</v>
      </c>
      <c r="C105" s="85"/>
      <c r="D105" s="85"/>
      <c r="E105" s="85"/>
      <c r="F105" s="90" t="s">
        <v>87</v>
      </c>
      <c r="G105" s="180"/>
      <c r="H105" s="103"/>
      <c r="J105" s="172">
        <f t="shared" si="17"/>
        <v>472545.23</v>
      </c>
      <c r="L105" s="82">
        <f>'5) Overige opbrengsten'!L76</f>
        <v>0</v>
      </c>
      <c r="M105" s="82">
        <f>'5) Overige opbrengsten'!M76</f>
        <v>0</v>
      </c>
      <c r="N105" s="82">
        <f>'5) Overige opbrengsten'!N76</f>
        <v>473009.75</v>
      </c>
      <c r="O105" s="82">
        <f>'5) Overige opbrengsten'!O76</f>
        <v>-464.52</v>
      </c>
      <c r="P105" s="82">
        <f>'5) Overige opbrengsten'!P76</f>
        <v>0</v>
      </c>
      <c r="Q105" s="82">
        <f>'5) Overige opbrengsten'!Q76</f>
        <v>0</v>
      </c>
      <c r="R105" s="92"/>
      <c r="S105" s="82">
        <f>'5) Overige opbrengsten'!S76</f>
        <v>0</v>
      </c>
    </row>
    <row r="106" spans="2:19" s="91" customFormat="1" x14ac:dyDescent="0.2">
      <c r="B106" s="85" t="s">
        <v>31</v>
      </c>
      <c r="C106" s="85"/>
      <c r="D106" s="85"/>
      <c r="E106" s="85"/>
      <c r="F106" s="90" t="s">
        <v>87</v>
      </c>
      <c r="G106" s="180"/>
      <c r="H106" s="103"/>
      <c r="J106" s="172">
        <f t="shared" si="17"/>
        <v>1785525.5900000078</v>
      </c>
      <c r="L106" s="82">
        <f>'5) Overige opbrengsten'!L77</f>
        <v>0</v>
      </c>
      <c r="M106" s="82">
        <f>'5) Overige opbrengsten'!M77</f>
        <v>0</v>
      </c>
      <c r="N106" s="82">
        <f>'5) Overige opbrengsten'!N77</f>
        <v>1706960.8200000077</v>
      </c>
      <c r="O106" s="82">
        <f>'5) Overige opbrengsten'!O77</f>
        <v>78564.77</v>
      </c>
      <c r="P106" s="82">
        <f>'5) Overige opbrengsten'!P77</f>
        <v>0</v>
      </c>
      <c r="Q106" s="82">
        <f>'5) Overige opbrengsten'!Q77</f>
        <v>0</v>
      </c>
      <c r="R106" s="92"/>
      <c r="S106" s="82">
        <f>'5) Overige opbrengsten'!S77</f>
        <v>0</v>
      </c>
    </row>
    <row r="107" spans="2:19" s="91" customFormat="1" x14ac:dyDescent="0.2">
      <c r="B107" s="85" t="s">
        <v>32</v>
      </c>
      <c r="C107" s="85"/>
      <c r="D107" s="85"/>
      <c r="E107" s="85"/>
      <c r="F107" s="90" t="s">
        <v>87</v>
      </c>
      <c r="G107" s="180"/>
      <c r="H107" s="103"/>
      <c r="J107" s="172">
        <f t="shared" si="17"/>
        <v>79089.62</v>
      </c>
      <c r="L107" s="82">
        <f>'5) Overige opbrengsten'!L78</f>
        <v>0</v>
      </c>
      <c r="M107" s="82">
        <f>'5) Overige opbrengsten'!M78</f>
        <v>0</v>
      </c>
      <c r="N107" s="82">
        <f>'5) Overige opbrengsten'!N78</f>
        <v>79089.62</v>
      </c>
      <c r="O107" s="82">
        <f>'5) Overige opbrengsten'!O78</f>
        <v>0</v>
      </c>
      <c r="P107" s="82">
        <f>'5) Overige opbrengsten'!P78</f>
        <v>0</v>
      </c>
      <c r="Q107" s="82">
        <f>'5) Overige opbrengsten'!Q78</f>
        <v>0</v>
      </c>
      <c r="R107" s="92"/>
      <c r="S107" s="82">
        <f>'5) Overige opbrengsten'!S78</f>
        <v>0</v>
      </c>
    </row>
    <row r="108" spans="2:19" s="91" customFormat="1" x14ac:dyDescent="0.2">
      <c r="B108" s="85" t="s">
        <v>33</v>
      </c>
      <c r="C108" s="85"/>
      <c r="D108" s="85"/>
      <c r="E108" s="85"/>
      <c r="F108" s="90" t="s">
        <v>87</v>
      </c>
      <c r="G108" s="180"/>
      <c r="H108" s="103"/>
      <c r="J108" s="172">
        <f t="shared" si="17"/>
        <v>1500000</v>
      </c>
      <c r="L108" s="82">
        <f>'5) Overige opbrengsten'!L79</f>
        <v>0</v>
      </c>
      <c r="M108" s="82">
        <f>'5) Overige opbrengsten'!M79</f>
        <v>0</v>
      </c>
      <c r="N108" s="82">
        <f>'5) Overige opbrengsten'!N79</f>
        <v>1500000</v>
      </c>
      <c r="O108" s="82">
        <f>'5) Overige opbrengsten'!O79</f>
        <v>0</v>
      </c>
      <c r="P108" s="82">
        <f>'5) Overige opbrengsten'!P79</f>
        <v>0</v>
      </c>
      <c r="Q108" s="82">
        <f>'5) Overige opbrengsten'!Q79</f>
        <v>0</v>
      </c>
      <c r="R108" s="92"/>
      <c r="S108" s="82">
        <f>'5) Overige opbrengsten'!S79</f>
        <v>0</v>
      </c>
    </row>
    <row r="109" spans="2:19" s="91" customFormat="1" x14ac:dyDescent="0.2">
      <c r="B109" s="85" t="s">
        <v>34</v>
      </c>
      <c r="C109" s="85"/>
      <c r="D109" s="85"/>
      <c r="E109" s="85"/>
      <c r="F109" s="90" t="s">
        <v>87</v>
      </c>
      <c r="G109" s="180"/>
      <c r="H109" s="103"/>
      <c r="J109" s="172">
        <f t="shared" si="17"/>
        <v>0</v>
      </c>
      <c r="L109" s="82">
        <f>'5) Overige opbrengsten'!L80</f>
        <v>0</v>
      </c>
      <c r="M109" s="82">
        <f>'5) Overige opbrengsten'!M80</f>
        <v>0</v>
      </c>
      <c r="N109" s="82">
        <f>'5) Overige opbrengsten'!N80</f>
        <v>0</v>
      </c>
      <c r="O109" s="82">
        <f>'5) Overige opbrengsten'!O80</f>
        <v>0</v>
      </c>
      <c r="P109" s="82">
        <f>'5) Overige opbrengsten'!P80</f>
        <v>0</v>
      </c>
      <c r="Q109" s="82">
        <f>'5) Overige opbrengsten'!Q80</f>
        <v>0</v>
      </c>
      <c r="R109" s="92"/>
      <c r="S109" s="82">
        <f>'5) Overige opbrengsten'!S80</f>
        <v>0</v>
      </c>
    </row>
    <row r="110" spans="2:19" s="91" customFormat="1" x14ac:dyDescent="0.2">
      <c r="G110" s="180"/>
      <c r="H110" s="180"/>
      <c r="J110" s="77"/>
      <c r="R110" s="92"/>
    </row>
    <row r="111" spans="2:19" s="91" customFormat="1" x14ac:dyDescent="0.2">
      <c r="B111" s="84" t="s">
        <v>70</v>
      </c>
      <c r="C111" s="85"/>
      <c r="D111" s="85"/>
      <c r="E111" s="85"/>
      <c r="F111" s="90"/>
      <c r="G111" s="180"/>
      <c r="H111" s="103"/>
      <c r="J111" s="77"/>
      <c r="R111" s="92"/>
    </row>
    <row r="112" spans="2:19" s="91" customFormat="1" x14ac:dyDescent="0.2">
      <c r="B112" s="85" t="s">
        <v>71</v>
      </c>
      <c r="C112" s="85"/>
      <c r="D112" s="85"/>
      <c r="E112" s="85"/>
      <c r="F112" s="90" t="s">
        <v>87</v>
      </c>
      <c r="G112" s="180"/>
      <c r="H112" s="103"/>
      <c r="J112" s="172">
        <f t="shared" ref="J112" si="18">SUM(L112:S112)</f>
        <v>1442278.9461521921</v>
      </c>
      <c r="L112" s="82">
        <f>'5) Overige opbrengsten'!L83</f>
        <v>11520.67</v>
      </c>
      <c r="M112" s="82">
        <f>'5) Overige opbrengsten'!M83</f>
        <v>448237.2367503533</v>
      </c>
      <c r="N112" s="82">
        <f>'5) Overige opbrengsten'!N83</f>
        <v>201349.56615219335</v>
      </c>
      <c r="O112" s="82">
        <f>'5) Overige opbrengsten'!O83</f>
        <v>1161.96</v>
      </c>
      <c r="P112" s="82">
        <f>'5) Overige opbrengsten'!P83</f>
        <v>780009.51324964548</v>
      </c>
      <c r="Q112" s="82">
        <f>'5) Overige opbrengsten'!Q83</f>
        <v>0</v>
      </c>
      <c r="R112" s="92"/>
      <c r="S112" s="82">
        <f>'5) Overige opbrengsten'!S83</f>
        <v>0</v>
      </c>
    </row>
    <row r="113" spans="2:19" s="91" customFormat="1" x14ac:dyDescent="0.2">
      <c r="B113" s="74"/>
      <c r="C113" s="85"/>
      <c r="D113" s="85"/>
      <c r="E113" s="85"/>
      <c r="F113" s="90"/>
      <c r="G113" s="180"/>
      <c r="H113" s="103"/>
      <c r="J113" s="77"/>
      <c r="R113" s="92"/>
    </row>
    <row r="114" spans="2:19" s="91" customFormat="1" x14ac:dyDescent="0.2">
      <c r="B114" s="75" t="s">
        <v>24</v>
      </c>
      <c r="C114" s="85"/>
      <c r="D114" s="85"/>
      <c r="E114" s="85"/>
      <c r="G114" s="180"/>
      <c r="H114" s="180"/>
      <c r="J114" s="77"/>
      <c r="R114" s="92"/>
    </row>
    <row r="115" spans="2:19" s="91" customFormat="1" x14ac:dyDescent="0.2">
      <c r="B115" s="74" t="s">
        <v>25</v>
      </c>
      <c r="C115" s="85"/>
      <c r="D115" s="85"/>
      <c r="E115" s="85"/>
      <c r="F115" s="90" t="s">
        <v>87</v>
      </c>
      <c r="G115" s="180"/>
      <c r="H115" s="103"/>
      <c r="J115" s="172">
        <f t="shared" ref="J115:J116" si="19">SUM(L115:S115)</f>
        <v>2317517.7777502574</v>
      </c>
      <c r="L115" s="82">
        <f>'5) Overige opbrengsten'!L61</f>
        <v>69857.119999999981</v>
      </c>
      <c r="M115" s="82">
        <f>'5) Overige opbrengsten'!M61</f>
        <v>1363980.6050503599</v>
      </c>
      <c r="N115" s="82">
        <f>'5) Overige opbrengsten'!N61</f>
        <v>137883.01999999996</v>
      </c>
      <c r="O115" s="82">
        <f>'5) Overige opbrengsten'!O61</f>
        <v>17170.05</v>
      </c>
      <c r="P115" s="82">
        <f>'5) Overige opbrengsten'!P61</f>
        <v>635611.80269989814</v>
      </c>
      <c r="Q115" s="82">
        <f>'5) Overige opbrengsten'!Q61</f>
        <v>18740.920000000013</v>
      </c>
      <c r="R115" s="92"/>
      <c r="S115" s="82">
        <f>'5) Overige opbrengsten'!S61</f>
        <v>74274.259999999995</v>
      </c>
    </row>
    <row r="116" spans="2:19" s="91" customFormat="1" x14ac:dyDescent="0.2">
      <c r="B116" s="74" t="s">
        <v>26</v>
      </c>
      <c r="C116" s="85"/>
      <c r="D116" s="85"/>
      <c r="E116" s="85"/>
      <c r="F116" s="90" t="s">
        <v>87</v>
      </c>
      <c r="G116" s="180"/>
      <c r="H116" s="103"/>
      <c r="J116" s="172">
        <f t="shared" si="19"/>
        <v>83700145.530407816</v>
      </c>
      <c r="L116" s="82">
        <f>'5) Overige opbrengsten'!L69</f>
        <v>110234.64244053012</v>
      </c>
      <c r="M116" s="82">
        <f>'5) Overige opbrengsten'!M69</f>
        <v>44738340.374987498</v>
      </c>
      <c r="N116" s="82">
        <f>'5) Overige opbrengsten'!N69</f>
        <v>20696506.685715627</v>
      </c>
      <c r="O116" s="82">
        <f>'5) Overige opbrengsten'!O69</f>
        <v>57685.55</v>
      </c>
      <c r="P116" s="82">
        <f>'5) Overige opbrengsten'!P69</f>
        <v>16820888.530164842</v>
      </c>
      <c r="Q116" s="82">
        <f>'5) Overige opbrengsten'!Q69</f>
        <v>489307.22709933401</v>
      </c>
      <c r="R116" s="92"/>
      <c r="S116" s="82">
        <f>'5) Overige opbrengsten'!S69</f>
        <v>787182.52</v>
      </c>
    </row>
    <row r="117" spans="2:19" s="91" customFormat="1" x14ac:dyDescent="0.2">
      <c r="B117" s="74"/>
      <c r="C117" s="85"/>
      <c r="D117" s="85"/>
      <c r="E117" s="85"/>
      <c r="F117" s="90"/>
      <c r="G117" s="180"/>
      <c r="H117" s="103"/>
      <c r="J117" s="77"/>
      <c r="R117" s="92"/>
    </row>
    <row r="118" spans="2:19" s="91" customFormat="1" x14ac:dyDescent="0.2">
      <c r="B118" s="75" t="s">
        <v>27</v>
      </c>
      <c r="C118" s="85"/>
      <c r="D118" s="85"/>
      <c r="E118" s="85"/>
      <c r="F118" s="90"/>
      <c r="G118" s="180"/>
      <c r="H118" s="103"/>
      <c r="J118" s="77"/>
      <c r="R118" s="92"/>
    </row>
    <row r="119" spans="2:19" s="91" customFormat="1" x14ac:dyDescent="0.2">
      <c r="B119" s="74" t="s">
        <v>25</v>
      </c>
      <c r="C119" s="85"/>
      <c r="D119" s="85"/>
      <c r="E119" s="85"/>
      <c r="F119" s="90" t="s">
        <v>87</v>
      </c>
      <c r="G119" s="180"/>
      <c r="H119" s="103"/>
      <c r="J119" s="172">
        <f t="shared" ref="J119" si="20">SUM(L119:S119)</f>
        <v>2263331.6377502577</v>
      </c>
      <c r="L119" s="82">
        <f>'5) Overige opbrengsten'!L54</f>
        <v>15670.98</v>
      </c>
      <c r="M119" s="82">
        <f>'5) Overige opbrengsten'!M54</f>
        <v>1363980.6050503599</v>
      </c>
      <c r="N119" s="82">
        <f>'5) Overige opbrengsten'!N54</f>
        <v>137883.01999999996</v>
      </c>
      <c r="O119" s="82">
        <f>'5) Overige opbrengsten'!O54</f>
        <v>17170.05</v>
      </c>
      <c r="P119" s="82">
        <f>'5) Overige opbrengsten'!P54</f>
        <v>635611.80269989814</v>
      </c>
      <c r="Q119" s="82">
        <f>'5) Overige opbrengsten'!Q54</f>
        <v>18740.920000000013</v>
      </c>
      <c r="R119" s="92"/>
      <c r="S119" s="82">
        <f>'5) Overige opbrengsten'!S54</f>
        <v>74274.259999999995</v>
      </c>
    </row>
    <row r="120" spans="2:19" s="91" customFormat="1" x14ac:dyDescent="0.2">
      <c r="G120" s="180"/>
      <c r="H120" s="180"/>
      <c r="J120" s="77"/>
      <c r="R120" s="92"/>
    </row>
    <row r="121" spans="2:19" s="91" customFormat="1" ht="15" x14ac:dyDescent="0.2">
      <c r="B121" s="40" t="s">
        <v>133</v>
      </c>
      <c r="G121" s="180"/>
      <c r="H121" s="180"/>
      <c r="J121" s="77"/>
      <c r="R121" s="92"/>
    </row>
    <row r="122" spans="2:19" s="91" customFormat="1" x14ac:dyDescent="0.2">
      <c r="B122" s="75" t="s">
        <v>6</v>
      </c>
      <c r="C122" s="74"/>
      <c r="D122" s="74"/>
      <c r="E122" s="74"/>
      <c r="F122" s="74"/>
      <c r="G122" s="180"/>
      <c r="H122" s="171"/>
      <c r="J122" s="77"/>
      <c r="R122" s="92"/>
    </row>
    <row r="123" spans="2:19" s="91" customFormat="1" x14ac:dyDescent="0.2">
      <c r="B123" s="74" t="s">
        <v>7</v>
      </c>
      <c r="C123" s="74"/>
      <c r="D123" s="74"/>
      <c r="E123" s="74"/>
      <c r="F123" s="74" t="s">
        <v>87</v>
      </c>
      <c r="G123" s="180"/>
      <c r="H123" s="171"/>
      <c r="J123" s="172">
        <f t="shared" ref="J123:J126" si="21">SUM(L123:S123)</f>
        <v>449635227.26949102</v>
      </c>
      <c r="L123" s="226">
        <f>L83</f>
        <v>0</v>
      </c>
      <c r="M123" s="226">
        <f t="shared" ref="M123:Q123" si="22">M83</f>
        <v>168365881.88999999</v>
      </c>
      <c r="N123" s="226">
        <f t="shared" si="22"/>
        <v>162369324.03999999</v>
      </c>
      <c r="O123" s="226">
        <f t="shared" si="22"/>
        <v>0</v>
      </c>
      <c r="P123" s="226">
        <f t="shared" si="22"/>
        <v>102145610.84</v>
      </c>
      <c r="Q123" s="226">
        <f t="shared" si="22"/>
        <v>6427942.3394910097</v>
      </c>
      <c r="R123" s="189"/>
      <c r="S123" s="226">
        <f t="shared" ref="S123" si="23">S83</f>
        <v>10326468.159999998</v>
      </c>
    </row>
    <row r="124" spans="2:19" s="91" customFormat="1" x14ac:dyDescent="0.2">
      <c r="B124" s="74" t="s">
        <v>8</v>
      </c>
      <c r="C124" s="74"/>
      <c r="D124" s="74"/>
      <c r="E124" s="74"/>
      <c r="F124" s="74" t="s">
        <v>87</v>
      </c>
      <c r="G124" s="180"/>
      <c r="H124" s="171"/>
      <c r="J124" s="172">
        <f t="shared" si="21"/>
        <v>10617154.986532025</v>
      </c>
      <c r="L124" s="226">
        <f>L84</f>
        <v>3384368</v>
      </c>
      <c r="M124" s="226">
        <f t="shared" ref="M124:Q124" si="24">M84</f>
        <v>345008.1657320261</v>
      </c>
      <c r="N124" s="226">
        <f t="shared" si="24"/>
        <v>1324634.1839999999</v>
      </c>
      <c r="O124" s="226">
        <f t="shared" si="24"/>
        <v>2242880.09</v>
      </c>
      <c r="P124" s="226">
        <f t="shared" si="24"/>
        <v>3029065.3299999987</v>
      </c>
      <c r="Q124" s="226">
        <f t="shared" si="24"/>
        <v>291199.21680000005</v>
      </c>
      <c r="R124" s="189"/>
      <c r="S124" s="226">
        <f t="shared" ref="S124" si="25">S84</f>
        <v>0</v>
      </c>
    </row>
    <row r="125" spans="2:19" s="91" customFormat="1" x14ac:dyDescent="0.2">
      <c r="B125" s="74" t="s">
        <v>9</v>
      </c>
      <c r="C125" s="74"/>
      <c r="D125" s="74"/>
      <c r="E125" s="74"/>
      <c r="F125" s="74" t="s">
        <v>87</v>
      </c>
      <c r="G125" s="180"/>
      <c r="H125" s="171"/>
      <c r="J125" s="172">
        <f t="shared" si="21"/>
        <v>151372133.69883764</v>
      </c>
      <c r="L125" s="188">
        <f>L85-SUM(L101:L102,L112)</f>
        <v>450038.41000000003</v>
      </c>
      <c r="M125" s="188">
        <f t="shared" ref="M125:Q125" si="26">M85-SUM(M101:M102,M112)</f>
        <v>54927677.713738993</v>
      </c>
      <c r="N125" s="188">
        <f t="shared" si="26"/>
        <v>59394606.684656024</v>
      </c>
      <c r="O125" s="188">
        <f t="shared" si="26"/>
        <v>274686.64</v>
      </c>
      <c r="P125" s="188">
        <f t="shared" si="26"/>
        <v>30236747.110442653</v>
      </c>
      <c r="Q125" s="188">
        <f t="shared" si="26"/>
        <v>1912039.73</v>
      </c>
      <c r="R125" s="189"/>
      <c r="S125" s="188">
        <f t="shared" ref="S125" si="27">S85-SUM(S101:S102,S112)</f>
        <v>4176337.4099999992</v>
      </c>
    </row>
    <row r="126" spans="2:19" s="91" customFormat="1" x14ac:dyDescent="0.2">
      <c r="B126" s="74" t="s">
        <v>10</v>
      </c>
      <c r="C126" s="74"/>
      <c r="D126" s="74"/>
      <c r="E126" s="74"/>
      <c r="F126" s="74" t="s">
        <v>87</v>
      </c>
      <c r="G126" s="180"/>
      <c r="H126" s="171"/>
      <c r="J126" s="172">
        <f t="shared" si="21"/>
        <v>0</v>
      </c>
      <c r="L126" s="188">
        <f>L86</f>
        <v>0</v>
      </c>
      <c r="M126" s="188">
        <f t="shared" ref="M126:Q126" si="28">M86</f>
        <v>0</v>
      </c>
      <c r="N126" s="188">
        <f t="shared" si="28"/>
        <v>0</v>
      </c>
      <c r="O126" s="188">
        <f t="shared" si="28"/>
        <v>0</v>
      </c>
      <c r="P126" s="188">
        <f t="shared" si="28"/>
        <v>0</v>
      </c>
      <c r="Q126" s="188">
        <f t="shared" si="28"/>
        <v>0</v>
      </c>
      <c r="R126" s="189"/>
      <c r="S126" s="188">
        <f t="shared" ref="S126" si="29">S86</f>
        <v>0</v>
      </c>
    </row>
    <row r="127" spans="2:19" s="91" customFormat="1" x14ac:dyDescent="0.2">
      <c r="B127" s="74"/>
      <c r="C127" s="74"/>
      <c r="D127" s="74"/>
      <c r="E127" s="74"/>
      <c r="F127" s="74"/>
      <c r="G127" s="180"/>
      <c r="H127" s="171"/>
      <c r="J127" s="96"/>
      <c r="L127" s="185"/>
      <c r="M127" s="185"/>
      <c r="N127" s="185"/>
      <c r="O127" s="185"/>
      <c r="P127" s="185"/>
      <c r="Q127" s="185"/>
      <c r="R127" s="190"/>
      <c r="S127" s="185"/>
    </row>
    <row r="128" spans="2:19" s="91" customFormat="1" x14ac:dyDescent="0.2">
      <c r="B128" s="75" t="s">
        <v>11</v>
      </c>
      <c r="C128" s="74"/>
      <c r="D128" s="74"/>
      <c r="E128" s="74"/>
      <c r="F128" s="74"/>
      <c r="G128" s="180"/>
      <c r="H128" s="171"/>
      <c r="J128" s="96"/>
      <c r="L128" s="185"/>
      <c r="M128" s="185"/>
      <c r="N128" s="185"/>
      <c r="O128" s="185"/>
      <c r="P128" s="185"/>
      <c r="Q128" s="185"/>
      <c r="R128" s="190"/>
      <c r="S128" s="185"/>
    </row>
    <row r="129" spans="2:21" s="91" customFormat="1" x14ac:dyDescent="0.2">
      <c r="B129" s="74" t="s">
        <v>12</v>
      </c>
      <c r="C129" s="74"/>
      <c r="D129" s="74"/>
      <c r="E129" s="74"/>
      <c r="F129" s="74" t="s">
        <v>87</v>
      </c>
      <c r="G129" s="180"/>
      <c r="H129" s="171"/>
      <c r="J129" s="172">
        <f t="shared" ref="J129:J131" si="30">SUM(L129:S129)</f>
        <v>723228507.78111017</v>
      </c>
      <c r="L129" s="188">
        <f>L89-SUM(L103:L109)+L115-L116-L119</f>
        <v>4259995.6675594691</v>
      </c>
      <c r="M129" s="188">
        <f t="shared" ref="M129:Q129" si="31">M89-SUM(M103:M109)+M115-M116-M119</f>
        <v>208883101.18366715</v>
      </c>
      <c r="N129" s="188">
        <f t="shared" si="31"/>
        <v>305920217.39738792</v>
      </c>
      <c r="O129" s="188">
        <f t="shared" si="31"/>
        <v>1919141.1600000001</v>
      </c>
      <c r="P129" s="188">
        <f t="shared" si="31"/>
        <v>172761824.61299372</v>
      </c>
      <c r="Q129" s="188">
        <f t="shared" si="31"/>
        <v>7457764.0941852322</v>
      </c>
      <c r="R129" s="189"/>
      <c r="S129" s="188">
        <f>S89-SUM(S103:S109)+S115-S116-S119</f>
        <v>22026463.665316593</v>
      </c>
    </row>
    <row r="130" spans="2:21" s="180" customFormat="1" x14ac:dyDescent="0.2">
      <c r="B130" s="171" t="s">
        <v>430</v>
      </c>
      <c r="C130" s="171"/>
      <c r="D130" s="171"/>
      <c r="E130" s="171"/>
      <c r="F130" s="171" t="s">
        <v>87</v>
      </c>
      <c r="H130" s="171"/>
      <c r="J130" s="172">
        <f t="shared" si="30"/>
        <v>724618.73961678089</v>
      </c>
      <c r="L130" s="226">
        <f>L90</f>
        <v>2681</v>
      </c>
      <c r="M130" s="226">
        <f t="shared" ref="M130:Q130" si="32">M90</f>
        <v>320733.74925137253</v>
      </c>
      <c r="N130" s="226">
        <f t="shared" si="32"/>
        <v>223252.39798857534</v>
      </c>
      <c r="O130" s="226">
        <f t="shared" si="32"/>
        <v>6131.79</v>
      </c>
      <c r="P130" s="226">
        <f t="shared" si="32"/>
        <v>142336.49795553571</v>
      </c>
      <c r="Q130" s="226">
        <f t="shared" si="32"/>
        <v>10885.0544212972</v>
      </c>
      <c r="R130" s="189"/>
      <c r="S130" s="226">
        <f>S90</f>
        <v>18598.25</v>
      </c>
    </row>
    <row r="131" spans="2:21" s="91" customFormat="1" x14ac:dyDescent="0.2">
      <c r="B131" s="74" t="s">
        <v>13</v>
      </c>
      <c r="C131" s="74"/>
      <c r="D131" s="74"/>
      <c r="E131" s="74"/>
      <c r="F131" s="74" t="s">
        <v>87</v>
      </c>
      <c r="G131" s="180"/>
      <c r="H131" s="171"/>
      <c r="J131" s="172">
        <f t="shared" si="30"/>
        <v>2315487.65</v>
      </c>
      <c r="L131" s="226">
        <f>L91</f>
        <v>15396</v>
      </c>
      <c r="M131" s="226">
        <f t="shared" ref="M131:Q131" si="33">M91</f>
        <v>761971</v>
      </c>
      <c r="N131" s="226">
        <f t="shared" si="33"/>
        <v>815422</v>
      </c>
      <c r="O131" s="226">
        <f t="shared" si="33"/>
        <v>154488.65</v>
      </c>
      <c r="P131" s="226">
        <f t="shared" si="33"/>
        <v>553395</v>
      </c>
      <c r="Q131" s="226">
        <f t="shared" si="33"/>
        <v>14815</v>
      </c>
      <c r="R131" s="189"/>
      <c r="S131" s="226">
        <f>S91</f>
        <v>0</v>
      </c>
    </row>
    <row r="132" spans="2:21" s="91" customFormat="1" x14ac:dyDescent="0.2">
      <c r="B132" s="74"/>
      <c r="C132" s="74"/>
      <c r="D132" s="74"/>
      <c r="E132" s="74"/>
      <c r="F132" s="74"/>
      <c r="G132" s="180"/>
      <c r="H132" s="171"/>
      <c r="J132" s="96"/>
      <c r="L132" s="185"/>
      <c r="M132" s="185"/>
      <c r="N132" s="185"/>
      <c r="O132" s="185"/>
      <c r="P132" s="185"/>
      <c r="Q132" s="185"/>
      <c r="R132" s="190"/>
      <c r="S132" s="185"/>
    </row>
    <row r="133" spans="2:21" s="91" customFormat="1" x14ac:dyDescent="0.2">
      <c r="B133" s="75" t="s">
        <v>14</v>
      </c>
      <c r="C133" s="74"/>
      <c r="D133" s="74"/>
      <c r="E133" s="74"/>
      <c r="F133" s="74"/>
      <c r="G133" s="171"/>
      <c r="H133" s="171"/>
      <c r="I133" s="74"/>
      <c r="J133" s="96"/>
      <c r="K133" s="74"/>
      <c r="L133" s="185"/>
      <c r="M133" s="185"/>
      <c r="N133" s="185"/>
      <c r="O133" s="185"/>
      <c r="P133" s="185"/>
      <c r="Q133" s="185"/>
      <c r="R133" s="190"/>
      <c r="S133" s="185"/>
      <c r="T133" s="74"/>
      <c r="U133" s="74"/>
    </row>
    <row r="134" spans="2:21" s="91" customFormat="1" x14ac:dyDescent="0.2">
      <c r="B134" s="74" t="s">
        <v>15</v>
      </c>
      <c r="C134" s="74"/>
      <c r="D134" s="74"/>
      <c r="E134" s="74"/>
      <c r="F134" s="74" t="s">
        <v>87</v>
      </c>
      <c r="G134" s="180"/>
      <c r="H134" s="171"/>
      <c r="J134" s="172">
        <f t="shared" ref="J134:J137" si="34">SUM(L134:S134)</f>
        <v>4915803.0889218822</v>
      </c>
      <c r="L134" s="226">
        <f>L94</f>
        <v>12292</v>
      </c>
      <c r="M134" s="226">
        <f t="shared" ref="M134:Q134" si="35">M94</f>
        <v>1928713.4459019748</v>
      </c>
      <c r="N134" s="226">
        <f t="shared" si="35"/>
        <v>1471393.0756646986</v>
      </c>
      <c r="O134" s="226">
        <f t="shared" si="35"/>
        <v>115013.19</v>
      </c>
      <c r="P134" s="226">
        <f t="shared" si="35"/>
        <v>1381691.8773552086</v>
      </c>
      <c r="Q134" s="226">
        <f t="shared" si="35"/>
        <v>6699.4999999999991</v>
      </c>
      <c r="R134" s="189"/>
      <c r="S134" s="226">
        <f>S94</f>
        <v>0</v>
      </c>
    </row>
    <row r="135" spans="2:21" s="91" customFormat="1" x14ac:dyDescent="0.2">
      <c r="B135" s="74" t="s">
        <v>16</v>
      </c>
      <c r="C135" s="74"/>
      <c r="D135" s="74"/>
      <c r="E135" s="74"/>
      <c r="F135" s="74" t="s">
        <v>87</v>
      </c>
      <c r="G135" s="180"/>
      <c r="H135" s="171"/>
      <c r="J135" s="172">
        <f t="shared" si="34"/>
        <v>1280258.9833676356</v>
      </c>
      <c r="L135" s="226">
        <f>L95</f>
        <v>184</v>
      </c>
      <c r="M135" s="226">
        <f t="shared" ref="M135:Q135" si="36">M95</f>
        <v>857669.67929164763</v>
      </c>
      <c r="N135" s="226">
        <f t="shared" si="36"/>
        <v>0</v>
      </c>
      <c r="O135" s="226">
        <f t="shared" si="36"/>
        <v>5058.3900000000003</v>
      </c>
      <c r="P135" s="226">
        <f t="shared" si="36"/>
        <v>416395.45407598803</v>
      </c>
      <c r="Q135" s="226">
        <f t="shared" si="36"/>
        <v>951.46</v>
      </c>
      <c r="R135" s="189"/>
      <c r="S135" s="226">
        <f>S95</f>
        <v>0</v>
      </c>
    </row>
    <row r="136" spans="2:21" s="91" customFormat="1" x14ac:dyDescent="0.2">
      <c r="B136" s="74" t="s">
        <v>17</v>
      </c>
      <c r="C136" s="74"/>
      <c r="D136" s="74"/>
      <c r="E136" s="74"/>
      <c r="F136" s="74" t="s">
        <v>87</v>
      </c>
      <c r="G136" s="180"/>
      <c r="H136" s="171"/>
      <c r="J136" s="172">
        <f t="shared" si="34"/>
        <v>2553074.4388384498</v>
      </c>
      <c r="L136" s="226">
        <f>L96</f>
        <v>3453</v>
      </c>
      <c r="M136" s="226">
        <f t="shared" ref="M136:Q136" si="37">M96</f>
        <v>971130.60590310488</v>
      </c>
      <c r="N136" s="226">
        <f t="shared" si="37"/>
        <v>827061.958277122</v>
      </c>
      <c r="O136" s="226">
        <f t="shared" si="37"/>
        <v>4297.79</v>
      </c>
      <c r="P136" s="226">
        <f t="shared" si="37"/>
        <v>405562.3827847403</v>
      </c>
      <c r="Q136" s="226">
        <f t="shared" si="37"/>
        <v>224049.35595318998</v>
      </c>
      <c r="R136" s="189"/>
      <c r="S136" s="226">
        <f>S96</f>
        <v>117519.3459202926</v>
      </c>
    </row>
    <row r="137" spans="2:21" s="91" customFormat="1" x14ac:dyDescent="0.2">
      <c r="B137" s="74" t="s">
        <v>18</v>
      </c>
      <c r="C137" s="74"/>
      <c r="D137" s="74"/>
      <c r="E137" s="74"/>
      <c r="F137" s="74" t="s">
        <v>87</v>
      </c>
      <c r="G137" s="180"/>
      <c r="H137" s="171"/>
      <c r="J137" s="172">
        <f t="shared" si="34"/>
        <v>24915665.612801727</v>
      </c>
      <c r="L137" s="226">
        <f>L97</f>
        <v>0</v>
      </c>
      <c r="M137" s="226">
        <f t="shared" ref="M137:Q137" si="38">M97</f>
        <v>2640182.349696212</v>
      </c>
      <c r="N137" s="226">
        <f t="shared" si="38"/>
        <v>17664211.721074909</v>
      </c>
      <c r="O137" s="226">
        <f t="shared" si="38"/>
        <v>12867.83</v>
      </c>
      <c r="P137" s="226">
        <f t="shared" si="38"/>
        <v>4064072.302030609</v>
      </c>
      <c r="Q137" s="226">
        <f t="shared" si="38"/>
        <v>12250</v>
      </c>
      <c r="R137" s="189"/>
      <c r="S137" s="226">
        <f>S97</f>
        <v>522081.40999999992</v>
      </c>
    </row>
    <row r="138" spans="2:21" s="91" customFormat="1" x14ac:dyDescent="0.2">
      <c r="G138" s="180"/>
      <c r="H138" s="180"/>
      <c r="J138" s="77"/>
      <c r="R138" s="92"/>
    </row>
    <row r="139" spans="2:21" s="91" customFormat="1" ht="15" x14ac:dyDescent="0.2">
      <c r="B139" s="40" t="s">
        <v>132</v>
      </c>
      <c r="G139" s="180"/>
      <c r="H139" s="180"/>
      <c r="J139" s="77"/>
      <c r="R139" s="92"/>
    </row>
    <row r="140" spans="2:21" s="91" customFormat="1" x14ac:dyDescent="0.2">
      <c r="B140" s="94" t="s">
        <v>134</v>
      </c>
      <c r="G140" s="180"/>
      <c r="H140" s="180"/>
      <c r="R140" s="92"/>
    </row>
    <row r="141" spans="2:21" s="91" customFormat="1" x14ac:dyDescent="0.2">
      <c r="B141" s="83" t="s">
        <v>86</v>
      </c>
      <c r="D141" s="185" t="s">
        <v>431</v>
      </c>
      <c r="F141" s="74" t="s">
        <v>87</v>
      </c>
      <c r="G141" s="180"/>
      <c r="H141" s="171"/>
      <c r="J141" s="172">
        <f>SUM(L141:Q141)</f>
        <v>911305549.99349415</v>
      </c>
      <c r="L141" s="191">
        <f>SUM(L125:L126,L129:L131,L134:L137)</f>
        <v>4744040.0775594693</v>
      </c>
      <c r="M141" s="191">
        <f>SUM(M125:M126,M129:M131,M134:M137)</f>
        <v>271291179.72745043</v>
      </c>
      <c r="N141" s="191">
        <f>SUM(N125:N126,N129:N131,N134:N137)</f>
        <v>386316165.23504925</v>
      </c>
      <c r="O141" s="191">
        <f>SUM(O125:O126,O129:O131,O134:O137)</f>
        <v>2491685.4400000004</v>
      </c>
      <c r="P141" s="192">
        <f>SUM(P125:P126,P129:P131,P134:P137)+SUM(S125:S126,S129:S131,S134:S137)</f>
        <v>236823025.31887537</v>
      </c>
      <c r="Q141" s="191">
        <f>SUM(Q125:Q126,Q129:Q131,Q134:Q137)</f>
        <v>9639454.1945597194</v>
      </c>
      <c r="R141" s="92"/>
      <c r="S141" s="186"/>
      <c r="U141" s="88" t="s">
        <v>645</v>
      </c>
    </row>
    <row r="143" spans="2:21" s="24" customFormat="1" ht="12.75" x14ac:dyDescent="0.2">
      <c r="B143" s="24" t="s">
        <v>605</v>
      </c>
    </row>
    <row r="144" spans="2:21" s="91" customFormat="1" x14ac:dyDescent="0.2">
      <c r="G144" s="180"/>
      <c r="H144" s="180"/>
      <c r="R144" s="92"/>
    </row>
    <row r="145" spans="2:20" s="91" customFormat="1" ht="15" x14ac:dyDescent="0.2">
      <c r="B145" s="40" t="s">
        <v>131</v>
      </c>
      <c r="G145" s="180"/>
      <c r="H145" s="180"/>
      <c r="R145" s="92"/>
    </row>
    <row r="146" spans="2:20" s="91" customFormat="1" x14ac:dyDescent="0.2">
      <c r="B146" s="81" t="s">
        <v>238</v>
      </c>
      <c r="G146" s="180"/>
      <c r="H146" s="180"/>
      <c r="R146" s="92"/>
    </row>
    <row r="147" spans="2:20" s="74" customFormat="1" x14ac:dyDescent="0.2">
      <c r="B147" s="75" t="s">
        <v>6</v>
      </c>
      <c r="G147" s="171"/>
      <c r="H147" s="171"/>
      <c r="R147" s="92"/>
    </row>
    <row r="148" spans="2:20" s="74" customFormat="1" x14ac:dyDescent="0.2">
      <c r="B148" s="74" t="s">
        <v>7</v>
      </c>
      <c r="F148" s="74" t="s">
        <v>92</v>
      </c>
      <c r="G148" s="171"/>
      <c r="H148" s="171"/>
      <c r="J148" s="172">
        <f>SUM(L148:S148)</f>
        <v>495886316.79359996</v>
      </c>
      <c r="L148" s="82">
        <f>'3) Input operationele kosten'!L56</f>
        <v>0</v>
      </c>
      <c r="M148" s="82">
        <f>'3) Input operationele kosten'!M56</f>
        <v>184772944.96000001</v>
      </c>
      <c r="N148" s="82">
        <f>'3) Input operationele kosten'!N56</f>
        <v>176321409.41</v>
      </c>
      <c r="O148" s="82">
        <f>'3) Input operationele kosten'!O56</f>
        <v>0</v>
      </c>
      <c r="P148" s="82">
        <f>'3) Input operationele kosten'!P56</f>
        <v>112145013.83359998</v>
      </c>
      <c r="Q148" s="82">
        <f>'3) Input operationele kosten'!Q56</f>
        <v>10548658.84</v>
      </c>
      <c r="R148" s="92"/>
      <c r="S148" s="82">
        <f>'3) Input operationele kosten'!S56</f>
        <v>12098289.75</v>
      </c>
    </row>
    <row r="149" spans="2:20" s="74" customFormat="1" x14ac:dyDescent="0.2">
      <c r="B149" s="74" t="s">
        <v>8</v>
      </c>
      <c r="F149" s="74" t="s">
        <v>92</v>
      </c>
      <c r="G149" s="171"/>
      <c r="H149" s="171"/>
      <c r="J149" s="172">
        <f t="shared" ref="J149:J151" si="39">SUM(L149:S149)</f>
        <v>10133783.367717329</v>
      </c>
      <c r="L149" s="82">
        <f>'3) Input operationele kosten'!L57</f>
        <v>3297706</v>
      </c>
      <c r="M149" s="82">
        <f>'3) Input operationele kosten'!M57</f>
        <v>86942.942867973252</v>
      </c>
      <c r="N149" s="82">
        <f>'3) Input operationele kosten'!N57</f>
        <v>1290234.514</v>
      </c>
      <c r="O149" s="82">
        <f>'3) Input operationele kosten'!O57</f>
        <v>2124377.0099999998</v>
      </c>
      <c r="P149" s="82">
        <f>'3) Input operationele kosten'!P57</f>
        <v>3058090.0253333575</v>
      </c>
      <c r="Q149" s="82">
        <f>'3) Input operationele kosten'!Q57</f>
        <v>276432.87551599997</v>
      </c>
      <c r="R149" s="92"/>
      <c r="S149" s="82">
        <f>'3) Input operationele kosten'!S57</f>
        <v>0</v>
      </c>
    </row>
    <row r="150" spans="2:20" s="74" customFormat="1" x14ac:dyDescent="0.2">
      <c r="B150" s="74" t="s">
        <v>9</v>
      </c>
      <c r="F150" s="74" t="s">
        <v>92</v>
      </c>
      <c r="G150" s="171"/>
      <c r="H150" s="171"/>
      <c r="J150" s="172">
        <f t="shared" si="39"/>
        <v>145181626.10999998</v>
      </c>
      <c r="L150" s="82">
        <f>'3) Input operationele kosten'!L58</f>
        <v>797098</v>
      </c>
      <c r="M150" s="82">
        <f>'3) Input operationele kosten'!M58</f>
        <v>45609760.983085006</v>
      </c>
      <c r="N150" s="82">
        <f>'3) Input operationele kosten'!N58</f>
        <v>57506965.390000001</v>
      </c>
      <c r="O150" s="82">
        <f>'3) Input operationele kosten'!O58</f>
        <v>345453.09</v>
      </c>
      <c r="P150" s="82">
        <f>'3) Input operationele kosten'!P58</f>
        <v>34472255.216914989</v>
      </c>
      <c r="Q150" s="82">
        <f>'3) Input operationele kosten'!Q58</f>
        <v>2364828.9800000004</v>
      </c>
      <c r="R150" s="92"/>
      <c r="S150" s="82">
        <f>'3) Input operationele kosten'!S58</f>
        <v>4085264.4499999997</v>
      </c>
    </row>
    <row r="151" spans="2:20" s="74" customFormat="1" x14ac:dyDescent="0.2">
      <c r="B151" s="74" t="s">
        <v>10</v>
      </c>
      <c r="F151" s="74" t="s">
        <v>92</v>
      </c>
      <c r="G151" s="171"/>
      <c r="H151" s="171"/>
      <c r="J151" s="172">
        <f t="shared" si="39"/>
        <v>0</v>
      </c>
      <c r="L151" s="82">
        <f>'3) Input operationele kosten'!L59</f>
        <v>0</v>
      </c>
      <c r="M151" s="82">
        <f>'3) Input operationele kosten'!M59</f>
        <v>0</v>
      </c>
      <c r="N151" s="82">
        <f>'3) Input operationele kosten'!N59</f>
        <v>0</v>
      </c>
      <c r="O151" s="82">
        <f>'3) Input operationele kosten'!O59</f>
        <v>0</v>
      </c>
      <c r="P151" s="82">
        <f>'3) Input operationele kosten'!P59</f>
        <v>0</v>
      </c>
      <c r="Q151" s="82">
        <f>'3) Input operationele kosten'!Q59</f>
        <v>0</v>
      </c>
      <c r="R151" s="92"/>
      <c r="S151" s="82">
        <f>'3) Input operationele kosten'!S59</f>
        <v>0</v>
      </c>
    </row>
    <row r="152" spans="2:20" s="74" customFormat="1" x14ac:dyDescent="0.2">
      <c r="G152" s="171"/>
      <c r="H152" s="171"/>
      <c r="J152" s="96"/>
      <c r="K152" s="77"/>
      <c r="L152" s="77"/>
      <c r="M152" s="77"/>
      <c r="N152" s="77"/>
      <c r="O152" s="77"/>
      <c r="P152" s="77"/>
      <c r="Q152" s="77"/>
      <c r="R152" s="92"/>
      <c r="S152" s="77"/>
      <c r="T152" s="77"/>
    </row>
    <row r="153" spans="2:20" s="74" customFormat="1" x14ac:dyDescent="0.2">
      <c r="B153" s="75" t="s">
        <v>11</v>
      </c>
      <c r="G153" s="171"/>
      <c r="H153" s="171"/>
      <c r="J153" s="96"/>
      <c r="K153" s="77"/>
      <c r="L153" s="77"/>
      <c r="M153" s="77"/>
      <c r="N153" s="77"/>
      <c r="O153" s="77"/>
      <c r="P153" s="77"/>
      <c r="Q153" s="77"/>
      <c r="R153" s="92"/>
      <c r="S153" s="77"/>
      <c r="T153" s="77"/>
    </row>
    <row r="154" spans="2:20" s="74" customFormat="1" x14ac:dyDescent="0.2">
      <c r="B154" s="74" t="s">
        <v>12</v>
      </c>
      <c r="F154" s="74" t="s">
        <v>92</v>
      </c>
      <c r="G154" s="171"/>
      <c r="H154" s="171"/>
      <c r="J154" s="172">
        <f>SUM(L154:S154)</f>
        <v>872302246.0238775</v>
      </c>
      <c r="L154" s="82">
        <f>'3) Input operationele kosten'!L62</f>
        <v>4202205</v>
      </c>
      <c r="M154" s="82">
        <f>'3) Input operationele kosten'!M62</f>
        <v>267432956.79028395</v>
      </c>
      <c r="N154" s="82">
        <f>'3) Input operationele kosten'!N62</f>
        <v>372191717.66949511</v>
      </c>
      <c r="O154" s="82">
        <f>'3) Input operationele kosten'!O62</f>
        <v>2359139.54</v>
      </c>
      <c r="P154" s="82">
        <f>'3) Input operationele kosten'!P62</f>
        <v>190708154.63341552</v>
      </c>
      <c r="Q154" s="82">
        <f>'3) Input operationele kosten'!Q62</f>
        <v>12274085.21644024</v>
      </c>
      <c r="R154" s="92"/>
      <c r="S154" s="82">
        <f>'3) Input operationele kosten'!S62</f>
        <v>23133987.174242813</v>
      </c>
    </row>
    <row r="155" spans="2:20" s="171" customFormat="1" x14ac:dyDescent="0.2">
      <c r="B155" s="171" t="s">
        <v>430</v>
      </c>
      <c r="F155" s="171" t="s">
        <v>92</v>
      </c>
      <c r="J155" s="172">
        <f t="shared" ref="J155:J156" si="40">SUM(L155:S155)</f>
        <v>722432.49268975644</v>
      </c>
      <c r="L155" s="175">
        <f>'3) Input operationele kosten'!L63</f>
        <v>2801</v>
      </c>
      <c r="M155" s="175">
        <f>'3) Input operationele kosten'!M63</f>
        <v>339063.09570543154</v>
      </c>
      <c r="N155" s="175">
        <f>'3) Input operationele kosten'!N63</f>
        <v>217602.36175613769</v>
      </c>
      <c r="O155" s="175">
        <f>'3) Input operationele kosten'!O63</f>
        <v>2435.81</v>
      </c>
      <c r="P155" s="175">
        <f>'3) Input operationele kosten'!P63</f>
        <v>133823.74468704136</v>
      </c>
      <c r="Q155" s="175">
        <f>'3) Input operationele kosten'!Q63</f>
        <v>10269.370541145794</v>
      </c>
      <c r="R155" s="105"/>
      <c r="S155" s="175">
        <f>'3) Input operationele kosten'!S63</f>
        <v>16437.11</v>
      </c>
    </row>
    <row r="156" spans="2:20" s="74" customFormat="1" x14ac:dyDescent="0.2">
      <c r="B156" s="74" t="s">
        <v>13</v>
      </c>
      <c r="F156" s="74" t="s">
        <v>92</v>
      </c>
      <c r="G156" s="171"/>
      <c r="H156" s="171"/>
      <c r="J156" s="172">
        <f t="shared" si="40"/>
        <v>2272284.3200000003</v>
      </c>
      <c r="L156" s="82">
        <f>'3) Input operationele kosten'!L64</f>
        <v>14438</v>
      </c>
      <c r="M156" s="82">
        <f>'3) Input operationele kosten'!M64</f>
        <v>714565</v>
      </c>
      <c r="N156" s="82">
        <f>'3) Input operationele kosten'!N64</f>
        <v>764690</v>
      </c>
      <c r="O156" s="82">
        <f>'3) Input operationele kosten'!O64</f>
        <v>245732.32</v>
      </c>
      <c r="P156" s="82">
        <f>'3) Input operationele kosten'!P64</f>
        <v>518965</v>
      </c>
      <c r="Q156" s="82">
        <f>'3) Input operationele kosten'!Q64</f>
        <v>13894</v>
      </c>
      <c r="R156" s="92"/>
      <c r="S156" s="82">
        <f>'3) Input operationele kosten'!S64</f>
        <v>0</v>
      </c>
    </row>
    <row r="157" spans="2:20" s="74" customFormat="1" x14ac:dyDescent="0.2">
      <c r="G157" s="171"/>
      <c r="H157" s="171"/>
      <c r="J157" s="96"/>
      <c r="K157" s="77"/>
      <c r="L157" s="77"/>
      <c r="M157" s="77"/>
      <c r="N157" s="77"/>
      <c r="O157" s="77"/>
      <c r="P157" s="77"/>
      <c r="Q157" s="77"/>
      <c r="R157" s="92"/>
      <c r="S157" s="77"/>
      <c r="T157" s="77"/>
    </row>
    <row r="158" spans="2:20" s="74" customFormat="1" x14ac:dyDescent="0.2">
      <c r="B158" s="75" t="s">
        <v>14</v>
      </c>
      <c r="G158" s="171"/>
      <c r="H158" s="171"/>
      <c r="J158" s="96"/>
      <c r="K158" s="77"/>
      <c r="L158" s="77"/>
      <c r="M158" s="77"/>
      <c r="N158" s="77"/>
      <c r="O158" s="77"/>
      <c r="P158" s="77"/>
      <c r="Q158" s="77"/>
      <c r="R158" s="92"/>
      <c r="S158" s="77"/>
      <c r="T158" s="77"/>
    </row>
    <row r="159" spans="2:20" s="74" customFormat="1" x14ac:dyDescent="0.2">
      <c r="B159" s="74" t="s">
        <v>15</v>
      </c>
      <c r="F159" s="74" t="s">
        <v>92</v>
      </c>
      <c r="G159" s="171"/>
      <c r="H159" s="171"/>
      <c r="J159" s="172">
        <f>SUM(L159:S159)</f>
        <v>4388498.7026855098</v>
      </c>
      <c r="L159" s="82">
        <f>'3) Input operationele kosten'!L67</f>
        <v>29654</v>
      </c>
      <c r="M159" s="82">
        <f>'3) Input operationele kosten'!M67</f>
        <v>1829553.1999519246</v>
      </c>
      <c r="N159" s="82">
        <f>'3) Input operationele kosten'!N67</f>
        <v>1785889.9304917511</v>
      </c>
      <c r="O159" s="82">
        <f>'3) Input operationele kosten'!O67</f>
        <v>0</v>
      </c>
      <c r="P159" s="82">
        <f>'3) Input operationele kosten'!P67</f>
        <v>706623.71224183415</v>
      </c>
      <c r="Q159" s="82">
        <f>'3) Input operationele kosten'!Q67</f>
        <v>36777.86</v>
      </c>
      <c r="R159" s="92"/>
      <c r="S159" s="82">
        <f>'3) Input operationele kosten'!S67</f>
        <v>0</v>
      </c>
    </row>
    <row r="160" spans="2:20" s="74" customFormat="1" x14ac:dyDescent="0.2">
      <c r="B160" s="74" t="s">
        <v>16</v>
      </c>
      <c r="F160" s="74" t="s">
        <v>92</v>
      </c>
      <c r="G160" s="171"/>
      <c r="H160" s="171"/>
      <c r="J160" s="172">
        <f t="shared" ref="J160:J162" si="41">SUM(L160:S160)</f>
        <v>1408833.080737653</v>
      </c>
      <c r="L160" s="82">
        <f>'3) Input operationele kosten'!L68</f>
        <v>0</v>
      </c>
      <c r="M160" s="82">
        <f>'3) Input operationele kosten'!M68</f>
        <v>567701.33443915145</v>
      </c>
      <c r="N160" s="82">
        <f>'3) Input operationele kosten'!N68</f>
        <v>0</v>
      </c>
      <c r="O160" s="82">
        <f>'3) Input operationele kosten'!O68</f>
        <v>9090.0499999999993</v>
      </c>
      <c r="P160" s="82">
        <f>'3) Input operationele kosten'!P68</f>
        <v>824032.4962985015</v>
      </c>
      <c r="Q160" s="82">
        <f>'3) Input operationele kosten'!Q68</f>
        <v>8009.2</v>
      </c>
      <c r="R160" s="92"/>
      <c r="S160" s="82">
        <f>'3) Input operationele kosten'!S68</f>
        <v>0</v>
      </c>
    </row>
    <row r="161" spans="2:19" s="74" customFormat="1" x14ac:dyDescent="0.2">
      <c r="B161" s="74" t="s">
        <v>17</v>
      </c>
      <c r="F161" s="74" t="s">
        <v>92</v>
      </c>
      <c r="G161" s="171"/>
      <c r="H161" s="171"/>
      <c r="J161" s="172">
        <f t="shared" si="41"/>
        <v>1481359.1957578589</v>
      </c>
      <c r="L161" s="82">
        <f>'3) Input operationele kosten'!L69</f>
        <v>1533.55</v>
      </c>
      <c r="M161" s="82">
        <f>'3) Input operationele kosten'!M69</f>
        <v>280807.74798973382</v>
      </c>
      <c r="N161" s="82">
        <f>'3) Input operationele kosten'!N69</f>
        <v>439003.60563018941</v>
      </c>
      <c r="O161" s="82">
        <f>'3) Input operationele kosten'!O69</f>
        <v>12773.32</v>
      </c>
      <c r="P161" s="82">
        <f>'3) Input operationele kosten'!P69</f>
        <v>612104.66451891151</v>
      </c>
      <c r="Q161" s="82">
        <f>'3) Input operationele kosten'!Q69</f>
        <v>102145.39256367998</v>
      </c>
      <c r="R161" s="92"/>
      <c r="S161" s="82">
        <f>'3) Input operationele kosten'!S69</f>
        <v>32990.915055344463</v>
      </c>
    </row>
    <row r="162" spans="2:19" s="74" customFormat="1" x14ac:dyDescent="0.2">
      <c r="B162" s="74" t="s">
        <v>18</v>
      </c>
      <c r="F162" s="74" t="s">
        <v>92</v>
      </c>
      <c r="G162" s="171"/>
      <c r="H162" s="171"/>
      <c r="J162" s="172">
        <f t="shared" si="41"/>
        <v>28518141.509624943</v>
      </c>
      <c r="L162" s="82">
        <f>'3) Input operationele kosten'!L70</f>
        <v>0</v>
      </c>
      <c r="M162" s="82">
        <f>'3) Input operationele kosten'!M70</f>
        <v>2380388.2914062822</v>
      </c>
      <c r="N162" s="82">
        <f>'3) Input operationele kosten'!N70</f>
        <v>22658494.101700045</v>
      </c>
      <c r="O162" s="82">
        <f>'3) Input operationele kosten'!O70</f>
        <v>12983.58</v>
      </c>
      <c r="P162" s="82">
        <f>'3) Input operationele kosten'!P70</f>
        <v>1704551.8765186192</v>
      </c>
      <c r="Q162" s="82">
        <f>'3) Input operationele kosten'!Q70</f>
        <v>32130.000000000004</v>
      </c>
      <c r="R162" s="92"/>
      <c r="S162" s="82">
        <f>'3) Input operationele kosten'!S70</f>
        <v>1729593.66</v>
      </c>
    </row>
    <row r="163" spans="2:19" s="91" customFormat="1" x14ac:dyDescent="0.2">
      <c r="G163" s="180"/>
      <c r="H163" s="180"/>
      <c r="J163" s="96"/>
      <c r="R163" s="92"/>
    </row>
    <row r="164" spans="2:19" s="91" customFormat="1" x14ac:dyDescent="0.2">
      <c r="B164" s="81" t="s">
        <v>21</v>
      </c>
      <c r="G164" s="180"/>
      <c r="H164" s="180"/>
      <c r="J164" s="96"/>
      <c r="R164" s="92"/>
    </row>
    <row r="165" spans="2:19" s="91" customFormat="1" x14ac:dyDescent="0.2">
      <c r="B165" s="84" t="s">
        <v>76</v>
      </c>
      <c r="C165" s="85"/>
      <c r="D165" s="85"/>
      <c r="E165" s="85"/>
      <c r="F165" s="90"/>
      <c r="G165" s="180"/>
      <c r="H165" s="103"/>
      <c r="J165" s="96"/>
      <c r="R165" s="92"/>
    </row>
    <row r="166" spans="2:19" s="91" customFormat="1" x14ac:dyDescent="0.2">
      <c r="B166" s="85" t="s">
        <v>22</v>
      </c>
      <c r="C166" s="85"/>
      <c r="D166" s="85"/>
      <c r="E166" s="85"/>
      <c r="F166" s="90" t="s">
        <v>92</v>
      </c>
      <c r="G166" s="180"/>
      <c r="H166" s="103"/>
      <c r="J166" s="172">
        <f>SUM(L166:S166)</f>
        <v>5600278.8992811264</v>
      </c>
      <c r="L166" s="82">
        <f>'5) Overige opbrengsten'!L110</f>
        <v>57426.17</v>
      </c>
      <c r="M166" s="82">
        <f>'5) Overige opbrengsten'!M110</f>
        <v>2463706.0749094123</v>
      </c>
      <c r="N166" s="82">
        <f>'5) Overige opbrengsten'!N110</f>
        <v>989416.29048112663</v>
      </c>
      <c r="O166" s="82">
        <f>'5) Overige opbrengsten'!O110</f>
        <v>68207.460000000006</v>
      </c>
      <c r="P166" s="82">
        <f>'5) Overige opbrengsten'!P110</f>
        <v>1849704.0750905869</v>
      </c>
      <c r="Q166" s="82">
        <f>'5) Overige opbrengsten'!Q110</f>
        <v>3091.7417999999998</v>
      </c>
      <c r="R166" s="92"/>
      <c r="S166" s="82">
        <f>'5) Overige opbrengsten'!S110</f>
        <v>168727.08699999997</v>
      </c>
    </row>
    <row r="167" spans="2:19" s="91" customFormat="1" x14ac:dyDescent="0.2">
      <c r="B167" s="85" t="s">
        <v>23</v>
      </c>
      <c r="C167" s="85"/>
      <c r="D167" s="85"/>
      <c r="E167" s="85"/>
      <c r="F167" s="90" t="s">
        <v>92</v>
      </c>
      <c r="G167" s="180"/>
      <c r="H167" s="103"/>
      <c r="J167" s="172">
        <f t="shared" ref="J167:J174" si="42">SUM(L167:S167)</f>
        <v>2216521.0343486858</v>
      </c>
      <c r="L167" s="82">
        <f>'5) Overige opbrengsten'!L111</f>
        <v>53190.27</v>
      </c>
      <c r="M167" s="82">
        <f>'5) Overige opbrengsten'!M111</f>
        <v>859103.85411462013</v>
      </c>
      <c r="N167" s="82">
        <f>'5) Overige opbrengsten'!N111</f>
        <v>227800.41999834534</v>
      </c>
      <c r="O167" s="82">
        <f>'5) Overige opbrengsten'!O111</f>
        <v>0</v>
      </c>
      <c r="P167" s="82">
        <f>'5) Overige opbrengsten'!P111</f>
        <v>1066023.3190357203</v>
      </c>
      <c r="Q167" s="82">
        <f>'5) Overige opbrengsten'!Q111</f>
        <v>1522.7982</v>
      </c>
      <c r="R167" s="92"/>
      <c r="S167" s="82">
        <f>'5) Overige opbrengsten'!S111</f>
        <v>8880.3729999999996</v>
      </c>
    </row>
    <row r="168" spans="2:19" s="91" customFormat="1" x14ac:dyDescent="0.2">
      <c r="B168" s="85" t="s">
        <v>28</v>
      </c>
      <c r="C168" s="85"/>
      <c r="D168" s="85"/>
      <c r="E168" s="85"/>
      <c r="F168" s="90" t="s">
        <v>92</v>
      </c>
      <c r="G168" s="180"/>
      <c r="H168" s="103"/>
      <c r="J168" s="172">
        <f t="shared" si="42"/>
        <v>9901022.7290653307</v>
      </c>
      <c r="L168" s="82">
        <f>'5) Overige opbrengsten'!L112</f>
        <v>64606.817283486933</v>
      </c>
      <c r="M168" s="82">
        <f>'5) Overige opbrengsten'!M112</f>
        <v>3216620.6471263897</v>
      </c>
      <c r="N168" s="82">
        <f>'5) Overige opbrengsten'!N112</f>
        <v>3373177.1799999997</v>
      </c>
      <c r="O168" s="82">
        <f>'5) Overige opbrengsten'!O112</f>
        <v>43263.93</v>
      </c>
      <c r="P168" s="82">
        <f>'5) Overige opbrengsten'!P112</f>
        <v>2711647.4387880769</v>
      </c>
      <c r="Q168" s="82">
        <f>'5) Overige opbrengsten'!Q112</f>
        <v>168335.85</v>
      </c>
      <c r="R168" s="92"/>
      <c r="S168" s="82">
        <f>'5) Overige opbrengsten'!S112</f>
        <v>323370.86586737889</v>
      </c>
    </row>
    <row r="169" spans="2:19" s="91" customFormat="1" x14ac:dyDescent="0.2">
      <c r="B169" s="85" t="s">
        <v>29</v>
      </c>
      <c r="C169" s="85"/>
      <c r="D169" s="85"/>
      <c r="E169" s="85"/>
      <c r="F169" s="90" t="s">
        <v>92</v>
      </c>
      <c r="G169" s="180"/>
      <c r="H169" s="103"/>
      <c r="J169" s="172">
        <f t="shared" si="42"/>
        <v>2305656.0754346014</v>
      </c>
      <c r="L169" s="82">
        <f>'5) Overige opbrengsten'!L113</f>
        <v>0</v>
      </c>
      <c r="M169" s="82">
        <f>'5) Overige opbrengsten'!M113</f>
        <v>6190.256942142043</v>
      </c>
      <c r="N169" s="82">
        <f>'5) Overige opbrengsten'!N113</f>
        <v>1345555.8548300527</v>
      </c>
      <c r="O169" s="82">
        <f>'5) Overige opbrengsten'!O113</f>
        <v>8496.08</v>
      </c>
      <c r="P169" s="82">
        <f>'5) Overige opbrengsten'!P113</f>
        <v>944656.8836624067</v>
      </c>
      <c r="Q169" s="82">
        <f>'5) Overige opbrengsten'!Q113</f>
        <v>757</v>
      </c>
      <c r="R169" s="92"/>
      <c r="S169" s="82">
        <f>'5) Overige opbrengsten'!S113</f>
        <v>0</v>
      </c>
    </row>
    <row r="170" spans="2:19" s="91" customFormat="1" x14ac:dyDescent="0.2">
      <c r="B170" s="85" t="s">
        <v>30</v>
      </c>
      <c r="C170" s="85"/>
      <c r="D170" s="85"/>
      <c r="E170" s="85"/>
      <c r="F170" s="90" t="s">
        <v>92</v>
      </c>
      <c r="G170" s="180"/>
      <c r="H170" s="103"/>
      <c r="J170" s="172">
        <f t="shared" si="42"/>
        <v>716939.9</v>
      </c>
      <c r="L170" s="82">
        <f>'5) Overige opbrengsten'!L114</f>
        <v>0</v>
      </c>
      <c r="M170" s="82">
        <f>'5) Overige opbrengsten'!M114</f>
        <v>0</v>
      </c>
      <c r="N170" s="82">
        <f>'5) Overige opbrengsten'!N114</f>
        <v>716844.75</v>
      </c>
      <c r="O170" s="82">
        <f>'5) Overige opbrengsten'!O114</f>
        <v>95.15</v>
      </c>
      <c r="P170" s="82">
        <f>'5) Overige opbrengsten'!P114</f>
        <v>0</v>
      </c>
      <c r="Q170" s="82">
        <f>'5) Overige opbrengsten'!Q114</f>
        <v>0</v>
      </c>
      <c r="R170" s="92"/>
      <c r="S170" s="82">
        <f>'5) Overige opbrengsten'!S114</f>
        <v>0</v>
      </c>
    </row>
    <row r="171" spans="2:19" s="91" customFormat="1" x14ac:dyDescent="0.2">
      <c r="B171" s="85" t="s">
        <v>31</v>
      </c>
      <c r="C171" s="85"/>
      <c r="D171" s="85"/>
      <c r="E171" s="85"/>
      <c r="F171" s="90" t="s">
        <v>92</v>
      </c>
      <c r="G171" s="180"/>
      <c r="H171" s="103"/>
      <c r="J171" s="172">
        <f t="shared" si="42"/>
        <v>2817883.3299999982</v>
      </c>
      <c r="L171" s="82">
        <f>'5) Overige opbrengsten'!L115</f>
        <v>0</v>
      </c>
      <c r="M171" s="82">
        <f>'5) Overige opbrengsten'!M115</f>
        <v>0</v>
      </c>
      <c r="N171" s="82">
        <f>'5) Overige opbrengsten'!N115</f>
        <v>2867460.2499999981</v>
      </c>
      <c r="O171" s="82">
        <f>'5) Overige opbrengsten'!O115</f>
        <v>-49576.92</v>
      </c>
      <c r="P171" s="82">
        <f>'5) Overige opbrengsten'!P115</f>
        <v>0</v>
      </c>
      <c r="Q171" s="82">
        <f>'5) Overige opbrengsten'!Q115</f>
        <v>0</v>
      </c>
      <c r="R171" s="92"/>
      <c r="S171" s="82">
        <f>'5) Overige opbrengsten'!S115</f>
        <v>0</v>
      </c>
    </row>
    <row r="172" spans="2:19" s="91" customFormat="1" x14ac:dyDescent="0.2">
      <c r="B172" s="85" t="s">
        <v>32</v>
      </c>
      <c r="C172" s="85"/>
      <c r="D172" s="85"/>
      <c r="E172" s="85"/>
      <c r="F172" s="90" t="s">
        <v>92</v>
      </c>
      <c r="G172" s="180"/>
      <c r="H172" s="103"/>
      <c r="J172" s="172">
        <f t="shared" si="42"/>
        <v>255280.44999999998</v>
      </c>
      <c r="L172" s="82">
        <f>'5) Overige opbrengsten'!L116</f>
        <v>0</v>
      </c>
      <c r="M172" s="82">
        <f>'5) Overige opbrengsten'!M116</f>
        <v>0</v>
      </c>
      <c r="N172" s="82">
        <f>'5) Overige opbrengsten'!N116</f>
        <v>255280.44999999998</v>
      </c>
      <c r="O172" s="82">
        <f>'5) Overige opbrengsten'!O116</f>
        <v>0</v>
      </c>
      <c r="P172" s="82">
        <f>'5) Overige opbrengsten'!P116</f>
        <v>0</v>
      </c>
      <c r="Q172" s="82">
        <f>'5) Overige opbrengsten'!Q116</f>
        <v>0</v>
      </c>
      <c r="R172" s="92"/>
      <c r="S172" s="82">
        <f>'5) Overige opbrengsten'!S116</f>
        <v>0</v>
      </c>
    </row>
    <row r="173" spans="2:19" s="91" customFormat="1" x14ac:dyDescent="0.2">
      <c r="B173" s="85" t="s">
        <v>33</v>
      </c>
      <c r="C173" s="85"/>
      <c r="D173" s="85"/>
      <c r="E173" s="85"/>
      <c r="F173" s="90" t="s">
        <v>92</v>
      </c>
      <c r="G173" s="180"/>
      <c r="H173" s="103"/>
      <c r="J173" s="172">
        <f t="shared" si="42"/>
        <v>2036354</v>
      </c>
      <c r="L173" s="82">
        <f>'5) Overige opbrengsten'!L117</f>
        <v>0</v>
      </c>
      <c r="M173" s="82">
        <f>'5) Overige opbrengsten'!M117</f>
        <v>0</v>
      </c>
      <c r="N173" s="82">
        <f>'5) Overige opbrengsten'!N117</f>
        <v>2036354</v>
      </c>
      <c r="O173" s="82">
        <f>'5) Overige opbrengsten'!O117</f>
        <v>0</v>
      </c>
      <c r="P173" s="82">
        <f>'5) Overige opbrengsten'!P117</f>
        <v>0</v>
      </c>
      <c r="Q173" s="82">
        <f>'5) Overige opbrengsten'!Q117</f>
        <v>0</v>
      </c>
      <c r="R173" s="92"/>
      <c r="S173" s="82">
        <f>'5) Overige opbrengsten'!S117</f>
        <v>0</v>
      </c>
    </row>
    <row r="174" spans="2:19" s="91" customFormat="1" x14ac:dyDescent="0.2">
      <c r="B174" s="85" t="s">
        <v>34</v>
      </c>
      <c r="C174" s="85"/>
      <c r="D174" s="85"/>
      <c r="E174" s="85"/>
      <c r="F174" s="90" t="s">
        <v>92</v>
      </c>
      <c r="G174" s="180"/>
      <c r="H174" s="103"/>
      <c r="J174" s="172">
        <f t="shared" si="42"/>
        <v>0</v>
      </c>
      <c r="L174" s="82">
        <f>'5) Overige opbrengsten'!L118</f>
        <v>0</v>
      </c>
      <c r="M174" s="82">
        <f>'5) Overige opbrengsten'!M118</f>
        <v>0</v>
      </c>
      <c r="N174" s="82">
        <f>'5) Overige opbrengsten'!N118</f>
        <v>0</v>
      </c>
      <c r="O174" s="82">
        <f>'5) Overige opbrengsten'!O118</f>
        <v>0</v>
      </c>
      <c r="P174" s="82">
        <f>'5) Overige opbrengsten'!P118</f>
        <v>0</v>
      </c>
      <c r="Q174" s="82">
        <f>'5) Overige opbrengsten'!Q118</f>
        <v>0</v>
      </c>
      <c r="R174" s="92"/>
      <c r="S174" s="82">
        <f>'5) Overige opbrengsten'!S118</f>
        <v>0</v>
      </c>
    </row>
    <row r="175" spans="2:19" s="91" customFormat="1" x14ac:dyDescent="0.2">
      <c r="G175" s="180"/>
      <c r="H175" s="180"/>
      <c r="J175" s="96"/>
      <c r="R175" s="92"/>
    </row>
    <row r="176" spans="2:19" s="91" customFormat="1" x14ac:dyDescent="0.2">
      <c r="B176" s="84" t="s">
        <v>70</v>
      </c>
      <c r="C176" s="85"/>
      <c r="D176" s="85"/>
      <c r="E176" s="85"/>
      <c r="F176" s="90"/>
      <c r="G176" s="180"/>
      <c r="H176" s="103"/>
      <c r="J176" s="96"/>
      <c r="R176" s="92"/>
    </row>
    <row r="177" spans="2:19" s="91" customFormat="1" x14ac:dyDescent="0.2">
      <c r="B177" s="85" t="s">
        <v>71</v>
      </c>
      <c r="C177" s="85"/>
      <c r="D177" s="85"/>
      <c r="E177" s="85"/>
      <c r="F177" s="90" t="s">
        <v>92</v>
      </c>
      <c r="G177" s="180"/>
      <c r="H177" s="103"/>
      <c r="J177" s="172">
        <f t="shared" ref="J177" si="43">SUM(L177:S177)</f>
        <v>1534884.6682204283</v>
      </c>
      <c r="L177" s="82">
        <f>'5) Overige opbrengsten'!L121</f>
        <v>7924.53</v>
      </c>
      <c r="M177" s="82">
        <f>'5) Overige opbrengsten'!M121</f>
        <v>397798.79953972681</v>
      </c>
      <c r="N177" s="82">
        <f>'5) Overige opbrengsten'!N121</f>
        <v>229346.79822042782</v>
      </c>
      <c r="O177" s="82">
        <f>'5) Overige opbrengsten'!O121</f>
        <v>390.56</v>
      </c>
      <c r="P177" s="82">
        <f>'5) Overige opbrengsten'!P121</f>
        <v>899423.98046027368</v>
      </c>
      <c r="Q177" s="82">
        <f>'5) Overige opbrengsten'!Q121</f>
        <v>0</v>
      </c>
      <c r="R177" s="92"/>
      <c r="S177" s="82">
        <f>'5) Overige opbrengsten'!S121</f>
        <v>0</v>
      </c>
    </row>
    <row r="178" spans="2:19" s="91" customFormat="1" x14ac:dyDescent="0.2">
      <c r="B178" s="74"/>
      <c r="C178" s="85"/>
      <c r="D178" s="85"/>
      <c r="E178" s="85"/>
      <c r="F178" s="90"/>
      <c r="G178" s="180"/>
      <c r="H178" s="103"/>
      <c r="J178" s="96"/>
      <c r="R178" s="92"/>
    </row>
    <row r="179" spans="2:19" s="91" customFormat="1" x14ac:dyDescent="0.2">
      <c r="B179" s="75" t="s">
        <v>24</v>
      </c>
      <c r="C179" s="85"/>
      <c r="D179" s="85"/>
      <c r="E179" s="85"/>
      <c r="G179" s="180"/>
      <c r="H179" s="180"/>
      <c r="J179" s="96"/>
      <c r="R179" s="92"/>
    </row>
    <row r="180" spans="2:19" s="91" customFormat="1" x14ac:dyDescent="0.2">
      <c r="B180" s="74" t="s">
        <v>25</v>
      </c>
      <c r="C180" s="85"/>
      <c r="D180" s="85"/>
      <c r="E180" s="85"/>
      <c r="F180" s="90" t="s">
        <v>92</v>
      </c>
      <c r="G180" s="180"/>
      <c r="H180" s="103"/>
      <c r="J180" s="172">
        <f t="shared" ref="J180:J181" si="44">SUM(L180:S180)</f>
        <v>1716203.5394164941</v>
      </c>
      <c r="L180" s="82">
        <f>'5) Overige opbrengsten'!L99</f>
        <v>53080.66</v>
      </c>
      <c r="M180" s="82">
        <f>'5) Overige opbrengsten'!M99</f>
        <v>1127658.705373656</v>
      </c>
      <c r="N180" s="82">
        <f>'5) Overige opbrengsten'!N99</f>
        <v>98175.61</v>
      </c>
      <c r="O180" s="82">
        <f>'5) Overige opbrengsten'!O99</f>
        <v>15082.7</v>
      </c>
      <c r="P180" s="82">
        <f>'5) Overige opbrengsten'!P99</f>
        <v>357588.51404283801</v>
      </c>
      <c r="Q180" s="82">
        <f>'5) Overige opbrengsten'!Q99</f>
        <v>21494.35</v>
      </c>
      <c r="R180" s="92"/>
      <c r="S180" s="82">
        <f>'5) Overige opbrengsten'!S99</f>
        <v>43123</v>
      </c>
    </row>
    <row r="181" spans="2:19" s="91" customFormat="1" x14ac:dyDescent="0.2">
      <c r="B181" s="74" t="s">
        <v>26</v>
      </c>
      <c r="C181" s="85"/>
      <c r="D181" s="85"/>
      <c r="E181" s="85"/>
      <c r="F181" s="90" t="s">
        <v>92</v>
      </c>
      <c r="G181" s="180"/>
      <c r="H181" s="103"/>
      <c r="J181" s="172">
        <f t="shared" si="44"/>
        <v>65698605.808153234</v>
      </c>
      <c r="L181" s="82">
        <f>'5) Overige opbrengsten'!L107</f>
        <v>113421.62276</v>
      </c>
      <c r="M181" s="82">
        <f>'5) Overige opbrengsten'!M107</f>
        <v>29386265.499920752</v>
      </c>
      <c r="N181" s="82">
        <f>'5) Overige opbrengsten'!N107</f>
        <v>21447247.26935517</v>
      </c>
      <c r="O181" s="82">
        <f>'5) Overige opbrengsten'!O107</f>
        <v>37113.699999999997</v>
      </c>
      <c r="P181" s="82">
        <f>'5) Overige opbrengsten'!P107</f>
        <v>12706997.549960734</v>
      </c>
      <c r="Q181" s="82">
        <f>'5) Overige opbrengsten'!Q107</f>
        <v>1104506.4561565749</v>
      </c>
      <c r="R181" s="92"/>
      <c r="S181" s="82">
        <f>'5) Overige opbrengsten'!S107</f>
        <v>903053.71</v>
      </c>
    </row>
    <row r="182" spans="2:19" s="91" customFormat="1" x14ac:dyDescent="0.2">
      <c r="B182" s="74"/>
      <c r="C182" s="85"/>
      <c r="D182" s="85"/>
      <c r="E182" s="85"/>
      <c r="F182" s="90"/>
      <c r="G182" s="180"/>
      <c r="H182" s="103"/>
      <c r="J182" s="96"/>
      <c r="R182" s="92"/>
    </row>
    <row r="183" spans="2:19" s="91" customFormat="1" x14ac:dyDescent="0.2">
      <c r="B183" s="75" t="s">
        <v>27</v>
      </c>
      <c r="C183" s="85"/>
      <c r="D183" s="85"/>
      <c r="E183" s="85"/>
      <c r="F183" s="90"/>
      <c r="G183" s="180"/>
      <c r="H183" s="103"/>
      <c r="J183" s="96"/>
      <c r="R183" s="92"/>
    </row>
    <row r="184" spans="2:19" s="91" customFormat="1" x14ac:dyDescent="0.2">
      <c r="B184" s="74" t="s">
        <v>25</v>
      </c>
      <c r="C184" s="85"/>
      <c r="D184" s="85"/>
      <c r="E184" s="85"/>
      <c r="F184" s="90" t="s">
        <v>92</v>
      </c>
      <c r="G184" s="180"/>
      <c r="H184" s="103"/>
      <c r="J184" s="172">
        <f t="shared" ref="J184" si="45">SUM(L184:S184)</f>
        <v>1673515.1944164941</v>
      </c>
      <c r="L184" s="82">
        <f>'5) Overige opbrengsten'!L92</f>
        <v>10392.315000000001</v>
      </c>
      <c r="M184" s="82">
        <f>'5) Overige opbrengsten'!M92</f>
        <v>1127658.705373656</v>
      </c>
      <c r="N184" s="82">
        <f>'5) Overige opbrengsten'!N92</f>
        <v>98175.61</v>
      </c>
      <c r="O184" s="82">
        <f>'5) Overige opbrengsten'!O92</f>
        <v>15082.7</v>
      </c>
      <c r="P184" s="82">
        <f>'5) Overige opbrengsten'!P92</f>
        <v>357588.51404283801</v>
      </c>
      <c r="Q184" s="82">
        <f>'5) Overige opbrengsten'!Q92</f>
        <v>21494.35</v>
      </c>
      <c r="R184" s="92"/>
      <c r="S184" s="82">
        <f>'5) Overige opbrengsten'!S92</f>
        <v>43123</v>
      </c>
    </row>
    <row r="185" spans="2:19" s="91" customFormat="1" x14ac:dyDescent="0.2">
      <c r="G185" s="180"/>
      <c r="H185" s="180"/>
      <c r="J185" s="96"/>
      <c r="R185" s="92"/>
    </row>
    <row r="186" spans="2:19" s="91" customFormat="1" ht="15" x14ac:dyDescent="0.2">
      <c r="B186" s="40" t="s">
        <v>133</v>
      </c>
      <c r="G186" s="180"/>
      <c r="H186" s="180"/>
      <c r="J186" s="96"/>
      <c r="R186" s="92"/>
    </row>
    <row r="187" spans="2:19" s="91" customFormat="1" x14ac:dyDescent="0.2">
      <c r="B187" s="75" t="s">
        <v>6</v>
      </c>
      <c r="C187" s="74"/>
      <c r="D187" s="74"/>
      <c r="E187" s="74"/>
      <c r="F187" s="74"/>
      <c r="G187" s="180"/>
      <c r="H187" s="171"/>
      <c r="J187" s="96"/>
      <c r="R187" s="92"/>
    </row>
    <row r="188" spans="2:19" s="91" customFormat="1" x14ac:dyDescent="0.2">
      <c r="B188" s="74" t="s">
        <v>7</v>
      </c>
      <c r="C188" s="74"/>
      <c r="D188" s="74"/>
      <c r="E188" s="74"/>
      <c r="F188" s="74" t="s">
        <v>92</v>
      </c>
      <c r="G188" s="180"/>
      <c r="H188" s="171"/>
      <c r="J188" s="172">
        <f t="shared" ref="J188:J191" si="46">SUM(L188:S188)</f>
        <v>495886316.79359996</v>
      </c>
      <c r="L188" s="226">
        <f>L148</f>
        <v>0</v>
      </c>
      <c r="M188" s="226">
        <f t="shared" ref="M188:Q188" si="47">M148</f>
        <v>184772944.96000001</v>
      </c>
      <c r="N188" s="226">
        <f t="shared" si="47"/>
        <v>176321409.41</v>
      </c>
      <c r="O188" s="226">
        <f t="shared" si="47"/>
        <v>0</v>
      </c>
      <c r="P188" s="226">
        <f t="shared" si="47"/>
        <v>112145013.83359998</v>
      </c>
      <c r="Q188" s="226">
        <f t="shared" si="47"/>
        <v>10548658.84</v>
      </c>
      <c r="R188" s="189"/>
      <c r="S188" s="226">
        <f t="shared" ref="S188" si="48">S148</f>
        <v>12098289.75</v>
      </c>
    </row>
    <row r="189" spans="2:19" s="91" customFormat="1" x14ac:dyDescent="0.2">
      <c r="B189" s="74" t="s">
        <v>8</v>
      </c>
      <c r="C189" s="74"/>
      <c r="D189" s="74"/>
      <c r="E189" s="74"/>
      <c r="F189" s="74" t="s">
        <v>92</v>
      </c>
      <c r="G189" s="180"/>
      <c r="H189" s="171"/>
      <c r="J189" s="172">
        <f t="shared" si="46"/>
        <v>10133783.367717329</v>
      </c>
      <c r="L189" s="226">
        <f>L149</f>
        <v>3297706</v>
      </c>
      <c r="M189" s="226">
        <f t="shared" ref="M189:Q189" si="49">M149</f>
        <v>86942.942867973252</v>
      </c>
      <c r="N189" s="226">
        <f t="shared" si="49"/>
        <v>1290234.514</v>
      </c>
      <c r="O189" s="226">
        <f t="shared" si="49"/>
        <v>2124377.0099999998</v>
      </c>
      <c r="P189" s="226">
        <f t="shared" si="49"/>
        <v>3058090.0253333575</v>
      </c>
      <c r="Q189" s="226">
        <f t="shared" si="49"/>
        <v>276432.87551599997</v>
      </c>
      <c r="R189" s="189"/>
      <c r="S189" s="226">
        <f t="shared" ref="S189" si="50">S149</f>
        <v>0</v>
      </c>
    </row>
    <row r="190" spans="2:19" s="91" customFormat="1" x14ac:dyDescent="0.2">
      <c r="B190" s="74" t="s">
        <v>9</v>
      </c>
      <c r="C190" s="74"/>
      <c r="D190" s="74"/>
      <c r="E190" s="74"/>
      <c r="F190" s="74" t="s">
        <v>92</v>
      </c>
      <c r="G190" s="180"/>
      <c r="H190" s="171"/>
      <c r="J190" s="172">
        <f t="shared" si="46"/>
        <v>135829941.50814974</v>
      </c>
      <c r="L190" s="188">
        <f>L150-SUM(L166:L167,L177)</f>
        <v>678557.03</v>
      </c>
      <c r="M190" s="188">
        <f t="shared" ref="M190:Q190" si="51">M150-SUM(M166:M167,M177)</f>
        <v>41889152.254521251</v>
      </c>
      <c r="N190" s="188">
        <f t="shared" si="51"/>
        <v>56060401.881300099</v>
      </c>
      <c r="O190" s="188">
        <f t="shared" si="51"/>
        <v>276855.07</v>
      </c>
      <c r="P190" s="188">
        <f t="shared" si="51"/>
        <v>30657103.842328407</v>
      </c>
      <c r="Q190" s="188">
        <f t="shared" si="51"/>
        <v>2360214.4400000004</v>
      </c>
      <c r="R190" s="189"/>
      <c r="S190" s="188">
        <f t="shared" ref="S190" si="52">S150-SUM(S166:S167,S177)</f>
        <v>3907656.9899999998</v>
      </c>
    </row>
    <row r="191" spans="2:19" s="91" customFormat="1" x14ac:dyDescent="0.2">
      <c r="B191" s="74" t="s">
        <v>10</v>
      </c>
      <c r="C191" s="74"/>
      <c r="D191" s="74"/>
      <c r="E191" s="74"/>
      <c r="F191" s="74" t="s">
        <v>92</v>
      </c>
      <c r="G191" s="180"/>
      <c r="H191" s="171"/>
      <c r="J191" s="172">
        <f t="shared" si="46"/>
        <v>0</v>
      </c>
      <c r="L191" s="226">
        <f>L151</f>
        <v>0</v>
      </c>
      <c r="M191" s="226">
        <f t="shared" ref="M191:Q191" si="53">M151</f>
        <v>0</v>
      </c>
      <c r="N191" s="226">
        <f t="shared" si="53"/>
        <v>0</v>
      </c>
      <c r="O191" s="226">
        <f t="shared" si="53"/>
        <v>0</v>
      </c>
      <c r="P191" s="226">
        <f t="shared" si="53"/>
        <v>0</v>
      </c>
      <c r="Q191" s="226">
        <f t="shared" si="53"/>
        <v>0</v>
      </c>
      <c r="R191" s="189"/>
      <c r="S191" s="226">
        <f t="shared" ref="S191" si="54">S151</f>
        <v>0</v>
      </c>
    </row>
    <row r="192" spans="2:19" s="91" customFormat="1" x14ac:dyDescent="0.2">
      <c r="B192" s="74"/>
      <c r="C192" s="74"/>
      <c r="D192" s="74"/>
      <c r="E192" s="74"/>
      <c r="F192" s="74"/>
      <c r="G192" s="180"/>
      <c r="H192" s="171"/>
      <c r="J192" s="96"/>
      <c r="L192" s="185"/>
      <c r="M192" s="185"/>
      <c r="N192" s="185"/>
      <c r="O192" s="185"/>
      <c r="P192" s="185"/>
      <c r="Q192" s="185"/>
      <c r="R192" s="190"/>
      <c r="S192" s="185"/>
    </row>
    <row r="193" spans="2:21" s="91" customFormat="1" x14ac:dyDescent="0.2">
      <c r="B193" s="75" t="s">
        <v>11</v>
      </c>
      <c r="C193" s="74"/>
      <c r="D193" s="74"/>
      <c r="E193" s="74"/>
      <c r="F193" s="74"/>
      <c r="G193" s="180"/>
      <c r="H193" s="171"/>
      <c r="J193" s="96"/>
      <c r="L193" s="185"/>
      <c r="M193" s="185"/>
      <c r="N193" s="185"/>
      <c r="O193" s="185"/>
      <c r="P193" s="185"/>
      <c r="Q193" s="185"/>
      <c r="R193" s="190"/>
      <c r="S193" s="185"/>
    </row>
    <row r="194" spans="2:21" s="91" customFormat="1" x14ac:dyDescent="0.2">
      <c r="B194" s="74" t="s">
        <v>12</v>
      </c>
      <c r="C194" s="74"/>
      <c r="D194" s="74"/>
      <c r="E194" s="74"/>
      <c r="F194" s="74" t="s">
        <v>92</v>
      </c>
      <c r="G194" s="180"/>
      <c r="H194" s="171"/>
      <c r="J194" s="172">
        <f t="shared" ref="J194:J196" si="55">SUM(L194:S194)</f>
        <v>788613192.07622457</v>
      </c>
      <c r="L194" s="188">
        <f>L154-SUM(L168:L174)+L180-L181-L184</f>
        <v>4066864.9049565131</v>
      </c>
      <c r="M194" s="188">
        <f t="shared" ref="M194:Q194" si="56">M154-SUM(M168:M174)+M180-M181-M184</f>
        <v>234823880.38629466</v>
      </c>
      <c r="N194" s="188">
        <f t="shared" si="56"/>
        <v>340149797.91530991</v>
      </c>
      <c r="O194" s="188">
        <f t="shared" si="56"/>
        <v>2319747.5999999996</v>
      </c>
      <c r="P194" s="188">
        <f t="shared" si="56"/>
        <v>174344852.7610043</v>
      </c>
      <c r="Q194" s="188">
        <f t="shared" si="56"/>
        <v>11000485.910283666</v>
      </c>
      <c r="R194" s="189"/>
      <c r="S194" s="188">
        <f>S154-SUM(S168:S174)+S180-S181-S184</f>
        <v>21907562.598375432</v>
      </c>
    </row>
    <row r="195" spans="2:21" s="180" customFormat="1" x14ac:dyDescent="0.2">
      <c r="B195" s="171" t="s">
        <v>430</v>
      </c>
      <c r="C195" s="171"/>
      <c r="D195" s="171"/>
      <c r="E195" s="171"/>
      <c r="F195" s="171" t="s">
        <v>92</v>
      </c>
      <c r="H195" s="171"/>
      <c r="J195" s="172">
        <f t="shared" si="55"/>
        <v>722432.49268975644</v>
      </c>
      <c r="L195" s="226">
        <f>L155</f>
        <v>2801</v>
      </c>
      <c r="M195" s="226">
        <f t="shared" ref="M195:Q195" si="57">M155</f>
        <v>339063.09570543154</v>
      </c>
      <c r="N195" s="226">
        <f t="shared" si="57"/>
        <v>217602.36175613769</v>
      </c>
      <c r="O195" s="226">
        <f t="shared" si="57"/>
        <v>2435.81</v>
      </c>
      <c r="P195" s="226">
        <f t="shared" si="57"/>
        <v>133823.74468704136</v>
      </c>
      <c r="Q195" s="226">
        <f t="shared" si="57"/>
        <v>10269.370541145794</v>
      </c>
      <c r="R195" s="189"/>
      <c r="S195" s="226">
        <f>S155</f>
        <v>16437.11</v>
      </c>
    </row>
    <row r="196" spans="2:21" s="91" customFormat="1" x14ac:dyDescent="0.2">
      <c r="B196" s="74" t="s">
        <v>13</v>
      </c>
      <c r="C196" s="74"/>
      <c r="D196" s="74"/>
      <c r="E196" s="74"/>
      <c r="F196" s="74" t="s">
        <v>92</v>
      </c>
      <c r="G196" s="180"/>
      <c r="H196" s="171"/>
      <c r="J196" s="172">
        <f t="shared" si="55"/>
        <v>2272284.3200000003</v>
      </c>
      <c r="L196" s="226">
        <f>L156</f>
        <v>14438</v>
      </c>
      <c r="M196" s="226">
        <f t="shared" ref="M196:Q196" si="58">M156</f>
        <v>714565</v>
      </c>
      <c r="N196" s="226">
        <f t="shared" si="58"/>
        <v>764690</v>
      </c>
      <c r="O196" s="226">
        <f t="shared" si="58"/>
        <v>245732.32</v>
      </c>
      <c r="P196" s="226">
        <f t="shared" si="58"/>
        <v>518965</v>
      </c>
      <c r="Q196" s="226">
        <f t="shared" si="58"/>
        <v>13894</v>
      </c>
      <c r="R196" s="189"/>
      <c r="S196" s="226">
        <f>S156</f>
        <v>0</v>
      </c>
    </row>
    <row r="197" spans="2:21" s="91" customFormat="1" x14ac:dyDescent="0.2">
      <c r="B197" s="74"/>
      <c r="C197" s="74"/>
      <c r="D197" s="74"/>
      <c r="E197" s="74"/>
      <c r="F197" s="74"/>
      <c r="G197" s="180"/>
      <c r="H197" s="171"/>
      <c r="J197" s="96"/>
      <c r="L197" s="185"/>
      <c r="M197" s="185"/>
      <c r="N197" s="185"/>
      <c r="O197" s="185"/>
      <c r="P197" s="185"/>
      <c r="Q197" s="185"/>
      <c r="R197" s="190"/>
      <c r="S197" s="185"/>
    </row>
    <row r="198" spans="2:21" s="91" customFormat="1" x14ac:dyDescent="0.2">
      <c r="B198" s="75" t="s">
        <v>14</v>
      </c>
      <c r="C198" s="74"/>
      <c r="D198" s="74"/>
      <c r="E198" s="74"/>
      <c r="F198" s="74"/>
      <c r="G198" s="171"/>
      <c r="H198" s="171"/>
      <c r="I198" s="74"/>
      <c r="J198" s="96"/>
      <c r="K198" s="74"/>
      <c r="L198" s="185"/>
      <c r="M198" s="185"/>
      <c r="N198" s="185"/>
      <c r="O198" s="185"/>
      <c r="P198" s="185"/>
      <c r="Q198" s="185"/>
      <c r="R198" s="190"/>
      <c r="S198" s="185"/>
      <c r="T198" s="74"/>
      <c r="U198" s="74"/>
    </row>
    <row r="199" spans="2:21" s="91" customFormat="1" x14ac:dyDescent="0.2">
      <c r="B199" s="74" t="s">
        <v>15</v>
      </c>
      <c r="C199" s="74"/>
      <c r="D199" s="74"/>
      <c r="E199" s="74"/>
      <c r="F199" s="74" t="s">
        <v>92</v>
      </c>
      <c r="G199" s="180"/>
      <c r="H199" s="171"/>
      <c r="J199" s="172">
        <f t="shared" ref="J199:J202" si="59">SUM(L199:S199)</f>
        <v>4388498.7026855098</v>
      </c>
      <c r="L199" s="226">
        <f>L159</f>
        <v>29654</v>
      </c>
      <c r="M199" s="226">
        <f t="shared" ref="M199:Q199" si="60">M159</f>
        <v>1829553.1999519246</v>
      </c>
      <c r="N199" s="226">
        <f t="shared" si="60"/>
        <v>1785889.9304917511</v>
      </c>
      <c r="O199" s="226">
        <f t="shared" si="60"/>
        <v>0</v>
      </c>
      <c r="P199" s="226">
        <f t="shared" si="60"/>
        <v>706623.71224183415</v>
      </c>
      <c r="Q199" s="226">
        <f t="shared" si="60"/>
        <v>36777.86</v>
      </c>
      <c r="R199" s="189"/>
      <c r="S199" s="226">
        <f>S159</f>
        <v>0</v>
      </c>
    </row>
    <row r="200" spans="2:21" s="91" customFormat="1" x14ac:dyDescent="0.2">
      <c r="B200" s="74" t="s">
        <v>16</v>
      </c>
      <c r="C200" s="74"/>
      <c r="D200" s="74"/>
      <c r="E200" s="74"/>
      <c r="F200" s="74" t="s">
        <v>92</v>
      </c>
      <c r="G200" s="180"/>
      <c r="H200" s="171"/>
      <c r="J200" s="172">
        <f t="shared" si="59"/>
        <v>1408833.080737653</v>
      </c>
      <c r="L200" s="226">
        <f>L160</f>
        <v>0</v>
      </c>
      <c r="M200" s="226">
        <f t="shared" ref="M200:Q200" si="61">M160</f>
        <v>567701.33443915145</v>
      </c>
      <c r="N200" s="226">
        <f t="shared" si="61"/>
        <v>0</v>
      </c>
      <c r="O200" s="226">
        <f t="shared" si="61"/>
        <v>9090.0499999999993</v>
      </c>
      <c r="P200" s="226">
        <f t="shared" si="61"/>
        <v>824032.4962985015</v>
      </c>
      <c r="Q200" s="226">
        <f t="shared" si="61"/>
        <v>8009.2</v>
      </c>
      <c r="R200" s="189"/>
      <c r="S200" s="226">
        <f>S160</f>
        <v>0</v>
      </c>
    </row>
    <row r="201" spans="2:21" s="91" customFormat="1" x14ac:dyDescent="0.2">
      <c r="B201" s="74" t="s">
        <v>17</v>
      </c>
      <c r="C201" s="74"/>
      <c r="D201" s="74"/>
      <c r="E201" s="74"/>
      <c r="F201" s="74" t="s">
        <v>92</v>
      </c>
      <c r="G201" s="180"/>
      <c r="H201" s="171"/>
      <c r="J201" s="172">
        <f t="shared" si="59"/>
        <v>1481359.1957578589</v>
      </c>
      <c r="L201" s="226">
        <f>L161</f>
        <v>1533.55</v>
      </c>
      <c r="M201" s="226">
        <f t="shared" ref="M201:Q201" si="62">M161</f>
        <v>280807.74798973382</v>
      </c>
      <c r="N201" s="226">
        <f t="shared" si="62"/>
        <v>439003.60563018941</v>
      </c>
      <c r="O201" s="226">
        <f t="shared" si="62"/>
        <v>12773.32</v>
      </c>
      <c r="P201" s="226">
        <f t="shared" si="62"/>
        <v>612104.66451891151</v>
      </c>
      <c r="Q201" s="226">
        <f t="shared" si="62"/>
        <v>102145.39256367998</v>
      </c>
      <c r="R201" s="189"/>
      <c r="S201" s="226">
        <f>S161</f>
        <v>32990.915055344463</v>
      </c>
    </row>
    <row r="202" spans="2:21" s="91" customFormat="1" x14ac:dyDescent="0.2">
      <c r="B202" s="74" t="s">
        <v>18</v>
      </c>
      <c r="C202" s="74"/>
      <c r="D202" s="74"/>
      <c r="E202" s="74"/>
      <c r="F202" s="74" t="s">
        <v>92</v>
      </c>
      <c r="G202" s="180"/>
      <c r="H202" s="171"/>
      <c r="J202" s="172">
        <f t="shared" si="59"/>
        <v>28518141.509624943</v>
      </c>
      <c r="L202" s="226">
        <f>L162</f>
        <v>0</v>
      </c>
      <c r="M202" s="226">
        <f t="shared" ref="M202:Q202" si="63">M162</f>
        <v>2380388.2914062822</v>
      </c>
      <c r="N202" s="226">
        <f t="shared" si="63"/>
        <v>22658494.101700045</v>
      </c>
      <c r="O202" s="226">
        <f t="shared" si="63"/>
        <v>12983.58</v>
      </c>
      <c r="P202" s="226">
        <f t="shared" si="63"/>
        <v>1704551.8765186192</v>
      </c>
      <c r="Q202" s="226">
        <f t="shared" si="63"/>
        <v>32130.000000000004</v>
      </c>
      <c r="R202" s="189"/>
      <c r="S202" s="226">
        <f>S162</f>
        <v>1729593.66</v>
      </c>
    </row>
    <row r="203" spans="2:21" s="91" customFormat="1" x14ac:dyDescent="0.2">
      <c r="G203" s="180"/>
      <c r="H203" s="180"/>
      <c r="J203" s="96"/>
      <c r="R203" s="92"/>
    </row>
    <row r="204" spans="2:21" s="91" customFormat="1" ht="15" x14ac:dyDescent="0.2">
      <c r="B204" s="40" t="s">
        <v>132</v>
      </c>
      <c r="G204" s="180"/>
      <c r="H204" s="180"/>
      <c r="J204" s="96"/>
      <c r="R204" s="92"/>
    </row>
    <row r="205" spans="2:21" s="91" customFormat="1" x14ac:dyDescent="0.2">
      <c r="B205" s="94" t="s">
        <v>134</v>
      </c>
      <c r="G205" s="180"/>
      <c r="H205" s="180"/>
      <c r="J205" s="180"/>
      <c r="R205" s="92"/>
    </row>
    <row r="206" spans="2:21" s="91" customFormat="1" x14ac:dyDescent="0.2">
      <c r="B206" s="83" t="s">
        <v>91</v>
      </c>
      <c r="D206" s="185" t="s">
        <v>431</v>
      </c>
      <c r="F206" s="74" t="s">
        <v>92</v>
      </c>
      <c r="G206" s="180"/>
      <c r="H206" s="171"/>
      <c r="J206" s="172">
        <f>SUM(L206:Q206)</f>
        <v>963234682.88586998</v>
      </c>
      <c r="L206" s="191">
        <f>SUM(L190:L191,L194:L196,L199:L202)</f>
        <v>4793848.4849565132</v>
      </c>
      <c r="M206" s="191">
        <f>SUM(M190:M191,M194:M196,M199:M202)</f>
        <v>282825111.31030846</v>
      </c>
      <c r="N206" s="191">
        <f>SUM(N190:N191,N194:N196,N199:N202)</f>
        <v>422075879.79618818</v>
      </c>
      <c r="O206" s="191">
        <f>SUM(O190:O191,O194:O196,O199:O202)</f>
        <v>2879617.7499999991</v>
      </c>
      <c r="P206" s="192">
        <f>SUM(P190:P191,P194:P196,P199:P202)+SUM(S190:S191,S194:S196,S199:S202)</f>
        <v>237096299.37102836</v>
      </c>
      <c r="Q206" s="191">
        <f>SUM(Q190:Q191,Q194:Q196,Q199:Q202)</f>
        <v>13563926.173388492</v>
      </c>
      <c r="R206" s="92"/>
      <c r="S206" s="186"/>
    </row>
    <row r="208" spans="2:21" s="24" customFormat="1" ht="12.75" x14ac:dyDescent="0.2">
      <c r="B208" s="24" t="s">
        <v>606</v>
      </c>
    </row>
    <row r="209" spans="2:21" s="91" customFormat="1" x14ac:dyDescent="0.2">
      <c r="G209" s="180"/>
      <c r="H209" s="180"/>
      <c r="R209" s="92"/>
    </row>
    <row r="210" spans="2:21" s="91" customFormat="1" ht="15" x14ac:dyDescent="0.2">
      <c r="B210" s="40" t="s">
        <v>131</v>
      </c>
      <c r="G210" s="180"/>
      <c r="H210" s="180"/>
      <c r="R210" s="92"/>
    </row>
    <row r="211" spans="2:21" s="91" customFormat="1" x14ac:dyDescent="0.2">
      <c r="B211" s="81" t="s">
        <v>238</v>
      </c>
      <c r="G211" s="180"/>
      <c r="H211" s="180"/>
      <c r="R211" s="92"/>
    </row>
    <row r="212" spans="2:21" s="74" customFormat="1" ht="12.75" x14ac:dyDescent="0.2">
      <c r="B212" s="75" t="s">
        <v>6</v>
      </c>
      <c r="G212" s="171"/>
      <c r="H212" s="171"/>
      <c r="R212" s="89"/>
    </row>
    <row r="213" spans="2:21" s="74" customFormat="1" ht="12.75" x14ac:dyDescent="0.2">
      <c r="B213" s="74" t="s">
        <v>7</v>
      </c>
      <c r="F213" s="74" t="s">
        <v>97</v>
      </c>
      <c r="G213" s="171"/>
      <c r="H213" s="171"/>
      <c r="J213" s="172">
        <f>SUM(L213:S213)</f>
        <v>416475868.79631126</v>
      </c>
      <c r="L213" s="82">
        <f>'7) Berekening gecorrigeerde IT'!L195</f>
        <v>0</v>
      </c>
      <c r="M213" s="175">
        <f>'7) Berekening gecorrigeerde IT'!M195</f>
        <v>157115568.88</v>
      </c>
      <c r="N213" s="175">
        <f>'7) Berekening gecorrigeerde IT'!N195</f>
        <v>145637468.88</v>
      </c>
      <c r="O213" s="175">
        <f>'7) Berekening gecorrigeerde IT'!O195</f>
        <v>0</v>
      </c>
      <c r="P213" s="175">
        <f>'7) Berekening gecorrigeerde IT'!P195</f>
        <v>93764003.640000001</v>
      </c>
      <c r="Q213" s="175">
        <f>'7) Berekening gecorrigeerde IT'!Q195</f>
        <v>9333926.0200000014</v>
      </c>
      <c r="R213" s="89"/>
      <c r="S213" s="175">
        <f>'7) Berekening gecorrigeerde IT'!S195</f>
        <v>10624901.376311278</v>
      </c>
      <c r="U213" s="185" t="s">
        <v>609</v>
      </c>
    </row>
    <row r="214" spans="2:21" s="74" customFormat="1" ht="12.75" x14ac:dyDescent="0.2">
      <c r="B214" s="74" t="s">
        <v>8</v>
      </c>
      <c r="F214" s="74" t="s">
        <v>97</v>
      </c>
      <c r="G214" s="171"/>
      <c r="H214" s="171"/>
      <c r="J214" s="172">
        <f t="shared" ref="J214:J216" si="64">SUM(L214:S214)</f>
        <v>9077870.2431691624</v>
      </c>
      <c r="L214" s="175">
        <f>'7) Berekening gecorrigeerde IT'!L196</f>
        <v>3085313.7827404072</v>
      </c>
      <c r="M214" s="175">
        <f>'7) Berekening gecorrigeerde IT'!M196</f>
        <v>125597.88580731515</v>
      </c>
      <c r="N214" s="175">
        <f>'7) Berekening gecorrigeerde IT'!N196</f>
        <v>1218105.8348984129</v>
      </c>
      <c r="O214" s="175">
        <f>'7) Berekening gecorrigeerde IT'!O196</f>
        <v>1939371.6598624184</v>
      </c>
      <c r="P214" s="175">
        <f>'7) Berekening gecorrigeerde IT'!P196</f>
        <v>2450866.1999783525</v>
      </c>
      <c r="Q214" s="175">
        <f>'7) Berekening gecorrigeerde IT'!Q196</f>
        <v>258614.87988225551</v>
      </c>
      <c r="R214" s="89"/>
      <c r="S214" s="175">
        <f>'7) Berekening gecorrigeerde IT'!S196</f>
        <v>0</v>
      </c>
      <c r="U214" s="185" t="s">
        <v>609</v>
      </c>
    </row>
    <row r="215" spans="2:21" s="74" customFormat="1" ht="12.75" x14ac:dyDescent="0.2">
      <c r="B215" s="74" t="s">
        <v>9</v>
      </c>
      <c r="F215" s="74" t="s">
        <v>97</v>
      </c>
      <c r="G215" s="171"/>
      <c r="H215" s="171"/>
      <c r="J215" s="172">
        <f t="shared" si="64"/>
        <v>148706345.05000001</v>
      </c>
      <c r="L215" s="82">
        <f>'3) Input operationele kosten'!L78</f>
        <v>588055</v>
      </c>
      <c r="M215" s="82">
        <f>'3) Input operationele kosten'!M78</f>
        <v>42463735.730000027</v>
      </c>
      <c r="N215" s="82">
        <f>'3) Input operationele kosten'!N78</f>
        <v>48626062.43</v>
      </c>
      <c r="O215" s="82">
        <f>'3) Input operationele kosten'!O78</f>
        <v>444975.13</v>
      </c>
      <c r="P215" s="82">
        <f>'3) Input operationele kosten'!P78</f>
        <v>49260035</v>
      </c>
      <c r="Q215" s="82">
        <f>'3) Input operationele kosten'!Q78</f>
        <v>2525432.9699999997</v>
      </c>
      <c r="R215" s="89"/>
      <c r="S215" s="82">
        <f>'3) Input operationele kosten'!S78</f>
        <v>4798048.79</v>
      </c>
    </row>
    <row r="216" spans="2:21" s="74" customFormat="1" ht="12.75" x14ac:dyDescent="0.2">
      <c r="B216" s="74" t="s">
        <v>10</v>
      </c>
      <c r="F216" s="74" t="s">
        <v>97</v>
      </c>
      <c r="G216" s="171"/>
      <c r="H216" s="171"/>
      <c r="J216" s="172">
        <f t="shared" si="64"/>
        <v>0</v>
      </c>
      <c r="L216" s="82">
        <f>'3) Input operationele kosten'!L79</f>
        <v>0</v>
      </c>
      <c r="M216" s="82">
        <f>'3) Input operationele kosten'!M79</f>
        <v>0</v>
      </c>
      <c r="N216" s="82">
        <f>'3) Input operationele kosten'!N79</f>
        <v>0</v>
      </c>
      <c r="O216" s="82">
        <f>'3) Input operationele kosten'!O79</f>
        <v>0</v>
      </c>
      <c r="P216" s="82">
        <f>'3) Input operationele kosten'!P79</f>
        <v>0</v>
      </c>
      <c r="Q216" s="82">
        <f>'3) Input operationele kosten'!Q79</f>
        <v>0</v>
      </c>
      <c r="R216" s="89"/>
      <c r="S216" s="82">
        <f>'3) Input operationele kosten'!S79</f>
        <v>0</v>
      </c>
    </row>
    <row r="217" spans="2:21" s="74" customFormat="1" ht="12.75" x14ac:dyDescent="0.2">
      <c r="G217" s="171"/>
      <c r="H217" s="171"/>
      <c r="J217" s="96"/>
      <c r="K217" s="77"/>
      <c r="L217" s="77"/>
      <c r="M217" s="77"/>
      <c r="N217" s="77"/>
      <c r="O217" s="77"/>
      <c r="P217" s="77"/>
      <c r="Q217" s="77"/>
      <c r="R217" s="89"/>
      <c r="S217" s="77"/>
    </row>
    <row r="218" spans="2:21" s="74" customFormat="1" ht="12.75" x14ac:dyDescent="0.2">
      <c r="B218" s="75" t="s">
        <v>11</v>
      </c>
      <c r="G218" s="171"/>
      <c r="H218" s="171"/>
      <c r="J218" s="96"/>
      <c r="K218" s="77"/>
      <c r="L218" s="77"/>
      <c r="M218" s="77"/>
      <c r="N218" s="77"/>
      <c r="O218" s="77"/>
      <c r="P218" s="77"/>
      <c r="Q218" s="77"/>
      <c r="R218" s="89"/>
      <c r="S218" s="77"/>
    </row>
    <row r="219" spans="2:21" s="74" customFormat="1" ht="12.75" x14ac:dyDescent="0.2">
      <c r="B219" s="74" t="s">
        <v>12</v>
      </c>
      <c r="F219" s="74" t="s">
        <v>97</v>
      </c>
      <c r="G219" s="171"/>
      <c r="H219" s="171"/>
      <c r="J219" s="172">
        <f>SUM(L219:S219)</f>
        <v>933278771.05561292</v>
      </c>
      <c r="L219" s="82">
        <f>'3) Input operationele kosten'!L82</f>
        <v>4062592</v>
      </c>
      <c r="M219" s="82">
        <f>'3) Input operationele kosten'!M82</f>
        <v>284325332.32041901</v>
      </c>
      <c r="N219" s="82">
        <f>'3) Input operationele kosten'!N82</f>
        <v>396617832.17100042</v>
      </c>
      <c r="O219" s="82">
        <f>'3) Input operationele kosten'!O82</f>
        <v>2299592.1</v>
      </c>
      <c r="P219" s="82">
        <f>'3) Input operationele kosten'!P82</f>
        <v>205049631.88627434</v>
      </c>
      <c r="Q219" s="82">
        <f>'3) Input operationele kosten'!Q82</f>
        <v>14871288.76323238</v>
      </c>
      <c r="R219" s="89"/>
      <c r="S219" s="82">
        <f>'3) Input operationele kosten'!S82</f>
        <v>26052501.814686745</v>
      </c>
    </row>
    <row r="220" spans="2:21" s="171" customFormat="1" ht="12.75" x14ac:dyDescent="0.2">
      <c r="B220" s="171" t="s">
        <v>430</v>
      </c>
      <c r="F220" s="171" t="s">
        <v>97</v>
      </c>
      <c r="J220" s="172">
        <f t="shared" ref="J220:J221" si="65">SUM(L220:S220)</f>
        <v>628882.43223935831</v>
      </c>
      <c r="L220" s="175">
        <f>'3) Input operationele kosten'!L83</f>
        <v>2955</v>
      </c>
      <c r="M220" s="175">
        <f>'3) Input operationele kosten'!M83</f>
        <v>281685.75862509327</v>
      </c>
      <c r="N220" s="175">
        <f>'3) Input operationele kosten'!N83</f>
        <v>200126.18302752002</v>
      </c>
      <c r="O220" s="175">
        <f>'3) Input operationele kosten'!O83</f>
        <v>2372.3000000000002</v>
      </c>
      <c r="P220" s="175">
        <f>'3) Input operationele kosten'!P83</f>
        <v>117287.8240665827</v>
      </c>
      <c r="Q220" s="175">
        <f>'3) Input operationele kosten'!Q83</f>
        <v>9806.9365201622459</v>
      </c>
      <c r="R220" s="102"/>
      <c r="S220" s="175">
        <f>'3) Input operationele kosten'!S83</f>
        <v>14648.43</v>
      </c>
    </row>
    <row r="221" spans="2:21" s="74" customFormat="1" ht="12.75" x14ac:dyDescent="0.2">
      <c r="B221" s="74" t="s">
        <v>13</v>
      </c>
      <c r="F221" s="74" t="s">
        <v>97</v>
      </c>
      <c r="G221" s="171"/>
      <c r="H221" s="171"/>
      <c r="J221" s="172">
        <f t="shared" si="65"/>
        <v>2185426.34</v>
      </c>
      <c r="L221" s="82">
        <f>'3) Input operationele kosten'!L84</f>
        <v>12938</v>
      </c>
      <c r="M221" s="82">
        <f>'3) Input operationele kosten'!M84</f>
        <v>640326</v>
      </c>
      <c r="N221" s="82">
        <f>'3) Input operationele kosten'!N84</f>
        <v>685244</v>
      </c>
      <c r="O221" s="82">
        <f>'3) Input operationele kosten'!O84</f>
        <v>369420.34</v>
      </c>
      <c r="P221" s="82">
        <f>'3) Input operationele kosten'!P84</f>
        <v>465048</v>
      </c>
      <c r="Q221" s="82">
        <f>'3) Input operationele kosten'!Q84</f>
        <v>12450</v>
      </c>
      <c r="R221" s="89"/>
      <c r="S221" s="82">
        <f>'3) Input operationele kosten'!S84</f>
        <v>0</v>
      </c>
    </row>
    <row r="222" spans="2:21" s="74" customFormat="1" ht="12.75" x14ac:dyDescent="0.2">
      <c r="G222" s="171"/>
      <c r="H222" s="171"/>
      <c r="J222" s="96"/>
      <c r="K222" s="77"/>
      <c r="L222" s="77"/>
      <c r="M222" s="77"/>
      <c r="N222" s="77"/>
      <c r="O222" s="77"/>
      <c r="P222" s="77"/>
      <c r="Q222" s="77"/>
      <c r="R222" s="89"/>
      <c r="S222" s="77"/>
    </row>
    <row r="223" spans="2:21" s="74" customFormat="1" ht="12.75" x14ac:dyDescent="0.2">
      <c r="B223" s="75" t="s">
        <v>14</v>
      </c>
      <c r="G223" s="171"/>
      <c r="H223" s="171"/>
      <c r="J223" s="96"/>
      <c r="K223" s="77"/>
      <c r="L223" s="77"/>
      <c r="M223" s="77"/>
      <c r="N223" s="77"/>
      <c r="O223" s="77"/>
      <c r="P223" s="77"/>
      <c r="Q223" s="77"/>
      <c r="R223" s="89"/>
      <c r="S223" s="77"/>
    </row>
    <row r="224" spans="2:21" s="74" customFormat="1" ht="12.75" x14ac:dyDescent="0.2">
      <c r="B224" s="74" t="s">
        <v>15</v>
      </c>
      <c r="F224" s="74" t="s">
        <v>97</v>
      </c>
      <c r="G224" s="171"/>
      <c r="H224" s="171"/>
      <c r="J224" s="172">
        <f>SUM(L224:S224)</f>
        <v>3231969.2641435238</v>
      </c>
      <c r="L224" s="82">
        <f>'3) Input operationele kosten'!L87</f>
        <v>33478</v>
      </c>
      <c r="M224" s="82">
        <f>'3) Input operationele kosten'!M87</f>
        <v>953197.20758007152</v>
      </c>
      <c r="N224" s="82">
        <f>'3) Input operationele kosten'!N87</f>
        <v>1430946.0454982321</v>
      </c>
      <c r="O224" s="82">
        <f>'3) Input operationele kosten'!O87</f>
        <v>0</v>
      </c>
      <c r="P224" s="82">
        <f>'3) Input operationele kosten'!P87</f>
        <v>615103.03106522013</v>
      </c>
      <c r="Q224" s="82">
        <f>'3) Input operationele kosten'!Q87</f>
        <v>1668.48</v>
      </c>
      <c r="R224" s="89"/>
      <c r="S224" s="82">
        <f>'3) Input operationele kosten'!S87</f>
        <v>197576.50000000009</v>
      </c>
    </row>
    <row r="225" spans="2:19" s="74" customFormat="1" ht="12.75" x14ac:dyDescent="0.2">
      <c r="B225" s="74" t="s">
        <v>16</v>
      </c>
      <c r="F225" s="74" t="s">
        <v>97</v>
      </c>
      <c r="G225" s="171"/>
      <c r="H225" s="171"/>
      <c r="J225" s="172">
        <f t="shared" ref="J225:J227" si="66">SUM(L225:S225)</f>
        <v>1199079.8667932926</v>
      </c>
      <c r="L225" s="82">
        <f>'3) Input operationele kosten'!L88</f>
        <v>764</v>
      </c>
      <c r="M225" s="82">
        <f>'3) Input operationele kosten'!M88</f>
        <v>931960.34052747954</v>
      </c>
      <c r="N225" s="82">
        <f>'3) Input operationele kosten'!N88</f>
        <v>0</v>
      </c>
      <c r="O225" s="82">
        <f>'3) Input operationele kosten'!O88</f>
        <v>5755.5</v>
      </c>
      <c r="P225" s="82">
        <f>'3) Input operationele kosten'!P88</f>
        <v>255997.96626581301</v>
      </c>
      <c r="Q225" s="82">
        <f>'3) Input operationele kosten'!Q88</f>
        <v>4602.0600000000004</v>
      </c>
      <c r="R225" s="89"/>
      <c r="S225" s="82">
        <f>'3) Input operationele kosten'!S88</f>
        <v>0</v>
      </c>
    </row>
    <row r="226" spans="2:19" s="74" customFormat="1" ht="12.75" x14ac:dyDescent="0.2">
      <c r="B226" s="74" t="s">
        <v>17</v>
      </c>
      <c r="F226" s="74" t="s">
        <v>97</v>
      </c>
      <c r="G226" s="171"/>
      <c r="H226" s="171"/>
      <c r="J226" s="172">
        <f t="shared" si="66"/>
        <v>2651137.5444939951</v>
      </c>
      <c r="L226" s="82">
        <f>'3) Input operationele kosten'!L89</f>
        <v>45</v>
      </c>
      <c r="M226" s="82">
        <f>'3) Input operationele kosten'!M89</f>
        <v>1645382.7816785693</v>
      </c>
      <c r="N226" s="82">
        <f>'3) Input operationele kosten'!N89</f>
        <v>385330.27653545077</v>
      </c>
      <c r="O226" s="82">
        <f>'3) Input operationele kosten'!O89</f>
        <v>1445.14</v>
      </c>
      <c r="P226" s="82">
        <f>'3) Input operationele kosten'!P89</f>
        <v>365459.69477568194</v>
      </c>
      <c r="Q226" s="82">
        <f>'3) Input operationele kosten'!Q89</f>
        <v>93518.120000000024</v>
      </c>
      <c r="R226" s="89"/>
      <c r="S226" s="82">
        <f>'3) Input operationele kosten'!S89</f>
        <v>159956.53150429329</v>
      </c>
    </row>
    <row r="227" spans="2:19" s="74" customFormat="1" ht="12.75" x14ac:dyDescent="0.2">
      <c r="B227" s="74" t="s">
        <v>18</v>
      </c>
      <c r="F227" s="74" t="s">
        <v>97</v>
      </c>
      <c r="G227" s="171"/>
      <c r="H227" s="171"/>
      <c r="J227" s="172">
        <f t="shared" si="66"/>
        <v>19213466.972672377</v>
      </c>
      <c r="L227" s="82">
        <f>'3) Input operationele kosten'!L90</f>
        <v>0</v>
      </c>
      <c r="M227" s="82">
        <f>'3) Input operationele kosten'!M90</f>
        <v>2145781.5254116664</v>
      </c>
      <c r="N227" s="82">
        <f>'3) Input operationele kosten'!N90</f>
        <v>15306329.393099736</v>
      </c>
      <c r="O227" s="82">
        <f>'3) Input operationele kosten'!O90</f>
        <v>9116.77</v>
      </c>
      <c r="P227" s="82">
        <f>'3) Input operationele kosten'!P90</f>
        <v>1246239.2841609742</v>
      </c>
      <c r="Q227" s="82">
        <f>'3) Input operationele kosten'!Q90</f>
        <v>0</v>
      </c>
      <c r="R227" s="89"/>
      <c r="S227" s="82">
        <f>'3) Input operationele kosten'!S90</f>
        <v>506000</v>
      </c>
    </row>
    <row r="228" spans="2:19" s="91" customFormat="1" x14ac:dyDescent="0.2">
      <c r="G228" s="180"/>
      <c r="H228" s="180"/>
      <c r="J228" s="96"/>
      <c r="R228" s="89"/>
    </row>
    <row r="229" spans="2:19" s="91" customFormat="1" x14ac:dyDescent="0.2">
      <c r="B229" s="81" t="s">
        <v>21</v>
      </c>
      <c r="G229" s="180"/>
      <c r="H229" s="180"/>
      <c r="J229" s="96"/>
      <c r="R229" s="89"/>
    </row>
    <row r="230" spans="2:19" s="91" customFormat="1" x14ac:dyDescent="0.2">
      <c r="B230" s="84" t="s">
        <v>76</v>
      </c>
      <c r="C230" s="85"/>
      <c r="D230" s="85"/>
      <c r="E230" s="85"/>
      <c r="F230" s="90"/>
      <c r="G230" s="180"/>
      <c r="H230" s="103"/>
      <c r="J230" s="96"/>
      <c r="R230" s="89"/>
    </row>
    <row r="231" spans="2:19" s="91" customFormat="1" x14ac:dyDescent="0.2">
      <c r="B231" s="85" t="s">
        <v>22</v>
      </c>
      <c r="C231" s="85"/>
      <c r="D231" s="85"/>
      <c r="E231" s="85"/>
      <c r="F231" s="90" t="s">
        <v>97</v>
      </c>
      <c r="G231" s="180"/>
      <c r="H231" s="103"/>
      <c r="J231" s="172">
        <f>SUM(L231:S231)</f>
        <v>4797540.8173015555</v>
      </c>
      <c r="L231" s="82">
        <f>'5) Overige opbrengsten'!L148</f>
        <v>61428</v>
      </c>
      <c r="M231" s="82">
        <f>'5) Overige opbrengsten'!M148</f>
        <v>2189457.7999999998</v>
      </c>
      <c r="N231" s="82">
        <f>'5) Overige opbrengsten'!N148</f>
        <v>1168017.4888015536</v>
      </c>
      <c r="O231" s="82">
        <f>'5) Overige opbrengsten'!O148</f>
        <v>30295.24</v>
      </c>
      <c r="P231" s="82">
        <f>'5) Overige opbrengsten'!P148</f>
        <v>1239205.6900000011</v>
      </c>
      <c r="Q231" s="82">
        <f>'5) Overige opbrengsten'!Q148</f>
        <v>0</v>
      </c>
      <c r="R231" s="89"/>
      <c r="S231" s="82">
        <f>'5) Overige opbrengsten'!S148</f>
        <v>109136.59849999995</v>
      </c>
    </row>
    <row r="232" spans="2:19" s="91" customFormat="1" x14ac:dyDescent="0.2">
      <c r="B232" s="85" t="s">
        <v>23</v>
      </c>
      <c r="C232" s="85"/>
      <c r="D232" s="85"/>
      <c r="E232" s="85"/>
      <c r="F232" s="90" t="s">
        <v>97</v>
      </c>
      <c r="G232" s="180"/>
      <c r="H232" s="103"/>
      <c r="J232" s="172">
        <f t="shared" ref="J232:J239" si="67">SUM(L232:S232)</f>
        <v>2015939.9885311772</v>
      </c>
      <c r="L232" s="82">
        <f>'5) Overige opbrengsten'!L149</f>
        <v>37812</v>
      </c>
      <c r="M232" s="82">
        <f>'5) Overige opbrengsten'!M149</f>
        <v>664383.1463579227</v>
      </c>
      <c r="N232" s="82">
        <f>'5) Overige opbrengsten'!N149</f>
        <v>517010.24067325774</v>
      </c>
      <c r="O232" s="82">
        <f>'5) Overige opbrengsten'!O149</f>
        <v>0</v>
      </c>
      <c r="P232" s="82">
        <f>'5) Overige opbrengsten'!P149</f>
        <v>790990.56999999681</v>
      </c>
      <c r="Q232" s="82">
        <f>'5) Overige opbrengsten'!Q149</f>
        <v>0</v>
      </c>
      <c r="R232" s="89"/>
      <c r="S232" s="82">
        <f>'5) Overige opbrengsten'!S149</f>
        <v>5744.0314999999973</v>
      </c>
    </row>
    <row r="233" spans="2:19" s="91" customFormat="1" x14ac:dyDescent="0.2">
      <c r="B233" s="85" t="s">
        <v>28</v>
      </c>
      <c r="C233" s="85"/>
      <c r="D233" s="85"/>
      <c r="E233" s="85"/>
      <c r="F233" s="90" t="s">
        <v>97</v>
      </c>
      <c r="G233" s="180"/>
      <c r="H233" s="103"/>
      <c r="J233" s="172">
        <f t="shared" si="67"/>
        <v>10546478.473107865</v>
      </c>
      <c r="L233" s="82">
        <f>'5) Overige opbrengsten'!L150</f>
        <v>86920</v>
      </c>
      <c r="M233" s="82">
        <f>'5) Overige opbrengsten'!M150</f>
        <v>3247979.7199999997</v>
      </c>
      <c r="N233" s="82">
        <f>'5) Overige opbrengsten'!N150</f>
        <v>3810927.5700000003</v>
      </c>
      <c r="O233" s="82">
        <f>'5) Overige opbrengsten'!O150</f>
        <v>89195.68</v>
      </c>
      <c r="P233" s="82">
        <f>'5) Overige opbrengsten'!P150</f>
        <v>2979672.59</v>
      </c>
      <c r="Q233" s="82">
        <f>'5) Overige opbrengsten'!Q150</f>
        <v>49347.210000000006</v>
      </c>
      <c r="R233" s="89"/>
      <c r="S233" s="82">
        <f>'5) Overige opbrengsten'!S150</f>
        <v>282435.70310786483</v>
      </c>
    </row>
    <row r="234" spans="2:19" s="91" customFormat="1" x14ac:dyDescent="0.2">
      <c r="B234" s="85" t="s">
        <v>29</v>
      </c>
      <c r="C234" s="85"/>
      <c r="D234" s="85"/>
      <c r="E234" s="85"/>
      <c r="F234" s="90" t="s">
        <v>97</v>
      </c>
      <c r="G234" s="180"/>
      <c r="H234" s="103"/>
      <c r="J234" s="172">
        <f t="shared" si="67"/>
        <v>3188069.1272704941</v>
      </c>
      <c r="L234" s="82">
        <f>'5) Overige opbrengsten'!L151</f>
        <v>0</v>
      </c>
      <c r="M234" s="82">
        <f>'5) Overige opbrengsten'!M151</f>
        <v>0</v>
      </c>
      <c r="N234" s="82">
        <f>'5) Overige opbrengsten'!N151</f>
        <v>2228486.0499999998</v>
      </c>
      <c r="O234" s="82">
        <f>'5) Overige opbrengsten'!O151</f>
        <v>8408.52</v>
      </c>
      <c r="P234" s="82">
        <f>'5) Overige opbrengsten'!P151</f>
        <v>949430.04727049463</v>
      </c>
      <c r="Q234" s="82">
        <f>'5) Overige opbrengsten'!Q151</f>
        <v>1744.51</v>
      </c>
      <c r="R234" s="89"/>
      <c r="S234" s="82">
        <f>'5) Overige opbrengsten'!S151</f>
        <v>0</v>
      </c>
    </row>
    <row r="235" spans="2:19" s="91" customFormat="1" x14ac:dyDescent="0.2">
      <c r="B235" s="85" t="s">
        <v>30</v>
      </c>
      <c r="C235" s="85"/>
      <c r="D235" s="85"/>
      <c r="E235" s="85"/>
      <c r="F235" s="90" t="s">
        <v>97</v>
      </c>
      <c r="G235" s="180"/>
      <c r="H235" s="103"/>
      <c r="J235" s="172">
        <f t="shared" si="67"/>
        <v>307480.3842329816</v>
      </c>
      <c r="L235" s="82">
        <f>'5) Overige opbrengsten'!L152</f>
        <v>0</v>
      </c>
      <c r="M235" s="82">
        <f>'5) Overige opbrengsten'!M152</f>
        <v>0</v>
      </c>
      <c r="N235" s="82">
        <f>'5) Overige opbrengsten'!N152</f>
        <v>306231.36423298158</v>
      </c>
      <c r="O235" s="82">
        <f>'5) Overige opbrengsten'!O152</f>
        <v>1249.0200000000036</v>
      </c>
      <c r="P235" s="82">
        <f>'5) Overige opbrengsten'!P152</f>
        <v>0</v>
      </c>
      <c r="Q235" s="82">
        <f>'5) Overige opbrengsten'!Q152</f>
        <v>0</v>
      </c>
      <c r="R235" s="89"/>
      <c r="S235" s="82">
        <f>'5) Overige opbrengsten'!S152</f>
        <v>0</v>
      </c>
    </row>
    <row r="236" spans="2:19" s="91" customFormat="1" x14ac:dyDescent="0.2">
      <c r="B236" s="85" t="s">
        <v>31</v>
      </c>
      <c r="C236" s="85"/>
      <c r="D236" s="85"/>
      <c r="E236" s="85"/>
      <c r="F236" s="90" t="s">
        <v>97</v>
      </c>
      <c r="G236" s="180"/>
      <c r="H236" s="103"/>
      <c r="J236" s="172">
        <f t="shared" si="67"/>
        <v>309600.32576701813</v>
      </c>
      <c r="L236" s="82">
        <f>'5) Overige opbrengsten'!L153</f>
        <v>0</v>
      </c>
      <c r="M236" s="82">
        <f>'5) Overige opbrengsten'!M153</f>
        <v>0</v>
      </c>
      <c r="N236" s="82">
        <f>'5) Overige opbrengsten'!N153</f>
        <v>355934.60576701816</v>
      </c>
      <c r="O236" s="82">
        <f>'5) Overige opbrengsten'!O153</f>
        <v>-46334.28</v>
      </c>
      <c r="P236" s="82">
        <f>'5) Overige opbrengsten'!P153</f>
        <v>0</v>
      </c>
      <c r="Q236" s="82">
        <f>'5) Overige opbrengsten'!Q153</f>
        <v>0</v>
      </c>
      <c r="R236" s="89"/>
      <c r="S236" s="82">
        <f>'5) Overige opbrengsten'!S153</f>
        <v>0</v>
      </c>
    </row>
    <row r="237" spans="2:19" s="91" customFormat="1" x14ac:dyDescent="0.2">
      <c r="B237" s="85" t="s">
        <v>32</v>
      </c>
      <c r="C237" s="85"/>
      <c r="D237" s="85"/>
      <c r="E237" s="85"/>
      <c r="F237" s="90" t="s">
        <v>97</v>
      </c>
      <c r="G237" s="180"/>
      <c r="H237" s="103"/>
      <c r="J237" s="172">
        <f t="shared" si="67"/>
        <v>2425671.3200000003</v>
      </c>
      <c r="L237" s="82">
        <f>'5) Overige opbrengsten'!L154</f>
        <v>0</v>
      </c>
      <c r="M237" s="82">
        <f>'5) Overige opbrengsten'!M154</f>
        <v>0</v>
      </c>
      <c r="N237" s="82">
        <f>'5) Overige opbrengsten'!N154</f>
        <v>2425671.3200000003</v>
      </c>
      <c r="O237" s="82">
        <f>'5) Overige opbrengsten'!O154</f>
        <v>0</v>
      </c>
      <c r="P237" s="82">
        <f>'5) Overige opbrengsten'!P154</f>
        <v>0</v>
      </c>
      <c r="Q237" s="82">
        <f>'5) Overige opbrengsten'!Q154</f>
        <v>0</v>
      </c>
      <c r="R237" s="89"/>
      <c r="S237" s="82">
        <f>'5) Overige opbrengsten'!S154</f>
        <v>0</v>
      </c>
    </row>
    <row r="238" spans="2:19" s="91" customFormat="1" x14ac:dyDescent="0.2">
      <c r="B238" s="85" t="s">
        <v>33</v>
      </c>
      <c r="C238" s="85"/>
      <c r="D238" s="85"/>
      <c r="E238" s="85"/>
      <c r="F238" s="90" t="s">
        <v>97</v>
      </c>
      <c r="G238" s="180"/>
      <c r="H238" s="103"/>
      <c r="J238" s="172">
        <f t="shared" si="67"/>
        <v>170853.94999999998</v>
      </c>
      <c r="L238" s="82">
        <f>'5) Overige opbrengsten'!L155</f>
        <v>0</v>
      </c>
      <c r="M238" s="82">
        <f>'5) Overige opbrengsten'!M155</f>
        <v>0</v>
      </c>
      <c r="N238" s="82">
        <f>'5) Overige opbrengsten'!N155</f>
        <v>170853.94999999998</v>
      </c>
      <c r="O238" s="82">
        <f>'5) Overige opbrengsten'!O155</f>
        <v>0</v>
      </c>
      <c r="P238" s="82">
        <f>'5) Overige opbrengsten'!P155</f>
        <v>0</v>
      </c>
      <c r="Q238" s="82">
        <f>'5) Overige opbrengsten'!Q155</f>
        <v>0</v>
      </c>
      <c r="R238" s="89"/>
      <c r="S238" s="82">
        <f>'5) Overige opbrengsten'!S155</f>
        <v>0</v>
      </c>
    </row>
    <row r="239" spans="2:19" s="91" customFormat="1" x14ac:dyDescent="0.2">
      <c r="B239" s="85" t="s">
        <v>34</v>
      </c>
      <c r="C239" s="85"/>
      <c r="D239" s="85"/>
      <c r="E239" s="85"/>
      <c r="F239" s="90" t="s">
        <v>97</v>
      </c>
      <c r="G239" s="180"/>
      <c r="H239" s="103"/>
      <c r="J239" s="172">
        <f t="shared" si="67"/>
        <v>2149235.41</v>
      </c>
      <c r="L239" s="82">
        <f>'5) Overige opbrengsten'!L156</f>
        <v>0</v>
      </c>
      <c r="M239" s="82">
        <f>'5) Overige opbrengsten'!M156</f>
        <v>0</v>
      </c>
      <c r="N239" s="82">
        <f>'5) Overige opbrengsten'!N156</f>
        <v>2149235.41</v>
      </c>
      <c r="O239" s="82">
        <f>'5) Overige opbrengsten'!O156</f>
        <v>0</v>
      </c>
      <c r="P239" s="82">
        <f>'5) Overige opbrengsten'!P156</f>
        <v>0</v>
      </c>
      <c r="Q239" s="82">
        <f>'5) Overige opbrengsten'!Q156</f>
        <v>0</v>
      </c>
      <c r="R239" s="89"/>
      <c r="S239" s="82">
        <f>'5) Overige opbrengsten'!S156</f>
        <v>0</v>
      </c>
    </row>
    <row r="240" spans="2:19" s="91" customFormat="1" x14ac:dyDescent="0.2">
      <c r="G240" s="180"/>
      <c r="H240" s="180"/>
      <c r="J240" s="96"/>
      <c r="R240" s="89"/>
    </row>
    <row r="241" spans="2:19" s="91" customFormat="1" x14ac:dyDescent="0.2">
      <c r="B241" s="84" t="s">
        <v>70</v>
      </c>
      <c r="C241" s="85"/>
      <c r="D241" s="85"/>
      <c r="E241" s="85"/>
      <c r="F241" s="90"/>
      <c r="G241" s="180"/>
      <c r="H241" s="103"/>
      <c r="J241" s="96"/>
      <c r="R241" s="89"/>
    </row>
    <row r="242" spans="2:19" s="91" customFormat="1" x14ac:dyDescent="0.2">
      <c r="B242" s="85" t="s">
        <v>71</v>
      </c>
      <c r="C242" s="85"/>
      <c r="D242" s="85"/>
      <c r="E242" s="85"/>
      <c r="F242" s="90" t="s">
        <v>97</v>
      </c>
      <c r="G242" s="180"/>
      <c r="H242" s="103"/>
      <c r="J242" s="172">
        <f t="shared" ref="J242" si="68">SUM(L242:S242)</f>
        <v>1174116.2674518828</v>
      </c>
      <c r="L242" s="82">
        <f>'5) Overige opbrengsten'!L159</f>
        <v>6728</v>
      </c>
      <c r="M242" s="82">
        <f>'5) Overige opbrengsten'!M159</f>
        <v>395765.95999999979</v>
      </c>
      <c r="N242" s="82">
        <f>'5) Overige opbrengsten'!N159</f>
        <v>227614.04745188309</v>
      </c>
      <c r="O242" s="82">
        <f>'5) Overige opbrengsten'!O159</f>
        <v>399.16</v>
      </c>
      <c r="P242" s="82">
        <f>'5) Overige opbrengsten'!P159</f>
        <v>543609.1</v>
      </c>
      <c r="Q242" s="82">
        <f>'5) Overige opbrengsten'!Q159</f>
        <v>0</v>
      </c>
      <c r="R242" s="89"/>
      <c r="S242" s="82">
        <f>'5) Overige opbrengsten'!S159</f>
        <v>0</v>
      </c>
    </row>
    <row r="243" spans="2:19" s="91" customFormat="1" x14ac:dyDescent="0.2">
      <c r="B243" s="74"/>
      <c r="C243" s="85"/>
      <c r="D243" s="85"/>
      <c r="E243" s="85"/>
      <c r="F243" s="90"/>
      <c r="G243" s="180"/>
      <c r="H243" s="103"/>
      <c r="J243" s="96"/>
      <c r="R243" s="89"/>
    </row>
    <row r="244" spans="2:19" s="91" customFormat="1" x14ac:dyDescent="0.2">
      <c r="B244" s="75" t="s">
        <v>24</v>
      </c>
      <c r="C244" s="85"/>
      <c r="D244" s="85"/>
      <c r="E244" s="85"/>
      <c r="G244" s="180"/>
      <c r="H244" s="180"/>
      <c r="J244" s="96"/>
      <c r="R244" s="89"/>
    </row>
    <row r="245" spans="2:19" s="91" customFormat="1" x14ac:dyDescent="0.2">
      <c r="B245" s="74" t="s">
        <v>25</v>
      </c>
      <c r="C245" s="85"/>
      <c r="D245" s="85"/>
      <c r="E245" s="85"/>
      <c r="F245" s="90" t="s">
        <v>97</v>
      </c>
      <c r="G245" s="180"/>
      <c r="H245" s="103"/>
      <c r="J245" s="172">
        <f t="shared" ref="J245:J246" si="69">SUM(L245:S245)</f>
        <v>1674658.2245158593</v>
      </c>
      <c r="L245" s="82">
        <f>'5) Overige opbrengsten'!L137</f>
        <v>43385</v>
      </c>
      <c r="M245" s="82">
        <f>'5) Overige opbrengsten'!M137</f>
        <v>1046582.3193058445</v>
      </c>
      <c r="N245" s="82">
        <f>'5) Overige opbrengsten'!N137</f>
        <v>111345.06000000003</v>
      </c>
      <c r="O245" s="82">
        <f>'5) Overige opbrengsten'!O137</f>
        <v>16363.249999999996</v>
      </c>
      <c r="P245" s="82">
        <f>'5) Overige opbrengsten'!P137</f>
        <v>406647.00521001464</v>
      </c>
      <c r="Q245" s="82">
        <f>'5) Overige opbrengsten'!Q137</f>
        <v>10802.590000000007</v>
      </c>
      <c r="R245" s="89"/>
      <c r="S245" s="82">
        <f>'5) Overige opbrengsten'!S137</f>
        <v>39533</v>
      </c>
    </row>
    <row r="246" spans="2:19" s="91" customFormat="1" x14ac:dyDescent="0.2">
      <c r="B246" s="74" t="s">
        <v>26</v>
      </c>
      <c r="C246" s="85"/>
      <c r="D246" s="85"/>
      <c r="E246" s="85"/>
      <c r="F246" s="90" t="s">
        <v>97</v>
      </c>
      <c r="G246" s="180"/>
      <c r="H246" s="103"/>
      <c r="J246" s="172">
        <f t="shared" si="69"/>
        <v>74075044.462504059</v>
      </c>
      <c r="L246" s="82">
        <f>'5) Overige opbrengsten'!L145</f>
        <v>104478</v>
      </c>
      <c r="M246" s="82">
        <f>'5) Overige opbrengsten'!M145</f>
        <v>27087137.819189526</v>
      </c>
      <c r="N246" s="82">
        <f>'5) Overige opbrengsten'!N145</f>
        <v>23415949.138275858</v>
      </c>
      <c r="O246" s="82">
        <f>'5) Overige opbrengsten'!O145</f>
        <v>52200.75</v>
      </c>
      <c r="P246" s="82">
        <f>'5) Overige opbrengsten'!P145</f>
        <v>18811219.416403554</v>
      </c>
      <c r="Q246" s="82">
        <f>'5) Overige opbrengsten'!Q145</f>
        <v>3046828.6886351053</v>
      </c>
      <c r="R246" s="89"/>
      <c r="S246" s="82">
        <f>'5) Overige opbrengsten'!S145</f>
        <v>1557230.65</v>
      </c>
    </row>
    <row r="247" spans="2:19" s="91" customFormat="1" x14ac:dyDescent="0.2">
      <c r="B247" s="74"/>
      <c r="C247" s="85"/>
      <c r="D247" s="85"/>
      <c r="E247" s="85"/>
      <c r="F247" s="90"/>
      <c r="G247" s="180"/>
      <c r="H247" s="103"/>
      <c r="J247" s="96"/>
      <c r="R247" s="89"/>
    </row>
    <row r="248" spans="2:19" s="91" customFormat="1" x14ac:dyDescent="0.2">
      <c r="B248" s="75" t="s">
        <v>27</v>
      </c>
      <c r="C248" s="85"/>
      <c r="D248" s="85"/>
      <c r="E248" s="85"/>
      <c r="F248" s="90"/>
      <c r="G248" s="180"/>
      <c r="H248" s="103"/>
      <c r="J248" s="96"/>
      <c r="R248" s="89"/>
    </row>
    <row r="249" spans="2:19" s="91" customFormat="1" x14ac:dyDescent="0.2">
      <c r="B249" s="74" t="s">
        <v>25</v>
      </c>
      <c r="C249" s="85"/>
      <c r="D249" s="85"/>
      <c r="E249" s="85"/>
      <c r="F249" s="90" t="s">
        <v>97</v>
      </c>
      <c r="G249" s="180"/>
      <c r="H249" s="103"/>
      <c r="J249" s="172">
        <f t="shared" ref="J249" si="70">SUM(L249:S249)</f>
        <v>1638272.2245158593</v>
      </c>
      <c r="L249" s="82">
        <f>'5) Overige opbrengsten'!L130</f>
        <v>6999</v>
      </c>
      <c r="M249" s="82">
        <f>'5) Overige opbrengsten'!M130</f>
        <v>1046582.3193058445</v>
      </c>
      <c r="N249" s="82">
        <f>'5) Overige opbrengsten'!N130</f>
        <v>111345.06000000003</v>
      </c>
      <c r="O249" s="82">
        <f>'5) Overige opbrengsten'!O130</f>
        <v>16363.249999999996</v>
      </c>
      <c r="P249" s="82">
        <f>'5) Overige opbrengsten'!P130</f>
        <v>406647.00521001464</v>
      </c>
      <c r="Q249" s="82">
        <f>'5) Overige opbrengsten'!Q130</f>
        <v>10802.590000000007</v>
      </c>
      <c r="R249" s="89"/>
      <c r="S249" s="82">
        <f>'5) Overige opbrengsten'!S130</f>
        <v>39533</v>
      </c>
    </row>
    <row r="250" spans="2:19" s="91" customFormat="1" x14ac:dyDescent="0.2">
      <c r="G250" s="180"/>
      <c r="H250" s="180"/>
      <c r="J250" s="96"/>
      <c r="R250" s="89"/>
    </row>
    <row r="251" spans="2:19" s="91" customFormat="1" ht="15" x14ac:dyDescent="0.2">
      <c r="B251" s="40" t="s">
        <v>133</v>
      </c>
      <c r="G251" s="180"/>
      <c r="H251" s="180"/>
      <c r="J251" s="96"/>
      <c r="R251" s="92"/>
    </row>
    <row r="252" spans="2:19" s="91" customFormat="1" x14ac:dyDescent="0.2">
      <c r="B252" s="75" t="s">
        <v>6</v>
      </c>
      <c r="C252" s="74"/>
      <c r="D252" s="74"/>
      <c r="E252" s="74"/>
      <c r="F252" s="74"/>
      <c r="G252" s="180"/>
      <c r="H252" s="171"/>
      <c r="J252" s="96"/>
      <c r="R252" s="92"/>
    </row>
    <row r="253" spans="2:19" s="91" customFormat="1" x14ac:dyDescent="0.2">
      <c r="B253" s="74" t="s">
        <v>7</v>
      </c>
      <c r="C253" s="74"/>
      <c r="D253" s="74"/>
      <c r="E253" s="74"/>
      <c r="F253" s="74" t="s">
        <v>97</v>
      </c>
      <c r="G253" s="180"/>
      <c r="H253" s="171"/>
      <c r="J253" s="172">
        <f t="shared" ref="J253:J256" si="71">SUM(L253:S253)</f>
        <v>416475868.79631126</v>
      </c>
      <c r="L253" s="226">
        <f>L213</f>
        <v>0</v>
      </c>
      <c r="M253" s="226">
        <f t="shared" ref="M253:Q253" si="72">M213</f>
        <v>157115568.88</v>
      </c>
      <c r="N253" s="226">
        <f t="shared" si="72"/>
        <v>145637468.88</v>
      </c>
      <c r="O253" s="226">
        <f t="shared" si="72"/>
        <v>0</v>
      </c>
      <c r="P253" s="226">
        <f t="shared" si="72"/>
        <v>93764003.640000001</v>
      </c>
      <c r="Q253" s="226">
        <f t="shared" si="72"/>
        <v>9333926.0200000014</v>
      </c>
      <c r="R253" s="189"/>
      <c r="S253" s="226">
        <f t="shared" ref="S253" si="73">S213</f>
        <v>10624901.376311278</v>
      </c>
    </row>
    <row r="254" spans="2:19" s="91" customFormat="1" x14ac:dyDescent="0.2">
      <c r="B254" s="74" t="s">
        <v>8</v>
      </c>
      <c r="C254" s="74"/>
      <c r="D254" s="74"/>
      <c r="E254" s="74"/>
      <c r="F254" s="74" t="s">
        <v>97</v>
      </c>
      <c r="G254" s="180"/>
      <c r="H254" s="171"/>
      <c r="J254" s="172">
        <f t="shared" si="71"/>
        <v>9077870.2431691624</v>
      </c>
      <c r="L254" s="226">
        <f>L214</f>
        <v>3085313.7827404072</v>
      </c>
      <c r="M254" s="226">
        <f t="shared" ref="M254:Q254" si="74">M214</f>
        <v>125597.88580731515</v>
      </c>
      <c r="N254" s="226">
        <f t="shared" si="74"/>
        <v>1218105.8348984129</v>
      </c>
      <c r="O254" s="226">
        <f t="shared" si="74"/>
        <v>1939371.6598624184</v>
      </c>
      <c r="P254" s="226">
        <f t="shared" si="74"/>
        <v>2450866.1999783525</v>
      </c>
      <c r="Q254" s="226">
        <f t="shared" si="74"/>
        <v>258614.87988225551</v>
      </c>
      <c r="R254" s="189"/>
      <c r="S254" s="226">
        <f t="shared" ref="S254" si="75">S214</f>
        <v>0</v>
      </c>
    </row>
    <row r="255" spans="2:19" s="91" customFormat="1" x14ac:dyDescent="0.2">
      <c r="B255" s="74" t="s">
        <v>9</v>
      </c>
      <c r="C255" s="74"/>
      <c r="D255" s="74"/>
      <c r="E255" s="74"/>
      <c r="F255" s="74" t="s">
        <v>97</v>
      </c>
      <c r="G255" s="180"/>
      <c r="H255" s="171"/>
      <c r="J255" s="172">
        <f t="shared" si="71"/>
        <v>140718747.97671542</v>
      </c>
      <c r="L255" s="188">
        <f>L215-SUM(L231:L232,L242)</f>
        <v>482087</v>
      </c>
      <c r="M255" s="188">
        <f t="shared" ref="M255:Q255" si="76">M215-SUM(M231:M232,M242)</f>
        <v>39214128.823642105</v>
      </c>
      <c r="N255" s="188">
        <f t="shared" si="76"/>
        <v>46713420.653073303</v>
      </c>
      <c r="O255" s="188">
        <f t="shared" si="76"/>
        <v>414280.73</v>
      </c>
      <c r="P255" s="188">
        <f t="shared" si="76"/>
        <v>46686229.640000001</v>
      </c>
      <c r="Q255" s="188">
        <f t="shared" si="76"/>
        <v>2525432.9699999997</v>
      </c>
      <c r="R255" s="189"/>
      <c r="S255" s="188">
        <f t="shared" ref="S255" si="77">S215-SUM(S231:S232,S242)</f>
        <v>4683168.16</v>
      </c>
    </row>
    <row r="256" spans="2:19" s="91" customFormat="1" x14ac:dyDescent="0.2">
      <c r="B256" s="74" t="s">
        <v>10</v>
      </c>
      <c r="C256" s="74"/>
      <c r="D256" s="74"/>
      <c r="E256" s="74"/>
      <c r="F256" s="74" t="s">
        <v>97</v>
      </c>
      <c r="G256" s="180"/>
      <c r="H256" s="171"/>
      <c r="J256" s="172">
        <f t="shared" si="71"/>
        <v>0</v>
      </c>
      <c r="L256" s="226">
        <f>L216</f>
        <v>0</v>
      </c>
      <c r="M256" s="226">
        <f t="shared" ref="M256:Q256" si="78">M216</f>
        <v>0</v>
      </c>
      <c r="N256" s="226">
        <f t="shared" si="78"/>
        <v>0</v>
      </c>
      <c r="O256" s="226">
        <f t="shared" si="78"/>
        <v>0</v>
      </c>
      <c r="P256" s="226">
        <f t="shared" si="78"/>
        <v>0</v>
      </c>
      <c r="Q256" s="226">
        <f t="shared" si="78"/>
        <v>0</v>
      </c>
      <c r="R256" s="189"/>
      <c r="S256" s="226">
        <f t="shared" ref="S256" si="79">S216</f>
        <v>0</v>
      </c>
    </row>
    <row r="257" spans="2:21" s="91" customFormat="1" x14ac:dyDescent="0.2">
      <c r="B257" s="74"/>
      <c r="C257" s="74"/>
      <c r="D257" s="74"/>
      <c r="E257" s="74"/>
      <c r="F257" s="74"/>
      <c r="G257" s="180"/>
      <c r="H257" s="171"/>
      <c r="J257" s="96"/>
      <c r="L257" s="185"/>
      <c r="M257" s="185"/>
      <c r="N257" s="185"/>
      <c r="O257" s="185"/>
      <c r="P257" s="185"/>
      <c r="Q257" s="185"/>
      <c r="R257" s="190"/>
      <c r="S257" s="185"/>
    </row>
    <row r="258" spans="2:21" s="91" customFormat="1" x14ac:dyDescent="0.2">
      <c r="B258" s="75" t="s">
        <v>11</v>
      </c>
      <c r="C258" s="74"/>
      <c r="D258" s="74"/>
      <c r="E258" s="74"/>
      <c r="F258" s="74"/>
      <c r="G258" s="180"/>
      <c r="H258" s="171"/>
      <c r="J258" s="96"/>
      <c r="L258" s="185"/>
      <c r="M258" s="185"/>
      <c r="N258" s="185"/>
      <c r="O258" s="185"/>
      <c r="P258" s="185"/>
      <c r="Q258" s="185"/>
      <c r="R258" s="190"/>
      <c r="S258" s="185"/>
    </row>
    <row r="259" spans="2:21" s="91" customFormat="1" x14ac:dyDescent="0.2">
      <c r="B259" s="74" t="s">
        <v>12</v>
      </c>
      <c r="C259" s="74"/>
      <c r="D259" s="74"/>
      <c r="E259" s="74"/>
      <c r="F259" s="74" t="s">
        <v>97</v>
      </c>
      <c r="G259" s="180"/>
      <c r="H259" s="171"/>
      <c r="J259" s="172">
        <f t="shared" ref="J259:J261" si="80">SUM(L259:S259)</f>
        <v>840142723.60273051</v>
      </c>
      <c r="L259" s="188">
        <f>L219-SUM(L233:L239)+L245-L246-L249</f>
        <v>3907580</v>
      </c>
      <c r="M259" s="188">
        <f t="shared" ref="M259:Q259" si="81">M219-SUM(M233:M239)+M245-M246-M249</f>
        <v>253990214.78122947</v>
      </c>
      <c r="N259" s="188">
        <f t="shared" si="81"/>
        <v>361754542.76272458</v>
      </c>
      <c r="O259" s="188">
        <f t="shared" si="81"/>
        <v>2194872.41</v>
      </c>
      <c r="P259" s="188">
        <f t="shared" si="81"/>
        <v>182309309.8326003</v>
      </c>
      <c r="Q259" s="188">
        <f t="shared" si="81"/>
        <v>11773368.354597274</v>
      </c>
      <c r="R259" s="189"/>
      <c r="S259" s="188">
        <f>S219-SUM(S233:S239)+S245-S246-S249</f>
        <v>24212835.461578883</v>
      </c>
    </row>
    <row r="260" spans="2:21" s="180" customFormat="1" x14ac:dyDescent="0.2">
      <c r="B260" s="171" t="s">
        <v>430</v>
      </c>
      <c r="C260" s="171"/>
      <c r="D260" s="171"/>
      <c r="E260" s="171"/>
      <c r="F260" s="171" t="s">
        <v>97</v>
      </c>
      <c r="H260" s="171"/>
      <c r="J260" s="172">
        <f t="shared" si="80"/>
        <v>628882.43223935831</v>
      </c>
      <c r="L260" s="226">
        <f>L220</f>
        <v>2955</v>
      </c>
      <c r="M260" s="226">
        <f t="shared" ref="M260:Q260" si="82">M220</f>
        <v>281685.75862509327</v>
      </c>
      <c r="N260" s="226">
        <f t="shared" si="82"/>
        <v>200126.18302752002</v>
      </c>
      <c r="O260" s="226">
        <f t="shared" si="82"/>
        <v>2372.3000000000002</v>
      </c>
      <c r="P260" s="226">
        <f t="shared" si="82"/>
        <v>117287.8240665827</v>
      </c>
      <c r="Q260" s="226">
        <f t="shared" si="82"/>
        <v>9806.9365201622459</v>
      </c>
      <c r="R260" s="189"/>
      <c r="S260" s="226">
        <f>S220</f>
        <v>14648.43</v>
      </c>
    </row>
    <row r="261" spans="2:21" s="91" customFormat="1" x14ac:dyDescent="0.2">
      <c r="B261" s="74" t="s">
        <v>13</v>
      </c>
      <c r="C261" s="74"/>
      <c r="D261" s="74"/>
      <c r="E261" s="74"/>
      <c r="F261" s="74" t="s">
        <v>97</v>
      </c>
      <c r="G261" s="180"/>
      <c r="H261" s="171"/>
      <c r="J261" s="172">
        <f t="shared" si="80"/>
        <v>2185426.34</v>
      </c>
      <c r="L261" s="226">
        <f>L221</f>
        <v>12938</v>
      </c>
      <c r="M261" s="226">
        <f t="shared" ref="M261:Q261" si="83">M221</f>
        <v>640326</v>
      </c>
      <c r="N261" s="226">
        <f t="shared" si="83"/>
        <v>685244</v>
      </c>
      <c r="O261" s="226">
        <f t="shared" si="83"/>
        <v>369420.34</v>
      </c>
      <c r="P261" s="226">
        <f t="shared" si="83"/>
        <v>465048</v>
      </c>
      <c r="Q261" s="226">
        <f t="shared" si="83"/>
        <v>12450</v>
      </c>
      <c r="R261" s="189"/>
      <c r="S261" s="226">
        <f>S221</f>
        <v>0</v>
      </c>
    </row>
    <row r="262" spans="2:21" s="91" customFormat="1" x14ac:dyDescent="0.2">
      <c r="B262" s="74"/>
      <c r="C262" s="74"/>
      <c r="D262" s="74"/>
      <c r="E262" s="74"/>
      <c r="F262" s="74"/>
      <c r="G262" s="180"/>
      <c r="H262" s="171"/>
      <c r="J262" s="96"/>
      <c r="L262" s="185"/>
      <c r="M262" s="185"/>
      <c r="N262" s="185"/>
      <c r="O262" s="185"/>
      <c r="P262" s="185"/>
      <c r="Q262" s="185"/>
      <c r="R262" s="190"/>
      <c r="S262" s="185"/>
    </row>
    <row r="263" spans="2:21" s="91" customFormat="1" x14ac:dyDescent="0.2">
      <c r="B263" s="75" t="s">
        <v>14</v>
      </c>
      <c r="C263" s="74"/>
      <c r="D263" s="74"/>
      <c r="E263" s="74"/>
      <c r="F263" s="74"/>
      <c r="G263" s="171"/>
      <c r="H263" s="171"/>
      <c r="I263" s="74"/>
      <c r="J263" s="96"/>
      <c r="K263" s="74"/>
      <c r="L263" s="185"/>
      <c r="M263" s="185"/>
      <c r="N263" s="185"/>
      <c r="O263" s="185"/>
      <c r="P263" s="185"/>
      <c r="Q263" s="185"/>
      <c r="R263" s="190"/>
      <c r="S263" s="185"/>
      <c r="T263" s="74"/>
      <c r="U263" s="74"/>
    </row>
    <row r="264" spans="2:21" s="91" customFormat="1" x14ac:dyDescent="0.2">
      <c r="B264" s="74" t="s">
        <v>15</v>
      </c>
      <c r="C264" s="74"/>
      <c r="D264" s="74"/>
      <c r="E264" s="74"/>
      <c r="F264" s="74" t="s">
        <v>97</v>
      </c>
      <c r="G264" s="180"/>
      <c r="H264" s="171"/>
      <c r="J264" s="172">
        <f t="shared" ref="J264:J267" si="84">SUM(L264:S264)</f>
        <v>3231969.2641435238</v>
      </c>
      <c r="L264" s="226">
        <f>L224</f>
        <v>33478</v>
      </c>
      <c r="M264" s="226">
        <f t="shared" ref="M264:Q264" si="85">M224</f>
        <v>953197.20758007152</v>
      </c>
      <c r="N264" s="226">
        <f t="shared" si="85"/>
        <v>1430946.0454982321</v>
      </c>
      <c r="O264" s="226">
        <f t="shared" si="85"/>
        <v>0</v>
      </c>
      <c r="P264" s="226">
        <f t="shared" si="85"/>
        <v>615103.03106522013</v>
      </c>
      <c r="Q264" s="226">
        <f t="shared" si="85"/>
        <v>1668.48</v>
      </c>
      <c r="R264" s="189"/>
      <c r="S264" s="226">
        <f>S224</f>
        <v>197576.50000000009</v>
      </c>
    </row>
    <row r="265" spans="2:21" s="91" customFormat="1" x14ac:dyDescent="0.2">
      <c r="B265" s="74" t="s">
        <v>16</v>
      </c>
      <c r="C265" s="74"/>
      <c r="D265" s="74"/>
      <c r="E265" s="74"/>
      <c r="F265" s="74" t="s">
        <v>97</v>
      </c>
      <c r="G265" s="180"/>
      <c r="H265" s="171"/>
      <c r="J265" s="172">
        <f t="shared" si="84"/>
        <v>1199079.8667932926</v>
      </c>
      <c r="L265" s="226">
        <f>L225</f>
        <v>764</v>
      </c>
      <c r="M265" s="226">
        <f t="shared" ref="M265:Q265" si="86">M225</f>
        <v>931960.34052747954</v>
      </c>
      <c r="N265" s="226">
        <f t="shared" si="86"/>
        <v>0</v>
      </c>
      <c r="O265" s="226">
        <f t="shared" si="86"/>
        <v>5755.5</v>
      </c>
      <c r="P265" s="226">
        <f t="shared" si="86"/>
        <v>255997.96626581301</v>
      </c>
      <c r="Q265" s="226">
        <f t="shared" si="86"/>
        <v>4602.0600000000004</v>
      </c>
      <c r="R265" s="189"/>
      <c r="S265" s="226">
        <f>S225</f>
        <v>0</v>
      </c>
    </row>
    <row r="266" spans="2:21" s="91" customFormat="1" x14ac:dyDescent="0.2">
      <c r="B266" s="74" t="s">
        <v>17</v>
      </c>
      <c r="C266" s="74"/>
      <c r="D266" s="74"/>
      <c r="E266" s="74"/>
      <c r="F266" s="74" t="s">
        <v>97</v>
      </c>
      <c r="G266" s="180"/>
      <c r="H266" s="171"/>
      <c r="J266" s="172">
        <f t="shared" si="84"/>
        <v>2651137.5444939951</v>
      </c>
      <c r="L266" s="226">
        <f>L226</f>
        <v>45</v>
      </c>
      <c r="M266" s="226">
        <f t="shared" ref="M266:Q266" si="87">M226</f>
        <v>1645382.7816785693</v>
      </c>
      <c r="N266" s="226">
        <f t="shared" si="87"/>
        <v>385330.27653545077</v>
      </c>
      <c r="O266" s="226">
        <f t="shared" si="87"/>
        <v>1445.14</v>
      </c>
      <c r="P266" s="226">
        <f t="shared" si="87"/>
        <v>365459.69477568194</v>
      </c>
      <c r="Q266" s="226">
        <f t="shared" si="87"/>
        <v>93518.120000000024</v>
      </c>
      <c r="R266" s="189"/>
      <c r="S266" s="226">
        <f>S226</f>
        <v>159956.53150429329</v>
      </c>
    </row>
    <row r="267" spans="2:21" s="91" customFormat="1" x14ac:dyDescent="0.2">
      <c r="B267" s="74" t="s">
        <v>18</v>
      </c>
      <c r="C267" s="74"/>
      <c r="D267" s="74"/>
      <c r="E267" s="74"/>
      <c r="F267" s="74" t="s">
        <v>97</v>
      </c>
      <c r="G267" s="180"/>
      <c r="H267" s="171"/>
      <c r="J267" s="172">
        <f t="shared" si="84"/>
        <v>19213466.972672377</v>
      </c>
      <c r="L267" s="226">
        <f>L227</f>
        <v>0</v>
      </c>
      <c r="M267" s="226">
        <f t="shared" ref="M267:Q267" si="88">M227</f>
        <v>2145781.5254116664</v>
      </c>
      <c r="N267" s="226">
        <f t="shared" si="88"/>
        <v>15306329.393099736</v>
      </c>
      <c r="O267" s="226">
        <f t="shared" si="88"/>
        <v>9116.77</v>
      </c>
      <c r="P267" s="226">
        <f t="shared" si="88"/>
        <v>1246239.2841609742</v>
      </c>
      <c r="Q267" s="226">
        <f t="shared" si="88"/>
        <v>0</v>
      </c>
      <c r="R267" s="189"/>
      <c r="S267" s="226">
        <f>S227</f>
        <v>506000</v>
      </c>
    </row>
    <row r="268" spans="2:21" s="91" customFormat="1" x14ac:dyDescent="0.2">
      <c r="G268" s="180"/>
      <c r="H268" s="180"/>
      <c r="J268" s="96"/>
      <c r="R268" s="92"/>
    </row>
    <row r="269" spans="2:21" s="91" customFormat="1" ht="15" x14ac:dyDescent="0.2">
      <c r="B269" s="40" t="s">
        <v>132</v>
      </c>
      <c r="G269" s="180"/>
      <c r="H269" s="180"/>
      <c r="J269" s="96"/>
      <c r="R269" s="92"/>
    </row>
    <row r="270" spans="2:21" s="91" customFormat="1" x14ac:dyDescent="0.2">
      <c r="B270" s="94" t="s">
        <v>77</v>
      </c>
      <c r="G270" s="180"/>
      <c r="H270" s="180"/>
      <c r="J270" s="180"/>
      <c r="R270" s="92"/>
    </row>
    <row r="271" spans="2:21" s="91" customFormat="1" x14ac:dyDescent="0.2">
      <c r="B271" s="99" t="s">
        <v>96</v>
      </c>
      <c r="C271" s="93"/>
      <c r="D271" s="99" t="s">
        <v>432</v>
      </c>
      <c r="F271" s="93" t="s">
        <v>97</v>
      </c>
      <c r="G271" s="180"/>
      <c r="H271" s="171"/>
      <c r="J271" s="172">
        <f>SUM(L271:Q271)</f>
        <v>1009971433.9997885</v>
      </c>
      <c r="L271" s="191">
        <f>SUM(L255:L256,L259:L261,L264:L267)</f>
        <v>4439847</v>
      </c>
      <c r="M271" s="191">
        <f>SUM(M255:M256,M259:M261,M264:M267)</f>
        <v>299802677.21869445</v>
      </c>
      <c r="N271" s="191">
        <f>SUM(N255:N256,N259:N261,N264:N267)</f>
        <v>426475939.31395882</v>
      </c>
      <c r="O271" s="191">
        <f>SUM(O255:O256,O259:O261,O264:O267)</f>
        <v>2997263.19</v>
      </c>
      <c r="P271" s="192">
        <f>SUM(P255:P256,P259:P261,P264:P267)+SUM(S255:S256,S259:S261,S264:S267)</f>
        <v>261834860.35601774</v>
      </c>
      <c r="Q271" s="191">
        <f>SUM(Q255:Q256,Q259:Q261,Q264:Q267)</f>
        <v>14420846.921117436</v>
      </c>
      <c r="R271" s="92"/>
      <c r="S271" s="186"/>
      <c r="U271" s="88" t="s">
        <v>645</v>
      </c>
    </row>
    <row r="272" spans="2:21" s="91" customFormat="1" x14ac:dyDescent="0.2">
      <c r="B272" s="99" t="s">
        <v>98</v>
      </c>
      <c r="C272" s="93"/>
      <c r="D272" s="93"/>
      <c r="F272" s="93" t="s">
        <v>97</v>
      </c>
      <c r="G272" s="180"/>
      <c r="H272" s="171"/>
      <c r="J272" s="95">
        <f>SUM(L272:Q272)</f>
        <v>425553739.03948039</v>
      </c>
      <c r="L272" s="191">
        <f>SUM(L253:L254)</f>
        <v>3085313.7827404072</v>
      </c>
      <c r="M272" s="191">
        <f>SUM(M253:M254)</f>
        <v>157241166.7658073</v>
      </c>
      <c r="N272" s="191">
        <f t="shared" ref="N272:Q272" si="89">SUM(N253:N254)</f>
        <v>146855574.71489841</v>
      </c>
      <c r="O272" s="191">
        <f t="shared" si="89"/>
        <v>1939371.6598624184</v>
      </c>
      <c r="P272" s="192">
        <f>SUM(P253:P254)+SUM(S253:S254)</f>
        <v>106839771.21628962</v>
      </c>
      <c r="Q272" s="191">
        <f t="shared" si="89"/>
        <v>9592540.899882257</v>
      </c>
      <c r="R272" s="92"/>
      <c r="S272" s="186"/>
    </row>
    <row r="273" spans="2:21" s="91" customFormat="1" ht="15" x14ac:dyDescent="0.2">
      <c r="B273" s="40"/>
      <c r="G273" s="180"/>
      <c r="H273" s="180"/>
      <c r="J273" s="77"/>
      <c r="L273" s="185"/>
      <c r="M273" s="185"/>
      <c r="N273" s="185"/>
      <c r="O273" s="185"/>
      <c r="P273" s="185"/>
      <c r="Q273" s="185"/>
      <c r="R273" s="92"/>
    </row>
    <row r="274" spans="2:21" s="91" customFormat="1" x14ac:dyDescent="0.2">
      <c r="B274" s="75" t="s">
        <v>134</v>
      </c>
      <c r="G274" s="180"/>
      <c r="H274" s="180"/>
      <c r="L274" s="185"/>
      <c r="M274" s="185"/>
      <c r="N274" s="185"/>
      <c r="O274" s="185"/>
      <c r="P274" s="185"/>
      <c r="Q274" s="185"/>
    </row>
    <row r="275" spans="2:21" s="91" customFormat="1" x14ac:dyDescent="0.2">
      <c r="B275" s="83" t="s">
        <v>96</v>
      </c>
      <c r="D275" s="185" t="s">
        <v>431</v>
      </c>
      <c r="F275" s="74" t="s">
        <v>97</v>
      </c>
      <c r="G275" s="180"/>
      <c r="H275" s="171"/>
      <c r="J275" s="76">
        <f>SUM(L275:Q275)</f>
        <v>1009971433.9997885</v>
      </c>
      <c r="L275" s="191">
        <f>SUM(L255:L256,L259:L261,L264:L267)</f>
        <v>4439847</v>
      </c>
      <c r="M275" s="191">
        <f>SUM(M255:M256,M259:M261,M264:M267)</f>
        <v>299802677.21869445</v>
      </c>
      <c r="N275" s="191">
        <f>SUM(N255:N256,N259:N261,N264:N267)</f>
        <v>426475939.31395882</v>
      </c>
      <c r="O275" s="191">
        <f>SUM(O255:O256,O259:O261,O264:O267)</f>
        <v>2997263.19</v>
      </c>
      <c r="P275" s="192">
        <f>SUM(P255:P256,P259:P261,P264:P267)+SUM(S255:S256,S259:S261,S264:S267)</f>
        <v>261834860.35601774</v>
      </c>
      <c r="Q275" s="191">
        <f>SUM(Q255:Q256,Q259:Q261,Q264:Q267)</f>
        <v>14420846.921117436</v>
      </c>
      <c r="R275" s="92"/>
      <c r="S275" s="186"/>
      <c r="U275" s="88" t="s">
        <v>645</v>
      </c>
    </row>
    <row r="277" spans="2:21" s="24" customFormat="1" ht="12.75" x14ac:dyDescent="0.2">
      <c r="B277" s="24" t="s">
        <v>607</v>
      </c>
    </row>
    <row r="278" spans="2:21" s="104" customFormat="1" x14ac:dyDescent="0.2">
      <c r="G278" s="180"/>
      <c r="H278" s="180"/>
      <c r="R278" s="105"/>
    </row>
    <row r="279" spans="2:21" s="104" customFormat="1" ht="15" x14ac:dyDescent="0.2">
      <c r="B279" s="40" t="s">
        <v>131</v>
      </c>
      <c r="G279" s="180"/>
      <c r="H279" s="180"/>
      <c r="R279" s="105"/>
    </row>
    <row r="280" spans="2:21" s="104" customFormat="1" x14ac:dyDescent="0.2">
      <c r="B280" s="97" t="s">
        <v>238</v>
      </c>
      <c r="G280" s="180"/>
      <c r="H280" s="180"/>
      <c r="R280" s="105"/>
    </row>
    <row r="281" spans="2:21" s="93" customFormat="1" x14ac:dyDescent="0.2">
      <c r="B281" s="94" t="s">
        <v>6</v>
      </c>
      <c r="G281" s="171"/>
      <c r="H281" s="171"/>
      <c r="R281" s="105"/>
    </row>
    <row r="282" spans="2:21" s="93" customFormat="1" x14ac:dyDescent="0.2">
      <c r="B282" s="93" t="s">
        <v>7</v>
      </c>
      <c r="F282" s="93" t="s">
        <v>106</v>
      </c>
      <c r="G282" s="171"/>
      <c r="H282" s="171"/>
      <c r="J282" s="172">
        <f>SUM(L282:S282)</f>
        <v>427785038.74420089</v>
      </c>
      <c r="L282" s="98">
        <f>'7) Berekening gecorrigeerde IT'!L240</f>
        <v>0</v>
      </c>
      <c r="M282" s="175">
        <f>'7) Berekening gecorrigeerde IT'!M240</f>
        <v>159310200.18000004</v>
      </c>
      <c r="N282" s="175">
        <f>'7) Berekening gecorrigeerde IT'!N240</f>
        <v>151445820.45999998</v>
      </c>
      <c r="O282" s="175">
        <f>'7) Berekening gecorrigeerde IT'!O240</f>
        <v>0</v>
      </c>
      <c r="P282" s="175">
        <f>'7) Berekening gecorrigeerde IT'!P240</f>
        <v>96925275.514200851</v>
      </c>
      <c r="Q282" s="175">
        <f>'7) Berekening gecorrigeerde IT'!Q240</f>
        <v>9308327.4799999986</v>
      </c>
      <c r="R282" s="105"/>
      <c r="S282" s="175">
        <f>'7) Berekening gecorrigeerde IT'!S240</f>
        <v>10795415.110000001</v>
      </c>
      <c r="U282" s="185" t="s">
        <v>609</v>
      </c>
    </row>
    <row r="283" spans="2:21" s="93" customFormat="1" x14ac:dyDescent="0.2">
      <c r="B283" s="93" t="s">
        <v>8</v>
      </c>
      <c r="F283" s="93" t="s">
        <v>106</v>
      </c>
      <c r="G283" s="171"/>
      <c r="H283" s="171"/>
      <c r="J283" s="172">
        <f t="shared" ref="J283:J285" si="90">SUM(L283:S283)</f>
        <v>9048636.1451989748</v>
      </c>
      <c r="L283" s="175">
        <f>'7) Berekening gecorrigeerde IT'!L241</f>
        <v>3177900.5445365515</v>
      </c>
      <c r="M283" s="175">
        <f>'7) Berekening gecorrigeerde IT'!M241</f>
        <v>144255.39186877664</v>
      </c>
      <c r="N283" s="175">
        <f>'7) Berekening gecorrigeerde IT'!N241</f>
        <v>1289646.8990399968</v>
      </c>
      <c r="O283" s="175">
        <f>'7) Berekening gecorrigeerde IT'!O241</f>
        <v>2039105.0750962067</v>
      </c>
      <c r="P283" s="175">
        <f>'7) Berekening gecorrigeerde IT'!P241</f>
        <v>2129456.5622329228</v>
      </c>
      <c r="Q283" s="175">
        <f>'7) Berekening gecorrigeerde IT'!Q241</f>
        <v>268271.67242452066</v>
      </c>
      <c r="R283" s="105"/>
      <c r="S283" s="175">
        <f>'7) Berekening gecorrigeerde IT'!S241</f>
        <v>0</v>
      </c>
      <c r="U283" s="185" t="s">
        <v>609</v>
      </c>
    </row>
    <row r="284" spans="2:21" s="93" customFormat="1" x14ac:dyDescent="0.2">
      <c r="B284" s="93" t="s">
        <v>9</v>
      </c>
      <c r="F284" s="93" t="s">
        <v>106</v>
      </c>
      <c r="G284" s="171"/>
      <c r="H284" s="171"/>
      <c r="J284" s="172">
        <f t="shared" si="90"/>
        <v>150169067.86000001</v>
      </c>
      <c r="L284" s="98">
        <f>'3) Input operationele kosten'!L98</f>
        <v>558177</v>
      </c>
      <c r="M284" s="98">
        <f>'3) Input operationele kosten'!M98</f>
        <v>46401288.650000013</v>
      </c>
      <c r="N284" s="98">
        <f>'3) Input operationele kosten'!N98</f>
        <v>52239500.5</v>
      </c>
      <c r="O284" s="98">
        <f>'3) Input operationele kosten'!O98</f>
        <v>576726.4</v>
      </c>
      <c r="P284" s="98">
        <f>'3) Input operationele kosten'!P98</f>
        <v>42038983.850000001</v>
      </c>
      <c r="Q284" s="98">
        <f>'3) Input operationele kosten'!Q98</f>
        <v>3339095.6799999997</v>
      </c>
      <c r="R284" s="105"/>
      <c r="S284" s="98">
        <f>'3) Input operationele kosten'!S98</f>
        <v>5015295.7799999984</v>
      </c>
    </row>
    <row r="285" spans="2:21" s="93" customFormat="1" x14ac:dyDescent="0.2">
      <c r="B285" s="93" t="s">
        <v>10</v>
      </c>
      <c r="F285" s="93" t="s">
        <v>106</v>
      </c>
      <c r="G285" s="171"/>
      <c r="H285" s="171"/>
      <c r="J285" s="172">
        <f t="shared" si="90"/>
        <v>0</v>
      </c>
      <c r="L285" s="98">
        <f>'3) Input operationele kosten'!L99</f>
        <v>0</v>
      </c>
      <c r="M285" s="98">
        <f>'3) Input operationele kosten'!M99</f>
        <v>0</v>
      </c>
      <c r="N285" s="98">
        <f>'3) Input operationele kosten'!N99</f>
        <v>0</v>
      </c>
      <c r="O285" s="98">
        <f>'3) Input operationele kosten'!O99</f>
        <v>0</v>
      </c>
      <c r="P285" s="98">
        <f>'3) Input operationele kosten'!P99</f>
        <v>0</v>
      </c>
      <c r="Q285" s="98">
        <f>'3) Input operationele kosten'!Q99</f>
        <v>0</v>
      </c>
      <c r="R285" s="105"/>
      <c r="S285" s="98">
        <f>'3) Input operationele kosten'!S99</f>
        <v>0</v>
      </c>
    </row>
    <row r="286" spans="2:21" s="93" customFormat="1" x14ac:dyDescent="0.2">
      <c r="G286" s="171"/>
      <c r="H286" s="171"/>
      <c r="J286" s="96"/>
      <c r="K286" s="96"/>
      <c r="L286" s="96"/>
      <c r="M286" s="96"/>
      <c r="N286" s="96"/>
      <c r="O286" s="96"/>
      <c r="P286" s="96"/>
      <c r="Q286" s="96"/>
      <c r="R286" s="105"/>
      <c r="S286" s="96"/>
      <c r="T286" s="96"/>
    </row>
    <row r="287" spans="2:21" s="93" customFormat="1" x14ac:dyDescent="0.2">
      <c r="B287" s="94" t="s">
        <v>11</v>
      </c>
      <c r="G287" s="171"/>
      <c r="H287" s="171"/>
      <c r="J287" s="96"/>
      <c r="K287" s="96"/>
      <c r="L287" s="96"/>
      <c r="M287" s="96"/>
      <c r="N287" s="96"/>
      <c r="O287" s="96"/>
      <c r="P287" s="96"/>
      <c r="Q287" s="96"/>
      <c r="R287" s="105"/>
      <c r="S287" s="96"/>
      <c r="T287" s="96"/>
    </row>
    <row r="288" spans="2:21" s="93" customFormat="1" x14ac:dyDescent="0.2">
      <c r="B288" s="93" t="s">
        <v>12</v>
      </c>
      <c r="F288" s="93" t="s">
        <v>106</v>
      </c>
      <c r="G288" s="171"/>
      <c r="H288" s="171"/>
      <c r="J288" s="172">
        <f>SUM(L288:S288)</f>
        <v>1017046100.3131756</v>
      </c>
      <c r="L288" s="98">
        <f>'3) Input operationele kosten'!L102</f>
        <v>4638618</v>
      </c>
      <c r="M288" s="98">
        <f>'3) Input operationele kosten'!M102</f>
        <v>315362527.62408</v>
      </c>
      <c r="N288" s="98">
        <f>'3) Input operationele kosten'!N102</f>
        <v>422850203.28600472</v>
      </c>
      <c r="O288" s="98">
        <f>'3) Input operationele kosten'!O102</f>
        <v>5504722.5899999999</v>
      </c>
      <c r="P288" s="98">
        <f>'3) Input operationele kosten'!P102</f>
        <v>226079018.1277937</v>
      </c>
      <c r="Q288" s="98">
        <f>'3) Input operationele kosten'!Q102</f>
        <v>13695498.440475913</v>
      </c>
      <c r="R288" s="105"/>
      <c r="S288" s="98">
        <f>'3) Input operationele kosten'!S102</f>
        <v>28915512.244821154</v>
      </c>
    </row>
    <row r="289" spans="2:20" s="171" customFormat="1" x14ac:dyDescent="0.2">
      <c r="B289" s="171" t="s">
        <v>430</v>
      </c>
      <c r="F289" s="171" t="s">
        <v>106</v>
      </c>
      <c r="J289" s="172">
        <f t="shared" ref="J289:J290" si="91">SUM(L289:S289)</f>
        <v>707274.29168920848</v>
      </c>
      <c r="L289" s="175">
        <f>'3) Input operationele kosten'!L103</f>
        <v>3905</v>
      </c>
      <c r="M289" s="175">
        <f>'3) Input operationele kosten'!M103</f>
        <v>223153.71070777759</v>
      </c>
      <c r="N289" s="175">
        <f>'3) Input operationele kosten'!N103</f>
        <v>293463.99658065982</v>
      </c>
      <c r="O289" s="175">
        <f>'3) Input operationele kosten'!O103</f>
        <v>2942.49</v>
      </c>
      <c r="P289" s="175">
        <f>'3) Input operationele kosten'!P103</f>
        <v>151190.08978971475</v>
      </c>
      <c r="Q289" s="175">
        <f>'3) Input operationele kosten'!Q103</f>
        <v>12753.444611056206</v>
      </c>
      <c r="R289" s="105"/>
      <c r="S289" s="175">
        <f>'3) Input operationele kosten'!S103</f>
        <v>19865.560000000001</v>
      </c>
    </row>
    <row r="290" spans="2:20" s="93" customFormat="1" x14ac:dyDescent="0.2">
      <c r="B290" s="93" t="s">
        <v>13</v>
      </c>
      <c r="F290" s="93" t="s">
        <v>106</v>
      </c>
      <c r="G290" s="171"/>
      <c r="H290" s="171"/>
      <c r="J290" s="172">
        <f t="shared" si="91"/>
        <v>4181555.11</v>
      </c>
      <c r="L290" s="98">
        <f>'3) Input operationele kosten'!L104</f>
        <v>25134</v>
      </c>
      <c r="M290" s="98">
        <f>'3) Input operationele kosten'!M104</f>
        <v>1272153</v>
      </c>
      <c r="N290" s="98">
        <f>'3) Input operationele kosten'!N104</f>
        <v>1432623</v>
      </c>
      <c r="O290" s="98">
        <f>'3) Input operationele kosten'!O104</f>
        <v>474330.11</v>
      </c>
      <c r="P290" s="98">
        <f>'3) Input operationele kosten'!P104</f>
        <v>950248</v>
      </c>
      <c r="Q290" s="98">
        <f>'3) Input operationele kosten'!Q104</f>
        <v>27067</v>
      </c>
      <c r="R290" s="105"/>
      <c r="S290" s="98">
        <f>'3) Input operationele kosten'!S104</f>
        <v>0</v>
      </c>
    </row>
    <row r="291" spans="2:20" s="93" customFormat="1" x14ac:dyDescent="0.2">
      <c r="G291" s="171"/>
      <c r="H291" s="171"/>
      <c r="J291" s="96"/>
      <c r="K291" s="96"/>
      <c r="L291" s="96"/>
      <c r="M291" s="96"/>
      <c r="N291" s="96"/>
      <c r="O291" s="96"/>
      <c r="P291" s="96"/>
      <c r="Q291" s="96"/>
      <c r="R291" s="105"/>
      <c r="S291" s="96"/>
      <c r="T291" s="96"/>
    </row>
    <row r="292" spans="2:20" s="93" customFormat="1" x14ac:dyDescent="0.2">
      <c r="B292" s="94" t="s">
        <v>14</v>
      </c>
      <c r="G292" s="171"/>
      <c r="H292" s="171"/>
      <c r="J292" s="96"/>
      <c r="K292" s="96"/>
      <c r="L292" s="96"/>
      <c r="M292" s="96"/>
      <c r="N292" s="96"/>
      <c r="O292" s="96"/>
      <c r="P292" s="96"/>
      <c r="Q292" s="96"/>
      <c r="R292" s="105"/>
      <c r="S292" s="96"/>
      <c r="T292" s="96"/>
    </row>
    <row r="293" spans="2:20" s="93" customFormat="1" x14ac:dyDescent="0.2">
      <c r="B293" s="93" t="s">
        <v>15</v>
      </c>
      <c r="F293" s="93" t="s">
        <v>106</v>
      </c>
      <c r="G293" s="171"/>
      <c r="H293" s="171"/>
      <c r="J293" s="172">
        <f>SUM(L293:S293)</f>
        <v>3847110.7571973638</v>
      </c>
      <c r="L293" s="98">
        <f>'3) Input operationele kosten'!L107</f>
        <v>18831</v>
      </c>
      <c r="M293" s="98">
        <f>'3) Input operationele kosten'!M107</f>
        <v>611084.28146774904</v>
      </c>
      <c r="N293" s="98">
        <f>'3) Input operationele kosten'!N107</f>
        <v>1978031.6932122561</v>
      </c>
      <c r="O293" s="98">
        <f>'3) Input operationele kosten'!O107</f>
        <v>11740.6</v>
      </c>
      <c r="P293" s="98">
        <f>'3) Input operationele kosten'!P107</f>
        <v>1121219.9925173584</v>
      </c>
      <c r="Q293" s="98">
        <f>'3) Input operationele kosten'!Q107</f>
        <v>0</v>
      </c>
      <c r="R293" s="105"/>
      <c r="S293" s="98">
        <f>'3) Input operationele kosten'!S107</f>
        <v>106203.19</v>
      </c>
    </row>
    <row r="294" spans="2:20" s="93" customFormat="1" x14ac:dyDescent="0.2">
      <c r="B294" s="93" t="s">
        <v>16</v>
      </c>
      <c r="F294" s="93" t="s">
        <v>106</v>
      </c>
      <c r="G294" s="171"/>
      <c r="H294" s="171"/>
      <c r="J294" s="172">
        <f t="shared" ref="J294:J296" si="92">SUM(L294:S294)</f>
        <v>876189.78162516619</v>
      </c>
      <c r="L294" s="98">
        <f>'3) Input operationele kosten'!L108</f>
        <v>3847</v>
      </c>
      <c r="M294" s="98">
        <f>'3) Input operationele kosten'!M108</f>
        <v>296686.8502849103</v>
      </c>
      <c r="N294" s="98">
        <f>'3) Input operationele kosten'!N108</f>
        <v>0</v>
      </c>
      <c r="O294" s="98">
        <f>'3) Input operationele kosten'!O108</f>
        <v>5147.3599999999997</v>
      </c>
      <c r="P294" s="98">
        <f>'3) Input operationele kosten'!P108</f>
        <v>570373.5713402559</v>
      </c>
      <c r="Q294" s="98">
        <f>'3) Input operationele kosten'!Q108</f>
        <v>135</v>
      </c>
      <c r="R294" s="105"/>
      <c r="S294" s="98">
        <f>'3) Input operationele kosten'!S108</f>
        <v>0</v>
      </c>
    </row>
    <row r="295" spans="2:20" s="93" customFormat="1" x14ac:dyDescent="0.2">
      <c r="B295" s="93" t="s">
        <v>17</v>
      </c>
      <c r="F295" s="93" t="s">
        <v>106</v>
      </c>
      <c r="G295" s="171"/>
      <c r="H295" s="171"/>
      <c r="J295" s="172">
        <f t="shared" si="92"/>
        <v>1514799.940786154</v>
      </c>
      <c r="L295" s="98">
        <f>'3) Input operationele kosten'!L109</f>
        <v>5476</v>
      </c>
      <c r="M295" s="98">
        <f>'3) Input operationele kosten'!M109</f>
        <v>285163.83439323021</v>
      </c>
      <c r="N295" s="98">
        <f>'3) Input operationele kosten'!N109</f>
        <v>472463.81097387662</v>
      </c>
      <c r="O295" s="98">
        <f>'3) Input operationele kosten'!O109</f>
        <v>1776.98</v>
      </c>
      <c r="P295" s="98">
        <f>'3) Input operationele kosten'!P109</f>
        <v>720702.18185445922</v>
      </c>
      <c r="Q295" s="98">
        <f>'3) Input operationele kosten'!Q109</f>
        <v>9344.9708874546795</v>
      </c>
      <c r="R295" s="105"/>
      <c r="S295" s="98">
        <f>'3) Input operationele kosten'!S109</f>
        <v>19872.162677133201</v>
      </c>
    </row>
    <row r="296" spans="2:20" s="93" customFormat="1" x14ac:dyDescent="0.2">
      <c r="B296" s="93" t="s">
        <v>18</v>
      </c>
      <c r="F296" s="93" t="s">
        <v>106</v>
      </c>
      <c r="G296" s="171"/>
      <c r="H296" s="171"/>
      <c r="J296" s="172">
        <f t="shared" si="92"/>
        <v>24796914.972233601</v>
      </c>
      <c r="L296" s="98">
        <f>'3) Input operationele kosten'!L110</f>
        <v>0</v>
      </c>
      <c r="M296" s="98">
        <f>'3) Input operationele kosten'!M110</f>
        <v>2299243.0382776298</v>
      </c>
      <c r="N296" s="98">
        <f>'3) Input operationele kosten'!N110</f>
        <v>21025255.931916226</v>
      </c>
      <c r="O296" s="98">
        <f>'3) Input operationele kosten'!O110</f>
        <v>11141.23</v>
      </c>
      <c r="P296" s="98">
        <f>'3) Input operationele kosten'!P110</f>
        <v>645274.27203974617</v>
      </c>
      <c r="Q296" s="98">
        <f>'3) Input operationele kosten'!Q110</f>
        <v>13000.5</v>
      </c>
      <c r="R296" s="105"/>
      <c r="S296" s="98">
        <f>'3) Input operationele kosten'!S110</f>
        <v>803000</v>
      </c>
    </row>
    <row r="297" spans="2:20" s="104" customFormat="1" x14ac:dyDescent="0.2">
      <c r="G297" s="180"/>
      <c r="H297" s="180"/>
      <c r="J297" s="96"/>
      <c r="R297" s="105"/>
    </row>
    <row r="298" spans="2:20" s="104" customFormat="1" x14ac:dyDescent="0.2">
      <c r="B298" s="97" t="s">
        <v>21</v>
      </c>
      <c r="G298" s="180"/>
      <c r="H298" s="180"/>
      <c r="J298" s="96"/>
      <c r="R298" s="105"/>
    </row>
    <row r="299" spans="2:20" s="104" customFormat="1" x14ac:dyDescent="0.2">
      <c r="B299" s="100" t="s">
        <v>76</v>
      </c>
      <c r="C299" s="101"/>
      <c r="D299" s="101"/>
      <c r="E299" s="101"/>
      <c r="F299" s="103"/>
      <c r="G299" s="180"/>
      <c r="H299" s="103"/>
      <c r="J299" s="96"/>
      <c r="R299" s="105"/>
    </row>
    <row r="300" spans="2:20" s="104" customFormat="1" x14ac:dyDescent="0.2">
      <c r="B300" s="101" t="s">
        <v>22</v>
      </c>
      <c r="C300" s="101"/>
      <c r="D300" s="101"/>
      <c r="E300" s="101"/>
      <c r="F300" s="103" t="s">
        <v>106</v>
      </c>
      <c r="G300" s="180"/>
      <c r="H300" s="103"/>
      <c r="J300" s="172">
        <f>SUM(L300:S300)</f>
        <v>5624274.4125678046</v>
      </c>
      <c r="L300" s="98">
        <f>'5) Overige opbrengsten'!L186</f>
        <v>32810</v>
      </c>
      <c r="M300" s="98">
        <f>'5) Overige opbrengsten'!M186</f>
        <v>2256895.34</v>
      </c>
      <c r="N300" s="98">
        <f>'5) Overige opbrengsten'!N186</f>
        <v>1925841.6580678048</v>
      </c>
      <c r="O300" s="98">
        <f>'5) Overige opbrengsten'!O186</f>
        <v>16180.56</v>
      </c>
      <c r="P300" s="98">
        <f>'5) Overige opbrengsten'!P186</f>
        <v>1223894.3900000011</v>
      </c>
      <c r="Q300" s="98">
        <f>'5) Overige opbrengsten'!Q186</f>
        <v>0</v>
      </c>
      <c r="R300" s="105"/>
      <c r="S300" s="98">
        <f>'5) Overige opbrengsten'!S186</f>
        <v>168652.46449999997</v>
      </c>
    </row>
    <row r="301" spans="2:20" s="104" customFormat="1" x14ac:dyDescent="0.2">
      <c r="B301" s="101" t="s">
        <v>23</v>
      </c>
      <c r="C301" s="101"/>
      <c r="D301" s="101"/>
      <c r="E301" s="101"/>
      <c r="F301" s="103" t="s">
        <v>106</v>
      </c>
      <c r="G301" s="180"/>
      <c r="H301" s="103"/>
      <c r="J301" s="172">
        <f t="shared" ref="J301:J308" si="93">SUM(L301:S301)</f>
        <v>2028820.9292651303</v>
      </c>
      <c r="L301" s="98">
        <f>'5) Overige opbrengsten'!L187</f>
        <v>20572</v>
      </c>
      <c r="M301" s="98">
        <f>'5) Overige opbrengsten'!M187</f>
        <v>742473.5491148897</v>
      </c>
      <c r="N301" s="98">
        <f>'5) Overige opbrengsten'!N187</f>
        <v>477632.17465024238</v>
      </c>
      <c r="O301" s="98">
        <f>'5) Overige opbrengsten'!O187</f>
        <v>0</v>
      </c>
      <c r="P301" s="98">
        <f>'5) Overige opbrengsten'!P187</f>
        <v>779266.7599999985</v>
      </c>
      <c r="Q301" s="98">
        <f>'5) Overige opbrengsten'!Q187</f>
        <v>0</v>
      </c>
      <c r="R301" s="105"/>
      <c r="S301" s="98">
        <f>'5) Overige opbrengsten'!S187</f>
        <v>8876.4454999999998</v>
      </c>
    </row>
    <row r="302" spans="2:20" s="104" customFormat="1" x14ac:dyDescent="0.2">
      <c r="B302" s="101" t="s">
        <v>28</v>
      </c>
      <c r="C302" s="101"/>
      <c r="D302" s="101"/>
      <c r="E302" s="101"/>
      <c r="F302" s="103" t="s">
        <v>106</v>
      </c>
      <c r="G302" s="180"/>
      <c r="H302" s="103"/>
      <c r="J302" s="172">
        <f t="shared" si="93"/>
        <v>12503326.015515788</v>
      </c>
      <c r="L302" s="98">
        <f>'5) Overige opbrengsten'!L188</f>
        <v>44464</v>
      </c>
      <c r="M302" s="98">
        <f>'5) Overige opbrengsten'!M188</f>
        <v>3134560.2200000007</v>
      </c>
      <c r="N302" s="98">
        <f>'5) Overige opbrengsten'!N188</f>
        <v>5088371.9777828194</v>
      </c>
      <c r="O302" s="98">
        <f>'5) Overige opbrengsten'!O188</f>
        <v>54023.03</v>
      </c>
      <c r="P302" s="98">
        <f>'5) Overige opbrengsten'!P188</f>
        <v>3786123.8410524111</v>
      </c>
      <c r="Q302" s="98">
        <f>'5) Overige opbrengsten'!Q188</f>
        <v>95270.17</v>
      </c>
      <c r="R302" s="105"/>
      <c r="S302" s="98">
        <f>'5) Overige opbrengsten'!S188</f>
        <v>300512.77668055519</v>
      </c>
    </row>
    <row r="303" spans="2:20" s="104" customFormat="1" x14ac:dyDescent="0.2">
      <c r="B303" s="101" t="s">
        <v>29</v>
      </c>
      <c r="C303" s="101"/>
      <c r="D303" s="101"/>
      <c r="E303" s="101"/>
      <c r="F303" s="103" t="s">
        <v>106</v>
      </c>
      <c r="G303" s="180"/>
      <c r="H303" s="103"/>
      <c r="J303" s="172">
        <f t="shared" si="93"/>
        <v>2894996.9008056941</v>
      </c>
      <c r="L303" s="98">
        <f>'5) Overige opbrengsten'!L189</f>
        <v>0</v>
      </c>
      <c r="M303" s="98">
        <f>'5) Overige opbrengsten'!M189</f>
        <v>0</v>
      </c>
      <c r="N303" s="98">
        <f>'5) Overige opbrengsten'!N189</f>
        <v>1904976.22</v>
      </c>
      <c r="O303" s="98">
        <f>'5) Overige opbrengsten'!O189</f>
        <v>8564.2099999999991</v>
      </c>
      <c r="P303" s="98">
        <f>'5) Overige opbrengsten'!P189</f>
        <v>980331.16312629415</v>
      </c>
      <c r="Q303" s="98">
        <f>'5) Overige opbrengsten'!Q189</f>
        <v>1125.3076793999999</v>
      </c>
      <c r="R303" s="105"/>
      <c r="S303" s="98">
        <f>'5) Overige opbrengsten'!S189</f>
        <v>0</v>
      </c>
    </row>
    <row r="304" spans="2:20" s="104" customFormat="1" x14ac:dyDescent="0.2">
      <c r="B304" s="101" t="s">
        <v>30</v>
      </c>
      <c r="C304" s="101"/>
      <c r="D304" s="101"/>
      <c r="E304" s="101"/>
      <c r="F304" s="103" t="s">
        <v>106</v>
      </c>
      <c r="G304" s="180"/>
      <c r="H304" s="103"/>
      <c r="J304" s="172">
        <f t="shared" si="93"/>
        <v>678298.57428627508</v>
      </c>
      <c r="L304" s="98">
        <f>'5) Overige opbrengsten'!L190</f>
        <v>0</v>
      </c>
      <c r="M304" s="98">
        <f>'5) Overige opbrengsten'!M190</f>
        <v>0</v>
      </c>
      <c r="N304" s="98">
        <f>'5) Overige opbrengsten'!N190</f>
        <v>677257.93428627506</v>
      </c>
      <c r="O304" s="98">
        <f>'5) Overige opbrengsten'!O190</f>
        <v>1040.6400000000001</v>
      </c>
      <c r="P304" s="98">
        <f>'5) Overige opbrengsten'!P190</f>
        <v>0</v>
      </c>
      <c r="Q304" s="98">
        <f>'5) Overige opbrengsten'!Q190</f>
        <v>0</v>
      </c>
      <c r="R304" s="105"/>
      <c r="S304" s="98">
        <f>'5) Overige opbrengsten'!S190</f>
        <v>0</v>
      </c>
    </row>
    <row r="305" spans="2:19" s="104" customFormat="1" x14ac:dyDescent="0.2">
      <c r="B305" s="101" t="s">
        <v>31</v>
      </c>
      <c r="C305" s="101"/>
      <c r="D305" s="101"/>
      <c r="E305" s="101"/>
      <c r="F305" s="103" t="s">
        <v>106</v>
      </c>
      <c r="G305" s="180"/>
      <c r="H305" s="103"/>
      <c r="J305" s="172">
        <f t="shared" si="93"/>
        <v>764079.66438529978</v>
      </c>
      <c r="L305" s="98">
        <f>'5) Overige opbrengsten'!L191</f>
        <v>0</v>
      </c>
      <c r="M305" s="98">
        <f>'5) Overige opbrengsten'!M191</f>
        <v>0</v>
      </c>
      <c r="N305" s="98">
        <f>'5) Overige opbrengsten'!N191</f>
        <v>763326.30438529979</v>
      </c>
      <c r="O305" s="98">
        <f>'5) Overige opbrengsten'!O191</f>
        <v>753.36</v>
      </c>
      <c r="P305" s="98">
        <f>'5) Overige opbrengsten'!P191</f>
        <v>0</v>
      </c>
      <c r="Q305" s="98">
        <f>'5) Overige opbrengsten'!Q191</f>
        <v>0</v>
      </c>
      <c r="R305" s="105"/>
      <c r="S305" s="98">
        <f>'5) Overige opbrengsten'!S191</f>
        <v>0</v>
      </c>
    </row>
    <row r="306" spans="2:19" s="104" customFormat="1" x14ac:dyDescent="0.2">
      <c r="B306" s="101" t="s">
        <v>32</v>
      </c>
      <c r="C306" s="101"/>
      <c r="D306" s="101"/>
      <c r="E306" s="101"/>
      <c r="F306" s="103" t="s">
        <v>106</v>
      </c>
      <c r="G306" s="180"/>
      <c r="H306" s="103"/>
      <c r="J306" s="172">
        <f t="shared" si="93"/>
        <v>2227978.63</v>
      </c>
      <c r="L306" s="98">
        <f>'5) Overige opbrengsten'!L192</f>
        <v>0</v>
      </c>
      <c r="M306" s="98">
        <f>'5) Overige opbrengsten'!M192</f>
        <v>0</v>
      </c>
      <c r="N306" s="98">
        <f>'5) Overige opbrengsten'!N192</f>
        <v>2227978.63</v>
      </c>
      <c r="O306" s="98">
        <f>'5) Overige opbrengsten'!O192</f>
        <v>0</v>
      </c>
      <c r="P306" s="98">
        <f>'5) Overige opbrengsten'!P192</f>
        <v>0</v>
      </c>
      <c r="Q306" s="98">
        <f>'5) Overige opbrengsten'!Q192</f>
        <v>0</v>
      </c>
      <c r="R306" s="105"/>
      <c r="S306" s="98">
        <f>'5) Overige opbrengsten'!S192</f>
        <v>0</v>
      </c>
    </row>
    <row r="307" spans="2:19" s="104" customFormat="1" x14ac:dyDescent="0.2">
      <c r="B307" s="101" t="s">
        <v>33</v>
      </c>
      <c r="C307" s="101"/>
      <c r="D307" s="101"/>
      <c r="E307" s="101"/>
      <c r="F307" s="103" t="s">
        <v>106</v>
      </c>
      <c r="G307" s="180"/>
      <c r="H307" s="103"/>
      <c r="J307" s="172">
        <f t="shared" si="93"/>
        <v>180268</v>
      </c>
      <c r="L307" s="98">
        <f>'5) Overige opbrengsten'!L193</f>
        <v>0</v>
      </c>
      <c r="M307" s="98">
        <f>'5) Overige opbrengsten'!M193</f>
        <v>0</v>
      </c>
      <c r="N307" s="98">
        <f>'5) Overige opbrengsten'!N193</f>
        <v>180268</v>
      </c>
      <c r="O307" s="98">
        <f>'5) Overige opbrengsten'!O193</f>
        <v>0</v>
      </c>
      <c r="P307" s="98">
        <f>'5) Overige opbrengsten'!P193</f>
        <v>0</v>
      </c>
      <c r="Q307" s="98">
        <f>'5) Overige opbrengsten'!Q193</f>
        <v>0</v>
      </c>
      <c r="R307" s="105"/>
      <c r="S307" s="98">
        <f>'5) Overige opbrengsten'!S193</f>
        <v>0</v>
      </c>
    </row>
    <row r="308" spans="2:19" s="104" customFormat="1" x14ac:dyDescent="0.2">
      <c r="B308" s="101" t="s">
        <v>34</v>
      </c>
      <c r="C308" s="101"/>
      <c r="D308" s="101"/>
      <c r="E308" s="101"/>
      <c r="F308" s="103" t="s">
        <v>106</v>
      </c>
      <c r="G308" s="180"/>
      <c r="H308" s="103"/>
      <c r="J308" s="172">
        <f t="shared" si="93"/>
        <v>1560000</v>
      </c>
      <c r="L308" s="98">
        <f>'5) Overige opbrengsten'!L194</f>
        <v>0</v>
      </c>
      <c r="M308" s="98">
        <f>'5) Overige opbrengsten'!M194</f>
        <v>0</v>
      </c>
      <c r="N308" s="98">
        <f>'5) Overige opbrengsten'!N194</f>
        <v>1560000</v>
      </c>
      <c r="O308" s="98">
        <f>'5) Overige opbrengsten'!O194</f>
        <v>0</v>
      </c>
      <c r="P308" s="98">
        <f>'5) Overige opbrengsten'!P194</f>
        <v>0</v>
      </c>
      <c r="Q308" s="98">
        <f>'5) Overige opbrengsten'!Q194</f>
        <v>0</v>
      </c>
      <c r="R308" s="105"/>
      <c r="S308" s="98">
        <f>'5) Overige opbrengsten'!S194</f>
        <v>0</v>
      </c>
    </row>
    <row r="309" spans="2:19" s="104" customFormat="1" x14ac:dyDescent="0.2">
      <c r="G309" s="180"/>
      <c r="H309" s="180"/>
      <c r="J309" s="96"/>
      <c r="R309" s="105"/>
    </row>
    <row r="310" spans="2:19" s="104" customFormat="1" x14ac:dyDescent="0.2">
      <c r="B310" s="100" t="s">
        <v>70</v>
      </c>
      <c r="C310" s="101"/>
      <c r="D310" s="101"/>
      <c r="E310" s="101"/>
      <c r="F310" s="103"/>
      <c r="G310" s="180"/>
      <c r="H310" s="103"/>
      <c r="J310" s="96"/>
      <c r="R310" s="105"/>
    </row>
    <row r="311" spans="2:19" s="104" customFormat="1" x14ac:dyDescent="0.2">
      <c r="B311" s="101" t="s">
        <v>71</v>
      </c>
      <c r="C311" s="101"/>
      <c r="D311" s="101"/>
      <c r="E311" s="101"/>
      <c r="F311" s="103" t="s">
        <v>106</v>
      </c>
      <c r="G311" s="180"/>
      <c r="H311" s="103"/>
      <c r="J311" s="172">
        <f t="shared" ref="J311" si="94">SUM(L311:S311)</f>
        <v>1254115.2361226736</v>
      </c>
      <c r="L311" s="98">
        <f>'5) Overige opbrengsten'!L197</f>
        <v>3293</v>
      </c>
      <c r="M311" s="98">
        <f>'5) Overige opbrengsten'!M197</f>
        <v>153529.56903003959</v>
      </c>
      <c r="N311" s="98">
        <f>'5) Overige opbrengsten'!N197</f>
        <v>310820.5370926318</v>
      </c>
      <c r="O311" s="98">
        <f>'5) Overige opbrengsten'!O197</f>
        <v>688.83</v>
      </c>
      <c r="P311" s="98">
        <f>'5) Overige opbrengsten'!P197</f>
        <v>785783.30000000226</v>
      </c>
      <c r="Q311" s="98">
        <f>'5) Overige opbrengsten'!Q197</f>
        <v>0</v>
      </c>
      <c r="R311" s="105"/>
      <c r="S311" s="98">
        <f>'5) Overige opbrengsten'!S197</f>
        <v>0</v>
      </c>
    </row>
    <row r="312" spans="2:19" s="104" customFormat="1" x14ac:dyDescent="0.2">
      <c r="B312" s="93"/>
      <c r="C312" s="101"/>
      <c r="D312" s="101"/>
      <c r="E312" s="101"/>
      <c r="F312" s="103"/>
      <c r="G312" s="180"/>
      <c r="H312" s="103"/>
      <c r="J312" s="96"/>
      <c r="R312" s="105"/>
    </row>
    <row r="313" spans="2:19" s="104" customFormat="1" x14ac:dyDescent="0.2">
      <c r="B313" s="94" t="s">
        <v>24</v>
      </c>
      <c r="C313" s="101"/>
      <c r="D313" s="101"/>
      <c r="E313" s="101"/>
      <c r="G313" s="180"/>
      <c r="H313" s="180"/>
      <c r="J313" s="96"/>
      <c r="R313" s="105"/>
    </row>
    <row r="314" spans="2:19" s="104" customFormat="1" x14ac:dyDescent="0.2">
      <c r="B314" s="93" t="s">
        <v>25</v>
      </c>
      <c r="C314" s="101"/>
      <c r="D314" s="101"/>
      <c r="E314" s="101"/>
      <c r="F314" s="103" t="s">
        <v>106</v>
      </c>
      <c r="G314" s="180"/>
      <c r="H314" s="103"/>
      <c r="J314" s="172">
        <f t="shared" ref="J314:J315" si="95">SUM(L314:S314)</f>
        <v>2945471.1620042818</v>
      </c>
      <c r="L314" s="98">
        <f>'5) Overige opbrengsten'!L175</f>
        <v>38649</v>
      </c>
      <c r="M314" s="98">
        <f>'5) Overige opbrengsten'!M175</f>
        <v>939898.27904149715</v>
      </c>
      <c r="N314" s="98">
        <f>'5) Overige opbrengsten'!N175</f>
        <v>1550178.5899999999</v>
      </c>
      <c r="O314" s="98">
        <f>'5) Overige opbrengsten'!O175</f>
        <v>13046.25</v>
      </c>
      <c r="P314" s="98">
        <f>'5) Overige opbrengsten'!P175</f>
        <v>354266.48296278465</v>
      </c>
      <c r="Q314" s="98">
        <f>'5) Overige opbrengsten'!Q175</f>
        <v>9068.8799999999992</v>
      </c>
      <c r="R314" s="105"/>
      <c r="S314" s="98">
        <f>'5) Overige opbrengsten'!S175</f>
        <v>40363.68</v>
      </c>
    </row>
    <row r="315" spans="2:19" s="104" customFormat="1" x14ac:dyDescent="0.2">
      <c r="B315" s="93" t="s">
        <v>26</v>
      </c>
      <c r="C315" s="101"/>
      <c r="D315" s="101"/>
      <c r="E315" s="101"/>
      <c r="F315" s="103" t="s">
        <v>106</v>
      </c>
      <c r="G315" s="180"/>
      <c r="H315" s="103"/>
      <c r="J315" s="172">
        <f t="shared" si="95"/>
        <v>86013556.023567304</v>
      </c>
      <c r="L315" s="98">
        <f>'5) Overige opbrengsten'!L183</f>
        <v>114065</v>
      </c>
      <c r="M315" s="98">
        <f>'5) Overige opbrengsten'!M183</f>
        <v>28396470.602838837</v>
      </c>
      <c r="N315" s="98">
        <f>'5) Overige opbrengsten'!N183</f>
        <v>28412927.699622139</v>
      </c>
      <c r="O315" s="98">
        <f>'5) Overige opbrengsten'!O183</f>
        <v>3127290.68</v>
      </c>
      <c r="P315" s="98">
        <f>'5) Overige opbrengsten'!P183</f>
        <v>22496710.756106313</v>
      </c>
      <c r="Q315" s="98">
        <f>'5) Overige opbrengsten'!Q183</f>
        <v>1609408.4900000046</v>
      </c>
      <c r="R315" s="105"/>
      <c r="S315" s="98">
        <f>'5) Overige opbrengsten'!S183</f>
        <v>1856682.7949999999</v>
      </c>
    </row>
    <row r="316" spans="2:19" s="104" customFormat="1" x14ac:dyDescent="0.2">
      <c r="B316" s="93"/>
      <c r="C316" s="101"/>
      <c r="D316" s="101"/>
      <c r="E316" s="101"/>
      <c r="F316" s="103"/>
      <c r="G316" s="180"/>
      <c r="H316" s="103"/>
      <c r="J316" s="96"/>
      <c r="R316" s="105"/>
    </row>
    <row r="317" spans="2:19" s="104" customFormat="1" x14ac:dyDescent="0.2">
      <c r="B317" s="94" t="s">
        <v>27</v>
      </c>
      <c r="C317" s="101"/>
      <c r="D317" s="101"/>
      <c r="E317" s="101"/>
      <c r="F317" s="103"/>
      <c r="G317" s="180"/>
      <c r="H317" s="103"/>
      <c r="J317" s="96"/>
      <c r="R317" s="105"/>
    </row>
    <row r="318" spans="2:19" s="104" customFormat="1" x14ac:dyDescent="0.2">
      <c r="B318" s="93" t="s">
        <v>25</v>
      </c>
      <c r="C318" s="101"/>
      <c r="D318" s="101"/>
      <c r="E318" s="101"/>
      <c r="F318" s="103" t="s">
        <v>106</v>
      </c>
      <c r="G318" s="180"/>
      <c r="H318" s="103"/>
      <c r="J318" s="172">
        <f t="shared" ref="J318" si="96">SUM(L318:S318)</f>
        <v>2912903.1620042818</v>
      </c>
      <c r="L318" s="98">
        <f>'5) Overige opbrengsten'!L168</f>
        <v>6081</v>
      </c>
      <c r="M318" s="98">
        <f>'5) Overige opbrengsten'!M168</f>
        <v>939898.27904149715</v>
      </c>
      <c r="N318" s="98">
        <f>'5) Overige opbrengsten'!N168</f>
        <v>1550178.5899999999</v>
      </c>
      <c r="O318" s="98">
        <f>'5) Overige opbrengsten'!O168</f>
        <v>13046.25</v>
      </c>
      <c r="P318" s="98">
        <f>'5) Overige opbrengsten'!P168</f>
        <v>354266.48296278465</v>
      </c>
      <c r="Q318" s="98">
        <f>'5) Overige opbrengsten'!Q168</f>
        <v>9068.8799999999992</v>
      </c>
      <c r="R318" s="105"/>
      <c r="S318" s="98">
        <f>'5) Overige opbrengsten'!S168</f>
        <v>40363.68</v>
      </c>
    </row>
    <row r="319" spans="2:19" s="104" customFormat="1" x14ac:dyDescent="0.2">
      <c r="G319" s="180"/>
      <c r="H319" s="180"/>
      <c r="J319" s="96"/>
      <c r="R319" s="102"/>
    </row>
    <row r="320" spans="2:19" s="104" customFormat="1" ht="15" x14ac:dyDescent="0.2">
      <c r="B320" s="40" t="s">
        <v>133</v>
      </c>
      <c r="G320" s="180"/>
      <c r="H320" s="180"/>
      <c r="J320" s="96"/>
      <c r="R320" s="105"/>
    </row>
    <row r="321" spans="2:21" s="104" customFormat="1" x14ac:dyDescent="0.2">
      <c r="B321" s="94" t="s">
        <v>6</v>
      </c>
      <c r="C321" s="93"/>
      <c r="D321" s="93"/>
      <c r="E321" s="93"/>
      <c r="F321" s="93"/>
      <c r="G321" s="180"/>
      <c r="H321" s="171"/>
      <c r="J321" s="96"/>
      <c r="R321" s="105"/>
    </row>
    <row r="322" spans="2:21" s="104" customFormat="1" x14ac:dyDescent="0.2">
      <c r="B322" s="93" t="s">
        <v>7</v>
      </c>
      <c r="C322" s="93"/>
      <c r="D322" s="93"/>
      <c r="E322" s="93"/>
      <c r="F322" s="93" t="s">
        <v>106</v>
      </c>
      <c r="G322" s="180"/>
      <c r="H322" s="171"/>
      <c r="J322" s="172">
        <f t="shared" ref="J322:J325" si="97">SUM(L322:S322)</f>
        <v>427785038.74420089</v>
      </c>
      <c r="L322" s="226">
        <f>L282</f>
        <v>0</v>
      </c>
      <c r="M322" s="226">
        <f t="shared" ref="M322:Q322" si="98">M282</f>
        <v>159310200.18000004</v>
      </c>
      <c r="N322" s="226">
        <f t="shared" si="98"/>
        <v>151445820.45999998</v>
      </c>
      <c r="O322" s="226">
        <f t="shared" si="98"/>
        <v>0</v>
      </c>
      <c r="P322" s="226">
        <f t="shared" si="98"/>
        <v>96925275.514200851</v>
      </c>
      <c r="Q322" s="226">
        <f t="shared" si="98"/>
        <v>9308327.4799999986</v>
      </c>
      <c r="R322" s="189"/>
      <c r="S322" s="226">
        <f t="shared" ref="S322" si="99">S282</f>
        <v>10795415.110000001</v>
      </c>
    </row>
    <row r="323" spans="2:21" s="104" customFormat="1" x14ac:dyDescent="0.2">
      <c r="B323" s="93" t="s">
        <v>8</v>
      </c>
      <c r="C323" s="93"/>
      <c r="D323" s="93"/>
      <c r="E323" s="93"/>
      <c r="F323" s="93" t="s">
        <v>106</v>
      </c>
      <c r="G323" s="180"/>
      <c r="H323" s="171"/>
      <c r="J323" s="172">
        <f t="shared" si="97"/>
        <v>9048636.1451989748</v>
      </c>
      <c r="L323" s="226">
        <f>L283</f>
        <v>3177900.5445365515</v>
      </c>
      <c r="M323" s="226">
        <f t="shared" ref="M323:Q323" si="100">M283</f>
        <v>144255.39186877664</v>
      </c>
      <c r="N323" s="226">
        <f t="shared" si="100"/>
        <v>1289646.8990399968</v>
      </c>
      <c r="O323" s="226">
        <f t="shared" si="100"/>
        <v>2039105.0750962067</v>
      </c>
      <c r="P323" s="226">
        <f t="shared" si="100"/>
        <v>2129456.5622329228</v>
      </c>
      <c r="Q323" s="226">
        <f t="shared" si="100"/>
        <v>268271.67242452066</v>
      </c>
      <c r="R323" s="189"/>
      <c r="S323" s="226">
        <f t="shared" ref="S323" si="101">S283</f>
        <v>0</v>
      </c>
    </row>
    <row r="324" spans="2:21" s="104" customFormat="1" x14ac:dyDescent="0.2">
      <c r="B324" s="93" t="s">
        <v>9</v>
      </c>
      <c r="C324" s="93"/>
      <c r="D324" s="93"/>
      <c r="E324" s="93"/>
      <c r="F324" s="93" t="s">
        <v>106</v>
      </c>
      <c r="G324" s="180"/>
      <c r="H324" s="171"/>
      <c r="J324" s="172">
        <f t="shared" si="97"/>
        <v>141261857.28204441</v>
      </c>
      <c r="L324" s="188">
        <f>L284-SUM(L300:L301,L311)</f>
        <v>501502</v>
      </c>
      <c r="M324" s="188">
        <f t="shared" ref="M324:Q324" si="102">M284-SUM(M300:M301,M311)</f>
        <v>43248390.191855088</v>
      </c>
      <c r="N324" s="188">
        <f t="shared" si="102"/>
        <v>49525206.130189322</v>
      </c>
      <c r="O324" s="188">
        <f t="shared" si="102"/>
        <v>559857.01</v>
      </c>
      <c r="P324" s="188">
        <f t="shared" si="102"/>
        <v>39250039.399999999</v>
      </c>
      <c r="Q324" s="188">
        <f t="shared" si="102"/>
        <v>3339095.6799999997</v>
      </c>
      <c r="R324" s="189"/>
      <c r="S324" s="188">
        <f t="shared" ref="S324" si="103">S284-SUM(S300:S301,S311)</f>
        <v>4837766.8699999982</v>
      </c>
    </row>
    <row r="325" spans="2:21" s="104" customFormat="1" x14ac:dyDescent="0.2">
      <c r="B325" s="93" t="s">
        <v>10</v>
      </c>
      <c r="C325" s="93"/>
      <c r="D325" s="93"/>
      <c r="E325" s="93"/>
      <c r="F325" s="93" t="s">
        <v>106</v>
      </c>
      <c r="G325" s="180"/>
      <c r="H325" s="171"/>
      <c r="J325" s="172">
        <f t="shared" si="97"/>
        <v>0</v>
      </c>
      <c r="L325" s="226">
        <f>L285</f>
        <v>0</v>
      </c>
      <c r="M325" s="226">
        <f t="shared" ref="M325:Q325" si="104">M285</f>
        <v>0</v>
      </c>
      <c r="N325" s="226">
        <f t="shared" si="104"/>
        <v>0</v>
      </c>
      <c r="O325" s="226">
        <f t="shared" si="104"/>
        <v>0</v>
      </c>
      <c r="P325" s="226">
        <f t="shared" si="104"/>
        <v>0</v>
      </c>
      <c r="Q325" s="226">
        <f t="shared" si="104"/>
        <v>0</v>
      </c>
      <c r="R325" s="189"/>
      <c r="S325" s="226">
        <f t="shared" ref="S325" si="105">S285</f>
        <v>0</v>
      </c>
    </row>
    <row r="326" spans="2:21" s="104" customFormat="1" x14ac:dyDescent="0.2">
      <c r="B326" s="93"/>
      <c r="C326" s="93"/>
      <c r="D326" s="93"/>
      <c r="E326" s="93"/>
      <c r="F326" s="93"/>
      <c r="G326" s="180"/>
      <c r="H326" s="171"/>
      <c r="J326" s="96"/>
      <c r="L326" s="185"/>
      <c r="M326" s="185"/>
      <c r="N326" s="185"/>
      <c r="O326" s="185"/>
      <c r="P326" s="185"/>
      <c r="Q326" s="185"/>
      <c r="R326" s="190"/>
      <c r="S326" s="185"/>
    </row>
    <row r="327" spans="2:21" s="104" customFormat="1" x14ac:dyDescent="0.2">
      <c r="B327" s="94" t="s">
        <v>11</v>
      </c>
      <c r="C327" s="93"/>
      <c r="D327" s="93"/>
      <c r="E327" s="93"/>
      <c r="F327" s="93"/>
      <c r="G327" s="180"/>
      <c r="H327" s="171"/>
      <c r="J327" s="96"/>
      <c r="L327" s="185"/>
      <c r="M327" s="185"/>
      <c r="N327" s="185"/>
      <c r="O327" s="185"/>
      <c r="P327" s="185"/>
      <c r="Q327" s="185"/>
      <c r="R327" s="190"/>
      <c r="S327" s="185"/>
    </row>
    <row r="328" spans="2:21" s="104" customFormat="1" x14ac:dyDescent="0.2">
      <c r="B328" s="93" t="s">
        <v>12</v>
      </c>
      <c r="C328" s="93"/>
      <c r="D328" s="93"/>
      <c r="E328" s="93"/>
      <c r="F328" s="93" t="s">
        <v>106</v>
      </c>
      <c r="G328" s="180"/>
      <c r="H328" s="171"/>
      <c r="J328" s="172">
        <f t="shared" ref="J328:J330" si="106">SUM(L328:S328)</f>
        <v>910256164.50461519</v>
      </c>
      <c r="L328" s="188">
        <f>L288-SUM(L302:L308)+L314-L315-L318</f>
        <v>4512657</v>
      </c>
      <c r="M328" s="188">
        <f t="shared" ref="M328:Q328" si="107">M288-SUM(M302:M308)+M314-M315-M318</f>
        <v>283831496.80124116</v>
      </c>
      <c r="N328" s="188">
        <f t="shared" si="107"/>
        <v>382035096.51992816</v>
      </c>
      <c r="O328" s="188">
        <f t="shared" si="107"/>
        <v>2313050.6699999995</v>
      </c>
      <c r="P328" s="188">
        <f t="shared" si="107"/>
        <v>198815852.36750868</v>
      </c>
      <c r="Q328" s="188">
        <f t="shared" si="107"/>
        <v>11989694.472796509</v>
      </c>
      <c r="R328" s="189"/>
      <c r="S328" s="188">
        <f>S288-SUM(S302:S308)+S314-S315-S318</f>
        <v>26758316.6731406</v>
      </c>
    </row>
    <row r="329" spans="2:21" s="180" customFormat="1" x14ac:dyDescent="0.2">
      <c r="B329" s="171" t="s">
        <v>430</v>
      </c>
      <c r="C329" s="171"/>
      <c r="D329" s="171"/>
      <c r="E329" s="171"/>
      <c r="F329" s="171" t="s">
        <v>106</v>
      </c>
      <c r="H329" s="171"/>
      <c r="J329" s="172">
        <f t="shared" si="106"/>
        <v>707274.29168920848</v>
      </c>
      <c r="L329" s="226">
        <f>L289</f>
        <v>3905</v>
      </c>
      <c r="M329" s="226">
        <f t="shared" ref="M329:Q329" si="108">M289</f>
        <v>223153.71070777759</v>
      </c>
      <c r="N329" s="226">
        <f t="shared" si="108"/>
        <v>293463.99658065982</v>
      </c>
      <c r="O329" s="226">
        <f t="shared" si="108"/>
        <v>2942.49</v>
      </c>
      <c r="P329" s="226">
        <f t="shared" si="108"/>
        <v>151190.08978971475</v>
      </c>
      <c r="Q329" s="226">
        <f t="shared" si="108"/>
        <v>12753.444611056206</v>
      </c>
      <c r="R329" s="189"/>
      <c r="S329" s="226">
        <f>S289</f>
        <v>19865.560000000001</v>
      </c>
    </row>
    <row r="330" spans="2:21" s="104" customFormat="1" x14ac:dyDescent="0.2">
      <c r="B330" s="93" t="s">
        <v>13</v>
      </c>
      <c r="C330" s="93"/>
      <c r="D330" s="93"/>
      <c r="E330" s="93"/>
      <c r="F330" s="93" t="s">
        <v>106</v>
      </c>
      <c r="G330" s="180"/>
      <c r="H330" s="171"/>
      <c r="J330" s="172">
        <f t="shared" si="106"/>
        <v>4181555.11</v>
      </c>
      <c r="L330" s="226">
        <f>L290</f>
        <v>25134</v>
      </c>
      <c r="M330" s="226">
        <f t="shared" ref="M330:Q330" si="109">M290</f>
        <v>1272153</v>
      </c>
      <c r="N330" s="226">
        <f t="shared" si="109"/>
        <v>1432623</v>
      </c>
      <c r="O330" s="226">
        <f t="shared" si="109"/>
        <v>474330.11</v>
      </c>
      <c r="P330" s="226">
        <f t="shared" si="109"/>
        <v>950248</v>
      </c>
      <c r="Q330" s="226">
        <f t="shared" si="109"/>
        <v>27067</v>
      </c>
      <c r="R330" s="189"/>
      <c r="S330" s="226">
        <f>S290</f>
        <v>0</v>
      </c>
    </row>
    <row r="331" spans="2:21" s="104" customFormat="1" x14ac:dyDescent="0.2">
      <c r="B331" s="93"/>
      <c r="C331" s="93"/>
      <c r="D331" s="93"/>
      <c r="E331" s="93"/>
      <c r="F331" s="93"/>
      <c r="G331" s="180"/>
      <c r="H331" s="171"/>
      <c r="J331" s="96"/>
      <c r="L331" s="185"/>
      <c r="M331" s="185"/>
      <c r="N331" s="185"/>
      <c r="O331" s="185"/>
      <c r="P331" s="185"/>
      <c r="Q331" s="185"/>
      <c r="R331" s="190"/>
      <c r="S331" s="185"/>
    </row>
    <row r="332" spans="2:21" s="104" customFormat="1" x14ac:dyDescent="0.2">
      <c r="B332" s="94" t="s">
        <v>14</v>
      </c>
      <c r="C332" s="93"/>
      <c r="D332" s="93"/>
      <c r="E332" s="93"/>
      <c r="F332" s="93"/>
      <c r="G332" s="171"/>
      <c r="H332" s="171"/>
      <c r="I332" s="93"/>
      <c r="J332" s="96"/>
      <c r="K332" s="93"/>
      <c r="L332" s="185"/>
      <c r="M332" s="185"/>
      <c r="N332" s="185"/>
      <c r="O332" s="185"/>
      <c r="P332" s="185"/>
      <c r="Q332" s="185"/>
      <c r="R332" s="190"/>
      <c r="S332" s="185"/>
      <c r="T332" s="93"/>
      <c r="U332" s="93"/>
    </row>
    <row r="333" spans="2:21" s="104" customFormat="1" x14ac:dyDescent="0.2">
      <c r="B333" s="93" t="s">
        <v>15</v>
      </c>
      <c r="C333" s="93"/>
      <c r="D333" s="93"/>
      <c r="E333" s="93"/>
      <c r="F333" s="93" t="s">
        <v>106</v>
      </c>
      <c r="G333" s="180"/>
      <c r="H333" s="171"/>
      <c r="J333" s="172">
        <f t="shared" ref="J333:J336" si="110">SUM(L333:S333)</f>
        <v>3847110.7571973638</v>
      </c>
      <c r="L333" s="226">
        <f>L293</f>
        <v>18831</v>
      </c>
      <c r="M333" s="226">
        <f t="shared" ref="M333:Q333" si="111">M293</f>
        <v>611084.28146774904</v>
      </c>
      <c r="N333" s="226">
        <f t="shared" si="111"/>
        <v>1978031.6932122561</v>
      </c>
      <c r="O333" s="226">
        <f t="shared" si="111"/>
        <v>11740.6</v>
      </c>
      <c r="P333" s="226">
        <f t="shared" si="111"/>
        <v>1121219.9925173584</v>
      </c>
      <c r="Q333" s="226">
        <f t="shared" si="111"/>
        <v>0</v>
      </c>
      <c r="R333" s="189"/>
      <c r="S333" s="226">
        <f>S293</f>
        <v>106203.19</v>
      </c>
    </row>
    <row r="334" spans="2:21" s="104" customFormat="1" x14ac:dyDescent="0.2">
      <c r="B334" s="93" t="s">
        <v>16</v>
      </c>
      <c r="C334" s="93"/>
      <c r="D334" s="93"/>
      <c r="E334" s="93"/>
      <c r="F334" s="93" t="s">
        <v>106</v>
      </c>
      <c r="G334" s="180"/>
      <c r="H334" s="171"/>
      <c r="J334" s="172">
        <f t="shared" si="110"/>
        <v>876189.78162516619</v>
      </c>
      <c r="L334" s="226">
        <f>L294</f>
        <v>3847</v>
      </c>
      <c r="M334" s="226">
        <f t="shared" ref="M334:Q334" si="112">M294</f>
        <v>296686.8502849103</v>
      </c>
      <c r="N334" s="226">
        <f t="shared" si="112"/>
        <v>0</v>
      </c>
      <c r="O334" s="226">
        <f t="shared" si="112"/>
        <v>5147.3599999999997</v>
      </c>
      <c r="P334" s="226">
        <f t="shared" si="112"/>
        <v>570373.5713402559</v>
      </c>
      <c r="Q334" s="226">
        <f t="shared" si="112"/>
        <v>135</v>
      </c>
      <c r="R334" s="189"/>
      <c r="S334" s="226">
        <f>S294</f>
        <v>0</v>
      </c>
    </row>
    <row r="335" spans="2:21" s="104" customFormat="1" x14ac:dyDescent="0.2">
      <c r="B335" s="93" t="s">
        <v>17</v>
      </c>
      <c r="C335" s="93"/>
      <c r="D335" s="93"/>
      <c r="E335" s="93"/>
      <c r="F335" s="93" t="s">
        <v>106</v>
      </c>
      <c r="G335" s="180"/>
      <c r="H335" s="171"/>
      <c r="J335" s="172">
        <f t="shared" si="110"/>
        <v>1514799.940786154</v>
      </c>
      <c r="L335" s="226">
        <f>L295</f>
        <v>5476</v>
      </c>
      <c r="M335" s="226">
        <f t="shared" ref="M335:Q335" si="113">M295</f>
        <v>285163.83439323021</v>
      </c>
      <c r="N335" s="226">
        <f t="shared" si="113"/>
        <v>472463.81097387662</v>
      </c>
      <c r="O335" s="226">
        <f t="shared" si="113"/>
        <v>1776.98</v>
      </c>
      <c r="P335" s="226">
        <f t="shared" si="113"/>
        <v>720702.18185445922</v>
      </c>
      <c r="Q335" s="226">
        <f t="shared" si="113"/>
        <v>9344.9708874546795</v>
      </c>
      <c r="R335" s="189"/>
      <c r="S335" s="226">
        <f>S295</f>
        <v>19872.162677133201</v>
      </c>
    </row>
    <row r="336" spans="2:21" s="104" customFormat="1" x14ac:dyDescent="0.2">
      <c r="B336" s="93" t="s">
        <v>18</v>
      </c>
      <c r="C336" s="93"/>
      <c r="D336" s="93"/>
      <c r="E336" s="93"/>
      <c r="F336" s="93" t="s">
        <v>106</v>
      </c>
      <c r="G336" s="180"/>
      <c r="H336" s="171"/>
      <c r="J336" s="172">
        <f t="shared" si="110"/>
        <v>24796914.972233601</v>
      </c>
      <c r="L336" s="226">
        <f>L296</f>
        <v>0</v>
      </c>
      <c r="M336" s="226">
        <f t="shared" ref="M336:Q336" si="114">M296</f>
        <v>2299243.0382776298</v>
      </c>
      <c r="N336" s="226">
        <f t="shared" si="114"/>
        <v>21025255.931916226</v>
      </c>
      <c r="O336" s="226">
        <f t="shared" si="114"/>
        <v>11141.23</v>
      </c>
      <c r="P336" s="226">
        <f t="shared" si="114"/>
        <v>645274.27203974617</v>
      </c>
      <c r="Q336" s="226">
        <f t="shared" si="114"/>
        <v>13000.5</v>
      </c>
      <c r="R336" s="189"/>
      <c r="S336" s="226">
        <f>S296</f>
        <v>803000</v>
      </c>
    </row>
    <row r="337" spans="2:21" s="104" customFormat="1" x14ac:dyDescent="0.2">
      <c r="G337" s="180"/>
      <c r="H337" s="180"/>
      <c r="J337" s="96"/>
      <c r="R337" s="105"/>
    </row>
    <row r="338" spans="2:21" s="104" customFormat="1" ht="15" x14ac:dyDescent="0.2">
      <c r="B338" s="40" t="s">
        <v>132</v>
      </c>
      <c r="G338" s="180"/>
      <c r="H338" s="180"/>
      <c r="J338" s="96"/>
      <c r="R338" s="105"/>
    </row>
    <row r="339" spans="2:21" s="104" customFormat="1" x14ac:dyDescent="0.2">
      <c r="B339" s="94" t="s">
        <v>77</v>
      </c>
      <c r="G339" s="180"/>
      <c r="H339" s="180"/>
      <c r="J339" s="96"/>
      <c r="R339" s="105"/>
    </row>
    <row r="340" spans="2:21" s="104" customFormat="1" x14ac:dyDescent="0.2">
      <c r="B340" s="99" t="s">
        <v>105</v>
      </c>
      <c r="C340" s="93"/>
      <c r="D340" s="99" t="s">
        <v>434</v>
      </c>
      <c r="F340" s="93" t="s">
        <v>106</v>
      </c>
      <c r="G340" s="180"/>
      <c r="H340" s="171"/>
      <c r="J340" s="95">
        <f>SUM(L340:Q340)</f>
        <v>1087441866.6401911</v>
      </c>
      <c r="L340" s="191">
        <f>SUM(L324:L325,L328:L330,L333:L336)</f>
        <v>5071352</v>
      </c>
      <c r="M340" s="191">
        <f>SUM(M324:M325,M328:M330,M333:M336)</f>
        <v>332067371.70822752</v>
      </c>
      <c r="N340" s="191">
        <f>SUM(N324:N325,N328:N330,N333:N336)</f>
        <v>456762141.08280051</v>
      </c>
      <c r="O340" s="191">
        <f>SUM(O324:O325,O328:O330,O333:O336)</f>
        <v>3379986.4499999997</v>
      </c>
      <c r="P340" s="192">
        <f>SUM(P324:P325,P328:P330,P333:P336)+SUM(S324:S325,S328:S330,S333:S336)</f>
        <v>274769924.33086795</v>
      </c>
      <c r="Q340" s="191">
        <f>SUM(Q324:Q325,Q328:Q330,Q333:Q336)</f>
        <v>15391091.068295019</v>
      </c>
      <c r="R340" s="105"/>
      <c r="S340" s="186"/>
      <c r="U340" s="88" t="s">
        <v>645</v>
      </c>
    </row>
    <row r="341" spans="2:21" s="104" customFormat="1" x14ac:dyDescent="0.2">
      <c r="B341" s="99" t="s">
        <v>107</v>
      </c>
      <c r="C341" s="93"/>
      <c r="D341" s="93"/>
      <c r="F341" s="93" t="s">
        <v>106</v>
      </c>
      <c r="G341" s="180"/>
      <c r="H341" s="171"/>
      <c r="J341" s="95">
        <f>SUM(L341:Q341)</f>
        <v>436833674.88939983</v>
      </c>
      <c r="L341" s="191">
        <f>SUM(L322:L323)</f>
        <v>3177900.5445365515</v>
      </c>
      <c r="M341" s="191">
        <f>SUM(M322:M323)</f>
        <v>159454455.57186881</v>
      </c>
      <c r="N341" s="191">
        <f t="shared" ref="N341:O341" si="115">SUM(N322:N323)</f>
        <v>152735467.35903996</v>
      </c>
      <c r="O341" s="191">
        <f t="shared" si="115"/>
        <v>2039105.0750962067</v>
      </c>
      <c r="P341" s="192">
        <f>SUM(P322:P323)+SUM(S322:S323)</f>
        <v>109850147.18643378</v>
      </c>
      <c r="Q341" s="191">
        <f t="shared" ref="Q341" si="116">SUM(Q322:Q323)</f>
        <v>9576599.1524245199</v>
      </c>
      <c r="R341" s="105"/>
      <c r="S341" s="186"/>
    </row>
    <row r="342" spans="2:21" s="104" customFormat="1" ht="15" x14ac:dyDescent="0.2">
      <c r="B342" s="40"/>
      <c r="G342" s="180"/>
      <c r="H342" s="180"/>
      <c r="J342" s="96"/>
      <c r="L342" s="185"/>
      <c r="M342" s="185"/>
      <c r="N342" s="185"/>
      <c r="O342" s="185"/>
      <c r="P342" s="185"/>
      <c r="Q342" s="185"/>
      <c r="R342" s="105"/>
      <c r="S342" s="187"/>
    </row>
    <row r="343" spans="2:21" s="104" customFormat="1" x14ac:dyDescent="0.2">
      <c r="B343" s="94" t="s">
        <v>134</v>
      </c>
      <c r="G343" s="180"/>
      <c r="H343" s="180"/>
      <c r="L343" s="185"/>
      <c r="M343" s="185"/>
      <c r="N343" s="185"/>
      <c r="O343" s="185"/>
      <c r="P343" s="185"/>
      <c r="Q343" s="185"/>
      <c r="R343" s="105"/>
      <c r="S343" s="186"/>
    </row>
    <row r="344" spans="2:21" s="104" customFormat="1" x14ac:dyDescent="0.2">
      <c r="B344" s="99" t="s">
        <v>105</v>
      </c>
      <c r="D344" s="185" t="s">
        <v>433</v>
      </c>
      <c r="F344" s="93" t="s">
        <v>106</v>
      </c>
      <c r="G344" s="180"/>
      <c r="H344" s="171"/>
      <c r="J344" s="95">
        <f>SUM(L344:Q344)</f>
        <v>1087441866.6401911</v>
      </c>
      <c r="L344" s="191">
        <f>SUM(L324:L325,L328:L330,L333:L336)</f>
        <v>5071352</v>
      </c>
      <c r="M344" s="191">
        <f>SUM(M324:M325,M328:M330,M333:M336)</f>
        <v>332067371.70822752</v>
      </c>
      <c r="N344" s="191">
        <f>SUM(N324:N325,N328:N330,N333:N336)</f>
        <v>456762141.08280051</v>
      </c>
      <c r="O344" s="191">
        <f>SUM(O324:O325,O328:O330,O333:O336)</f>
        <v>3379986.4499999997</v>
      </c>
      <c r="P344" s="192">
        <f>SUM(P324:P325,P328:P330,P333:P336)+SUM(S324:S325,S328:S330,S333:S336)</f>
        <v>274769924.33086795</v>
      </c>
      <c r="Q344" s="191">
        <f>SUM(Q324:Q325,Q328:Q330,Q333:Q336)</f>
        <v>15391091.068295019</v>
      </c>
      <c r="R344" s="105"/>
      <c r="U344" s="88" t="s">
        <v>645</v>
      </c>
    </row>
    <row r="346" spans="2:21" s="24" customFormat="1" ht="12.75" x14ac:dyDescent="0.2">
      <c r="B346" s="24" t="s">
        <v>608</v>
      </c>
    </row>
    <row r="347" spans="2:21" s="104" customFormat="1" x14ac:dyDescent="0.2">
      <c r="G347" s="180"/>
      <c r="H347" s="180"/>
      <c r="R347" s="105"/>
    </row>
    <row r="348" spans="2:21" s="104" customFormat="1" ht="15" x14ac:dyDescent="0.2">
      <c r="B348" s="40" t="s">
        <v>131</v>
      </c>
      <c r="G348" s="180"/>
      <c r="H348" s="180"/>
      <c r="R348" s="105"/>
    </row>
    <row r="349" spans="2:21" s="104" customFormat="1" x14ac:dyDescent="0.2">
      <c r="B349" s="97" t="s">
        <v>238</v>
      </c>
      <c r="G349" s="180"/>
      <c r="H349" s="180"/>
      <c r="R349" s="105"/>
    </row>
    <row r="350" spans="2:21" s="93" customFormat="1" x14ac:dyDescent="0.2">
      <c r="B350" s="94" t="s">
        <v>6</v>
      </c>
      <c r="G350" s="171"/>
      <c r="H350" s="171"/>
      <c r="R350" s="105"/>
    </row>
    <row r="351" spans="2:21" s="93" customFormat="1" x14ac:dyDescent="0.2">
      <c r="B351" s="93" t="s">
        <v>7</v>
      </c>
      <c r="F351" s="93" t="s">
        <v>113</v>
      </c>
      <c r="G351" s="171"/>
      <c r="H351" s="171"/>
      <c r="J351" s="198">
        <f>SUM(L351:S351)</f>
        <v>465420816.10954553</v>
      </c>
      <c r="K351" s="176"/>
      <c r="L351" s="200">
        <f>'7) Berekening gecorrigeerde IT'!L285</f>
        <v>0</v>
      </c>
      <c r="M351" s="200">
        <f>'7) Berekening gecorrigeerde IT'!M285</f>
        <v>175023294.79228497</v>
      </c>
      <c r="N351" s="200">
        <f>'7) Berekening gecorrigeerde IT'!N285</f>
        <v>164565239.51024771</v>
      </c>
      <c r="O351" s="200">
        <f>'7) Berekening gecorrigeerde IT'!O285</f>
        <v>0</v>
      </c>
      <c r="P351" s="200">
        <f>'7) Berekening gecorrigeerde IT'!P285</f>
        <v>104498125.38999999</v>
      </c>
      <c r="Q351" s="200">
        <f>'7) Berekening gecorrigeerde IT'!Q285</f>
        <v>9819939.0299999993</v>
      </c>
      <c r="R351" s="201"/>
      <c r="S351" s="200">
        <f>'7) Berekening gecorrigeerde IT'!S285</f>
        <v>11514217.387012923</v>
      </c>
      <c r="T351" s="176"/>
      <c r="U351" s="185" t="s">
        <v>609</v>
      </c>
    </row>
    <row r="352" spans="2:21" s="93" customFormat="1" x14ac:dyDescent="0.2">
      <c r="B352" s="93" t="s">
        <v>8</v>
      </c>
      <c r="F352" s="93" t="s">
        <v>113</v>
      </c>
      <c r="G352" s="171"/>
      <c r="H352" s="171"/>
      <c r="J352" s="198">
        <f t="shared" ref="J352:J354" si="117">SUM(L352:S352)</f>
        <v>7864049.9298979724</v>
      </c>
      <c r="K352" s="176"/>
      <c r="L352" s="200">
        <f>'7) Berekening gecorrigeerde IT'!L286</f>
        <v>2758814.2709009191</v>
      </c>
      <c r="M352" s="200">
        <f>'7) Berekening gecorrigeerde IT'!M286</f>
        <v>129715.74041966468</v>
      </c>
      <c r="N352" s="200">
        <f>'7) Berekening gecorrigeerde IT'!N286</f>
        <v>899508.05424312444</v>
      </c>
      <c r="O352" s="200">
        <f>'7) Berekening gecorrigeerde IT'!O286</f>
        <v>1876196.0459502104</v>
      </c>
      <c r="P352" s="200">
        <f>'7) Berekening gecorrigeerde IT'!P286</f>
        <v>1969772.9895196047</v>
      </c>
      <c r="Q352" s="200">
        <f>'7) Berekening gecorrigeerde IT'!Q286</f>
        <v>230042.8288644487</v>
      </c>
      <c r="R352" s="201"/>
      <c r="S352" s="200">
        <f>'7) Berekening gecorrigeerde IT'!S286</f>
        <v>0</v>
      </c>
      <c r="T352" s="176"/>
      <c r="U352" s="185" t="s">
        <v>609</v>
      </c>
    </row>
    <row r="353" spans="2:21" s="93" customFormat="1" x14ac:dyDescent="0.2">
      <c r="B353" s="93" t="s">
        <v>9</v>
      </c>
      <c r="F353" s="93" t="s">
        <v>113</v>
      </c>
      <c r="G353" s="171"/>
      <c r="H353" s="171"/>
      <c r="J353" s="198">
        <f t="shared" si="117"/>
        <v>155101659.56</v>
      </c>
      <c r="K353" s="176"/>
      <c r="L353" s="200">
        <f>'3) Input operationele kosten'!L118</f>
        <v>698048</v>
      </c>
      <c r="M353" s="200">
        <f>'3) Input operationele kosten'!M118</f>
        <v>59348486.020000003</v>
      </c>
      <c r="N353" s="200">
        <f>'3) Input operationele kosten'!N118</f>
        <v>60659150.109999999</v>
      </c>
      <c r="O353" s="200">
        <f>'3) Input operationele kosten'!O118</f>
        <v>432112.73</v>
      </c>
      <c r="P353" s="200">
        <f>'3) Input operationele kosten'!P118</f>
        <v>26766575.719999999</v>
      </c>
      <c r="Q353" s="200">
        <f>'3) Input operationele kosten'!Q118</f>
        <v>2803642.0799999996</v>
      </c>
      <c r="R353" s="201"/>
      <c r="S353" s="200">
        <f>'3) Input operationele kosten'!S118</f>
        <v>4393644.8999999994</v>
      </c>
      <c r="T353" s="176"/>
    </row>
    <row r="354" spans="2:21" s="93" customFormat="1" x14ac:dyDescent="0.2">
      <c r="B354" s="93" t="s">
        <v>10</v>
      </c>
      <c r="F354" s="93" t="s">
        <v>113</v>
      </c>
      <c r="G354" s="171"/>
      <c r="H354" s="171"/>
      <c r="J354" s="198">
        <f t="shared" si="117"/>
        <v>0</v>
      </c>
      <c r="K354" s="176"/>
      <c r="L354" s="200">
        <f>'3) Input operationele kosten'!L119</f>
        <v>0</v>
      </c>
      <c r="M354" s="200">
        <f>'3) Input operationele kosten'!M119</f>
        <v>0</v>
      </c>
      <c r="N354" s="200">
        <f>'3) Input operationele kosten'!N119</f>
        <v>0</v>
      </c>
      <c r="O354" s="200">
        <f>'3) Input operationele kosten'!O119</f>
        <v>0</v>
      </c>
      <c r="P354" s="200">
        <f>'3) Input operationele kosten'!P119</f>
        <v>0</v>
      </c>
      <c r="Q354" s="200">
        <f>'3) Input operationele kosten'!Q119</f>
        <v>0</v>
      </c>
      <c r="R354" s="201"/>
      <c r="S354" s="200">
        <f>'3) Input operationele kosten'!S119</f>
        <v>0</v>
      </c>
      <c r="T354" s="176"/>
    </row>
    <row r="355" spans="2:21" s="93" customFormat="1" x14ac:dyDescent="0.2">
      <c r="G355" s="171"/>
      <c r="H355" s="171"/>
      <c r="J355" s="202"/>
      <c r="K355" s="202"/>
      <c r="L355" s="202"/>
      <c r="M355" s="202"/>
      <c r="N355" s="202"/>
      <c r="O355" s="202"/>
      <c r="P355" s="202"/>
      <c r="Q355" s="202"/>
      <c r="R355" s="201"/>
      <c r="S355" s="202"/>
      <c r="T355" s="202"/>
      <c r="U355" s="96"/>
    </row>
    <row r="356" spans="2:21" s="93" customFormat="1" x14ac:dyDescent="0.2">
      <c r="B356" s="94" t="s">
        <v>11</v>
      </c>
      <c r="G356" s="171"/>
      <c r="H356" s="171"/>
      <c r="J356" s="202"/>
      <c r="K356" s="202"/>
      <c r="L356" s="202"/>
      <c r="M356" s="202"/>
      <c r="N356" s="202"/>
      <c r="O356" s="202"/>
      <c r="P356" s="202"/>
      <c r="Q356" s="202"/>
      <c r="R356" s="201"/>
      <c r="S356" s="202"/>
      <c r="T356" s="202"/>
      <c r="U356" s="96"/>
    </row>
    <row r="357" spans="2:21" s="93" customFormat="1" x14ac:dyDescent="0.2">
      <c r="B357" s="93" t="s">
        <v>12</v>
      </c>
      <c r="F357" s="93" t="s">
        <v>113</v>
      </c>
      <c r="G357" s="171"/>
      <c r="H357" s="171"/>
      <c r="J357" s="198">
        <f>SUM(L357:S357)</f>
        <v>1099649292.6217837</v>
      </c>
      <c r="K357" s="176"/>
      <c r="L357" s="200">
        <f>'3) Input operationele kosten'!L122</f>
        <v>5832567</v>
      </c>
      <c r="M357" s="200">
        <f>'3) Input operationele kosten'!M122</f>
        <v>352309338.14509702</v>
      </c>
      <c r="N357" s="200">
        <f>'3) Input operationele kosten'!N122</f>
        <v>451969858.48885739</v>
      </c>
      <c r="O357" s="200">
        <f>'3) Input operationele kosten'!O122</f>
        <v>4096798.79</v>
      </c>
      <c r="P357" s="200">
        <f>'3) Input operationele kosten'!P122</f>
        <v>239695388.32633948</v>
      </c>
      <c r="Q357" s="200">
        <f>'3) Input operationele kosten'!Q122</f>
        <v>14944585.896108922</v>
      </c>
      <c r="R357" s="201"/>
      <c r="S357" s="200">
        <f>'3) Input operationele kosten'!S122</f>
        <v>30800755.975380983</v>
      </c>
      <c r="T357" s="176"/>
    </row>
    <row r="358" spans="2:21" s="171" customFormat="1" x14ac:dyDescent="0.2">
      <c r="B358" s="171" t="s">
        <v>430</v>
      </c>
      <c r="F358" s="171" t="s">
        <v>113</v>
      </c>
      <c r="J358" s="198">
        <f t="shared" ref="J358:J359" si="118">SUM(L358:S358)</f>
        <v>1104995.7848515217</v>
      </c>
      <c r="K358" s="176"/>
      <c r="L358" s="200">
        <f>'3) Input operationele kosten'!L123</f>
        <v>4931</v>
      </c>
      <c r="M358" s="200">
        <f>'3) Input operationele kosten'!M123</f>
        <v>453440.41626742348</v>
      </c>
      <c r="N358" s="200">
        <f>'3) Input operationele kosten'!N123</f>
        <v>377681.38418154651</v>
      </c>
      <c r="O358" s="200">
        <f>'3) Input operationele kosten'!O123</f>
        <v>3626.78</v>
      </c>
      <c r="P358" s="200">
        <f>'3) Input operationele kosten'!P123</f>
        <v>220697.88393371747</v>
      </c>
      <c r="Q358" s="200">
        <f>'3) Input operationele kosten'!Q123</f>
        <v>16365.120468834499</v>
      </c>
      <c r="R358" s="201"/>
      <c r="S358" s="200">
        <f>'3) Input operationele kosten'!S123</f>
        <v>28253.200000000001</v>
      </c>
      <c r="T358" s="176"/>
    </row>
    <row r="359" spans="2:21" s="93" customFormat="1" x14ac:dyDescent="0.2">
      <c r="B359" s="93" t="s">
        <v>13</v>
      </c>
      <c r="F359" s="93" t="s">
        <v>113</v>
      </c>
      <c r="G359" s="171"/>
      <c r="H359" s="171"/>
      <c r="J359" s="198">
        <f t="shared" si="118"/>
        <v>4120350.7</v>
      </c>
      <c r="K359" s="176"/>
      <c r="L359" s="200">
        <f>'3) Input operationele kosten'!L124</f>
        <v>24595</v>
      </c>
      <c r="M359" s="200">
        <f>'3) Input operationele kosten'!M124</f>
        <v>1244906</v>
      </c>
      <c r="N359" s="200">
        <f>'3) Input operationele kosten'!N124</f>
        <v>1401938</v>
      </c>
      <c r="O359" s="200">
        <f>'3) Input operationele kosten'!O124</f>
        <v>492529.7</v>
      </c>
      <c r="P359" s="200">
        <f>'3) Input operationele kosten'!P124</f>
        <v>929895</v>
      </c>
      <c r="Q359" s="200">
        <f>'3) Input operationele kosten'!Q124</f>
        <v>26487</v>
      </c>
      <c r="R359" s="201"/>
      <c r="S359" s="200">
        <f>'3) Input operationele kosten'!S124</f>
        <v>0</v>
      </c>
      <c r="T359" s="176"/>
    </row>
    <row r="360" spans="2:21" s="93" customFormat="1" x14ac:dyDescent="0.2">
      <c r="G360" s="171"/>
      <c r="H360" s="171"/>
      <c r="J360" s="202"/>
      <c r="K360" s="202"/>
      <c r="L360" s="202"/>
      <c r="M360" s="202"/>
      <c r="N360" s="202"/>
      <c r="O360" s="202"/>
      <c r="P360" s="202"/>
      <c r="Q360" s="202"/>
      <c r="R360" s="201"/>
      <c r="S360" s="202"/>
      <c r="T360" s="202"/>
      <c r="U360" s="96"/>
    </row>
    <row r="361" spans="2:21" s="93" customFormat="1" x14ac:dyDescent="0.2">
      <c r="B361" s="94" t="s">
        <v>14</v>
      </c>
      <c r="G361" s="171"/>
      <c r="H361" s="171"/>
      <c r="J361" s="202"/>
      <c r="K361" s="202"/>
      <c r="L361" s="202"/>
      <c r="M361" s="202"/>
      <c r="N361" s="202"/>
      <c r="O361" s="202"/>
      <c r="P361" s="202"/>
      <c r="Q361" s="202"/>
      <c r="R361" s="201"/>
      <c r="S361" s="202"/>
      <c r="T361" s="202"/>
      <c r="U361" s="96"/>
    </row>
    <row r="362" spans="2:21" s="93" customFormat="1" x14ac:dyDescent="0.2">
      <c r="B362" s="93" t="s">
        <v>15</v>
      </c>
      <c r="F362" s="93" t="s">
        <v>113</v>
      </c>
      <c r="G362" s="171"/>
      <c r="H362" s="171"/>
      <c r="J362" s="198">
        <f>SUM(L362:S362)</f>
        <v>2375764.3548311829</v>
      </c>
      <c r="K362" s="176"/>
      <c r="L362" s="200">
        <f>'3) Input operationele kosten'!L127</f>
        <v>15665</v>
      </c>
      <c r="M362" s="200">
        <f>'3) Input operationele kosten'!M127</f>
        <v>510929.81146439636</v>
      </c>
      <c r="N362" s="200">
        <f>'3) Input operationele kosten'!N127</f>
        <v>1510526.2607223389</v>
      </c>
      <c r="O362" s="200">
        <f>'3) Input operationele kosten'!O127</f>
        <v>20624.22</v>
      </c>
      <c r="P362" s="200">
        <f>'3) Input operationele kosten'!P127</f>
        <v>299070.4126444477</v>
      </c>
      <c r="Q362" s="200">
        <f>'3) Input operationele kosten'!Q127</f>
        <v>75</v>
      </c>
      <c r="R362" s="201"/>
      <c r="S362" s="200">
        <f>'3) Input operationele kosten'!S127</f>
        <v>18873.650000000001</v>
      </c>
      <c r="T362" s="176"/>
    </row>
    <row r="363" spans="2:21" s="93" customFormat="1" x14ac:dyDescent="0.2">
      <c r="B363" s="93" t="s">
        <v>16</v>
      </c>
      <c r="F363" s="93" t="s">
        <v>113</v>
      </c>
      <c r="G363" s="171"/>
      <c r="H363" s="171"/>
      <c r="J363" s="198">
        <f t="shared" ref="J363:J365" si="119">SUM(L363:S363)</f>
        <v>416494.34692316508</v>
      </c>
      <c r="K363" s="176"/>
      <c r="L363" s="200">
        <f>'3) Input operationele kosten'!L128</f>
        <v>889</v>
      </c>
      <c r="M363" s="200">
        <f>'3) Input operationele kosten'!M128</f>
        <v>77754.376996859792</v>
      </c>
      <c r="N363" s="200">
        <f>'3) Input operationele kosten'!N128</f>
        <v>0</v>
      </c>
      <c r="O363" s="200">
        <f>'3) Input operationele kosten'!O128</f>
        <v>6642.5</v>
      </c>
      <c r="P363" s="200">
        <f>'3) Input operationele kosten'!P128</f>
        <v>285133.45992630528</v>
      </c>
      <c r="Q363" s="200">
        <f>'3) Input operationele kosten'!Q128</f>
        <v>46075.01</v>
      </c>
      <c r="R363" s="201"/>
      <c r="S363" s="200">
        <f>'3) Input operationele kosten'!S128</f>
        <v>0</v>
      </c>
      <c r="T363" s="176"/>
    </row>
    <row r="364" spans="2:21" s="93" customFormat="1" x14ac:dyDescent="0.2">
      <c r="B364" s="93" t="s">
        <v>17</v>
      </c>
      <c r="F364" s="93" t="s">
        <v>113</v>
      </c>
      <c r="G364" s="171"/>
      <c r="H364" s="171"/>
      <c r="J364" s="198">
        <f t="shared" si="119"/>
        <v>1204404.8304110526</v>
      </c>
      <c r="K364" s="176"/>
      <c r="L364" s="200">
        <f>'3) Input operationele kosten'!L129</f>
        <v>7061</v>
      </c>
      <c r="M364" s="200">
        <f>'3) Input operationele kosten'!M129</f>
        <v>251455.70554135545</v>
      </c>
      <c r="N364" s="200">
        <f>'3) Input operationele kosten'!N129</f>
        <v>486846.29014649033</v>
      </c>
      <c r="O364" s="200">
        <f>'3) Input operationele kosten'!O129</f>
        <v>3492.28</v>
      </c>
      <c r="P364" s="200">
        <f>'3) Input operationele kosten'!P129</f>
        <v>422616.79433364916</v>
      </c>
      <c r="Q364" s="200">
        <f>'3) Input operationele kosten'!Q129</f>
        <v>3669.0116957581686</v>
      </c>
      <c r="R364" s="201"/>
      <c r="S364" s="200">
        <f>'3) Input operationele kosten'!S129</f>
        <v>29263.748693799349</v>
      </c>
      <c r="T364" s="176"/>
    </row>
    <row r="365" spans="2:21" s="93" customFormat="1" x14ac:dyDescent="0.2">
      <c r="B365" s="93" t="s">
        <v>18</v>
      </c>
      <c r="F365" s="93" t="s">
        <v>113</v>
      </c>
      <c r="G365" s="171"/>
      <c r="H365" s="171"/>
      <c r="J365" s="198">
        <f t="shared" si="119"/>
        <v>18505396.806453541</v>
      </c>
      <c r="K365" s="176"/>
      <c r="L365" s="200">
        <f>'3) Input operationele kosten'!L130</f>
        <v>0</v>
      </c>
      <c r="M365" s="200">
        <f>'3) Input operationele kosten'!M130</f>
        <v>1487835.211569943</v>
      </c>
      <c r="N365" s="200">
        <f>'3) Input operationele kosten'!N130</f>
        <v>15863052.839556817</v>
      </c>
      <c r="O365" s="200">
        <f>'3) Input operationele kosten'!O130</f>
        <v>0</v>
      </c>
      <c r="P365" s="200">
        <f>'3) Input operationele kosten'!P130</f>
        <v>580508.75532678096</v>
      </c>
      <c r="Q365" s="200">
        <f>'3) Input operationele kosten'!Q130</f>
        <v>0</v>
      </c>
      <c r="R365" s="201"/>
      <c r="S365" s="200">
        <f>'3) Input operationele kosten'!S130</f>
        <v>574000</v>
      </c>
      <c r="T365" s="176"/>
    </row>
    <row r="366" spans="2:21" s="104" customFormat="1" x14ac:dyDescent="0.2">
      <c r="G366" s="180"/>
      <c r="H366" s="180"/>
      <c r="J366" s="202"/>
      <c r="K366" s="203"/>
      <c r="L366" s="203"/>
      <c r="M366" s="203"/>
      <c r="N366" s="203"/>
      <c r="O366" s="203"/>
      <c r="P366" s="203"/>
      <c r="Q366" s="203"/>
      <c r="R366" s="201"/>
      <c r="S366" s="203"/>
      <c r="T366" s="203"/>
    </row>
    <row r="367" spans="2:21" s="104" customFormat="1" x14ac:dyDescent="0.2">
      <c r="B367" s="97" t="s">
        <v>21</v>
      </c>
      <c r="G367" s="180"/>
      <c r="H367" s="180"/>
      <c r="J367" s="202"/>
      <c r="K367" s="203"/>
      <c r="L367" s="203"/>
      <c r="M367" s="203"/>
      <c r="N367" s="203"/>
      <c r="O367" s="203"/>
      <c r="P367" s="203"/>
      <c r="Q367" s="203"/>
      <c r="R367" s="201"/>
      <c r="S367" s="203"/>
      <c r="T367" s="203"/>
    </row>
    <row r="368" spans="2:21" s="104" customFormat="1" x14ac:dyDescent="0.2">
      <c r="B368" s="100" t="s">
        <v>76</v>
      </c>
      <c r="C368" s="101"/>
      <c r="D368" s="101"/>
      <c r="E368" s="101"/>
      <c r="F368" s="103"/>
      <c r="G368" s="180"/>
      <c r="H368" s="103"/>
      <c r="J368" s="202"/>
      <c r="K368" s="203"/>
      <c r="L368" s="203"/>
      <c r="M368" s="203"/>
      <c r="N368" s="203"/>
      <c r="O368" s="203"/>
      <c r="P368" s="203"/>
      <c r="Q368" s="203"/>
      <c r="R368" s="201"/>
      <c r="S368" s="203"/>
      <c r="T368" s="203"/>
    </row>
    <row r="369" spans="2:20" s="104" customFormat="1" x14ac:dyDescent="0.2">
      <c r="B369" s="101" t="s">
        <v>22</v>
      </c>
      <c r="C369" s="101"/>
      <c r="D369" s="101"/>
      <c r="E369" s="101"/>
      <c r="F369" s="103" t="s">
        <v>113</v>
      </c>
      <c r="G369" s="180"/>
      <c r="H369" s="103"/>
      <c r="J369" s="198">
        <f>SUM(L369:S369)</f>
        <v>5101016.5625323569</v>
      </c>
      <c r="K369" s="203"/>
      <c r="L369" s="200">
        <f>'5) Overige opbrengsten'!L224</f>
        <v>36240.49</v>
      </c>
      <c r="M369" s="200">
        <f>'5) Overige opbrengsten'!M224</f>
        <v>2000860.33</v>
      </c>
      <c r="N369" s="200">
        <f>'5) Overige opbrengsten'!N224</f>
        <v>1857186.5815323568</v>
      </c>
      <c r="O369" s="200">
        <f>'5) Overige opbrengsten'!O224</f>
        <v>29425.48</v>
      </c>
      <c r="P369" s="200">
        <f>'5) Overige opbrengsten'!P224</f>
        <v>1115409.3400000001</v>
      </c>
      <c r="Q369" s="200">
        <f>'5) Overige opbrengsten'!Q224</f>
        <v>1226.22</v>
      </c>
      <c r="R369" s="201"/>
      <c r="S369" s="200">
        <f>'5) Overige opbrengsten'!S224</f>
        <v>60668.121000000014</v>
      </c>
      <c r="T369" s="203"/>
    </row>
    <row r="370" spans="2:20" s="104" customFormat="1" x14ac:dyDescent="0.2">
      <c r="B370" s="101" t="s">
        <v>23</v>
      </c>
      <c r="C370" s="101"/>
      <c r="D370" s="101"/>
      <c r="E370" s="101"/>
      <c r="F370" s="103" t="s">
        <v>113</v>
      </c>
      <c r="G370" s="180"/>
      <c r="H370" s="103"/>
      <c r="J370" s="198">
        <f t="shared" ref="J370:J377" si="120">SUM(L370:S370)</f>
        <v>1449509.8690988463</v>
      </c>
      <c r="K370" s="203"/>
      <c r="L370" s="200">
        <f>'5) Overige opbrengsten'!L225</f>
        <v>26993.229999999996</v>
      </c>
      <c r="M370" s="200">
        <f>'5) Overige opbrengsten'!M225</f>
        <v>610706.25799751165</v>
      </c>
      <c r="N370" s="200">
        <f>'5) Overige opbrengsten'!N225</f>
        <v>298248.73210133665</v>
      </c>
      <c r="O370" s="200">
        <f>'5) Overige opbrengsten'!O225</f>
        <v>0</v>
      </c>
      <c r="P370" s="200">
        <f>'5) Overige opbrengsten'!P225</f>
        <v>510368.58999999822</v>
      </c>
      <c r="Q370" s="200">
        <f>'5) Overige opbrengsten'!Q225</f>
        <v>0</v>
      </c>
      <c r="R370" s="201"/>
      <c r="S370" s="200">
        <f>'5) Overige opbrengsten'!S225</f>
        <v>3193.0590000000011</v>
      </c>
      <c r="T370" s="203"/>
    </row>
    <row r="371" spans="2:20" s="104" customFormat="1" x14ac:dyDescent="0.2">
      <c r="B371" s="101" t="s">
        <v>28</v>
      </c>
      <c r="C371" s="101"/>
      <c r="D371" s="101"/>
      <c r="E371" s="101"/>
      <c r="F371" s="103" t="s">
        <v>113</v>
      </c>
      <c r="G371" s="180"/>
      <c r="H371" s="103"/>
      <c r="J371" s="198">
        <f t="shared" si="120"/>
        <v>11231473.347020928</v>
      </c>
      <c r="K371" s="203"/>
      <c r="L371" s="200">
        <f>'5) Overige opbrengsten'!L226</f>
        <v>82281.759999999995</v>
      </c>
      <c r="M371" s="200">
        <f>'5) Overige opbrengsten'!M226</f>
        <v>3209494.3199999994</v>
      </c>
      <c r="N371" s="200">
        <f>'5) Overige opbrengsten'!N226</f>
        <v>5286023.46</v>
      </c>
      <c r="O371" s="200">
        <f>'5) Overige opbrengsten'!O226</f>
        <v>119439.7</v>
      </c>
      <c r="P371" s="200">
        <f>'5) Overige opbrengsten'!P226</f>
        <v>2224460.7273028726</v>
      </c>
      <c r="Q371" s="200">
        <f>'5) Overige opbrengsten'!Q226</f>
        <v>94594.569999999978</v>
      </c>
      <c r="R371" s="201"/>
      <c r="S371" s="200">
        <f>'5) Overige opbrengsten'!S226</f>
        <v>215178.80971805722</v>
      </c>
      <c r="T371" s="203"/>
    </row>
    <row r="372" spans="2:20" s="104" customFormat="1" x14ac:dyDescent="0.2">
      <c r="B372" s="101" t="s">
        <v>29</v>
      </c>
      <c r="C372" s="101"/>
      <c r="D372" s="101"/>
      <c r="E372" s="101"/>
      <c r="F372" s="103" t="s">
        <v>113</v>
      </c>
      <c r="G372" s="180"/>
      <c r="H372" s="103"/>
      <c r="J372" s="198">
        <f t="shared" si="120"/>
        <v>2339741.3400000054</v>
      </c>
      <c r="K372" s="203"/>
      <c r="L372" s="200">
        <f>'5) Overige opbrengsten'!L227</f>
        <v>0</v>
      </c>
      <c r="M372" s="200">
        <f>'5) Overige opbrengsten'!M227</f>
        <v>0</v>
      </c>
      <c r="N372" s="200">
        <f>'5) Overige opbrengsten'!N227</f>
        <v>1509146.8</v>
      </c>
      <c r="O372" s="200">
        <f>'5) Overige opbrengsten'!O227</f>
        <v>9874.65</v>
      </c>
      <c r="P372" s="200">
        <f>'5) Overige opbrengsten'!P227</f>
        <v>820426.83728480549</v>
      </c>
      <c r="Q372" s="200">
        <f>'5) Overige opbrengsten'!Q227</f>
        <v>293.05271520000002</v>
      </c>
      <c r="R372" s="201"/>
      <c r="S372" s="200">
        <f>'5) Overige opbrengsten'!S227</f>
        <v>0</v>
      </c>
      <c r="T372" s="203"/>
    </row>
    <row r="373" spans="2:20" s="104" customFormat="1" x14ac:dyDescent="0.2">
      <c r="B373" s="101" t="s">
        <v>30</v>
      </c>
      <c r="C373" s="101"/>
      <c r="D373" s="101"/>
      <c r="E373" s="101"/>
      <c r="F373" s="103" t="s">
        <v>113</v>
      </c>
      <c r="G373" s="180"/>
      <c r="H373" s="103"/>
      <c r="J373" s="198">
        <f t="shared" si="120"/>
        <v>342954.3</v>
      </c>
      <c r="K373" s="203"/>
      <c r="L373" s="200">
        <f>'5) Overige opbrengsten'!L228</f>
        <v>0</v>
      </c>
      <c r="M373" s="200">
        <f>'5) Overige opbrengsten'!M228</f>
        <v>0</v>
      </c>
      <c r="N373" s="200">
        <f>'5) Overige opbrengsten'!N228</f>
        <v>342938.08</v>
      </c>
      <c r="O373" s="200">
        <f>'5) Overige opbrengsten'!O228</f>
        <v>16.22</v>
      </c>
      <c r="P373" s="200">
        <f>'5) Overige opbrengsten'!P228</f>
        <v>0</v>
      </c>
      <c r="Q373" s="200">
        <f>'5) Overige opbrengsten'!Q228</f>
        <v>0</v>
      </c>
      <c r="R373" s="201"/>
      <c r="S373" s="200">
        <f>'5) Overige opbrengsten'!S228</f>
        <v>0</v>
      </c>
      <c r="T373" s="203"/>
    </row>
    <row r="374" spans="2:20" s="104" customFormat="1" x14ac:dyDescent="0.2">
      <c r="B374" s="101" t="s">
        <v>31</v>
      </c>
      <c r="C374" s="101"/>
      <c r="D374" s="101"/>
      <c r="E374" s="101"/>
      <c r="F374" s="103" t="s">
        <v>113</v>
      </c>
      <c r="G374" s="180"/>
      <c r="H374" s="103"/>
      <c r="J374" s="198">
        <f t="shared" si="120"/>
        <v>2866896.7199999997</v>
      </c>
      <c r="K374" s="203"/>
      <c r="L374" s="200">
        <f>'5) Overige opbrengsten'!L229</f>
        <v>0</v>
      </c>
      <c r="M374" s="200">
        <f>'5) Overige opbrengsten'!M229</f>
        <v>0</v>
      </c>
      <c r="N374" s="200">
        <f>'5) Overige opbrengsten'!N229</f>
        <v>2839239.3299999996</v>
      </c>
      <c r="O374" s="200">
        <f>'5) Overige opbrengsten'!O229</f>
        <v>27657.39</v>
      </c>
      <c r="P374" s="200">
        <f>'5) Overige opbrengsten'!P229</f>
        <v>0</v>
      </c>
      <c r="Q374" s="200">
        <f>'5) Overige opbrengsten'!Q229</f>
        <v>0</v>
      </c>
      <c r="R374" s="201"/>
      <c r="S374" s="200">
        <f>'5) Overige opbrengsten'!S229</f>
        <v>0</v>
      </c>
      <c r="T374" s="203"/>
    </row>
    <row r="375" spans="2:20" s="104" customFormat="1" x14ac:dyDescent="0.2">
      <c r="B375" s="101" t="s">
        <v>32</v>
      </c>
      <c r="C375" s="101"/>
      <c r="D375" s="101"/>
      <c r="E375" s="101"/>
      <c r="F375" s="103" t="s">
        <v>113</v>
      </c>
      <c r="G375" s="180"/>
      <c r="H375" s="103"/>
      <c r="J375" s="198">
        <f t="shared" si="120"/>
        <v>4968081</v>
      </c>
      <c r="K375" s="203"/>
      <c r="L375" s="200">
        <f>'5) Overige opbrengsten'!L230</f>
        <v>0</v>
      </c>
      <c r="M375" s="200">
        <f>'5) Overige opbrengsten'!M230</f>
        <v>0</v>
      </c>
      <c r="N375" s="200">
        <f>'5) Overige opbrengsten'!N230</f>
        <v>4968081</v>
      </c>
      <c r="O375" s="200">
        <f>'5) Overige opbrengsten'!O230</f>
        <v>0</v>
      </c>
      <c r="P375" s="200">
        <f>'5) Overige opbrengsten'!P230</f>
        <v>0</v>
      </c>
      <c r="Q375" s="200">
        <f>'5) Overige opbrengsten'!Q230</f>
        <v>0</v>
      </c>
      <c r="R375" s="201"/>
      <c r="S375" s="200">
        <f>'5) Overige opbrengsten'!S230</f>
        <v>0</v>
      </c>
      <c r="T375" s="203"/>
    </row>
    <row r="376" spans="2:20" s="104" customFormat="1" x14ac:dyDescent="0.2">
      <c r="B376" s="101" t="s">
        <v>33</v>
      </c>
      <c r="C376" s="101"/>
      <c r="D376" s="101"/>
      <c r="E376" s="101"/>
      <c r="F376" s="103" t="s">
        <v>113</v>
      </c>
      <c r="G376" s="180"/>
      <c r="H376" s="103"/>
      <c r="J376" s="198">
        <f t="shared" si="120"/>
        <v>1030464.9923774879</v>
      </c>
      <c r="K376" s="203"/>
      <c r="L376" s="200">
        <f>'5) Overige opbrengsten'!L231</f>
        <v>0</v>
      </c>
      <c r="M376" s="200">
        <f>'5) Overige opbrengsten'!M231</f>
        <v>0</v>
      </c>
      <c r="N376" s="200">
        <f>'5) Overige opbrengsten'!N231</f>
        <v>1030464.9923774879</v>
      </c>
      <c r="O376" s="200">
        <f>'5) Overige opbrengsten'!O231</f>
        <v>0</v>
      </c>
      <c r="P376" s="200">
        <f>'5) Overige opbrengsten'!P231</f>
        <v>0</v>
      </c>
      <c r="Q376" s="200">
        <f>'5) Overige opbrengsten'!Q231</f>
        <v>0</v>
      </c>
      <c r="R376" s="201"/>
      <c r="S376" s="200">
        <f>'5) Overige opbrengsten'!S231</f>
        <v>0</v>
      </c>
      <c r="T376" s="203"/>
    </row>
    <row r="377" spans="2:20" s="104" customFormat="1" x14ac:dyDescent="0.2">
      <c r="B377" s="101" t="s">
        <v>34</v>
      </c>
      <c r="C377" s="101"/>
      <c r="D377" s="101"/>
      <c r="E377" s="101"/>
      <c r="F377" s="103" t="s">
        <v>113</v>
      </c>
      <c r="G377" s="180"/>
      <c r="H377" s="103"/>
      <c r="J377" s="198">
        <f t="shared" si="120"/>
        <v>3301873.41</v>
      </c>
      <c r="K377" s="203"/>
      <c r="L377" s="200">
        <f>'5) Overige opbrengsten'!L232</f>
        <v>0</v>
      </c>
      <c r="M377" s="200">
        <f>'5) Overige opbrengsten'!M232</f>
        <v>0</v>
      </c>
      <c r="N377" s="200">
        <f>'5) Overige opbrengsten'!N232</f>
        <v>3301873.41</v>
      </c>
      <c r="O377" s="200">
        <f>'5) Overige opbrengsten'!O232</f>
        <v>0</v>
      </c>
      <c r="P377" s="200">
        <f>'5) Overige opbrengsten'!P232</f>
        <v>0</v>
      </c>
      <c r="Q377" s="200">
        <f>'5) Overige opbrengsten'!Q232</f>
        <v>0</v>
      </c>
      <c r="R377" s="201"/>
      <c r="S377" s="200">
        <f>'5) Overige opbrengsten'!S232</f>
        <v>0</v>
      </c>
      <c r="T377" s="203"/>
    </row>
    <row r="378" spans="2:20" s="104" customFormat="1" x14ac:dyDescent="0.2">
      <c r="G378" s="180"/>
      <c r="H378" s="180"/>
      <c r="J378" s="202"/>
      <c r="K378" s="203"/>
      <c r="L378" s="203"/>
      <c r="M378" s="203"/>
      <c r="N378" s="203"/>
      <c r="O378" s="203"/>
      <c r="P378" s="203"/>
      <c r="Q378" s="203"/>
      <c r="R378" s="201"/>
      <c r="S378" s="203"/>
      <c r="T378" s="203"/>
    </row>
    <row r="379" spans="2:20" s="104" customFormat="1" x14ac:dyDescent="0.2">
      <c r="B379" s="100" t="s">
        <v>70</v>
      </c>
      <c r="C379" s="101"/>
      <c r="D379" s="101"/>
      <c r="E379" s="101"/>
      <c r="F379" s="103"/>
      <c r="G379" s="180"/>
      <c r="H379" s="103"/>
      <c r="J379" s="202"/>
      <c r="K379" s="203"/>
      <c r="L379" s="203"/>
      <c r="M379" s="203"/>
      <c r="N379" s="203"/>
      <c r="O379" s="203"/>
      <c r="P379" s="203"/>
      <c r="Q379" s="203"/>
      <c r="R379" s="201"/>
      <c r="S379" s="203"/>
      <c r="T379" s="203"/>
    </row>
    <row r="380" spans="2:20" s="104" customFormat="1" x14ac:dyDescent="0.2">
      <c r="B380" s="101" t="s">
        <v>71</v>
      </c>
      <c r="C380" s="101"/>
      <c r="D380" s="101"/>
      <c r="E380" s="101"/>
      <c r="F380" s="103" t="s">
        <v>113</v>
      </c>
      <c r="G380" s="180"/>
      <c r="H380" s="103"/>
      <c r="J380" s="198">
        <f t="shared" ref="J380" si="121">SUM(L380:S380)</f>
        <v>1312324.159425704</v>
      </c>
      <c r="K380" s="203"/>
      <c r="L380" s="200">
        <f>'5) Overige opbrengsten'!L235</f>
        <v>-4169</v>
      </c>
      <c r="M380" s="200">
        <f>'5) Overige opbrengsten'!M235</f>
        <v>290040.94000000012</v>
      </c>
      <c r="N380" s="200">
        <f>'5) Overige opbrengsten'!N235</f>
        <v>421585.68862570322</v>
      </c>
      <c r="O380" s="200">
        <f>'5) Overige opbrengsten'!O235</f>
        <v>163.27000000000001</v>
      </c>
      <c r="P380" s="200">
        <f>'5) Overige opbrengsten'!P235</f>
        <v>693027.69000000088</v>
      </c>
      <c r="Q380" s="200">
        <f>'5) Overige opbrengsten'!Q235</f>
        <v>-88324.429200000042</v>
      </c>
      <c r="R380" s="201"/>
      <c r="S380" s="200">
        <f>'5) Overige opbrengsten'!S235</f>
        <v>0</v>
      </c>
      <c r="T380" s="203"/>
    </row>
    <row r="381" spans="2:20" s="104" customFormat="1" x14ac:dyDescent="0.2">
      <c r="B381" s="93"/>
      <c r="C381" s="101"/>
      <c r="D381" s="101"/>
      <c r="E381" s="101"/>
      <c r="F381" s="103"/>
      <c r="G381" s="180"/>
      <c r="H381" s="103"/>
      <c r="J381" s="202"/>
      <c r="K381" s="203"/>
      <c r="L381" s="203"/>
      <c r="M381" s="203"/>
      <c r="N381" s="203"/>
      <c r="O381" s="203"/>
      <c r="P381" s="203"/>
      <c r="Q381" s="203"/>
      <c r="R381" s="201"/>
      <c r="S381" s="203"/>
      <c r="T381" s="203"/>
    </row>
    <row r="382" spans="2:20" s="104" customFormat="1" x14ac:dyDescent="0.2">
      <c r="B382" s="94" t="s">
        <v>24</v>
      </c>
      <c r="C382" s="101"/>
      <c r="D382" s="101"/>
      <c r="E382" s="101"/>
      <c r="G382" s="180"/>
      <c r="H382" s="180"/>
      <c r="J382" s="202"/>
      <c r="K382" s="203"/>
      <c r="L382" s="203"/>
      <c r="M382" s="203"/>
      <c r="N382" s="203"/>
      <c r="O382" s="203"/>
      <c r="P382" s="203"/>
      <c r="Q382" s="203"/>
      <c r="R382" s="201"/>
      <c r="S382" s="203"/>
      <c r="T382" s="203"/>
    </row>
    <row r="383" spans="2:20" s="104" customFormat="1" x14ac:dyDescent="0.2">
      <c r="B383" s="93" t="s">
        <v>25</v>
      </c>
      <c r="C383" s="101"/>
      <c r="D383" s="101"/>
      <c r="E383" s="101"/>
      <c r="F383" s="103" t="s">
        <v>113</v>
      </c>
      <c r="G383" s="180"/>
      <c r="H383" s="103"/>
      <c r="J383" s="198">
        <f t="shared" ref="J383:J384" si="122">SUM(L383:S383)</f>
        <v>5550423.7606465323</v>
      </c>
      <c r="K383" s="203"/>
      <c r="L383" s="200">
        <f>'5) Overige opbrengsten'!L213</f>
        <v>40360.289999999986</v>
      </c>
      <c r="M383" s="200">
        <f>'5) Overige opbrengsten'!M213</f>
        <v>785776.98170159629</v>
      </c>
      <c r="N383" s="200">
        <f>'5) Overige opbrengsten'!N213</f>
        <v>4419318.4800000004</v>
      </c>
      <c r="O383" s="200">
        <f>'5) Overige opbrengsten'!O213</f>
        <v>12491.25</v>
      </c>
      <c r="P383" s="200">
        <f>'5) Overige opbrengsten'!P213</f>
        <v>248772.45894493579</v>
      </c>
      <c r="Q383" s="200">
        <f>'5) Overige opbrengsten'!Q213</f>
        <v>10187.29999999999</v>
      </c>
      <c r="R383" s="201"/>
      <c r="S383" s="200">
        <f>'5) Overige opbrengsten'!S213</f>
        <v>33517</v>
      </c>
      <c r="T383" s="203"/>
    </row>
    <row r="384" spans="2:20" s="104" customFormat="1" x14ac:dyDescent="0.2">
      <c r="B384" s="93" t="s">
        <v>26</v>
      </c>
      <c r="C384" s="101"/>
      <c r="D384" s="101"/>
      <c r="E384" s="101"/>
      <c r="F384" s="103" t="s">
        <v>113</v>
      </c>
      <c r="G384" s="180"/>
      <c r="H384" s="103"/>
      <c r="J384" s="198">
        <f t="shared" si="122"/>
        <v>86334535.179535553</v>
      </c>
      <c r="K384" s="203"/>
      <c r="L384" s="200">
        <f>'5) Overige opbrengsten'!L221</f>
        <v>272557.4595</v>
      </c>
      <c r="M384" s="200">
        <f>'5) Overige opbrengsten'!M221</f>
        <v>28320691.015259985</v>
      </c>
      <c r="N384" s="200">
        <f>'5) Overige opbrengsten'!N221</f>
        <v>32462208.416112904</v>
      </c>
      <c r="O384" s="200">
        <f>'5) Overige opbrengsten'!O221</f>
        <v>1221272.22</v>
      </c>
      <c r="P384" s="200">
        <f>'5) Overige opbrengsten'!P221</f>
        <v>19939849.878662679</v>
      </c>
      <c r="Q384" s="200">
        <f>'5) Overige opbrengsten'!Q221</f>
        <v>2291723.4199999925</v>
      </c>
      <c r="R384" s="201"/>
      <c r="S384" s="200">
        <f>'5) Overige opbrengsten'!S221</f>
        <v>1826232.77</v>
      </c>
      <c r="T384" s="203"/>
    </row>
    <row r="385" spans="2:20" s="104" customFormat="1" x14ac:dyDescent="0.2">
      <c r="B385" s="93"/>
      <c r="C385" s="101"/>
      <c r="D385" s="101"/>
      <c r="E385" s="101"/>
      <c r="F385" s="103"/>
      <c r="G385" s="180"/>
      <c r="H385" s="103"/>
      <c r="J385" s="202"/>
      <c r="K385" s="203"/>
      <c r="L385" s="203"/>
      <c r="M385" s="203"/>
      <c r="N385" s="203"/>
      <c r="O385" s="203"/>
      <c r="P385" s="203"/>
      <c r="Q385" s="203"/>
      <c r="R385" s="201"/>
      <c r="S385" s="203"/>
      <c r="T385" s="203"/>
    </row>
    <row r="386" spans="2:20" s="104" customFormat="1" x14ac:dyDescent="0.2">
      <c r="B386" s="94" t="s">
        <v>27</v>
      </c>
      <c r="C386" s="101"/>
      <c r="D386" s="101"/>
      <c r="E386" s="101"/>
      <c r="F386" s="103"/>
      <c r="G386" s="180"/>
      <c r="H386" s="103"/>
      <c r="J386" s="202"/>
      <c r="K386" s="203"/>
      <c r="L386" s="203"/>
      <c r="M386" s="203"/>
      <c r="N386" s="203"/>
      <c r="O386" s="203"/>
      <c r="P386" s="203"/>
      <c r="Q386" s="203"/>
      <c r="R386" s="201"/>
      <c r="S386" s="203"/>
      <c r="T386" s="203"/>
    </row>
    <row r="387" spans="2:20" s="104" customFormat="1" x14ac:dyDescent="0.2">
      <c r="B387" s="93" t="s">
        <v>25</v>
      </c>
      <c r="C387" s="101"/>
      <c r="D387" s="101"/>
      <c r="E387" s="101"/>
      <c r="F387" s="103" t="s">
        <v>113</v>
      </c>
      <c r="G387" s="180"/>
      <c r="H387" s="103"/>
      <c r="J387" s="198">
        <f t="shared" ref="J387" si="123">SUM(L387:S387)</f>
        <v>5516164.5106465323</v>
      </c>
      <c r="K387" s="203"/>
      <c r="L387" s="200">
        <f>'5) Overige opbrengsten'!L206</f>
        <v>6101.0399999999991</v>
      </c>
      <c r="M387" s="200">
        <f>'5) Overige opbrengsten'!M206</f>
        <v>785776.98170159629</v>
      </c>
      <c r="N387" s="200">
        <f>'5) Overige opbrengsten'!N206</f>
        <v>4419318.4800000004</v>
      </c>
      <c r="O387" s="200">
        <f>'5) Overige opbrengsten'!O206</f>
        <v>12491.25</v>
      </c>
      <c r="P387" s="200">
        <f>'5) Overige opbrengsten'!P206</f>
        <v>248772.45894493579</v>
      </c>
      <c r="Q387" s="200">
        <f>'5) Overige opbrengsten'!Q206</f>
        <v>10187.29999999999</v>
      </c>
      <c r="R387" s="201"/>
      <c r="S387" s="200">
        <f>'5) Overige opbrengsten'!S206</f>
        <v>33517</v>
      </c>
      <c r="T387" s="203"/>
    </row>
    <row r="388" spans="2:20" s="104" customFormat="1" x14ac:dyDescent="0.2">
      <c r="G388" s="180"/>
      <c r="H388" s="180"/>
      <c r="J388" s="202"/>
      <c r="K388" s="203"/>
      <c r="L388" s="203"/>
      <c r="M388" s="203"/>
      <c r="N388" s="203"/>
      <c r="O388" s="203"/>
      <c r="P388" s="203"/>
      <c r="Q388" s="203"/>
      <c r="R388" s="201"/>
      <c r="S388" s="203"/>
      <c r="T388" s="203"/>
    </row>
    <row r="389" spans="2:20" s="104" customFormat="1" ht="15" x14ac:dyDescent="0.2">
      <c r="B389" s="40" t="s">
        <v>133</v>
      </c>
      <c r="G389" s="180"/>
      <c r="H389" s="180"/>
      <c r="J389" s="202"/>
      <c r="K389" s="203"/>
      <c r="L389" s="203"/>
      <c r="M389" s="203"/>
      <c r="N389" s="203"/>
      <c r="O389" s="203"/>
      <c r="P389" s="203"/>
      <c r="Q389" s="203"/>
      <c r="R389" s="201"/>
      <c r="S389" s="203"/>
      <c r="T389" s="203"/>
    </row>
    <row r="390" spans="2:20" s="104" customFormat="1" x14ac:dyDescent="0.2">
      <c r="B390" s="94" t="s">
        <v>6</v>
      </c>
      <c r="C390" s="93"/>
      <c r="D390" s="93"/>
      <c r="E390" s="93"/>
      <c r="F390" s="93"/>
      <c r="G390" s="180"/>
      <c r="H390" s="171"/>
      <c r="J390" s="202"/>
      <c r="K390" s="203"/>
      <c r="L390" s="203"/>
      <c r="M390" s="203"/>
      <c r="N390" s="203"/>
      <c r="O390" s="203"/>
      <c r="P390" s="203"/>
      <c r="Q390" s="203"/>
      <c r="R390" s="201"/>
      <c r="S390" s="203"/>
      <c r="T390" s="203"/>
    </row>
    <row r="391" spans="2:20" s="104" customFormat="1" x14ac:dyDescent="0.2">
      <c r="B391" s="93" t="s">
        <v>7</v>
      </c>
      <c r="C391" s="93"/>
      <c r="D391" s="93"/>
      <c r="E391" s="93"/>
      <c r="F391" s="93" t="s">
        <v>113</v>
      </c>
      <c r="G391" s="180"/>
      <c r="H391" s="171"/>
      <c r="J391" s="198">
        <f t="shared" ref="J391:J394" si="124">SUM(L391:S391)</f>
        <v>465420816.10954553</v>
      </c>
      <c r="K391" s="203"/>
      <c r="L391" s="226">
        <f>L351</f>
        <v>0</v>
      </c>
      <c r="M391" s="226">
        <f t="shared" ref="M391:Q391" si="125">M351</f>
        <v>175023294.79228497</v>
      </c>
      <c r="N391" s="226">
        <f t="shared" si="125"/>
        <v>164565239.51024771</v>
      </c>
      <c r="O391" s="226">
        <f t="shared" si="125"/>
        <v>0</v>
      </c>
      <c r="P391" s="226">
        <f t="shared" si="125"/>
        <v>104498125.38999999</v>
      </c>
      <c r="Q391" s="226">
        <f t="shared" si="125"/>
        <v>9819939.0299999993</v>
      </c>
      <c r="R391" s="189"/>
      <c r="S391" s="226">
        <f t="shared" ref="S391" si="126">S351</f>
        <v>11514217.387012923</v>
      </c>
      <c r="T391" s="203"/>
    </row>
    <row r="392" spans="2:20" s="104" customFormat="1" x14ac:dyDescent="0.2">
      <c r="B392" s="93" t="s">
        <v>8</v>
      </c>
      <c r="C392" s="93"/>
      <c r="D392" s="93"/>
      <c r="E392" s="93"/>
      <c r="F392" s="93" t="s">
        <v>113</v>
      </c>
      <c r="G392" s="180"/>
      <c r="H392" s="171"/>
      <c r="J392" s="198">
        <f t="shared" si="124"/>
        <v>7864049.9298979724</v>
      </c>
      <c r="K392" s="203"/>
      <c r="L392" s="226">
        <f>L352</f>
        <v>2758814.2709009191</v>
      </c>
      <c r="M392" s="226">
        <f t="shared" ref="M392:Q392" si="127">M352</f>
        <v>129715.74041966468</v>
      </c>
      <c r="N392" s="226">
        <f t="shared" si="127"/>
        <v>899508.05424312444</v>
      </c>
      <c r="O392" s="226">
        <f t="shared" si="127"/>
        <v>1876196.0459502104</v>
      </c>
      <c r="P392" s="226">
        <f t="shared" si="127"/>
        <v>1969772.9895196047</v>
      </c>
      <c r="Q392" s="226">
        <f t="shared" si="127"/>
        <v>230042.8288644487</v>
      </c>
      <c r="R392" s="189"/>
      <c r="S392" s="226">
        <f t="shared" ref="S392" si="128">S352</f>
        <v>0</v>
      </c>
      <c r="T392" s="203"/>
    </row>
    <row r="393" spans="2:20" s="104" customFormat="1" x14ac:dyDescent="0.2">
      <c r="B393" s="93" t="s">
        <v>9</v>
      </c>
      <c r="C393" s="93"/>
      <c r="D393" s="93"/>
      <c r="E393" s="93"/>
      <c r="F393" s="93" t="s">
        <v>113</v>
      </c>
      <c r="G393" s="180"/>
      <c r="H393" s="171"/>
      <c r="J393" s="198">
        <f t="shared" si="124"/>
        <v>147238808.96894312</v>
      </c>
      <c r="K393" s="203"/>
      <c r="L393" s="188">
        <f>L353-SUM(L369:L370,L380)</f>
        <v>638983.28</v>
      </c>
      <c r="M393" s="188">
        <f t="shared" ref="M393:Q393" si="129">M353-SUM(M369:M370,M380)</f>
        <v>56446878.492002495</v>
      </c>
      <c r="N393" s="188">
        <f t="shared" si="129"/>
        <v>58082129.107740603</v>
      </c>
      <c r="O393" s="188">
        <f t="shared" si="129"/>
        <v>402523.98</v>
      </c>
      <c r="P393" s="188">
        <f t="shared" si="129"/>
        <v>24447770.100000001</v>
      </c>
      <c r="Q393" s="188">
        <f t="shared" si="129"/>
        <v>2890740.2891999995</v>
      </c>
      <c r="R393" s="189"/>
      <c r="S393" s="188">
        <f t="shared" ref="S393" si="130">S353-SUM(S369:S370,S380)</f>
        <v>4329783.72</v>
      </c>
      <c r="T393" s="203"/>
    </row>
    <row r="394" spans="2:20" s="104" customFormat="1" x14ac:dyDescent="0.2">
      <c r="B394" s="93" t="s">
        <v>10</v>
      </c>
      <c r="C394" s="93"/>
      <c r="D394" s="93"/>
      <c r="E394" s="93"/>
      <c r="F394" s="93" t="s">
        <v>113</v>
      </c>
      <c r="G394" s="180"/>
      <c r="H394" s="171"/>
      <c r="J394" s="198">
        <f t="shared" si="124"/>
        <v>0</v>
      </c>
      <c r="K394" s="203"/>
      <c r="L394" s="226">
        <f>L354</f>
        <v>0</v>
      </c>
      <c r="M394" s="226">
        <f t="shared" ref="M394:Q394" si="131">M354</f>
        <v>0</v>
      </c>
      <c r="N394" s="226">
        <f t="shared" si="131"/>
        <v>0</v>
      </c>
      <c r="O394" s="226">
        <f t="shared" si="131"/>
        <v>0</v>
      </c>
      <c r="P394" s="226">
        <f t="shared" si="131"/>
        <v>0</v>
      </c>
      <c r="Q394" s="226">
        <f t="shared" si="131"/>
        <v>0</v>
      </c>
      <c r="R394" s="189"/>
      <c r="S394" s="226">
        <f t="shared" ref="S394" si="132">S354</f>
        <v>0</v>
      </c>
      <c r="T394" s="203"/>
    </row>
    <row r="395" spans="2:20" s="104" customFormat="1" x14ac:dyDescent="0.2">
      <c r="B395" s="93"/>
      <c r="C395" s="93"/>
      <c r="D395" s="93"/>
      <c r="E395" s="93"/>
      <c r="F395" s="93"/>
      <c r="G395" s="180"/>
      <c r="H395" s="171"/>
      <c r="J395" s="202"/>
      <c r="K395" s="203"/>
      <c r="L395" s="185"/>
      <c r="M395" s="185"/>
      <c r="N395" s="185"/>
      <c r="O395" s="185"/>
      <c r="P395" s="185"/>
      <c r="Q395" s="185"/>
      <c r="R395" s="190"/>
      <c r="S395" s="185"/>
      <c r="T395" s="203"/>
    </row>
    <row r="396" spans="2:20" s="104" customFormat="1" x14ac:dyDescent="0.2">
      <c r="B396" s="94" t="s">
        <v>11</v>
      </c>
      <c r="C396" s="93"/>
      <c r="D396" s="93"/>
      <c r="E396" s="93"/>
      <c r="F396" s="93"/>
      <c r="G396" s="180"/>
      <c r="H396" s="171"/>
      <c r="J396" s="202"/>
      <c r="K396" s="203"/>
      <c r="L396" s="185"/>
      <c r="M396" s="185"/>
      <c r="N396" s="185"/>
      <c r="O396" s="185"/>
      <c r="P396" s="185"/>
      <c r="Q396" s="185"/>
      <c r="R396" s="190"/>
      <c r="S396" s="185"/>
      <c r="T396" s="203"/>
    </row>
    <row r="397" spans="2:20" s="104" customFormat="1" x14ac:dyDescent="0.2">
      <c r="B397" s="93" t="s">
        <v>12</v>
      </c>
      <c r="C397" s="93"/>
      <c r="D397" s="93"/>
      <c r="E397" s="93"/>
      <c r="F397" s="93" t="s">
        <v>113</v>
      </c>
      <c r="G397" s="180"/>
      <c r="H397" s="171"/>
      <c r="J397" s="198">
        <f t="shared" ref="J397:J399" si="133">SUM(L397:S397)</f>
        <v>987267531.58284974</v>
      </c>
      <c r="K397" s="203"/>
      <c r="L397" s="188">
        <f>L357-SUM(L371:L377)+L383-L384-L387</f>
        <v>5511987.0305000003</v>
      </c>
      <c r="M397" s="188">
        <f t="shared" ref="M397:Q397" si="134">M357-SUM(M371:M377)+M383-M384-M387</f>
        <v>320779152.80983704</v>
      </c>
      <c r="N397" s="188">
        <f t="shared" si="134"/>
        <v>400229883.00036699</v>
      </c>
      <c r="O397" s="188">
        <f t="shared" si="134"/>
        <v>2718538.6100000003</v>
      </c>
      <c r="P397" s="188">
        <f t="shared" si="134"/>
        <v>216710650.88308913</v>
      </c>
      <c r="Q397" s="188">
        <f t="shared" si="134"/>
        <v>12557974.85339373</v>
      </c>
      <c r="R397" s="189"/>
      <c r="S397" s="188">
        <f>S357-SUM(S371:S377)+S383-S384-S387</f>
        <v>28759344.395662926</v>
      </c>
      <c r="T397" s="203"/>
    </row>
    <row r="398" spans="2:20" s="180" customFormat="1" x14ac:dyDescent="0.2">
      <c r="B398" s="171" t="s">
        <v>430</v>
      </c>
      <c r="C398" s="171"/>
      <c r="D398" s="171"/>
      <c r="E398" s="171"/>
      <c r="F398" s="171" t="s">
        <v>113</v>
      </c>
      <c r="H398" s="171"/>
      <c r="J398" s="198">
        <f t="shared" si="133"/>
        <v>1104995.7848515217</v>
      </c>
      <c r="K398" s="203"/>
      <c r="L398" s="226">
        <f>L358</f>
        <v>4931</v>
      </c>
      <c r="M398" s="226">
        <f t="shared" ref="M398:Q398" si="135">M358</f>
        <v>453440.41626742348</v>
      </c>
      <c r="N398" s="226">
        <f t="shared" si="135"/>
        <v>377681.38418154651</v>
      </c>
      <c r="O398" s="226">
        <f t="shared" si="135"/>
        <v>3626.78</v>
      </c>
      <c r="P398" s="226">
        <f t="shared" si="135"/>
        <v>220697.88393371747</v>
      </c>
      <c r="Q398" s="226">
        <f t="shared" si="135"/>
        <v>16365.120468834499</v>
      </c>
      <c r="R398" s="189"/>
      <c r="S398" s="226">
        <f>S358</f>
        <v>28253.200000000001</v>
      </c>
      <c r="T398" s="203"/>
    </row>
    <row r="399" spans="2:20" s="104" customFormat="1" x14ac:dyDescent="0.2">
      <c r="B399" s="93" t="s">
        <v>13</v>
      </c>
      <c r="C399" s="93"/>
      <c r="D399" s="93"/>
      <c r="E399" s="93"/>
      <c r="F399" s="93" t="s">
        <v>113</v>
      </c>
      <c r="G399" s="180"/>
      <c r="H399" s="171"/>
      <c r="J399" s="198">
        <f t="shared" si="133"/>
        <v>4120350.7</v>
      </c>
      <c r="K399" s="203"/>
      <c r="L399" s="226">
        <f>L359</f>
        <v>24595</v>
      </c>
      <c r="M399" s="226">
        <f t="shared" ref="M399:Q399" si="136">M359</f>
        <v>1244906</v>
      </c>
      <c r="N399" s="226">
        <f t="shared" si="136"/>
        <v>1401938</v>
      </c>
      <c r="O399" s="226">
        <f t="shared" si="136"/>
        <v>492529.7</v>
      </c>
      <c r="P399" s="226">
        <f t="shared" si="136"/>
        <v>929895</v>
      </c>
      <c r="Q399" s="226">
        <f t="shared" si="136"/>
        <v>26487</v>
      </c>
      <c r="R399" s="189"/>
      <c r="S399" s="226">
        <f>S359</f>
        <v>0</v>
      </c>
      <c r="T399" s="203"/>
    </row>
    <row r="400" spans="2:20" s="104" customFormat="1" x14ac:dyDescent="0.2">
      <c r="B400" s="93"/>
      <c r="C400" s="93"/>
      <c r="D400" s="93"/>
      <c r="E400" s="93"/>
      <c r="F400" s="93"/>
      <c r="G400" s="180"/>
      <c r="H400" s="171"/>
      <c r="J400" s="202"/>
      <c r="K400" s="203"/>
      <c r="L400" s="185"/>
      <c r="M400" s="185"/>
      <c r="N400" s="185"/>
      <c r="O400" s="185"/>
      <c r="P400" s="185"/>
      <c r="Q400" s="185"/>
      <c r="R400" s="190"/>
      <c r="S400" s="185"/>
      <c r="T400" s="203"/>
    </row>
    <row r="401" spans="2:21" s="104" customFormat="1" x14ac:dyDescent="0.2">
      <c r="B401" s="94" t="s">
        <v>14</v>
      </c>
      <c r="C401" s="93"/>
      <c r="D401" s="93"/>
      <c r="E401" s="93"/>
      <c r="F401" s="93"/>
      <c r="G401" s="171"/>
      <c r="H401" s="171"/>
      <c r="I401" s="93"/>
      <c r="J401" s="202"/>
      <c r="K401" s="176"/>
      <c r="L401" s="185"/>
      <c r="M401" s="185"/>
      <c r="N401" s="185"/>
      <c r="O401" s="185"/>
      <c r="P401" s="185"/>
      <c r="Q401" s="185"/>
      <c r="R401" s="190"/>
      <c r="S401" s="185"/>
      <c r="T401" s="176"/>
      <c r="U401" s="93"/>
    </row>
    <row r="402" spans="2:21" s="104" customFormat="1" x14ac:dyDescent="0.2">
      <c r="B402" s="93" t="s">
        <v>15</v>
      </c>
      <c r="C402" s="93"/>
      <c r="D402" s="93"/>
      <c r="E402" s="93"/>
      <c r="F402" s="93" t="s">
        <v>113</v>
      </c>
      <c r="G402" s="180"/>
      <c r="H402" s="171"/>
      <c r="J402" s="198">
        <f t="shared" ref="J402:J405" si="137">SUM(L402:S402)</f>
        <v>2375764.3548311829</v>
      </c>
      <c r="K402" s="203"/>
      <c r="L402" s="226">
        <f>L362</f>
        <v>15665</v>
      </c>
      <c r="M402" s="226">
        <f t="shared" ref="M402:Q402" si="138">M362</f>
        <v>510929.81146439636</v>
      </c>
      <c r="N402" s="226">
        <f t="shared" si="138"/>
        <v>1510526.2607223389</v>
      </c>
      <c r="O402" s="226">
        <f t="shared" si="138"/>
        <v>20624.22</v>
      </c>
      <c r="P402" s="226">
        <f t="shared" si="138"/>
        <v>299070.4126444477</v>
      </c>
      <c r="Q402" s="226">
        <f t="shared" si="138"/>
        <v>75</v>
      </c>
      <c r="R402" s="189"/>
      <c r="S402" s="226">
        <f>S362</f>
        <v>18873.650000000001</v>
      </c>
      <c r="T402" s="203"/>
    </row>
    <row r="403" spans="2:21" s="104" customFormat="1" x14ac:dyDescent="0.2">
      <c r="B403" s="93" t="s">
        <v>16</v>
      </c>
      <c r="C403" s="93"/>
      <c r="D403" s="93"/>
      <c r="E403" s="93"/>
      <c r="F403" s="93" t="s">
        <v>113</v>
      </c>
      <c r="G403" s="180"/>
      <c r="H403" s="171"/>
      <c r="J403" s="198">
        <f t="shared" si="137"/>
        <v>416494.34692316508</v>
      </c>
      <c r="K403" s="203"/>
      <c r="L403" s="226">
        <f>L363</f>
        <v>889</v>
      </c>
      <c r="M403" s="226">
        <f t="shared" ref="M403:Q403" si="139">M363</f>
        <v>77754.376996859792</v>
      </c>
      <c r="N403" s="226">
        <f t="shared" si="139"/>
        <v>0</v>
      </c>
      <c r="O403" s="226">
        <f t="shared" si="139"/>
        <v>6642.5</v>
      </c>
      <c r="P403" s="226">
        <f t="shared" si="139"/>
        <v>285133.45992630528</v>
      </c>
      <c r="Q403" s="226">
        <f t="shared" si="139"/>
        <v>46075.01</v>
      </c>
      <c r="R403" s="189"/>
      <c r="S403" s="226">
        <f>S363</f>
        <v>0</v>
      </c>
      <c r="T403" s="203"/>
    </row>
    <row r="404" spans="2:21" s="104" customFormat="1" x14ac:dyDescent="0.2">
      <c r="B404" s="93" t="s">
        <v>17</v>
      </c>
      <c r="C404" s="93"/>
      <c r="D404" s="93"/>
      <c r="E404" s="93"/>
      <c r="F404" s="93" t="s">
        <v>113</v>
      </c>
      <c r="G404" s="180"/>
      <c r="H404" s="171"/>
      <c r="J404" s="198">
        <f t="shared" si="137"/>
        <v>1204404.8304110526</v>
      </c>
      <c r="K404" s="203"/>
      <c r="L404" s="226">
        <f>L364</f>
        <v>7061</v>
      </c>
      <c r="M404" s="226">
        <f t="shared" ref="M404:Q404" si="140">M364</f>
        <v>251455.70554135545</v>
      </c>
      <c r="N404" s="226">
        <f t="shared" si="140"/>
        <v>486846.29014649033</v>
      </c>
      <c r="O404" s="226">
        <f t="shared" si="140"/>
        <v>3492.28</v>
      </c>
      <c r="P404" s="226">
        <f t="shared" si="140"/>
        <v>422616.79433364916</v>
      </c>
      <c r="Q404" s="226">
        <f t="shared" si="140"/>
        <v>3669.0116957581686</v>
      </c>
      <c r="R404" s="189"/>
      <c r="S404" s="226">
        <f>S364</f>
        <v>29263.748693799349</v>
      </c>
      <c r="T404" s="203"/>
    </row>
    <row r="405" spans="2:21" s="104" customFormat="1" x14ac:dyDescent="0.2">
      <c r="B405" s="93" t="s">
        <v>18</v>
      </c>
      <c r="C405" s="93"/>
      <c r="D405" s="93"/>
      <c r="E405" s="93"/>
      <c r="F405" s="93" t="s">
        <v>113</v>
      </c>
      <c r="G405" s="180"/>
      <c r="H405" s="171"/>
      <c r="J405" s="198">
        <f t="shared" si="137"/>
        <v>18505396.806453541</v>
      </c>
      <c r="K405" s="203"/>
      <c r="L405" s="226">
        <f>L365</f>
        <v>0</v>
      </c>
      <c r="M405" s="226">
        <f t="shared" ref="M405:Q405" si="141">M365</f>
        <v>1487835.211569943</v>
      </c>
      <c r="N405" s="226">
        <f t="shared" si="141"/>
        <v>15863052.839556817</v>
      </c>
      <c r="O405" s="226">
        <f t="shared" si="141"/>
        <v>0</v>
      </c>
      <c r="P405" s="226">
        <f t="shared" si="141"/>
        <v>580508.75532678096</v>
      </c>
      <c r="Q405" s="226">
        <f t="shared" si="141"/>
        <v>0</v>
      </c>
      <c r="R405" s="189"/>
      <c r="S405" s="226">
        <f>S365</f>
        <v>574000</v>
      </c>
      <c r="T405" s="203"/>
    </row>
    <row r="406" spans="2:21" s="104" customFormat="1" x14ac:dyDescent="0.2">
      <c r="G406" s="180"/>
      <c r="H406" s="180"/>
      <c r="J406" s="202"/>
      <c r="K406" s="203"/>
      <c r="L406" s="203"/>
      <c r="M406" s="203"/>
      <c r="N406" s="203"/>
      <c r="O406" s="203"/>
      <c r="P406" s="203"/>
      <c r="Q406" s="203"/>
      <c r="R406" s="201"/>
      <c r="S406" s="203"/>
      <c r="T406" s="203"/>
    </row>
    <row r="407" spans="2:21" s="104" customFormat="1" ht="15" x14ac:dyDescent="0.2">
      <c r="B407" s="40" t="s">
        <v>132</v>
      </c>
      <c r="G407" s="180"/>
      <c r="H407" s="180"/>
      <c r="J407" s="202"/>
      <c r="K407" s="203"/>
      <c r="L407" s="203"/>
      <c r="M407" s="203"/>
      <c r="N407" s="203"/>
      <c r="O407" s="203"/>
      <c r="P407" s="203"/>
      <c r="Q407" s="203"/>
      <c r="R407" s="201"/>
      <c r="S407" s="203"/>
      <c r="T407" s="203"/>
    </row>
    <row r="408" spans="2:21" s="104" customFormat="1" x14ac:dyDescent="0.2">
      <c r="B408" s="94" t="s">
        <v>77</v>
      </c>
      <c r="G408" s="180"/>
      <c r="H408" s="180"/>
      <c r="J408" s="202"/>
      <c r="K408" s="203"/>
      <c r="L408" s="203"/>
      <c r="M408" s="203"/>
      <c r="N408" s="203"/>
      <c r="O408" s="203"/>
      <c r="P408" s="203"/>
      <c r="Q408" s="203"/>
      <c r="R408" s="201"/>
      <c r="S408" s="203"/>
      <c r="T408" s="203"/>
    </row>
    <row r="409" spans="2:21" s="104" customFormat="1" x14ac:dyDescent="0.2">
      <c r="B409" s="99" t="s">
        <v>112</v>
      </c>
      <c r="C409" s="93"/>
      <c r="D409" s="99" t="s">
        <v>434</v>
      </c>
      <c r="F409" s="93" t="s">
        <v>113</v>
      </c>
      <c r="G409" s="180"/>
      <c r="H409" s="171"/>
      <c r="J409" s="198">
        <f>SUM(L409:Q409)</f>
        <v>1162233747.3752635</v>
      </c>
      <c r="K409" s="203"/>
      <c r="L409" s="199">
        <f>SUM(L393:L394,L397:L399,L402:L405)</f>
        <v>6204111.3105000006</v>
      </c>
      <c r="M409" s="199">
        <f>SUM(M393:M394,M397:M399,M402:M405)</f>
        <v>381252352.82367951</v>
      </c>
      <c r="N409" s="199">
        <f>SUM(N393:N394,N397:N399,N402:N405)</f>
        <v>477952056.88271475</v>
      </c>
      <c r="O409" s="199">
        <f>SUM(O393:O394,O397:O399,O402:O405)</f>
        <v>3647978.0700000003</v>
      </c>
      <c r="P409" s="182">
        <f>SUM(P393:P394,P397:P399,P402:P405)+SUM(S393:S394,S397:S399,S402:S405)</f>
        <v>277635862.00361073</v>
      </c>
      <c r="Q409" s="199">
        <f>SUM(Q393:Q394,Q397:Q399,Q402:Q405)</f>
        <v>15541386.284758322</v>
      </c>
      <c r="R409" s="201"/>
      <c r="S409" s="204"/>
      <c r="T409" s="203"/>
      <c r="U409" s="88" t="s">
        <v>645</v>
      </c>
    </row>
    <row r="410" spans="2:21" s="104" customFormat="1" x14ac:dyDescent="0.2">
      <c r="B410" s="99" t="s">
        <v>114</v>
      </c>
      <c r="C410" s="93"/>
      <c r="D410" s="93"/>
      <c r="F410" s="93" t="s">
        <v>113</v>
      </c>
      <c r="G410" s="180"/>
      <c r="H410" s="171"/>
      <c r="J410" s="198">
        <f>SUM(L410:Q410)</f>
        <v>473284866.03944355</v>
      </c>
      <c r="K410" s="203"/>
      <c r="L410" s="199">
        <f>SUM(L391:L392)</f>
        <v>2758814.2709009191</v>
      </c>
      <c r="M410" s="199">
        <f>SUM(M391:M392)</f>
        <v>175153010.53270462</v>
      </c>
      <c r="N410" s="199">
        <f t="shared" ref="N410:O410" si="142">SUM(N391:N392)</f>
        <v>165464747.56449082</v>
      </c>
      <c r="O410" s="199">
        <f t="shared" si="142"/>
        <v>1876196.0459502104</v>
      </c>
      <c r="P410" s="182">
        <f>SUM(P391:P392)+SUM(S391:S392)</f>
        <v>117982115.76653253</v>
      </c>
      <c r="Q410" s="199">
        <f t="shared" ref="Q410" si="143">SUM(Q391:Q392)</f>
        <v>10049981.858864449</v>
      </c>
      <c r="R410" s="201"/>
      <c r="S410" s="204"/>
      <c r="T410" s="203"/>
    </row>
    <row r="411" spans="2:21" s="104" customFormat="1" ht="15" x14ac:dyDescent="0.2">
      <c r="B411" s="40"/>
      <c r="G411" s="180"/>
      <c r="H411" s="180"/>
      <c r="J411" s="202"/>
      <c r="K411" s="203"/>
      <c r="L411" s="176"/>
      <c r="M411" s="176"/>
      <c r="N411" s="176"/>
      <c r="O411" s="176"/>
      <c r="P411" s="176"/>
      <c r="Q411" s="176"/>
      <c r="R411" s="201"/>
      <c r="S411" s="205"/>
      <c r="T411" s="203"/>
    </row>
    <row r="412" spans="2:21" s="104" customFormat="1" x14ac:dyDescent="0.2">
      <c r="B412" s="94" t="s">
        <v>134</v>
      </c>
      <c r="G412" s="180"/>
      <c r="H412" s="180"/>
      <c r="J412" s="203"/>
      <c r="K412" s="203"/>
      <c r="L412" s="176"/>
      <c r="M412" s="176"/>
      <c r="N412" s="176"/>
      <c r="O412" s="176"/>
      <c r="P412" s="176"/>
      <c r="Q412" s="176"/>
      <c r="R412" s="201"/>
      <c r="S412" s="204"/>
      <c r="T412" s="203"/>
    </row>
    <row r="413" spans="2:21" s="104" customFormat="1" x14ac:dyDescent="0.2">
      <c r="B413" s="99" t="s">
        <v>112</v>
      </c>
      <c r="D413" s="185" t="s">
        <v>433</v>
      </c>
      <c r="F413" s="93" t="s">
        <v>113</v>
      </c>
      <c r="G413" s="180"/>
      <c r="H413" s="171"/>
      <c r="J413" s="198">
        <f>SUM(L413:Q413)</f>
        <v>1162233747.3752635</v>
      </c>
      <c r="K413" s="203"/>
      <c r="L413" s="199">
        <f>SUM(L393:L394,L397:L399,L402:L405)</f>
        <v>6204111.3105000006</v>
      </c>
      <c r="M413" s="199">
        <f>SUM(M393:M394,M397:M399,M402:M405)</f>
        <v>381252352.82367951</v>
      </c>
      <c r="N413" s="199">
        <f>SUM(N393:N394,N397:N399,N402:N405)</f>
        <v>477952056.88271475</v>
      </c>
      <c r="O413" s="199">
        <f>SUM(O393:O394,O397:O399,O402:O405)</f>
        <v>3647978.0700000003</v>
      </c>
      <c r="P413" s="182">
        <f>SUM(P393:P394,P397:P399,P402:P405)+SUM(S393:S394,S397:S399,S402:S405)</f>
        <v>277635862.00361073</v>
      </c>
      <c r="Q413" s="199">
        <f>SUM(Q393:Q394,Q397:Q399,Q402:Q405)</f>
        <v>15541386.284758322</v>
      </c>
      <c r="R413" s="201"/>
      <c r="S413" s="203"/>
      <c r="T413" s="203"/>
      <c r="U413" s="88" t="s">
        <v>645</v>
      </c>
    </row>
    <row r="414" spans="2:21" s="104" customFormat="1" x14ac:dyDescent="0.2">
      <c r="G414" s="180"/>
      <c r="H414" s="180"/>
      <c r="J414" s="203"/>
      <c r="K414" s="203"/>
      <c r="L414" s="203"/>
      <c r="M414" s="203"/>
      <c r="N414" s="203"/>
      <c r="O414" s="203"/>
      <c r="P414" s="203"/>
      <c r="Q414" s="203"/>
      <c r="R414" s="201"/>
      <c r="S414" s="203"/>
      <c r="T414" s="203"/>
    </row>
    <row r="415" spans="2:21" x14ac:dyDescent="0.2">
      <c r="J415" s="203"/>
      <c r="K415" s="203"/>
      <c r="L415" s="203"/>
      <c r="M415" s="203"/>
      <c r="N415" s="203"/>
      <c r="O415" s="203"/>
      <c r="P415" s="203"/>
      <c r="Q415" s="203"/>
      <c r="R415" s="201"/>
      <c r="S415" s="203"/>
      <c r="T415" s="203"/>
    </row>
    <row r="416" spans="2:21" x14ac:dyDescent="0.2">
      <c r="J416" s="203"/>
      <c r="K416" s="203"/>
      <c r="L416" s="203"/>
      <c r="M416" s="203"/>
      <c r="N416" s="203"/>
      <c r="O416" s="203"/>
      <c r="P416" s="203"/>
      <c r="Q416" s="203"/>
      <c r="R416" s="201"/>
      <c r="S416" s="203"/>
      <c r="T416" s="203"/>
    </row>
    <row r="417" spans="10:20" x14ac:dyDescent="0.2">
      <c r="J417" s="203"/>
      <c r="K417" s="203"/>
      <c r="L417" s="203"/>
      <c r="M417" s="203"/>
      <c r="N417" s="203"/>
      <c r="O417" s="203"/>
      <c r="P417" s="203"/>
      <c r="Q417" s="203"/>
      <c r="R417" s="201"/>
      <c r="S417" s="203"/>
      <c r="T417" s="203"/>
    </row>
  </sheetData>
  <mergeCells count="3">
    <mergeCell ref="B5:D5"/>
    <mergeCell ref="B8:D8"/>
    <mergeCell ref="B9:F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5">
    <tabColor rgb="FFFFFFCC"/>
  </sheetPr>
  <dimension ref="A1:X297"/>
  <sheetViews>
    <sheetView showGridLines="0" zoomScale="85" zoomScaleNormal="85" workbookViewId="0">
      <pane xSplit="6" ySplit="11" topLeftCell="G12" activePane="bottomRight" state="frozen"/>
      <selection pane="topRight" activeCell="G1" sqref="G1"/>
      <selection pane="bottomLeft" activeCell="A11" sqref="A11"/>
      <selection pane="bottomRight" activeCell="G12" sqref="G12"/>
    </sheetView>
  </sheetViews>
  <sheetFormatPr defaultRowHeight="14.25" x14ac:dyDescent="0.2"/>
  <cols>
    <col min="1" max="1" width="2.7109375" style="15" customWidth="1"/>
    <col min="2" max="2" width="64.7109375" style="15" customWidth="1"/>
    <col min="3" max="3" width="2.7109375" style="15" customWidth="1"/>
    <col min="4" max="4" width="18.42578125" style="15" customWidth="1"/>
    <col min="5" max="5" width="2.7109375" style="15" customWidth="1"/>
    <col min="6" max="6" width="13.7109375" style="15" customWidth="1"/>
    <col min="7" max="7" width="2.7109375" style="180" customWidth="1"/>
    <col min="8" max="8" width="13.7109375" style="180" customWidth="1"/>
    <col min="9" max="9" width="2.7109375" style="15" customWidth="1"/>
    <col min="10" max="10" width="15" style="15" customWidth="1"/>
    <col min="11" max="11" width="2.7109375" style="15" customWidth="1"/>
    <col min="12" max="17" width="13.7109375" style="15" customWidth="1"/>
    <col min="18" max="18" width="2.7109375" style="15" customWidth="1"/>
    <col min="19" max="19" width="13.7109375" style="15" customWidth="1"/>
    <col min="20" max="20" width="2.7109375" style="15" customWidth="1"/>
    <col min="21" max="22" width="13.7109375" style="180" customWidth="1"/>
    <col min="23" max="23" width="2.7109375" style="15" customWidth="1"/>
    <col min="24" max="24" width="18" style="15" customWidth="1"/>
    <col min="25" max="25" width="5.28515625" style="15" customWidth="1"/>
    <col min="26" max="16384" width="9.140625" style="15"/>
  </cols>
  <sheetData>
    <row r="1" spans="1:24" s="93" customFormat="1" ht="12.75" x14ac:dyDescent="0.2">
      <c r="A1" s="17"/>
      <c r="B1" s="17"/>
      <c r="C1" s="17"/>
      <c r="D1" s="17"/>
      <c r="E1" s="17"/>
      <c r="F1" s="17"/>
      <c r="G1" s="17"/>
      <c r="H1" s="17"/>
      <c r="I1" s="17"/>
      <c r="J1" s="17"/>
      <c r="K1" s="17"/>
      <c r="L1" s="17"/>
      <c r="M1" s="17"/>
      <c r="N1" s="17"/>
      <c r="O1" s="17"/>
      <c r="P1" s="17"/>
      <c r="Q1" s="17"/>
      <c r="R1" s="43"/>
      <c r="S1" s="17"/>
      <c r="T1" s="17"/>
      <c r="U1" s="17"/>
      <c r="V1" s="17"/>
    </row>
    <row r="2" spans="1:24" s="18" customFormat="1" ht="18" x14ac:dyDescent="0.2">
      <c r="B2" s="18" t="s">
        <v>575</v>
      </c>
    </row>
    <row r="3" spans="1:24" s="93" customFormat="1" ht="12.75" x14ac:dyDescent="0.2">
      <c r="A3" s="17"/>
      <c r="B3" s="17"/>
      <c r="C3" s="17"/>
      <c r="D3" s="17"/>
      <c r="E3" s="17"/>
      <c r="F3" s="17"/>
      <c r="G3" s="17"/>
      <c r="H3" s="17"/>
      <c r="I3" s="17"/>
      <c r="J3" s="17"/>
      <c r="K3" s="17"/>
      <c r="L3" s="17"/>
      <c r="M3" s="17"/>
      <c r="N3" s="17"/>
      <c r="O3" s="17"/>
      <c r="P3" s="17"/>
      <c r="Q3" s="17"/>
      <c r="R3" s="43"/>
      <c r="S3" s="17"/>
      <c r="T3" s="17"/>
      <c r="U3" s="17"/>
      <c r="V3" s="17"/>
    </row>
    <row r="4" spans="1:24" s="93" customFormat="1" ht="12.75" x14ac:dyDescent="0.2">
      <c r="A4" s="17"/>
      <c r="B4" s="19" t="s">
        <v>596</v>
      </c>
      <c r="C4" s="17"/>
      <c r="D4" s="17"/>
      <c r="E4" s="17"/>
      <c r="F4" s="17"/>
      <c r="G4" s="17"/>
      <c r="H4" s="17"/>
      <c r="I4" s="17"/>
      <c r="J4" s="17"/>
      <c r="K4" s="20"/>
      <c r="L4" s="20"/>
      <c r="M4" s="17"/>
      <c r="N4" s="17"/>
      <c r="O4" s="17"/>
      <c r="P4" s="17"/>
      <c r="Q4" s="17"/>
      <c r="R4" s="41"/>
      <c r="S4" s="17"/>
      <c r="T4" s="20"/>
      <c r="U4" s="17"/>
      <c r="V4" s="17"/>
    </row>
    <row r="5" spans="1:24" s="93" customFormat="1" ht="49.5" customHeight="1" x14ac:dyDescent="0.2">
      <c r="A5" s="17"/>
      <c r="B5" s="253" t="s">
        <v>610</v>
      </c>
      <c r="C5" s="253"/>
      <c r="D5" s="253"/>
      <c r="E5" s="253"/>
      <c r="F5" s="253"/>
      <c r="G5" s="17"/>
      <c r="H5" s="17"/>
      <c r="I5" s="17"/>
      <c r="J5" s="17"/>
      <c r="K5" s="17"/>
      <c r="L5" s="17"/>
      <c r="M5" s="17"/>
      <c r="N5" s="17"/>
      <c r="O5" s="17"/>
      <c r="P5" s="17"/>
      <c r="Q5" s="17"/>
      <c r="R5" s="43"/>
      <c r="S5" s="17"/>
      <c r="T5" s="17"/>
      <c r="U5" s="17"/>
      <c r="V5" s="17"/>
    </row>
    <row r="6" spans="1:24" s="171" customFormat="1" ht="12.75" x14ac:dyDescent="0.2">
      <c r="A6" s="17"/>
      <c r="B6" s="22"/>
      <c r="D6" s="31"/>
      <c r="E6" s="17"/>
      <c r="F6" s="17"/>
      <c r="G6" s="17"/>
      <c r="H6" s="17"/>
      <c r="I6" s="17"/>
      <c r="J6" s="17"/>
      <c r="K6" s="17"/>
      <c r="L6" s="17"/>
      <c r="M6" s="17"/>
      <c r="N6" s="17"/>
      <c r="O6" s="17"/>
      <c r="P6" s="17"/>
      <c r="Q6" s="17"/>
      <c r="R6" s="43"/>
      <c r="S6" s="17"/>
      <c r="T6" s="17"/>
      <c r="U6" s="17"/>
      <c r="V6" s="17"/>
    </row>
    <row r="7" spans="1:24" s="93" customFormat="1" ht="12.75" x14ac:dyDescent="0.2">
      <c r="A7" s="17"/>
      <c r="B7" s="22" t="s">
        <v>80</v>
      </c>
      <c r="D7" s="31"/>
      <c r="E7" s="17"/>
      <c r="F7" s="17"/>
      <c r="G7" s="17"/>
      <c r="H7" s="17"/>
      <c r="I7" s="17"/>
      <c r="J7" s="17"/>
      <c r="K7" s="17"/>
      <c r="L7" s="17"/>
      <c r="M7" s="17"/>
      <c r="N7" s="17"/>
      <c r="O7" s="17"/>
      <c r="P7" s="17"/>
      <c r="Q7" s="17"/>
      <c r="R7" s="43"/>
      <c r="S7" s="17"/>
      <c r="T7" s="17"/>
      <c r="U7" s="17"/>
      <c r="V7" s="17"/>
    </row>
    <row r="8" spans="1:24" s="93" customFormat="1" ht="62.25" customHeight="1" x14ac:dyDescent="0.2">
      <c r="B8" s="253" t="s">
        <v>611</v>
      </c>
      <c r="C8" s="253"/>
      <c r="D8" s="253"/>
      <c r="E8" s="253"/>
      <c r="F8" s="253"/>
      <c r="G8" s="31"/>
      <c r="H8" s="31"/>
      <c r="I8" s="31"/>
      <c r="J8" s="31"/>
      <c r="K8" s="31"/>
      <c r="L8" s="31"/>
      <c r="M8" s="31"/>
      <c r="N8" s="31"/>
      <c r="O8" s="31"/>
      <c r="P8" s="31"/>
      <c r="Q8" s="31"/>
      <c r="R8" s="46"/>
      <c r="S8" s="31"/>
      <c r="T8" s="31"/>
      <c r="U8" s="31"/>
      <c r="V8" s="31"/>
    </row>
    <row r="9" spans="1:24" s="171" customFormat="1" ht="25.5" customHeight="1" x14ac:dyDescent="0.2">
      <c r="B9" s="253" t="s">
        <v>612</v>
      </c>
      <c r="C9" s="253"/>
      <c r="D9" s="253"/>
      <c r="E9" s="253"/>
      <c r="F9" s="253"/>
      <c r="G9" s="31"/>
      <c r="H9" s="31"/>
      <c r="I9" s="31"/>
      <c r="J9" s="31"/>
      <c r="K9" s="31"/>
      <c r="L9" s="31"/>
      <c r="M9" s="31"/>
      <c r="N9" s="31"/>
      <c r="O9" s="31"/>
      <c r="P9" s="31"/>
      <c r="Q9" s="31"/>
      <c r="R9" s="46"/>
      <c r="S9" s="31"/>
    </row>
    <row r="10" spans="1:24" s="93" customFormat="1" ht="12.75" x14ac:dyDescent="0.2">
      <c r="G10" s="171"/>
      <c r="H10" s="171"/>
      <c r="R10" s="102"/>
      <c r="U10" s="171"/>
      <c r="V10" s="171"/>
    </row>
    <row r="11" spans="1:24" s="24" customFormat="1" ht="12.75" x14ac:dyDescent="0.2">
      <c r="B11" s="24" t="s">
        <v>81</v>
      </c>
      <c r="D11" s="24" t="s">
        <v>66</v>
      </c>
      <c r="F11" s="24" t="s">
        <v>0</v>
      </c>
      <c r="H11" s="24" t="s">
        <v>439</v>
      </c>
      <c r="J11" s="24" t="s">
        <v>440</v>
      </c>
      <c r="L11" s="24" t="s">
        <v>82</v>
      </c>
      <c r="M11" s="24" t="s">
        <v>1</v>
      </c>
      <c r="N11" s="24" t="s">
        <v>2</v>
      </c>
      <c r="O11" s="24" t="s">
        <v>3</v>
      </c>
      <c r="P11" s="24" t="s">
        <v>4</v>
      </c>
      <c r="Q11" s="24" t="s">
        <v>5</v>
      </c>
      <c r="S11" s="24" t="s">
        <v>35</v>
      </c>
      <c r="U11" s="24" t="s">
        <v>560</v>
      </c>
      <c r="V11" s="24" t="s">
        <v>652</v>
      </c>
      <c r="X11" s="24" t="s">
        <v>550</v>
      </c>
    </row>
    <row r="12" spans="1:24" s="3" customFormat="1" ht="12.75" x14ac:dyDescent="0.2">
      <c r="G12" s="171"/>
      <c r="H12" s="171"/>
      <c r="U12" s="171"/>
      <c r="V12" s="171"/>
    </row>
    <row r="13" spans="1:24" s="24" customFormat="1" ht="12.75" x14ac:dyDescent="0.2">
      <c r="B13" s="24" t="s">
        <v>145</v>
      </c>
    </row>
    <row r="14" spans="1:24" s="3" customFormat="1" ht="12.75" x14ac:dyDescent="0.2">
      <c r="G14" s="171"/>
      <c r="H14" s="171"/>
      <c r="U14" s="171"/>
      <c r="V14" s="171"/>
    </row>
    <row r="15" spans="1:24" s="3" customFormat="1" ht="12.75" x14ac:dyDescent="0.2">
      <c r="B15" s="94" t="s">
        <v>135</v>
      </c>
      <c r="C15" s="93"/>
      <c r="D15" s="93"/>
      <c r="E15" s="93"/>
      <c r="F15" s="93"/>
      <c r="G15" s="171"/>
      <c r="H15" s="171"/>
      <c r="I15" s="93"/>
      <c r="U15" s="171"/>
      <c r="V15" s="171"/>
    </row>
    <row r="16" spans="1:24" s="3" customFormat="1" ht="12.75" x14ac:dyDescent="0.2">
      <c r="B16" s="93" t="s">
        <v>138</v>
      </c>
      <c r="C16" s="93"/>
      <c r="D16" s="93"/>
      <c r="E16" s="93"/>
      <c r="F16" s="93" t="s">
        <v>63</v>
      </c>
      <c r="G16" s="171"/>
      <c r="H16" s="106">
        <f>'2) Reguleringsparameters'!H12</f>
        <v>2.1999999999999999E-2</v>
      </c>
      <c r="I16" s="93"/>
      <c r="J16" s="210"/>
      <c r="U16" s="171"/>
      <c r="V16" s="171"/>
    </row>
    <row r="17" spans="2:22" s="3" customFormat="1" ht="12.75" x14ac:dyDescent="0.2">
      <c r="B17" s="93" t="s">
        <v>139</v>
      </c>
      <c r="C17" s="93"/>
      <c r="D17" s="93"/>
      <c r="E17" s="93"/>
      <c r="F17" s="93" t="s">
        <v>63</v>
      </c>
      <c r="G17" s="171"/>
      <c r="H17" s="106">
        <f>'2) Reguleringsparameters'!H13</f>
        <v>1.9E-2</v>
      </c>
      <c r="I17" s="93"/>
      <c r="J17" s="210"/>
      <c r="U17" s="171"/>
      <c r="V17" s="171"/>
    </row>
    <row r="18" spans="2:22" s="3" customFormat="1" ht="12.75" x14ac:dyDescent="0.2">
      <c r="B18" s="93"/>
      <c r="C18" s="93"/>
      <c r="D18" s="93"/>
      <c r="E18" s="93"/>
      <c r="F18" s="93"/>
      <c r="G18" s="171"/>
      <c r="H18" s="171"/>
      <c r="I18" s="93"/>
      <c r="J18" s="87"/>
      <c r="U18" s="171"/>
      <c r="V18" s="171"/>
    </row>
    <row r="19" spans="2:22" s="3" customFormat="1" ht="12.75" x14ac:dyDescent="0.2">
      <c r="B19" s="94" t="s">
        <v>140</v>
      </c>
      <c r="C19" s="93"/>
      <c r="D19" s="93"/>
      <c r="E19" s="93"/>
      <c r="F19" s="93"/>
      <c r="G19" s="171"/>
      <c r="H19" s="171"/>
      <c r="I19" s="93"/>
      <c r="J19" s="87"/>
      <c r="U19" s="171"/>
      <c r="V19" s="171"/>
    </row>
    <row r="20" spans="2:22" s="3" customFormat="1" ht="12.75" x14ac:dyDescent="0.2">
      <c r="B20" s="93" t="s">
        <v>627</v>
      </c>
      <c r="C20" s="93"/>
      <c r="D20" s="93"/>
      <c r="E20" s="93"/>
      <c r="F20" s="93" t="s">
        <v>63</v>
      </c>
      <c r="G20" s="171"/>
      <c r="H20" s="106">
        <f>'2) Reguleringsparameters'!H24</f>
        <v>4.0499999999999994E-2</v>
      </c>
      <c r="I20" s="93"/>
      <c r="J20" s="210"/>
      <c r="U20" s="171"/>
      <c r="V20" s="171"/>
    </row>
    <row r="21" spans="2:22" s="3" customFormat="1" ht="12.75" x14ac:dyDescent="0.2">
      <c r="B21" s="93" t="s">
        <v>628</v>
      </c>
      <c r="C21" s="93"/>
      <c r="D21" s="93"/>
      <c r="E21" s="93"/>
      <c r="F21" s="93" t="s">
        <v>63</v>
      </c>
      <c r="G21" s="171"/>
      <c r="H21" s="106">
        <f>'2) Reguleringsparameters'!H25</f>
        <v>4.3499999999999997E-2</v>
      </c>
      <c r="I21" s="93"/>
      <c r="J21" s="210"/>
      <c r="U21" s="171"/>
      <c r="V21" s="171"/>
    </row>
    <row r="22" spans="2:22" s="3" customFormat="1" ht="12.75" x14ac:dyDescent="0.2">
      <c r="B22" s="93" t="s">
        <v>629</v>
      </c>
      <c r="C22" s="93"/>
      <c r="D22" s="93"/>
      <c r="E22" s="93"/>
      <c r="F22" s="93" t="s">
        <v>63</v>
      </c>
      <c r="G22" s="171"/>
      <c r="H22" s="106">
        <f>'2) Reguleringsparameters'!H26</f>
        <v>4.0499999999999994E-2</v>
      </c>
      <c r="I22" s="93"/>
      <c r="J22" s="210"/>
      <c r="U22" s="171"/>
      <c r="V22" s="171"/>
    </row>
    <row r="23" spans="2:22" s="3" customFormat="1" ht="12.75" x14ac:dyDescent="0.2">
      <c r="B23" s="93" t="s">
        <v>630</v>
      </c>
      <c r="C23" s="93"/>
      <c r="D23" s="93"/>
      <c r="E23" s="93"/>
      <c r="F23" s="93" t="s">
        <v>63</v>
      </c>
      <c r="G23" s="171"/>
      <c r="H23" s="106">
        <f>'2) Reguleringsparameters'!H27</f>
        <v>3.7499999999999992E-2</v>
      </c>
      <c r="I23" s="93"/>
      <c r="J23" s="210"/>
      <c r="U23" s="171"/>
      <c r="V23" s="171"/>
    </row>
    <row r="24" spans="2:22" s="3" customFormat="1" ht="12.75" x14ac:dyDescent="0.2">
      <c r="B24" s="93" t="s">
        <v>631</v>
      </c>
      <c r="C24" s="93"/>
      <c r="D24" s="93"/>
      <c r="E24" s="93"/>
      <c r="F24" s="93" t="s">
        <v>63</v>
      </c>
      <c r="G24" s="171"/>
      <c r="H24" s="106">
        <f>'2) Reguleringsparameters'!H28</f>
        <v>3.4499999999999989E-2</v>
      </c>
      <c r="I24" s="93"/>
      <c r="J24" s="210"/>
      <c r="U24" s="171"/>
      <c r="V24" s="171"/>
    </row>
    <row r="25" spans="2:22" s="3" customFormat="1" ht="12.75" x14ac:dyDescent="0.2">
      <c r="G25" s="171"/>
      <c r="H25" s="171"/>
      <c r="U25" s="171"/>
      <c r="V25" s="171"/>
    </row>
    <row r="26" spans="2:22" s="24" customFormat="1" ht="12.75" x14ac:dyDescent="0.2">
      <c r="B26" s="24" t="s">
        <v>146</v>
      </c>
    </row>
    <row r="27" spans="2:22" s="3" customFormat="1" ht="12" customHeight="1" x14ac:dyDescent="0.2">
      <c r="G27" s="171"/>
      <c r="H27" s="171"/>
      <c r="R27" s="93"/>
      <c r="U27" s="171"/>
      <c r="V27" s="171"/>
    </row>
    <row r="28" spans="2:22" s="93" customFormat="1" ht="12" customHeight="1" x14ac:dyDescent="0.2">
      <c r="B28" s="40" t="s">
        <v>131</v>
      </c>
      <c r="G28" s="171"/>
      <c r="H28" s="171"/>
      <c r="U28" s="171"/>
      <c r="V28" s="171"/>
    </row>
    <row r="29" spans="2:22" s="93" customFormat="1" ht="12" customHeight="1" x14ac:dyDescent="0.2">
      <c r="B29" s="97" t="s">
        <v>152</v>
      </c>
      <c r="G29" s="171"/>
      <c r="H29" s="171"/>
      <c r="U29" s="171"/>
      <c r="V29" s="171"/>
    </row>
    <row r="30" spans="2:22" s="93" customFormat="1" ht="12" customHeight="1" x14ac:dyDescent="0.2">
      <c r="B30" s="97" t="s">
        <v>48</v>
      </c>
      <c r="C30" s="6"/>
      <c r="D30" s="6"/>
      <c r="E30" s="6"/>
      <c r="G30" s="171"/>
      <c r="H30" s="171"/>
      <c r="U30" s="171"/>
      <c r="V30" s="171"/>
    </row>
    <row r="31" spans="2:22" s="93" customFormat="1" ht="12" customHeight="1" x14ac:dyDescent="0.2">
      <c r="B31" s="93" t="s">
        <v>49</v>
      </c>
      <c r="C31" s="6"/>
      <c r="D31" s="6"/>
      <c r="E31" s="6"/>
      <c r="F31" s="93" t="s">
        <v>20</v>
      </c>
      <c r="G31" s="171"/>
      <c r="H31" s="171"/>
      <c r="J31" s="172">
        <f>SUM(L31:S31)</f>
        <v>0</v>
      </c>
      <c r="L31" s="98">
        <f>'6) GAW import'!L16</f>
        <v>0</v>
      </c>
      <c r="M31" s="175">
        <f>'6) GAW import'!M16</f>
        <v>0</v>
      </c>
      <c r="N31" s="175">
        <f>'6) GAW import'!N16</f>
        <v>0</v>
      </c>
      <c r="O31" s="175">
        <f>'6) GAW import'!O16</f>
        <v>0</v>
      </c>
      <c r="P31" s="175">
        <f>'6) GAW import'!P16</f>
        <v>0</v>
      </c>
      <c r="Q31" s="175">
        <f>'6) GAW import'!Q16</f>
        <v>0</v>
      </c>
      <c r="S31" s="175">
        <f>'6) GAW import'!S16</f>
        <v>0</v>
      </c>
      <c r="U31" s="175">
        <f>'6) GAW import'!U16</f>
        <v>0</v>
      </c>
      <c r="V31" s="175">
        <f>'6) GAW import'!V16</f>
        <v>0</v>
      </c>
    </row>
    <row r="32" spans="2:22" s="93" customFormat="1" ht="12" customHeight="1" x14ac:dyDescent="0.2">
      <c r="B32" s="93" t="s">
        <v>50</v>
      </c>
      <c r="C32" s="6"/>
      <c r="D32" s="6"/>
      <c r="E32" s="6"/>
      <c r="F32" s="93" t="s">
        <v>20</v>
      </c>
      <c r="G32" s="171"/>
      <c r="H32" s="171"/>
      <c r="J32" s="172">
        <f>SUM(L32:S32)</f>
        <v>393217386.86709803</v>
      </c>
      <c r="L32" s="175">
        <f>'6) GAW import'!L17</f>
        <v>2489470.2581239156</v>
      </c>
      <c r="M32" s="175">
        <f>'6) GAW import'!M17</f>
        <v>144806229.72286683</v>
      </c>
      <c r="N32" s="175">
        <f>'6) GAW import'!N17</f>
        <v>126889498.86059403</v>
      </c>
      <c r="O32" s="175">
        <f>'6) GAW import'!O17</f>
        <v>1962088.0156831327</v>
      </c>
      <c r="P32" s="175">
        <f>'6) GAW import'!P17</f>
        <v>102608518.48081522</v>
      </c>
      <c r="Q32" s="175">
        <f>'6) GAW import'!Q17</f>
        <v>4075807.1778612281</v>
      </c>
      <c r="R32" s="171"/>
      <c r="S32" s="175">
        <f>'6) GAW import'!S17</f>
        <v>10385774.351153672</v>
      </c>
      <c r="U32" s="175">
        <f>'6) GAW import'!U17</f>
        <v>144806229.72286683</v>
      </c>
      <c r="V32" s="175">
        <f>'6) GAW import'!V17</f>
        <v>1962088.0156831327</v>
      </c>
    </row>
    <row r="33" spans="2:22" s="93" customFormat="1" ht="12" customHeight="1" x14ac:dyDescent="0.2">
      <c r="B33" s="93" t="s">
        <v>51</v>
      </c>
      <c r="C33" s="6"/>
      <c r="D33" s="6"/>
      <c r="E33" s="6"/>
      <c r="F33" s="93" t="s">
        <v>20</v>
      </c>
      <c r="G33" s="171"/>
      <c r="H33" s="171"/>
      <c r="J33" s="172">
        <f>SUM(L33:S33)</f>
        <v>5495657037.6280336</v>
      </c>
      <c r="L33" s="175">
        <f>'6) GAW import'!L18</f>
        <v>19178651.711156175</v>
      </c>
      <c r="M33" s="175">
        <f>'6) GAW import'!M18</f>
        <v>1872323343.1546435</v>
      </c>
      <c r="N33" s="175">
        <f>'6) GAW import'!N18</f>
        <v>2112512325.6689487</v>
      </c>
      <c r="O33" s="175">
        <f>'6) GAW import'!O18</f>
        <v>7469221.2407777961</v>
      </c>
      <c r="P33" s="175">
        <f>'6) GAW import'!P18</f>
        <v>1326301948.8980711</v>
      </c>
      <c r="Q33" s="175">
        <f>'6) GAW import'!Q18</f>
        <v>69540831.787962407</v>
      </c>
      <c r="R33" s="171"/>
      <c r="S33" s="175">
        <f>'6) GAW import'!S18</f>
        <v>88330715.16647391</v>
      </c>
      <c r="U33" s="175">
        <f>'6) GAW import'!U18</f>
        <v>1872323343.1546435</v>
      </c>
      <c r="V33" s="175">
        <f>'6) GAW import'!V18</f>
        <v>7469221.2407777961</v>
      </c>
    </row>
    <row r="34" spans="2:22" s="93" customFormat="1" ht="12" customHeight="1" x14ac:dyDescent="0.2">
      <c r="C34" s="6"/>
      <c r="D34" s="6"/>
      <c r="E34" s="6"/>
      <c r="G34" s="171"/>
      <c r="H34" s="171"/>
      <c r="U34" s="171"/>
      <c r="V34" s="171"/>
    </row>
    <row r="35" spans="2:22" s="93" customFormat="1" ht="12" customHeight="1" x14ac:dyDescent="0.2">
      <c r="B35" s="97" t="s">
        <v>52</v>
      </c>
      <c r="C35" s="6"/>
      <c r="D35" s="6"/>
      <c r="E35" s="6"/>
      <c r="G35" s="171"/>
      <c r="H35" s="171"/>
      <c r="U35" s="171"/>
      <c r="V35" s="171"/>
    </row>
    <row r="36" spans="2:22" s="93" customFormat="1" ht="12" customHeight="1" x14ac:dyDescent="0.2">
      <c r="B36" s="93" t="s">
        <v>53</v>
      </c>
      <c r="C36" s="6"/>
      <c r="D36" s="6"/>
      <c r="E36" s="6"/>
      <c r="F36" s="93" t="s">
        <v>20</v>
      </c>
      <c r="G36" s="171"/>
      <c r="H36" s="171"/>
      <c r="J36" s="172">
        <f>SUM(L36:S36)</f>
        <v>561932047.92120695</v>
      </c>
      <c r="L36" s="175">
        <f>'6) GAW import'!L21</f>
        <v>1519715.7447459218</v>
      </c>
      <c r="M36" s="175">
        <f>'6) GAW import'!M21</f>
        <v>171032470.72987351</v>
      </c>
      <c r="N36" s="175">
        <f>'6) GAW import'!N21</f>
        <v>226380875.0142571</v>
      </c>
      <c r="O36" s="175">
        <f>'6) GAW import'!O21</f>
        <v>1926970.9100000001</v>
      </c>
      <c r="P36" s="175">
        <f>'6) GAW import'!P21</f>
        <v>131127645.96892956</v>
      </c>
      <c r="Q36" s="175">
        <f>'6) GAW import'!Q21</f>
        <v>6361719.7387392893</v>
      </c>
      <c r="R36" s="171"/>
      <c r="S36" s="175">
        <f>'6) GAW import'!S21</f>
        <v>23582649.814661585</v>
      </c>
      <c r="U36" s="175">
        <f>'6) GAW import'!U21</f>
        <v>190247315.21987352</v>
      </c>
      <c r="V36" s="175">
        <f>'6) GAW import'!V21</f>
        <v>1997900.5600000003</v>
      </c>
    </row>
    <row r="37" spans="2:22" s="93" customFormat="1" ht="12" customHeight="1" x14ac:dyDescent="0.2">
      <c r="B37" s="93" t="s">
        <v>46</v>
      </c>
      <c r="C37" s="6"/>
      <c r="D37" s="6"/>
      <c r="E37" s="6"/>
      <c r="F37" s="93" t="s">
        <v>20</v>
      </c>
      <c r="G37" s="171"/>
      <c r="H37" s="171"/>
      <c r="J37" s="172">
        <f>SUM(L37:S37)</f>
        <v>166711654.14675292</v>
      </c>
      <c r="L37" s="175">
        <f>'6) GAW import'!L22</f>
        <v>999340.14661725913</v>
      </c>
      <c r="M37" s="175">
        <f>'6) GAW import'!M22</f>
        <v>56550302.339307517</v>
      </c>
      <c r="N37" s="175">
        <f>'6) GAW import'!N22</f>
        <v>45088550.392804541</v>
      </c>
      <c r="O37" s="175">
        <f>'6) GAW import'!O22</f>
        <v>733398.23308072379</v>
      </c>
      <c r="P37" s="175">
        <f>'6) GAW import'!P22</f>
        <v>52248977.120818868</v>
      </c>
      <c r="Q37" s="175">
        <f>'6) GAW import'!Q22</f>
        <v>5561903.658255225</v>
      </c>
      <c r="R37" s="171"/>
      <c r="S37" s="175">
        <f>'6) GAW import'!S22</f>
        <v>5529182.2558687842</v>
      </c>
      <c r="U37" s="175">
        <f>'6) GAW import'!U22</f>
        <v>73904980.600154817</v>
      </c>
      <c r="V37" s="175">
        <f>'6) GAW import'!V22</f>
        <v>805339.95078115468</v>
      </c>
    </row>
    <row r="38" spans="2:22" s="93" customFormat="1" ht="12" customHeight="1" x14ac:dyDescent="0.2">
      <c r="B38" s="93" t="s">
        <v>54</v>
      </c>
      <c r="C38" s="6"/>
      <c r="D38" s="6"/>
      <c r="E38" s="6"/>
      <c r="F38" s="93" t="s">
        <v>20</v>
      </c>
      <c r="G38" s="171"/>
      <c r="H38" s="171"/>
      <c r="J38" s="172">
        <f>SUM(L38:S38)</f>
        <v>5499435233.3794222</v>
      </c>
      <c r="L38" s="175">
        <f>'6) GAW import'!L23</f>
        <v>40683298.867134005</v>
      </c>
      <c r="M38" s="175">
        <f>'6) GAW import'!M23</f>
        <v>1727809756.8791232</v>
      </c>
      <c r="N38" s="175">
        <f>'6) GAW import'!N23</f>
        <v>1738530295.0556235</v>
      </c>
      <c r="O38" s="175">
        <f>'6) GAW import'!O23</f>
        <v>23489114.032144465</v>
      </c>
      <c r="P38" s="175">
        <f>'6) GAW import'!P23</f>
        <v>1609676360.8069398</v>
      </c>
      <c r="Q38" s="175">
        <f>'6) GAW import'!Q23</f>
        <v>180115606.70583743</v>
      </c>
      <c r="R38" s="171"/>
      <c r="S38" s="175">
        <f>'6) GAW import'!S23</f>
        <v>179130801.03261971</v>
      </c>
      <c r="U38" s="175">
        <f>'6) GAW import'!U23</f>
        <v>1793153759.4686706</v>
      </c>
      <c r="V38" s="175">
        <f>'6) GAW import'!V23</f>
        <v>23879951.003327906</v>
      </c>
    </row>
    <row r="39" spans="2:22" s="93" customFormat="1" ht="12" customHeight="1" x14ac:dyDescent="0.2">
      <c r="C39" s="6"/>
      <c r="D39" s="6"/>
      <c r="E39" s="6"/>
      <c r="G39" s="171"/>
      <c r="H39" s="171"/>
      <c r="U39" s="171"/>
      <c r="V39" s="171"/>
    </row>
    <row r="40" spans="2:22" s="93" customFormat="1" ht="12" customHeight="1" x14ac:dyDescent="0.2">
      <c r="B40" s="97" t="s">
        <v>55</v>
      </c>
      <c r="C40" s="8"/>
      <c r="D40" s="8"/>
      <c r="E40" s="8"/>
      <c r="G40" s="171"/>
      <c r="H40" s="171"/>
      <c r="U40" s="171"/>
      <c r="V40" s="171"/>
    </row>
    <row r="41" spans="2:22" s="93" customFormat="1" ht="12" customHeight="1" x14ac:dyDescent="0.2">
      <c r="B41" s="93" t="s">
        <v>56</v>
      </c>
      <c r="C41" s="8"/>
      <c r="D41" s="8"/>
      <c r="E41" s="8"/>
      <c r="F41" s="93" t="s">
        <v>20</v>
      </c>
      <c r="G41" s="171"/>
      <c r="H41" s="171"/>
      <c r="J41" s="172">
        <f>SUM(L41:S41)</f>
        <v>0</v>
      </c>
      <c r="L41" s="175">
        <f>'6) GAW import'!L26</f>
        <v>0</v>
      </c>
      <c r="M41" s="175">
        <f>'6) GAW import'!M26</f>
        <v>0</v>
      </c>
      <c r="N41" s="175">
        <f>'6) GAW import'!N26</f>
        <v>0</v>
      </c>
      <c r="O41" s="175">
        <f>'6) GAW import'!O26</f>
        <v>0</v>
      </c>
      <c r="P41" s="175">
        <f>'6) GAW import'!P26</f>
        <v>0</v>
      </c>
      <c r="Q41" s="175">
        <f>'6) GAW import'!Q26</f>
        <v>0</v>
      </c>
      <c r="R41" s="171"/>
      <c r="S41" s="175">
        <f>'6) GAW import'!S26</f>
        <v>0</v>
      </c>
      <c r="U41" s="175">
        <f>'6) GAW import'!U26</f>
        <v>0</v>
      </c>
      <c r="V41" s="175">
        <f>'6) GAW import'!V26</f>
        <v>0</v>
      </c>
    </row>
    <row r="42" spans="2:22" s="93" customFormat="1" ht="12" customHeight="1" x14ac:dyDescent="0.2">
      <c r="B42" s="93" t="s">
        <v>57</v>
      </c>
      <c r="C42" s="8"/>
      <c r="D42" s="8"/>
      <c r="E42" s="8"/>
      <c r="F42" s="93" t="s">
        <v>20</v>
      </c>
      <c r="G42" s="171"/>
      <c r="H42" s="171"/>
      <c r="J42" s="172">
        <f>SUM(L42:S42)</f>
        <v>252111.70002645359</v>
      </c>
      <c r="L42" s="175">
        <f>'6) GAW import'!L27</f>
        <v>0</v>
      </c>
      <c r="M42" s="175">
        <f>'6) GAW import'!M27</f>
        <v>0</v>
      </c>
      <c r="N42" s="175">
        <f>'6) GAW import'!N27</f>
        <v>0</v>
      </c>
      <c r="O42" s="175">
        <f>'6) GAW import'!O27</f>
        <v>0</v>
      </c>
      <c r="P42" s="175">
        <f>'6) GAW import'!P27</f>
        <v>0</v>
      </c>
      <c r="Q42" s="175">
        <f>'6) GAW import'!Q27</f>
        <v>0</v>
      </c>
      <c r="R42" s="171"/>
      <c r="S42" s="175">
        <f>'6) GAW import'!S27</f>
        <v>252111.70002645359</v>
      </c>
      <c r="U42" s="175">
        <f>'6) GAW import'!U27</f>
        <v>0</v>
      </c>
      <c r="V42" s="175">
        <f>'6) GAW import'!V27</f>
        <v>0</v>
      </c>
    </row>
    <row r="43" spans="2:22" s="93" customFormat="1" ht="12" customHeight="1" x14ac:dyDescent="0.2">
      <c r="B43" s="93" t="s">
        <v>58</v>
      </c>
      <c r="C43" s="8"/>
      <c r="D43" s="8"/>
      <c r="E43" s="8"/>
      <c r="F43" s="93" t="s">
        <v>20</v>
      </c>
      <c r="G43" s="171"/>
      <c r="H43" s="171"/>
      <c r="J43" s="172">
        <f>SUM(L43:S43)</f>
        <v>9414554.9317114875</v>
      </c>
      <c r="L43" s="175">
        <f>'6) GAW import'!L28</f>
        <v>0</v>
      </c>
      <c r="M43" s="175">
        <f>'6) GAW import'!M28</f>
        <v>0</v>
      </c>
      <c r="N43" s="175">
        <f>'6) GAW import'!N28</f>
        <v>0</v>
      </c>
      <c r="O43" s="175">
        <f>'6) GAW import'!O28</f>
        <v>0</v>
      </c>
      <c r="P43" s="175">
        <f>'6) GAW import'!P28</f>
        <v>0</v>
      </c>
      <c r="Q43" s="175">
        <f>'6) GAW import'!Q28</f>
        <v>0</v>
      </c>
      <c r="R43" s="171"/>
      <c r="S43" s="175">
        <f>'6) GAW import'!S28</f>
        <v>9414554.9317114875</v>
      </c>
      <c r="U43" s="175">
        <f>'6) GAW import'!U28</f>
        <v>0</v>
      </c>
      <c r="V43" s="175">
        <f>'6) GAW import'!V28</f>
        <v>0</v>
      </c>
    </row>
    <row r="44" spans="2:22" s="93" customFormat="1" ht="12" customHeight="1" x14ac:dyDescent="0.2">
      <c r="C44" s="8"/>
      <c r="D44" s="8"/>
      <c r="E44" s="8"/>
      <c r="G44" s="171"/>
      <c r="H44" s="171"/>
      <c r="U44" s="171"/>
      <c r="V44" s="171"/>
    </row>
    <row r="45" spans="2:22" s="93" customFormat="1" ht="12" customHeight="1" x14ac:dyDescent="0.2">
      <c r="B45" s="97" t="s">
        <v>59</v>
      </c>
      <c r="C45" s="8"/>
      <c r="D45" s="8"/>
      <c r="E45" s="8"/>
      <c r="G45" s="171"/>
      <c r="H45" s="171"/>
      <c r="U45" s="171"/>
      <c r="V45" s="171"/>
    </row>
    <row r="46" spans="2:22" s="93" customFormat="1" ht="12" customHeight="1" x14ac:dyDescent="0.2">
      <c r="B46" s="93" t="s">
        <v>60</v>
      </c>
      <c r="C46" s="8"/>
      <c r="D46" s="8"/>
      <c r="E46" s="8"/>
      <c r="F46" s="93" t="s">
        <v>20</v>
      </c>
      <c r="G46" s="171"/>
      <c r="H46" s="171"/>
      <c r="J46" s="172">
        <f>SUM(L46:S46)</f>
        <v>135517.27272727274</v>
      </c>
      <c r="L46" s="175">
        <f>'6) GAW import'!L31</f>
        <v>0</v>
      </c>
      <c r="M46" s="175">
        <f>'6) GAW import'!M31</f>
        <v>0</v>
      </c>
      <c r="N46" s="175">
        <f>'6) GAW import'!N31</f>
        <v>0</v>
      </c>
      <c r="O46" s="175">
        <f>'6) GAW import'!O31</f>
        <v>0</v>
      </c>
      <c r="P46" s="175">
        <f>'6) GAW import'!P31</f>
        <v>0</v>
      </c>
      <c r="Q46" s="175">
        <f>'6) GAW import'!Q31</f>
        <v>135517.27272727274</v>
      </c>
      <c r="R46" s="171"/>
      <c r="S46" s="175">
        <f>'6) GAW import'!S31</f>
        <v>0</v>
      </c>
      <c r="U46" s="175">
        <f>'6) GAW import'!U31</f>
        <v>0</v>
      </c>
      <c r="V46" s="175">
        <f>'6) GAW import'!V31</f>
        <v>0</v>
      </c>
    </row>
    <row r="47" spans="2:22" s="93" customFormat="1" ht="12" customHeight="1" x14ac:dyDescent="0.2">
      <c r="B47" s="93" t="s">
        <v>61</v>
      </c>
      <c r="F47" s="93" t="s">
        <v>20</v>
      </c>
      <c r="G47" s="171"/>
      <c r="H47" s="171"/>
      <c r="J47" s="172">
        <f>SUM(L47:S47)</f>
        <v>1973123.9056655543</v>
      </c>
      <c r="L47" s="175">
        <f>'6) GAW import'!L32</f>
        <v>0</v>
      </c>
      <c r="M47" s="175">
        <f>'6) GAW import'!M32</f>
        <v>9997.2579960844796</v>
      </c>
      <c r="N47" s="175">
        <f>'6) GAW import'!N32</f>
        <v>438211.73255678132</v>
      </c>
      <c r="O47" s="175">
        <f>'6) GAW import'!O32</f>
        <v>0</v>
      </c>
      <c r="P47" s="175">
        <f>'6) GAW import'!P32</f>
        <v>1401960.6625199611</v>
      </c>
      <c r="Q47" s="175">
        <f>'6) GAW import'!Q32</f>
        <v>13551.727272727274</v>
      </c>
      <c r="R47" s="171"/>
      <c r="S47" s="175">
        <f>'6) GAW import'!S32</f>
        <v>109402.52532</v>
      </c>
      <c r="U47" s="175">
        <f>'6) GAW import'!U32</f>
        <v>9997.2579960844796</v>
      </c>
      <c r="V47" s="175">
        <f>'6) GAW import'!V32</f>
        <v>0</v>
      </c>
    </row>
    <row r="48" spans="2:22" s="93" customFormat="1" ht="12" customHeight="1" x14ac:dyDescent="0.2">
      <c r="B48" s="93" t="s">
        <v>62</v>
      </c>
      <c r="F48" s="93" t="s">
        <v>20</v>
      </c>
      <c r="G48" s="171"/>
      <c r="H48" s="171"/>
      <c r="J48" s="172">
        <f>SUM(L48:S48)</f>
        <v>22081121.132525884</v>
      </c>
      <c r="L48" s="175">
        <f>'6) GAW import'!L33</f>
        <v>0</v>
      </c>
      <c r="M48" s="175">
        <f>'6) GAW import'!M33</f>
        <v>261676.10627581627</v>
      </c>
      <c r="N48" s="175">
        <f>'6) GAW import'!N33</f>
        <v>3864988.9015953448</v>
      </c>
      <c r="O48" s="175">
        <f>'6) GAW import'!O33</f>
        <v>0</v>
      </c>
      <c r="P48" s="175">
        <f>'6) GAW import'!P33</f>
        <v>17121374.164620176</v>
      </c>
      <c r="Q48" s="175">
        <f>'6) GAW import'!Q33</f>
        <v>121965.54545454546</v>
      </c>
      <c r="R48" s="171"/>
      <c r="S48" s="175">
        <f>'6) GAW import'!S33</f>
        <v>711116.41457999998</v>
      </c>
      <c r="U48" s="175">
        <f>'6) GAW import'!U33</f>
        <v>261676.10627581627</v>
      </c>
      <c r="V48" s="175">
        <f>'6) GAW import'!V33</f>
        <v>0</v>
      </c>
    </row>
    <row r="49" spans="2:24" s="93" customFormat="1" ht="12" customHeight="1" x14ac:dyDescent="0.2">
      <c r="G49" s="171"/>
      <c r="H49" s="171"/>
      <c r="U49" s="171"/>
      <c r="V49" s="171"/>
    </row>
    <row r="50" spans="2:24" s="93" customFormat="1" ht="12" customHeight="1" x14ac:dyDescent="0.2">
      <c r="B50" s="168" t="s">
        <v>148</v>
      </c>
      <c r="G50" s="171"/>
      <c r="H50" s="171"/>
      <c r="R50" s="169"/>
      <c r="U50" s="171"/>
      <c r="V50" s="171"/>
    </row>
    <row r="51" spans="2:24" s="93" customFormat="1" ht="12" customHeight="1" x14ac:dyDescent="0.2">
      <c r="B51" s="170" t="s">
        <v>149</v>
      </c>
      <c r="F51" s="169" t="s">
        <v>20</v>
      </c>
      <c r="G51" s="171"/>
      <c r="H51" s="171"/>
      <c r="J51" s="172">
        <f>SUM(L51:S51)</f>
        <v>12517427.885460485</v>
      </c>
      <c r="L51" s="175">
        <f>'5) Overige opbrengsten'!L15</f>
        <v>0</v>
      </c>
      <c r="M51" s="175">
        <f>'5) Overige opbrengsten'!M15</f>
        <v>2302841.2636363637</v>
      </c>
      <c r="N51" s="175">
        <f>'5) Overige opbrengsten'!N15</f>
        <v>3803718.7609150317</v>
      </c>
      <c r="O51" s="175">
        <f>'5) Overige opbrengsten'!O15</f>
        <v>0</v>
      </c>
      <c r="P51" s="175">
        <f>'5) Overige opbrengsten'!P15</f>
        <v>5321431.6500000004</v>
      </c>
      <c r="Q51" s="175">
        <f>'5) Overige opbrengsten'!Q15</f>
        <v>6848.76</v>
      </c>
      <c r="R51" s="171"/>
      <c r="S51" s="175">
        <f>'5) Overige opbrengsten'!S15</f>
        <v>1082587.4509090891</v>
      </c>
      <c r="U51" s="175">
        <f>'5) Overige opbrengsten'!U15</f>
        <v>2302841.2636363637</v>
      </c>
      <c r="V51" s="175">
        <f>'5) Overige opbrengsten'!V15</f>
        <v>0</v>
      </c>
    </row>
    <row r="52" spans="2:24" s="93" customFormat="1" ht="12" customHeight="1" x14ac:dyDescent="0.2">
      <c r="B52" s="170" t="s">
        <v>150</v>
      </c>
      <c r="F52" s="169" t="s">
        <v>20</v>
      </c>
      <c r="G52" s="171"/>
      <c r="H52" s="171"/>
      <c r="J52" s="172">
        <f>SUM(L52:S52)</f>
        <v>3453186.0680384301</v>
      </c>
      <c r="L52" s="175">
        <f>'5) Overige opbrengsten'!L21</f>
        <v>0</v>
      </c>
      <c r="M52" s="175">
        <f>'5) Overige opbrengsten'!M21</f>
        <v>-374810.06727272726</v>
      </c>
      <c r="N52" s="175">
        <f>'5) Overige opbrengsten'!N21</f>
        <v>1900618.167180527</v>
      </c>
      <c r="O52" s="175">
        <f>'5) Overige opbrengsten'!O21</f>
        <v>0</v>
      </c>
      <c r="P52" s="175">
        <f>'5) Overige opbrengsten'!P21</f>
        <v>1720529.2081306307</v>
      </c>
      <c r="Q52" s="175">
        <f>'5) Overige opbrengsten'!Q21</f>
        <v>6848.76</v>
      </c>
      <c r="R52" s="171"/>
      <c r="S52" s="175">
        <f>'5) Overige opbrengsten'!S21</f>
        <v>200000</v>
      </c>
      <c r="U52" s="175">
        <f>'5) Overige opbrengsten'!U21</f>
        <v>-374810.06727272726</v>
      </c>
      <c r="V52" s="175">
        <f>'5) Overige opbrengsten'!V21</f>
        <v>0</v>
      </c>
    </row>
    <row r="53" spans="2:24" s="93" customFormat="1" ht="12" customHeight="1" x14ac:dyDescent="0.2">
      <c r="B53" s="169" t="s">
        <v>151</v>
      </c>
      <c r="F53" s="169" t="s">
        <v>20</v>
      </c>
      <c r="G53" s="171"/>
      <c r="H53" s="171"/>
      <c r="J53" s="172">
        <f>SUM(L53:S53)</f>
        <v>630.70000000000005</v>
      </c>
      <c r="L53" s="175">
        <f>'5) Overige opbrengsten'!L48</f>
        <v>0</v>
      </c>
      <c r="M53" s="175">
        <f>'5) Overige opbrengsten'!M48</f>
        <v>0</v>
      </c>
      <c r="N53" s="175">
        <f>'5) Overige opbrengsten'!N48</f>
        <v>0</v>
      </c>
      <c r="O53" s="175">
        <f>'5) Overige opbrengsten'!O48</f>
        <v>630.70000000000005</v>
      </c>
      <c r="P53" s="175">
        <f>'5) Overige opbrengsten'!P48</f>
        <v>0</v>
      </c>
      <c r="Q53" s="175">
        <f>'5) Overige opbrengsten'!Q48</f>
        <v>0</v>
      </c>
      <c r="R53" s="171"/>
      <c r="S53" s="175">
        <f>'5) Overige opbrengsten'!S48</f>
        <v>0</v>
      </c>
      <c r="U53" s="175">
        <f>'5) Overige opbrengsten'!U48</f>
        <v>0</v>
      </c>
      <c r="V53" s="175">
        <f>'5) Overige opbrengsten'!V48</f>
        <v>630.70000000000005</v>
      </c>
    </row>
    <row r="54" spans="2:24" s="93" customFormat="1" ht="12" customHeight="1" x14ac:dyDescent="0.2">
      <c r="G54" s="171"/>
      <c r="H54" s="171"/>
      <c r="R54" s="171"/>
      <c r="U54" s="171"/>
      <c r="V54" s="171"/>
    </row>
    <row r="55" spans="2:24" s="93" customFormat="1" ht="12" customHeight="1" x14ac:dyDescent="0.2">
      <c r="B55" s="40" t="s">
        <v>156</v>
      </c>
      <c r="G55" s="171"/>
      <c r="H55" s="171"/>
      <c r="R55" s="171"/>
      <c r="U55" s="171"/>
      <c r="V55" s="171"/>
    </row>
    <row r="56" spans="2:24" s="171" customFormat="1" ht="12" customHeight="1" x14ac:dyDescent="0.2">
      <c r="B56" s="173" t="s">
        <v>154</v>
      </c>
    </row>
    <row r="57" spans="2:24" s="171" customFormat="1" ht="12" customHeight="1" x14ac:dyDescent="0.2">
      <c r="B57" s="177" t="s">
        <v>46</v>
      </c>
      <c r="F57" s="171" t="s">
        <v>20</v>
      </c>
      <c r="J57" s="172">
        <f>SUM(L57:S57)</f>
        <v>562154276.61954284</v>
      </c>
      <c r="L57" s="172">
        <f t="shared" ref="L57:Q58" si="0">L32+L37+L42+L47</f>
        <v>3488810.4047411745</v>
      </c>
      <c r="M57" s="172">
        <f>M32+M37+M42+M47</f>
        <v>201366529.32017043</v>
      </c>
      <c r="N57" s="172">
        <f t="shared" si="0"/>
        <v>172416260.98595536</v>
      </c>
      <c r="O57" s="172">
        <f t="shared" si="0"/>
        <v>2695486.2487638565</v>
      </c>
      <c r="P57" s="172">
        <f t="shared" si="0"/>
        <v>156259456.26415405</v>
      </c>
      <c r="Q57" s="172">
        <f t="shared" si="0"/>
        <v>9651262.5633891802</v>
      </c>
      <c r="S57" s="172">
        <f>S32+S37+S42+S47</f>
        <v>16276470.83236891</v>
      </c>
      <c r="U57" s="172">
        <f>U32+U37+U42+U47</f>
        <v>218721207.58101773</v>
      </c>
      <c r="V57" s="172">
        <f>V32+V37+V42+V47</f>
        <v>2767427.9664642876</v>
      </c>
      <c r="X57" s="88" t="s">
        <v>649</v>
      </c>
    </row>
    <row r="58" spans="2:24" s="171" customFormat="1" ht="12" customHeight="1" x14ac:dyDescent="0.2">
      <c r="B58" s="177" t="s">
        <v>147</v>
      </c>
      <c r="F58" s="171" t="s">
        <v>20</v>
      </c>
      <c r="J58" s="172">
        <f>SUM(L58:S58)</f>
        <v>11026587947.071693</v>
      </c>
      <c r="L58" s="172">
        <f t="shared" si="0"/>
        <v>59861950.578290179</v>
      </c>
      <c r="M58" s="172">
        <f>M33+M38+M43+M48</f>
        <v>3600394776.1400428</v>
      </c>
      <c r="N58" s="172">
        <f t="shared" si="0"/>
        <v>3854907609.6261673</v>
      </c>
      <c r="O58" s="172">
        <f t="shared" si="0"/>
        <v>30958335.272922263</v>
      </c>
      <c r="P58" s="172">
        <f t="shared" si="0"/>
        <v>2953099683.8696313</v>
      </c>
      <c r="Q58" s="172">
        <f t="shared" si="0"/>
        <v>249778404.03925437</v>
      </c>
      <c r="S58" s="172">
        <f>S33+S38+S43+S48</f>
        <v>277587187.54538512</v>
      </c>
      <c r="U58" s="172">
        <f>U33+U38+U43+U48</f>
        <v>3665738778.7295899</v>
      </c>
      <c r="V58" s="172">
        <f>V33+V38+V43+V48</f>
        <v>31349172.244105704</v>
      </c>
      <c r="X58" s="88" t="s">
        <v>650</v>
      </c>
    </row>
    <row r="59" spans="2:24" s="93" customFormat="1" ht="12" customHeight="1" x14ac:dyDescent="0.2">
      <c r="C59" s="171"/>
      <c r="G59" s="171"/>
      <c r="H59" s="171"/>
      <c r="U59" s="171"/>
      <c r="V59" s="171"/>
    </row>
    <row r="60" spans="2:24" s="171" customFormat="1" ht="12" customHeight="1" x14ac:dyDescent="0.2">
      <c r="B60" s="173" t="s">
        <v>155</v>
      </c>
      <c r="D60" s="178"/>
    </row>
    <row r="61" spans="2:24" s="93" customFormat="1" ht="12" customHeight="1" x14ac:dyDescent="0.2">
      <c r="B61" s="177" t="s">
        <v>65</v>
      </c>
      <c r="D61" s="178" t="s">
        <v>634</v>
      </c>
      <c r="E61" s="171"/>
      <c r="F61" s="171" t="s">
        <v>20</v>
      </c>
      <c r="G61" s="171"/>
      <c r="H61" s="171"/>
      <c r="J61" s="172">
        <f>SUM(L61:S61)</f>
        <v>1008731088.4759465</v>
      </c>
      <c r="L61" s="172">
        <f>L57+L58*$H$20</f>
        <v>5913219.4031619262</v>
      </c>
      <c r="M61" s="172">
        <f t="shared" ref="M61:N61" si="1">M57+M58*$H$20</f>
        <v>347182517.75384212</v>
      </c>
      <c r="N61" s="172">
        <f t="shared" si="1"/>
        <v>328540019.17581511</v>
      </c>
      <c r="O61" s="172">
        <f>O57+O58*$H$20</f>
        <v>3949298.8273172081</v>
      </c>
      <c r="P61" s="181">
        <f>(P57+P58*$H$20)+(S57+S58*$H$20)</f>
        <v>303378745.38883108</v>
      </c>
      <c r="Q61" s="172">
        <f>Q57+Q58*$H$20</f>
        <v>19767287.926978983</v>
      </c>
      <c r="R61" s="171"/>
      <c r="S61" s="78"/>
      <c r="U61" s="172">
        <f t="shared" ref="U61" si="2">U57+U58*$H$20</f>
        <v>367183628.11956608</v>
      </c>
      <c r="V61" s="172">
        <f>V57+V58*$H$20</f>
        <v>4037069.4423505682</v>
      </c>
      <c r="X61" s="88" t="s">
        <v>646</v>
      </c>
    </row>
    <row r="62" spans="2:24" s="3" customFormat="1" ht="12.75" x14ac:dyDescent="0.2">
      <c r="B62" s="93"/>
      <c r="G62" s="171"/>
      <c r="H62" s="171"/>
      <c r="L62" s="171"/>
      <c r="U62" s="171"/>
      <c r="V62" s="171"/>
    </row>
    <row r="63" spans="2:24" s="3" customFormat="1" ht="15" x14ac:dyDescent="0.2">
      <c r="B63" s="40" t="s">
        <v>153</v>
      </c>
      <c r="G63" s="171"/>
      <c r="H63" s="171"/>
      <c r="R63" s="171"/>
      <c r="U63" s="171"/>
      <c r="V63" s="171"/>
    </row>
    <row r="64" spans="2:24" x14ac:dyDescent="0.2">
      <c r="B64" s="177" t="s">
        <v>65</v>
      </c>
      <c r="C64" s="171"/>
      <c r="D64" s="178" t="s">
        <v>635</v>
      </c>
      <c r="E64" s="171"/>
      <c r="F64" s="171" t="s">
        <v>20</v>
      </c>
      <c r="H64" s="171"/>
      <c r="J64" s="172">
        <f>SUM(L64:S64)</f>
        <v>999666215.95852435</v>
      </c>
      <c r="L64" s="179">
        <f>L61-(L51-L52+L53)</f>
        <v>5913219.4031619262</v>
      </c>
      <c r="M64" s="179">
        <f>M61-(M51-M52+M53)</f>
        <v>344504866.42293304</v>
      </c>
      <c r="N64" s="179">
        <f>N61-(N51-N52+N53)</f>
        <v>326636918.5820806</v>
      </c>
      <c r="O64" s="179">
        <f t="shared" ref="O64:Q64" si="3">O61-(O51-O52+O53)</f>
        <v>3948668.1273172079</v>
      </c>
      <c r="P64" s="181">
        <f>P61-(P51-P52+P53)-(S51-S52+S53)</f>
        <v>298895255.49605262</v>
      </c>
      <c r="Q64" s="179">
        <f t="shared" si="3"/>
        <v>19767287.926978983</v>
      </c>
      <c r="R64" s="171"/>
      <c r="S64" s="78"/>
      <c r="U64" s="179">
        <f>U61-(U51-U52+U53)</f>
        <v>364505976.78865701</v>
      </c>
      <c r="V64" s="179">
        <f t="shared" ref="V64" si="4">V61-(V51-V52+V53)</f>
        <v>4036438.7423505681</v>
      </c>
      <c r="X64" s="88" t="s">
        <v>647</v>
      </c>
    </row>
    <row r="65" spans="2:22" x14ac:dyDescent="0.2">
      <c r="B65" s="104"/>
    </row>
    <row r="66" spans="2:22" s="24" customFormat="1" ht="12.75" x14ac:dyDescent="0.2">
      <c r="B66" s="24" t="s">
        <v>157</v>
      </c>
    </row>
    <row r="67" spans="2:22" s="171" customFormat="1" ht="12" customHeight="1" x14ac:dyDescent="0.2"/>
    <row r="68" spans="2:22" s="171" customFormat="1" ht="12" customHeight="1" x14ac:dyDescent="0.2">
      <c r="B68" s="40" t="s">
        <v>131</v>
      </c>
    </row>
    <row r="69" spans="2:22" s="171" customFormat="1" ht="12" customHeight="1" x14ac:dyDescent="0.2">
      <c r="B69" s="173" t="s">
        <v>152</v>
      </c>
    </row>
    <row r="70" spans="2:22" s="171" customFormat="1" ht="12" customHeight="1" x14ac:dyDescent="0.2">
      <c r="B70" s="173" t="s">
        <v>48</v>
      </c>
      <c r="C70" s="6"/>
      <c r="D70" s="6"/>
      <c r="E70" s="6"/>
    </row>
    <row r="71" spans="2:22" s="171" customFormat="1" ht="12" customHeight="1" x14ac:dyDescent="0.2">
      <c r="B71" s="171" t="s">
        <v>49</v>
      </c>
      <c r="C71" s="6"/>
      <c r="D71" s="6"/>
      <c r="E71" s="6"/>
      <c r="F71" s="171" t="s">
        <v>87</v>
      </c>
      <c r="J71" s="172">
        <f>SUM(L71:S71)</f>
        <v>0</v>
      </c>
      <c r="L71" s="175">
        <f>'6) GAW import'!L38</f>
        <v>0</v>
      </c>
      <c r="M71" s="175">
        <f>'6) GAW import'!M38</f>
        <v>0</v>
      </c>
      <c r="N71" s="175">
        <f>'6) GAW import'!N38</f>
        <v>0</v>
      </c>
      <c r="O71" s="175">
        <f>'6) GAW import'!O38</f>
        <v>0</v>
      </c>
      <c r="P71" s="175">
        <f>'6) GAW import'!P38</f>
        <v>0</v>
      </c>
      <c r="Q71" s="175">
        <f>'6) GAW import'!Q38</f>
        <v>0</v>
      </c>
      <c r="S71" s="175">
        <f>'6) GAW import'!S38</f>
        <v>0</v>
      </c>
      <c r="U71" s="175">
        <f>'6) GAW import'!U38</f>
        <v>0</v>
      </c>
      <c r="V71" s="175">
        <f>'6) GAW import'!V38</f>
        <v>0</v>
      </c>
    </row>
    <row r="72" spans="2:22" s="171" customFormat="1" ht="12" customHeight="1" x14ac:dyDescent="0.2">
      <c r="B72" s="171" t="s">
        <v>50</v>
      </c>
      <c r="C72" s="6"/>
      <c r="D72" s="6"/>
      <c r="E72" s="6"/>
      <c r="F72" s="171" t="s">
        <v>87</v>
      </c>
      <c r="J72" s="172">
        <f>SUM(L72:S72)</f>
        <v>396363125.96203488</v>
      </c>
      <c r="L72" s="175">
        <f>'6) GAW import'!L39</f>
        <v>2509386.0201889072</v>
      </c>
      <c r="M72" s="175">
        <f>'6) GAW import'!M39</f>
        <v>145964679.56064981</v>
      </c>
      <c r="N72" s="175">
        <f>'6) GAW import'!N39</f>
        <v>127904614.8514788</v>
      </c>
      <c r="O72" s="175">
        <f>'6) GAW import'!O39</f>
        <v>1977784.7198085978</v>
      </c>
      <c r="P72" s="175">
        <f>'6) GAW import'!P39</f>
        <v>103429386.62866174</v>
      </c>
      <c r="Q72" s="175">
        <f>'6) GAW import'!Q39</f>
        <v>4108413.6352841179</v>
      </c>
      <c r="S72" s="175">
        <f>'6) GAW import'!S39</f>
        <v>10468860.545962902</v>
      </c>
      <c r="U72" s="175">
        <f>'6) GAW import'!U39</f>
        <v>145964679.56064981</v>
      </c>
      <c r="V72" s="175">
        <f>'6) GAW import'!V39</f>
        <v>1977784.7198085978</v>
      </c>
    </row>
    <row r="73" spans="2:22" s="171" customFormat="1" ht="12" customHeight="1" x14ac:dyDescent="0.2">
      <c r="B73" s="171" t="s">
        <v>51</v>
      </c>
      <c r="C73" s="6"/>
      <c r="D73" s="6"/>
      <c r="E73" s="6"/>
      <c r="F73" s="171" t="s">
        <v>87</v>
      </c>
      <c r="J73" s="172">
        <f>SUM(L73:S73)</f>
        <v>5143259167.9063177</v>
      </c>
      <c r="L73" s="175">
        <f>'6) GAW import'!L40</f>
        <v>16822694.843950901</v>
      </c>
      <c r="M73" s="175">
        <f>'6) GAW import'!M40</f>
        <v>1741337250.339231</v>
      </c>
      <c r="N73" s="175">
        <f>'6) GAW import'!N40</f>
        <v>2001507809.4228218</v>
      </c>
      <c r="O73" s="175">
        <f>'6) GAW import'!O40</f>
        <v>5551190.2908954201</v>
      </c>
      <c r="P73" s="175">
        <f>'6) GAW import'!P40</f>
        <v>1233482977.860594</v>
      </c>
      <c r="Q73" s="175">
        <f>'6) GAW import'!Q40</f>
        <v>65988744.806981988</v>
      </c>
      <c r="S73" s="175">
        <f>'6) GAW import'!S40</f>
        <v>78568500.3418428</v>
      </c>
      <c r="U73" s="175">
        <f>'6) GAW import'!U40</f>
        <v>1741337250.339231</v>
      </c>
      <c r="V73" s="175">
        <f>'6) GAW import'!V40</f>
        <v>5551190.2908954201</v>
      </c>
    </row>
    <row r="74" spans="2:22" s="171" customFormat="1" ht="12" customHeight="1" x14ac:dyDescent="0.2">
      <c r="C74" s="6"/>
      <c r="D74" s="6"/>
      <c r="E74" s="6"/>
    </row>
    <row r="75" spans="2:22" s="171" customFormat="1" ht="12" customHeight="1" x14ac:dyDescent="0.2">
      <c r="B75" s="173" t="s">
        <v>52</v>
      </c>
      <c r="C75" s="6"/>
      <c r="D75" s="6"/>
      <c r="E75" s="6"/>
    </row>
    <row r="76" spans="2:22" s="171" customFormat="1" ht="12" customHeight="1" x14ac:dyDescent="0.2">
      <c r="B76" s="171" t="s">
        <v>53</v>
      </c>
      <c r="C76" s="6"/>
      <c r="D76" s="6"/>
      <c r="E76" s="6"/>
      <c r="F76" s="171" t="s">
        <v>87</v>
      </c>
      <c r="J76" s="172">
        <f>SUM(L76:S76)</f>
        <v>624136933.42560112</v>
      </c>
      <c r="L76" s="175">
        <f>'6) GAW import'!L43</f>
        <v>1740079</v>
      </c>
      <c r="M76" s="175">
        <f>'6) GAW import'!M43</f>
        <v>172171099.18536517</v>
      </c>
      <c r="N76" s="175">
        <f>'6) GAW import'!N43</f>
        <v>215270396.06003869</v>
      </c>
      <c r="O76" s="175">
        <f>'6) GAW import'!O43</f>
        <v>1567341.61</v>
      </c>
      <c r="P76" s="175">
        <f>'6) GAW import'!P43</f>
        <v>196655835.9883123</v>
      </c>
      <c r="Q76" s="175">
        <f>'6) GAW import'!Q43</f>
        <v>6412773.4016152136</v>
      </c>
      <c r="S76" s="175">
        <f>'6) GAW import'!S43</f>
        <v>30319408.18026967</v>
      </c>
      <c r="U76" s="175">
        <f>'6) GAW import'!U43</f>
        <v>188493998.485365</v>
      </c>
      <c r="V76" s="175">
        <f>'6) GAW import'!V43</f>
        <v>1717260.9200000002</v>
      </c>
    </row>
    <row r="77" spans="2:22" s="171" customFormat="1" ht="12" customHeight="1" x14ac:dyDescent="0.2">
      <c r="B77" s="171" t="s">
        <v>46</v>
      </c>
      <c r="C77" s="6"/>
      <c r="D77" s="6"/>
      <c r="E77" s="6"/>
      <c r="F77" s="171" t="s">
        <v>87</v>
      </c>
      <c r="J77" s="172">
        <f>SUM(L77:S77)</f>
        <v>178481712.79250535</v>
      </c>
      <c r="L77" s="175">
        <f>'6) GAW import'!L44</f>
        <v>1062424.4693051297</v>
      </c>
      <c r="M77" s="175">
        <f>'6) GAW import'!M44</f>
        <v>55226976.282121919</v>
      </c>
      <c r="N77" s="175">
        <f>'6) GAW import'!N44</f>
        <v>51112685.394823387</v>
      </c>
      <c r="O77" s="175">
        <f>'6) GAW import'!O44</f>
        <v>773027.55141564994</v>
      </c>
      <c r="P77" s="175">
        <f>'6) GAW import'!P44</f>
        <v>58456089.617354333</v>
      </c>
      <c r="Q77" s="175">
        <f>'6) GAW import'!Q44</f>
        <v>5662250.1453099381</v>
      </c>
      <c r="S77" s="175">
        <f>'6) GAW import'!S44</f>
        <v>6188259.3321750239</v>
      </c>
      <c r="U77" s="175">
        <f>'6) GAW import'!U44</f>
        <v>75831768.240247995</v>
      </c>
      <c r="V77" s="175">
        <f>'6) GAW import'!V44</f>
        <v>861155.12284168461</v>
      </c>
    </row>
    <row r="78" spans="2:22" s="171" customFormat="1" ht="12" customHeight="1" x14ac:dyDescent="0.2">
      <c r="B78" s="171" t="s">
        <v>54</v>
      </c>
      <c r="C78" s="6"/>
      <c r="D78" s="6"/>
      <c r="E78" s="6"/>
      <c r="F78" s="171" t="s">
        <v>87</v>
      </c>
      <c r="J78" s="172">
        <f>SUM(L78:S78)</f>
        <v>5989085935.9449606</v>
      </c>
      <c r="L78" s="175">
        <f>'6) GAW import'!L45</f>
        <v>41686419.788765952</v>
      </c>
      <c r="M78" s="175">
        <f>'6) GAW import'!M45</f>
        <v>1858576357.8373995</v>
      </c>
      <c r="N78" s="175">
        <f>'6) GAW import'!N45</f>
        <v>1916596248.0812833</v>
      </c>
      <c r="O78" s="175">
        <f>'6) GAW import'!O45</f>
        <v>24471341.002985973</v>
      </c>
      <c r="P78" s="175">
        <f>'6) GAW import'!P45</f>
        <v>1760753518.0643528</v>
      </c>
      <c r="Q78" s="175">
        <f>'6) GAW import'!Q45</f>
        <v>182307054.81578946</v>
      </c>
      <c r="S78" s="175">
        <f>'6) GAW import'!S45</f>
        <v>204694996.35438329</v>
      </c>
      <c r="U78" s="175">
        <f>'6) GAW import'!U45</f>
        <v>1920161219.7895367</v>
      </c>
      <c r="V78" s="175">
        <f>'6) GAW import'!V45</f>
        <v>24927096.408512849</v>
      </c>
    </row>
    <row r="79" spans="2:22" s="171" customFormat="1" ht="12" customHeight="1" x14ac:dyDescent="0.2">
      <c r="C79" s="6"/>
      <c r="D79" s="6"/>
      <c r="E79" s="6"/>
    </row>
    <row r="80" spans="2:22" s="171" customFormat="1" ht="12" customHeight="1" x14ac:dyDescent="0.2">
      <c r="B80" s="173" t="s">
        <v>55</v>
      </c>
      <c r="C80" s="8"/>
      <c r="D80" s="8"/>
      <c r="E80" s="8"/>
    </row>
    <row r="81" spans="2:22" s="171" customFormat="1" ht="12" customHeight="1" x14ac:dyDescent="0.2">
      <c r="B81" s="171" t="s">
        <v>56</v>
      </c>
      <c r="C81" s="8"/>
      <c r="D81" s="8"/>
      <c r="E81" s="8"/>
      <c r="F81" s="171" t="s">
        <v>87</v>
      </c>
      <c r="J81" s="172">
        <f>SUM(L81:S81)</f>
        <v>0</v>
      </c>
      <c r="L81" s="175">
        <f>'6) GAW import'!L48</f>
        <v>0</v>
      </c>
      <c r="M81" s="175">
        <f>'6) GAW import'!M48</f>
        <v>0</v>
      </c>
      <c r="N81" s="175">
        <f>'6) GAW import'!N48</f>
        <v>0</v>
      </c>
      <c r="O81" s="175">
        <f>'6) GAW import'!O48</f>
        <v>0</v>
      </c>
      <c r="P81" s="175">
        <f>'6) GAW import'!P48</f>
        <v>0</v>
      </c>
      <c r="Q81" s="175">
        <f>'6) GAW import'!Q48</f>
        <v>0</v>
      </c>
      <c r="S81" s="175">
        <f>'6) GAW import'!S48</f>
        <v>0</v>
      </c>
      <c r="U81" s="175">
        <f>'6) GAW import'!U48</f>
        <v>0</v>
      </c>
      <c r="V81" s="175">
        <f>'6) GAW import'!V48</f>
        <v>0</v>
      </c>
    </row>
    <row r="82" spans="2:22" s="171" customFormat="1" ht="12" customHeight="1" x14ac:dyDescent="0.2">
      <c r="B82" s="171" t="s">
        <v>57</v>
      </c>
      <c r="C82" s="8"/>
      <c r="D82" s="8"/>
      <c r="E82" s="8"/>
      <c r="F82" s="171" t="s">
        <v>87</v>
      </c>
      <c r="J82" s="172">
        <f>SUM(L82:S82)</f>
        <v>254128.59362666524</v>
      </c>
      <c r="L82" s="175">
        <f>'6) GAW import'!L49</f>
        <v>0</v>
      </c>
      <c r="M82" s="175">
        <f>'6) GAW import'!M49</f>
        <v>0</v>
      </c>
      <c r="N82" s="175">
        <f>'6) GAW import'!N49</f>
        <v>0</v>
      </c>
      <c r="O82" s="175">
        <f>'6) GAW import'!O49</f>
        <v>0</v>
      </c>
      <c r="P82" s="175">
        <f>'6) GAW import'!P49</f>
        <v>0</v>
      </c>
      <c r="Q82" s="175">
        <f>'6) GAW import'!Q49</f>
        <v>0</v>
      </c>
      <c r="S82" s="175">
        <f>'6) GAW import'!S49</f>
        <v>254128.59362666524</v>
      </c>
      <c r="U82" s="175">
        <f>'6) GAW import'!U49</f>
        <v>0</v>
      </c>
      <c r="V82" s="175">
        <f>'6) GAW import'!V49</f>
        <v>0</v>
      </c>
    </row>
    <row r="83" spans="2:22" s="171" customFormat="1" ht="12" customHeight="1" x14ac:dyDescent="0.2">
      <c r="B83" s="171" t="s">
        <v>58</v>
      </c>
      <c r="C83" s="8"/>
      <c r="D83" s="8"/>
      <c r="E83" s="8"/>
      <c r="F83" s="171" t="s">
        <v>87</v>
      </c>
      <c r="J83" s="172">
        <f>SUM(L83:S83)</f>
        <v>9235742.7775385156</v>
      </c>
      <c r="L83" s="175">
        <f>'6) GAW import'!L50</f>
        <v>0</v>
      </c>
      <c r="M83" s="175">
        <f>'6) GAW import'!M50</f>
        <v>0</v>
      </c>
      <c r="N83" s="175">
        <f>'6) GAW import'!N50</f>
        <v>0</v>
      </c>
      <c r="O83" s="175">
        <f>'6) GAW import'!O50</f>
        <v>0</v>
      </c>
      <c r="P83" s="175">
        <f>'6) GAW import'!P50</f>
        <v>0</v>
      </c>
      <c r="Q83" s="175">
        <f>'6) GAW import'!Q50</f>
        <v>0</v>
      </c>
      <c r="S83" s="175">
        <f>'6) GAW import'!S50</f>
        <v>9235742.7775385156</v>
      </c>
      <c r="U83" s="175">
        <f>'6) GAW import'!U50</f>
        <v>0</v>
      </c>
      <c r="V83" s="175">
        <f>'6) GAW import'!V50</f>
        <v>0</v>
      </c>
    </row>
    <row r="84" spans="2:22" s="171" customFormat="1" ht="12" customHeight="1" x14ac:dyDescent="0.2">
      <c r="C84" s="8"/>
      <c r="D84" s="8"/>
      <c r="E84" s="8"/>
    </row>
    <row r="85" spans="2:22" s="171" customFormat="1" ht="12" customHeight="1" x14ac:dyDescent="0.2">
      <c r="B85" s="173" t="s">
        <v>59</v>
      </c>
      <c r="C85" s="8"/>
      <c r="D85" s="8"/>
      <c r="E85" s="8"/>
    </row>
    <row r="86" spans="2:22" s="171" customFormat="1" ht="12" customHeight="1" x14ac:dyDescent="0.2">
      <c r="B86" s="171" t="s">
        <v>60</v>
      </c>
      <c r="C86" s="8"/>
      <c r="D86" s="8"/>
      <c r="E86" s="8"/>
      <c r="F86" s="171" t="s">
        <v>87</v>
      </c>
      <c r="J86" s="172">
        <f>SUM(L86:S86)</f>
        <v>0</v>
      </c>
      <c r="L86" s="175">
        <f>'6) GAW import'!L53</f>
        <v>0</v>
      </c>
      <c r="M86" s="175">
        <f>'6) GAW import'!M53</f>
        <v>0</v>
      </c>
      <c r="N86" s="175">
        <f>'6) GAW import'!N53</f>
        <v>0</v>
      </c>
      <c r="O86" s="175">
        <f>'6) GAW import'!O53</f>
        <v>0</v>
      </c>
      <c r="P86" s="175">
        <f>'6) GAW import'!P53</f>
        <v>0</v>
      </c>
      <c r="Q86" s="175">
        <f>'6) GAW import'!Q53</f>
        <v>0</v>
      </c>
      <c r="S86" s="175">
        <f>'6) GAW import'!S53</f>
        <v>0</v>
      </c>
      <c r="U86" s="175">
        <f>'6) GAW import'!U53</f>
        <v>0</v>
      </c>
      <c r="V86" s="175">
        <f>'6) GAW import'!V53</f>
        <v>0</v>
      </c>
    </row>
    <row r="87" spans="2:22" s="171" customFormat="1" ht="12" customHeight="1" x14ac:dyDescent="0.2">
      <c r="B87" s="171" t="s">
        <v>61</v>
      </c>
      <c r="F87" s="171" t="s">
        <v>87</v>
      </c>
      <c r="J87" s="172">
        <f>SUM(L87:S87)</f>
        <v>1825764.9778318403</v>
      </c>
      <c r="L87" s="175">
        <f>'6) GAW import'!L54</f>
        <v>0</v>
      </c>
      <c r="M87" s="175">
        <f>'6) GAW import'!M54</f>
        <v>10077.236060053154</v>
      </c>
      <c r="N87" s="175">
        <f>'6) GAW import'!N54</f>
        <v>441717.42641723558</v>
      </c>
      <c r="O87" s="175">
        <f>'6) GAW import'!O54</f>
        <v>0</v>
      </c>
      <c r="P87" s="175">
        <f>'6) GAW import'!P54</f>
        <v>1236372.2876501733</v>
      </c>
      <c r="Q87" s="175">
        <f>'6) GAW import'!Q54</f>
        <v>27320.28218181818</v>
      </c>
      <c r="S87" s="175">
        <f>'6) GAW import'!S54</f>
        <v>110277.74552255998</v>
      </c>
      <c r="U87" s="175">
        <f>'6) GAW import'!U54</f>
        <v>10077.236060053154</v>
      </c>
      <c r="V87" s="175">
        <f>'6) GAW import'!V54</f>
        <v>0</v>
      </c>
    </row>
    <row r="88" spans="2:22" s="171" customFormat="1" ht="12" customHeight="1" x14ac:dyDescent="0.2">
      <c r="B88" s="171" t="s">
        <v>62</v>
      </c>
      <c r="F88" s="171" t="s">
        <v>87</v>
      </c>
      <c r="J88" s="172">
        <f>SUM(L88:S88)</f>
        <v>20432005.123754252</v>
      </c>
      <c r="L88" s="175">
        <f>'6) GAW import'!L55</f>
        <v>0</v>
      </c>
      <c r="M88" s="175">
        <f>'6) GAW import'!M55</f>
        <v>253692.27906596969</v>
      </c>
      <c r="N88" s="175">
        <f>'6) GAW import'!N55</f>
        <v>3454191.3863908718</v>
      </c>
      <c r="O88" s="175">
        <f>'6) GAW import'!O55</f>
        <v>0</v>
      </c>
      <c r="P88" s="175">
        <f>'6) GAW import'!P55</f>
        <v>16021972.870286964</v>
      </c>
      <c r="Q88" s="175">
        <f>'6) GAW import'!Q55</f>
        <v>95620.987636363643</v>
      </c>
      <c r="S88" s="175">
        <f>'6) GAW import'!S55</f>
        <v>606527.60037407989</v>
      </c>
      <c r="U88" s="175">
        <f>'6) GAW import'!U55</f>
        <v>253692.27906596969</v>
      </c>
      <c r="V88" s="175">
        <f>'6) GAW import'!V55</f>
        <v>0</v>
      </c>
    </row>
    <row r="89" spans="2:22" s="171" customFormat="1" ht="12" customHeight="1" x14ac:dyDescent="0.2"/>
    <row r="90" spans="2:22" s="171" customFormat="1" ht="12" customHeight="1" x14ac:dyDescent="0.2">
      <c r="B90" s="173" t="s">
        <v>148</v>
      </c>
    </row>
    <row r="91" spans="2:22" s="171" customFormat="1" ht="12" customHeight="1" x14ac:dyDescent="0.2">
      <c r="B91" s="176" t="s">
        <v>149</v>
      </c>
      <c r="F91" s="171" t="s">
        <v>87</v>
      </c>
      <c r="J91" s="172">
        <f>SUM(L91:S91)</f>
        <v>12601190.357499994</v>
      </c>
      <c r="L91" s="175">
        <f>'5) Overige opbrengsten'!L53</f>
        <v>0</v>
      </c>
      <c r="M91" s="175">
        <f>'5) Overige opbrengsten'!M53</f>
        <v>3271317.7199999993</v>
      </c>
      <c r="N91" s="175">
        <f>'5) Overige opbrengsten'!N53</f>
        <v>2865161.4725000001</v>
      </c>
      <c r="O91" s="175">
        <f>'5) Overige opbrengsten'!O53</f>
        <v>0</v>
      </c>
      <c r="P91" s="175">
        <f>'5) Overige opbrengsten'!P53</f>
        <v>5380860.3899999987</v>
      </c>
      <c r="Q91" s="175">
        <f>'5) Overige opbrengsten'!Q53</f>
        <v>8541.840000000002</v>
      </c>
      <c r="S91" s="175">
        <f>'5) Overige opbrengsten'!S53</f>
        <v>1075308.9349999959</v>
      </c>
      <c r="U91" s="175">
        <f>'5) Overige opbrengsten'!U53</f>
        <v>3271317.7199999993</v>
      </c>
      <c r="V91" s="175">
        <f>'5) Overige opbrengsten'!V53</f>
        <v>0</v>
      </c>
    </row>
    <row r="92" spans="2:22" s="171" customFormat="1" ht="12" customHeight="1" x14ac:dyDescent="0.2">
      <c r="B92" s="176" t="s">
        <v>150</v>
      </c>
      <c r="F92" s="171" t="s">
        <v>87</v>
      </c>
      <c r="J92" s="172">
        <f>SUM(L92:S92)</f>
        <v>3317823.803205627</v>
      </c>
      <c r="L92" s="175">
        <f>'5) Overige opbrengsten'!L59</f>
        <v>0</v>
      </c>
      <c r="M92" s="175">
        <f>'5) Overige opbrengsten'!M59</f>
        <v>654263.54399999999</v>
      </c>
      <c r="N92" s="175">
        <f>'5) Overige opbrengsten'!N59</f>
        <v>889188.04571562761</v>
      </c>
      <c r="O92" s="175">
        <f>'5) Overige opbrengsten'!O59</f>
        <v>0</v>
      </c>
      <c r="P92" s="175">
        <f>'5) Overige opbrengsten'!P59</f>
        <v>1565830.3734899994</v>
      </c>
      <c r="Q92" s="175">
        <f>'5) Overige opbrengsten'!Q59</f>
        <v>8541.840000000002</v>
      </c>
      <c r="S92" s="175">
        <f>'5) Overige opbrengsten'!S59</f>
        <v>200000</v>
      </c>
      <c r="U92" s="175">
        <f>'5) Overige opbrengsten'!U59</f>
        <v>654263.54399999999</v>
      </c>
      <c r="V92" s="175">
        <f>'5) Overige opbrengsten'!V59</f>
        <v>0</v>
      </c>
    </row>
    <row r="93" spans="2:22" s="171" customFormat="1" ht="12" customHeight="1" x14ac:dyDescent="0.2">
      <c r="B93" s="171" t="s">
        <v>151</v>
      </c>
      <c r="F93" s="171" t="s">
        <v>87</v>
      </c>
      <c r="J93" s="172">
        <f>SUM(L93:S93)</f>
        <v>0</v>
      </c>
      <c r="L93" s="175">
        <f>'5) Overige opbrengsten'!L86</f>
        <v>0</v>
      </c>
      <c r="M93" s="175">
        <f>'5) Overige opbrengsten'!M86</f>
        <v>0</v>
      </c>
      <c r="N93" s="175">
        <f>'5) Overige opbrengsten'!N86</f>
        <v>0</v>
      </c>
      <c r="O93" s="175">
        <f>'5) Overige opbrengsten'!O86</f>
        <v>0</v>
      </c>
      <c r="P93" s="175">
        <f>'5) Overige opbrengsten'!P86</f>
        <v>0</v>
      </c>
      <c r="Q93" s="175">
        <f>'5) Overige opbrengsten'!Q86</f>
        <v>0</v>
      </c>
      <c r="S93" s="175">
        <f>'5) Overige opbrengsten'!S86</f>
        <v>0</v>
      </c>
      <c r="U93" s="175">
        <f>'5) Overige opbrengsten'!U86</f>
        <v>0</v>
      </c>
      <c r="V93" s="175">
        <f>'5) Overige opbrengsten'!V86</f>
        <v>0</v>
      </c>
    </row>
    <row r="94" spans="2:22" s="171" customFormat="1" ht="12" customHeight="1" x14ac:dyDescent="0.2"/>
    <row r="95" spans="2:22" s="171" customFormat="1" ht="12" customHeight="1" x14ac:dyDescent="0.2">
      <c r="B95" s="40" t="s">
        <v>156</v>
      </c>
    </row>
    <row r="96" spans="2:22" s="171" customFormat="1" ht="12" customHeight="1" x14ac:dyDescent="0.2">
      <c r="B96" s="173" t="s">
        <v>154</v>
      </c>
    </row>
    <row r="97" spans="2:24" s="171" customFormat="1" ht="12" customHeight="1" x14ac:dyDescent="0.2">
      <c r="B97" s="177" t="s">
        <v>46</v>
      </c>
      <c r="F97" s="171" t="s">
        <v>87</v>
      </c>
      <c r="J97" s="172">
        <f>SUM(L97:S97)</f>
        <v>576924732.32599878</v>
      </c>
      <c r="L97" s="172">
        <f t="shared" ref="L97:Q98" si="5">L72+L77+L82+L87</f>
        <v>3571810.4894940369</v>
      </c>
      <c r="M97" s="172">
        <f t="shared" si="5"/>
        <v>201201733.07883179</v>
      </c>
      <c r="N97" s="172">
        <f t="shared" si="5"/>
        <v>179459017.67271942</v>
      </c>
      <c r="O97" s="172">
        <f t="shared" si="5"/>
        <v>2750812.2712242478</v>
      </c>
      <c r="P97" s="172">
        <f t="shared" si="5"/>
        <v>163121848.53366625</v>
      </c>
      <c r="Q97" s="172">
        <f t="shared" si="5"/>
        <v>9797984.0627758745</v>
      </c>
      <c r="S97" s="172">
        <f t="shared" ref="S97:S98" si="6">S72+S77+S82+S87</f>
        <v>17021526.217287149</v>
      </c>
      <c r="U97" s="172">
        <f t="shared" ref="U97:V97" si="7">U72+U77+U82+U87</f>
        <v>221806525.03695786</v>
      </c>
      <c r="V97" s="172">
        <f t="shared" si="7"/>
        <v>2838939.8426502822</v>
      </c>
      <c r="X97" s="88" t="s">
        <v>649</v>
      </c>
    </row>
    <row r="98" spans="2:24" s="171" customFormat="1" ht="12" customHeight="1" x14ac:dyDescent="0.2">
      <c r="B98" s="177" t="s">
        <v>147</v>
      </c>
      <c r="F98" s="171" t="s">
        <v>87</v>
      </c>
      <c r="J98" s="172">
        <f>SUM(L98:S98)</f>
        <v>11162012851.752569</v>
      </c>
      <c r="L98" s="172">
        <f t="shared" si="5"/>
        <v>58509114.632716849</v>
      </c>
      <c r="M98" s="172">
        <f t="shared" si="5"/>
        <v>3600167300.4556966</v>
      </c>
      <c r="N98" s="172">
        <f t="shared" si="5"/>
        <v>3921558248.8904958</v>
      </c>
      <c r="O98" s="172">
        <f t="shared" si="5"/>
        <v>30022531.293881394</v>
      </c>
      <c r="P98" s="172">
        <f t="shared" si="5"/>
        <v>3010258468.7952337</v>
      </c>
      <c r="Q98" s="172">
        <f t="shared" si="5"/>
        <v>248391420.6104078</v>
      </c>
      <c r="S98" s="172">
        <f t="shared" si="6"/>
        <v>293105767.07413876</v>
      </c>
      <c r="U98" s="172">
        <f t="shared" ref="U98:V98" si="8">U73+U78+U83+U88</f>
        <v>3661752162.4078341</v>
      </c>
      <c r="V98" s="172">
        <f t="shared" si="8"/>
        <v>30478286.69940827</v>
      </c>
      <c r="X98" s="88" t="s">
        <v>650</v>
      </c>
    </row>
    <row r="99" spans="2:24" s="171" customFormat="1" ht="12" customHeight="1" x14ac:dyDescent="0.2"/>
    <row r="100" spans="2:24" s="171" customFormat="1" ht="12" customHeight="1" x14ac:dyDescent="0.2">
      <c r="B100" s="173" t="s">
        <v>155</v>
      </c>
      <c r="D100" s="178"/>
    </row>
    <row r="101" spans="2:24" s="171" customFormat="1" ht="12" customHeight="1" x14ac:dyDescent="0.2">
      <c r="B101" s="177" t="s">
        <v>88</v>
      </c>
      <c r="D101" s="178" t="s">
        <v>634</v>
      </c>
      <c r="F101" s="171" t="s">
        <v>87</v>
      </c>
      <c r="J101" s="172">
        <f>SUM(L101:S101)</f>
        <v>1028986252.8219777</v>
      </c>
      <c r="L101" s="172">
        <f>L97+L98*$H$20</f>
        <v>5941429.6321190689</v>
      </c>
      <c r="M101" s="172">
        <f t="shared" ref="M101:N101" si="9">M97+M98*$H$20</f>
        <v>347008508.74728751</v>
      </c>
      <c r="N101" s="172">
        <f t="shared" si="9"/>
        <v>338282126.75278449</v>
      </c>
      <c r="O101" s="172">
        <f>O97+O98*$H$20</f>
        <v>3966724.7886264441</v>
      </c>
      <c r="P101" s="181">
        <f>(P97+P98*$H$20)+(S97+S98*$H$20)</f>
        <v>313929626.30366296</v>
      </c>
      <c r="Q101" s="172">
        <f>Q97+Q98*$H$20</f>
        <v>19857836.597497389</v>
      </c>
      <c r="S101" s="78"/>
      <c r="U101" s="172">
        <f t="shared" ref="U101" si="10">U97+U98*$H$20</f>
        <v>370107487.61447513</v>
      </c>
      <c r="V101" s="172">
        <f>V97+V98*$H$20</f>
        <v>4073310.4539763173</v>
      </c>
      <c r="X101" s="88" t="s">
        <v>646</v>
      </c>
    </row>
    <row r="102" spans="2:24" s="171" customFormat="1" ht="12" customHeight="1" x14ac:dyDescent="0.2">
      <c r="B102" s="177" t="s">
        <v>88</v>
      </c>
      <c r="D102" s="178" t="s">
        <v>636</v>
      </c>
      <c r="F102" s="171" t="s">
        <v>87</v>
      </c>
      <c r="J102" s="172">
        <f>SUM(L102:S102)</f>
        <v>1062472291.3772357</v>
      </c>
      <c r="L102" s="172">
        <f>L97+L98*$H$21</f>
        <v>6116956.9760172199</v>
      </c>
      <c r="M102" s="172">
        <f t="shared" ref="M102:N102" si="11">M97+M98*$H$21</f>
        <v>357809010.64865458</v>
      </c>
      <c r="N102" s="172">
        <f t="shared" si="11"/>
        <v>350046801.49945599</v>
      </c>
      <c r="O102" s="172">
        <f>O97+O98*$H$21</f>
        <v>4056792.3825080884</v>
      </c>
      <c r="P102" s="181">
        <f>(P97+P98*$H$21)+(S97+S98*$H$21)</f>
        <v>323839719.01127112</v>
      </c>
      <c r="Q102" s="172">
        <f>Q97+Q98*$H$21</f>
        <v>20603010.859328613</v>
      </c>
      <c r="S102" s="78"/>
      <c r="U102" s="172">
        <f t="shared" ref="U102" si="12">U97+U98*$H$21</f>
        <v>381092744.10169864</v>
      </c>
      <c r="V102" s="172">
        <f>V97+V98*$H$21</f>
        <v>4164745.3140745419</v>
      </c>
    </row>
    <row r="103" spans="2:24" s="171" customFormat="1" ht="12.75" x14ac:dyDescent="0.2"/>
    <row r="104" spans="2:24" s="171" customFormat="1" ht="15" x14ac:dyDescent="0.2">
      <c r="B104" s="40" t="s">
        <v>153</v>
      </c>
    </row>
    <row r="105" spans="2:24" s="180" customFormat="1" x14ac:dyDescent="0.2">
      <c r="B105" s="177" t="s">
        <v>88</v>
      </c>
      <c r="C105" s="171"/>
      <c r="D105" s="178" t="s">
        <v>637</v>
      </c>
      <c r="E105" s="171"/>
      <c r="F105" s="171" t="s">
        <v>87</v>
      </c>
      <c r="H105" s="171"/>
      <c r="J105" s="172">
        <f>SUM(L105:S105)</f>
        <v>1019702886.2676834</v>
      </c>
      <c r="L105" s="179">
        <f>L101-(L91-L92+L93)</f>
        <v>5941429.6321190689</v>
      </c>
      <c r="M105" s="179">
        <f>M101-(M91-M92+M93)</f>
        <v>344391454.57128751</v>
      </c>
      <c r="N105" s="179">
        <f>N101-(N91-N92+N93)</f>
        <v>336306153.32600009</v>
      </c>
      <c r="O105" s="179">
        <f t="shared" ref="O105:Q105" si="13">O101-(O91-O92+O93)</f>
        <v>3966724.7886264441</v>
      </c>
      <c r="P105" s="181">
        <f>P101-(P91-P92+P93)-(S91-S92+S93)</f>
        <v>309239287.35215294</v>
      </c>
      <c r="Q105" s="179">
        <f t="shared" si="13"/>
        <v>19857836.597497389</v>
      </c>
      <c r="R105" s="171"/>
      <c r="S105" s="78"/>
      <c r="U105" s="179">
        <f>U101-(U91-U92+U93)</f>
        <v>367490433.43847513</v>
      </c>
      <c r="V105" s="179">
        <f t="shared" ref="V105" si="14">V101-(V91-V92+V93)</f>
        <v>4073310.4539763173</v>
      </c>
      <c r="X105" s="88" t="s">
        <v>647</v>
      </c>
    </row>
    <row r="106" spans="2:24" x14ac:dyDescent="0.2">
      <c r="B106" s="177" t="s">
        <v>88</v>
      </c>
      <c r="C106" s="171"/>
      <c r="D106" s="178" t="s">
        <v>638</v>
      </c>
      <c r="E106" s="171"/>
      <c r="F106" s="171" t="s">
        <v>87</v>
      </c>
      <c r="H106" s="171"/>
      <c r="J106" s="172">
        <f>SUM(L106:S106)</f>
        <v>1053188924.8229412</v>
      </c>
      <c r="L106" s="179">
        <f>L102-(L91-L92+L93)</f>
        <v>6116956.9760172199</v>
      </c>
      <c r="M106" s="179">
        <f>M102-(M91-M92+M93)</f>
        <v>355191956.47265458</v>
      </c>
      <c r="N106" s="179">
        <f>N102-(N91-N92+N93)</f>
        <v>348070828.07267159</v>
      </c>
      <c r="O106" s="179">
        <f t="shared" ref="O106" si="15">O102-(O91-O92+O93)</f>
        <v>4056792.3825080884</v>
      </c>
      <c r="P106" s="181">
        <f>P102-(P91-P92+P93)-(S91-S92+S93)</f>
        <v>319149380.05976111</v>
      </c>
      <c r="Q106" s="179">
        <f>Q102-(Q91-Q92+Q93)</f>
        <v>20603010.859328613</v>
      </c>
      <c r="S106" s="78"/>
      <c r="U106" s="179">
        <f>U102-(U91-U92+U93)</f>
        <v>378475689.92569864</v>
      </c>
      <c r="V106" s="179">
        <f>V102-(V91-V92+V93)</f>
        <v>4164745.3140745419</v>
      </c>
    </row>
    <row r="107" spans="2:24" x14ac:dyDescent="0.2">
      <c r="B107" s="104"/>
    </row>
    <row r="108" spans="2:24" s="24" customFormat="1" ht="12.75" x14ac:dyDescent="0.2">
      <c r="B108" s="24" t="s">
        <v>158</v>
      </c>
    </row>
    <row r="109" spans="2:24" s="171" customFormat="1" ht="12" customHeight="1" x14ac:dyDescent="0.2"/>
    <row r="110" spans="2:24" s="171" customFormat="1" ht="12" customHeight="1" x14ac:dyDescent="0.2">
      <c r="B110" s="40" t="s">
        <v>131</v>
      </c>
    </row>
    <row r="111" spans="2:24" s="171" customFormat="1" ht="12" customHeight="1" x14ac:dyDescent="0.2">
      <c r="B111" s="173" t="s">
        <v>152</v>
      </c>
    </row>
    <row r="112" spans="2:24" s="171" customFormat="1" ht="12" customHeight="1" x14ac:dyDescent="0.2">
      <c r="B112" s="173" t="s">
        <v>48</v>
      </c>
      <c r="C112" s="6"/>
      <c r="D112" s="6"/>
      <c r="E112" s="6"/>
    </row>
    <row r="113" spans="2:22" s="171" customFormat="1" ht="12" customHeight="1" x14ac:dyDescent="0.2">
      <c r="B113" s="171" t="s">
        <v>49</v>
      </c>
      <c r="C113" s="6"/>
      <c r="D113" s="6"/>
      <c r="E113" s="6"/>
      <c r="F113" s="171" t="s">
        <v>92</v>
      </c>
      <c r="J113" s="172">
        <f>SUM(L113:S113)</f>
        <v>0</v>
      </c>
      <c r="L113" s="175">
        <f>'6) GAW import'!L60</f>
        <v>0</v>
      </c>
      <c r="M113" s="175">
        <f>'6) GAW import'!M60</f>
        <v>0</v>
      </c>
      <c r="N113" s="175">
        <f>'6) GAW import'!N60</f>
        <v>0</v>
      </c>
      <c r="O113" s="175">
        <f>'6) GAW import'!O60</f>
        <v>0</v>
      </c>
      <c r="P113" s="175">
        <f>'6) GAW import'!P60</f>
        <v>0</v>
      </c>
      <c r="Q113" s="175">
        <f>'6) GAW import'!Q60</f>
        <v>0</v>
      </c>
      <c r="S113" s="175">
        <f>'6) GAW import'!S60</f>
        <v>0</v>
      </c>
      <c r="U113" s="175">
        <f>'6) GAW import'!U60</f>
        <v>0</v>
      </c>
      <c r="V113" s="175">
        <f>'6) GAW import'!V60</f>
        <v>0</v>
      </c>
    </row>
    <row r="114" spans="2:22" s="171" customFormat="1" ht="12" customHeight="1" x14ac:dyDescent="0.2">
      <c r="B114" s="171" t="s">
        <v>50</v>
      </c>
      <c r="C114" s="6"/>
      <c r="D114" s="6"/>
      <c r="E114" s="6"/>
      <c r="F114" s="171" t="s">
        <v>92</v>
      </c>
      <c r="J114" s="172">
        <f>SUM(L114:S114)</f>
        <v>397155852.21395898</v>
      </c>
      <c r="L114" s="175">
        <f>'6) GAW import'!L61</f>
        <v>2514404.7922292855</v>
      </c>
      <c r="M114" s="175">
        <f>'6) GAW import'!M61</f>
        <v>146256608.91977111</v>
      </c>
      <c r="N114" s="175">
        <f>'6) GAW import'!N61</f>
        <v>128160424.08118175</v>
      </c>
      <c r="O114" s="175">
        <f>'6) GAW import'!O61</f>
        <v>1981740.2892482153</v>
      </c>
      <c r="P114" s="175">
        <f>'6) GAW import'!P61</f>
        <v>103636245.40191907</v>
      </c>
      <c r="Q114" s="175">
        <f>'6) GAW import'!Q61</f>
        <v>4116630.4625546862</v>
      </c>
      <c r="S114" s="175">
        <f>'6) GAW import'!S61</f>
        <v>10489798.267054828</v>
      </c>
      <c r="U114" s="175">
        <f>'6) GAW import'!U61</f>
        <v>146256608.91977111</v>
      </c>
      <c r="V114" s="175">
        <f>'6) GAW import'!V61</f>
        <v>1981740.2892482153</v>
      </c>
    </row>
    <row r="115" spans="2:22" s="171" customFormat="1" ht="12" customHeight="1" x14ac:dyDescent="0.2">
      <c r="B115" s="171" t="s">
        <v>51</v>
      </c>
      <c r="C115" s="6"/>
      <c r="D115" s="6"/>
      <c r="E115" s="6"/>
      <c r="F115" s="171" t="s">
        <v>92</v>
      </c>
      <c r="J115" s="172">
        <f>SUM(L115:S115)</f>
        <v>4756389834.0889988</v>
      </c>
      <c r="L115" s="175">
        <f>'6) GAW import'!L62</f>
        <v>14341935.502236543</v>
      </c>
      <c r="M115" s="175">
        <f>'6) GAW import'!M62</f>
        <v>1598563315.9201384</v>
      </c>
      <c r="N115" s="175">
        <f>'6) GAW import'!N62</f>
        <v>1877350400.9604855</v>
      </c>
      <c r="O115" s="175">
        <f>'6) GAW import'!O62</f>
        <v>3580552.3822289961</v>
      </c>
      <c r="P115" s="175">
        <f>'6) GAW import'!P62</f>
        <v>1132313698.4143963</v>
      </c>
      <c r="Q115" s="175">
        <f>'6) GAW import'!Q62</f>
        <v>62004091.83404126</v>
      </c>
      <c r="S115" s="175">
        <f>'6) GAW import'!S62</f>
        <v>68235839.075471655</v>
      </c>
      <c r="U115" s="175">
        <f>'6) GAW import'!U62</f>
        <v>1598563315.9201384</v>
      </c>
      <c r="V115" s="175">
        <f>'6) GAW import'!V62</f>
        <v>3580552.3822289961</v>
      </c>
    </row>
    <row r="116" spans="2:22" s="171" customFormat="1" ht="12" customHeight="1" x14ac:dyDescent="0.2">
      <c r="C116" s="6"/>
      <c r="D116" s="6"/>
      <c r="E116" s="6"/>
    </row>
    <row r="117" spans="2:22" s="171" customFormat="1" ht="12" customHeight="1" x14ac:dyDescent="0.2">
      <c r="B117" s="173" t="s">
        <v>52</v>
      </c>
      <c r="C117" s="6"/>
      <c r="D117" s="6"/>
      <c r="E117" s="6"/>
    </row>
    <row r="118" spans="2:22" s="171" customFormat="1" ht="12" customHeight="1" x14ac:dyDescent="0.2">
      <c r="B118" s="171" t="s">
        <v>53</v>
      </c>
      <c r="C118" s="6"/>
      <c r="D118" s="6"/>
      <c r="E118" s="6"/>
      <c r="F118" s="171" t="s">
        <v>92</v>
      </c>
      <c r="J118" s="172">
        <f>SUM(L118:S118)</f>
        <v>630211996.32270074</v>
      </c>
      <c r="L118" s="175">
        <f>'6) GAW import'!L65</f>
        <v>1675372.107765842</v>
      </c>
      <c r="M118" s="175">
        <f>'6) GAW import'!M65</f>
        <v>178947115.90898648</v>
      </c>
      <c r="N118" s="175">
        <f>'6) GAW import'!N65</f>
        <v>250719912.23842701</v>
      </c>
      <c r="O118" s="175">
        <f>'6) GAW import'!O65</f>
        <v>1673688.9</v>
      </c>
      <c r="P118" s="175">
        <f>'6) GAW import'!P65</f>
        <v>167471022.67502934</v>
      </c>
      <c r="Q118" s="175">
        <f>'6) GAW import'!Q65</f>
        <v>3393932.5041513927</v>
      </c>
      <c r="S118" s="175">
        <f>'6) GAW import'!S65</f>
        <v>26330951.988340773</v>
      </c>
      <c r="U118" s="175">
        <f>'6) GAW import'!U65</f>
        <v>178947115.90898648</v>
      </c>
      <c r="V118" s="175">
        <f>'6) GAW import'!V65</f>
        <v>2128927.34</v>
      </c>
    </row>
    <row r="119" spans="2:22" s="171" customFormat="1" ht="12" customHeight="1" x14ac:dyDescent="0.2">
      <c r="B119" s="171" t="s">
        <v>46</v>
      </c>
      <c r="C119" s="6"/>
      <c r="D119" s="6"/>
      <c r="E119" s="6"/>
      <c r="F119" s="171" t="s">
        <v>92</v>
      </c>
      <c r="J119" s="172">
        <f>SUM(L119:S119)</f>
        <v>191962592.20522988</v>
      </c>
      <c r="L119" s="175">
        <f>'6) GAW import'!L66</f>
        <v>1121574.5720236162</v>
      </c>
      <c r="M119" s="175">
        <f>'6) GAW import'!M66</f>
        <v>56175844.218598194</v>
      </c>
      <c r="N119" s="175">
        <f>'6) GAW import'!N66</f>
        <v>56954716.184026785</v>
      </c>
      <c r="O119" s="175">
        <f>'6) GAW import'!O66</f>
        <v>795179.78214792069</v>
      </c>
      <c r="P119" s="175">
        <f>'6) GAW import'!P66</f>
        <v>64438885.929654919</v>
      </c>
      <c r="Q119" s="175">
        <f>'6) GAW import'!Q66</f>
        <v>5668580.1531864312</v>
      </c>
      <c r="S119" s="175">
        <f>'6) GAW import'!S66</f>
        <v>6807811.3655919898</v>
      </c>
      <c r="U119" s="175">
        <f>'6) GAW import'!U66</f>
        <v>74496293.838529706</v>
      </c>
      <c r="V119" s="175">
        <f>'6) GAW import'!V66</f>
        <v>924260.53889080707</v>
      </c>
    </row>
    <row r="120" spans="2:22" s="171" customFormat="1" ht="12" customHeight="1" x14ac:dyDescent="0.2">
      <c r="B120" s="171" t="s">
        <v>54</v>
      </c>
      <c r="C120" s="6"/>
      <c r="D120" s="6"/>
      <c r="E120" s="6"/>
      <c r="F120" s="171" t="s">
        <v>92</v>
      </c>
      <c r="J120" s="172">
        <f>SUM(L120:S120)</f>
        <v>6439313511.9343214</v>
      </c>
      <c r="L120" s="175">
        <f>'6) GAW import'!L67</f>
        <v>42323590.164085701</v>
      </c>
      <c r="M120" s="175">
        <f>'6) GAW import'!M67</f>
        <v>1985064782.2434616</v>
      </c>
      <c r="N120" s="175">
        <f>'6) GAW import'!N67</f>
        <v>2114194636.6318467</v>
      </c>
      <c r="O120" s="175">
        <f>'6) GAW import'!O67</f>
        <v>25398792.802844036</v>
      </c>
      <c r="P120" s="175">
        <f>'6) GAW import'!P67</f>
        <v>1867307161.8458562</v>
      </c>
      <c r="Q120" s="175">
        <f>'6) GAW import'!Q67</f>
        <v>180397021.27638596</v>
      </c>
      <c r="S120" s="175">
        <f>'6) GAW import'!S67</f>
        <v>224627526.96984082</v>
      </c>
      <c r="U120" s="175">
        <f>'6) GAW import'!U67</f>
        <v>2028452364.2995718</v>
      </c>
      <c r="V120" s="175">
        <f>'6) GAW import'!V67</f>
        <v>26181617.402439062</v>
      </c>
    </row>
    <row r="121" spans="2:22" s="171" customFormat="1" ht="12" customHeight="1" x14ac:dyDescent="0.2">
      <c r="C121" s="6"/>
      <c r="D121" s="6"/>
      <c r="E121" s="6"/>
    </row>
    <row r="122" spans="2:22" s="171" customFormat="1" ht="12" customHeight="1" x14ac:dyDescent="0.2">
      <c r="B122" s="173" t="s">
        <v>55</v>
      </c>
      <c r="C122" s="8"/>
      <c r="D122" s="8"/>
      <c r="E122" s="8"/>
    </row>
    <row r="123" spans="2:22" s="171" customFormat="1" ht="12" customHeight="1" x14ac:dyDescent="0.2">
      <c r="B123" s="171" t="s">
        <v>56</v>
      </c>
      <c r="C123" s="8"/>
      <c r="D123" s="8"/>
      <c r="E123" s="8"/>
      <c r="F123" s="171" t="s">
        <v>92</v>
      </c>
      <c r="J123" s="172">
        <f>SUM(L123:S123)</f>
        <v>0</v>
      </c>
      <c r="L123" s="175">
        <f>'6) GAW import'!L70</f>
        <v>0</v>
      </c>
      <c r="M123" s="175">
        <f>'6) GAW import'!M70</f>
        <v>0</v>
      </c>
      <c r="N123" s="175">
        <f>'6) GAW import'!N70</f>
        <v>0</v>
      </c>
      <c r="O123" s="175">
        <f>'6) GAW import'!O70</f>
        <v>0</v>
      </c>
      <c r="P123" s="175">
        <f>'6) GAW import'!P70</f>
        <v>0</v>
      </c>
      <c r="Q123" s="175">
        <f>'6) GAW import'!Q70</f>
        <v>0</v>
      </c>
      <c r="S123" s="175">
        <f>'6) GAW import'!S70</f>
        <v>0</v>
      </c>
      <c r="U123" s="175">
        <f>'6) GAW import'!U70</f>
        <v>0</v>
      </c>
      <c r="V123" s="175">
        <f>'6) GAW import'!V70</f>
        <v>0</v>
      </c>
    </row>
    <row r="124" spans="2:22" s="171" customFormat="1" ht="12" customHeight="1" x14ac:dyDescent="0.2">
      <c r="B124" s="171" t="s">
        <v>57</v>
      </c>
      <c r="C124" s="8"/>
      <c r="D124" s="8"/>
      <c r="E124" s="8"/>
      <c r="F124" s="171" t="s">
        <v>92</v>
      </c>
      <c r="J124" s="172">
        <f>SUM(L124:S124)</f>
        <v>254636.8508139186</v>
      </c>
      <c r="L124" s="175">
        <f>'6) GAW import'!L71</f>
        <v>0</v>
      </c>
      <c r="M124" s="175">
        <f>'6) GAW import'!M71</f>
        <v>0</v>
      </c>
      <c r="N124" s="175">
        <f>'6) GAW import'!N71</f>
        <v>0</v>
      </c>
      <c r="O124" s="175">
        <f>'6) GAW import'!O71</f>
        <v>0</v>
      </c>
      <c r="P124" s="175">
        <f>'6) GAW import'!P71</f>
        <v>0</v>
      </c>
      <c r="Q124" s="175">
        <f>'6) GAW import'!Q71</f>
        <v>0</v>
      </c>
      <c r="S124" s="175">
        <f>'6) GAW import'!S71</f>
        <v>254636.8508139186</v>
      </c>
      <c r="U124" s="175">
        <f>'6) GAW import'!U71</f>
        <v>0</v>
      </c>
      <c r="V124" s="175">
        <f>'6) GAW import'!V71</f>
        <v>0</v>
      </c>
    </row>
    <row r="125" spans="2:22" s="171" customFormat="1" ht="12" customHeight="1" x14ac:dyDescent="0.2">
      <c r="B125" s="171" t="s">
        <v>58</v>
      </c>
      <c r="C125" s="8"/>
      <c r="D125" s="8"/>
      <c r="E125" s="8"/>
      <c r="F125" s="171" t="s">
        <v>92</v>
      </c>
      <c r="J125" s="172">
        <f>SUM(L125:S125)</f>
        <v>8999577.4122796748</v>
      </c>
      <c r="L125" s="175">
        <f>'6) GAW import'!L72</f>
        <v>0</v>
      </c>
      <c r="M125" s="175">
        <f>'6) GAW import'!M72</f>
        <v>0</v>
      </c>
      <c r="N125" s="175">
        <f>'6) GAW import'!N72</f>
        <v>0</v>
      </c>
      <c r="O125" s="175">
        <f>'6) GAW import'!O72</f>
        <v>0</v>
      </c>
      <c r="P125" s="175">
        <f>'6) GAW import'!P72</f>
        <v>0</v>
      </c>
      <c r="Q125" s="175">
        <f>'6) GAW import'!Q72</f>
        <v>0</v>
      </c>
      <c r="S125" s="175">
        <f>'6) GAW import'!S72</f>
        <v>8999577.4122796748</v>
      </c>
      <c r="U125" s="175">
        <f>'6) GAW import'!U72</f>
        <v>0</v>
      </c>
      <c r="V125" s="175">
        <f>'6) GAW import'!V72</f>
        <v>0</v>
      </c>
    </row>
    <row r="126" spans="2:22" s="171" customFormat="1" ht="12" customHeight="1" x14ac:dyDescent="0.2">
      <c r="C126" s="8"/>
      <c r="D126" s="8"/>
      <c r="E126" s="8"/>
    </row>
    <row r="127" spans="2:22" s="171" customFormat="1" ht="12" customHeight="1" x14ac:dyDescent="0.2">
      <c r="B127" s="173" t="s">
        <v>59</v>
      </c>
      <c r="C127" s="8"/>
      <c r="D127" s="8"/>
      <c r="E127" s="8"/>
    </row>
    <row r="128" spans="2:22" s="171" customFormat="1" ht="12" customHeight="1" x14ac:dyDescent="0.2">
      <c r="B128" s="171" t="s">
        <v>60</v>
      </c>
      <c r="C128" s="8"/>
      <c r="D128" s="8"/>
      <c r="E128" s="8"/>
      <c r="F128" s="171" t="s">
        <v>92</v>
      </c>
      <c r="J128" s="172">
        <f>SUM(L128:S128)</f>
        <v>0</v>
      </c>
      <c r="L128" s="175">
        <f>'6) GAW import'!L75</f>
        <v>0</v>
      </c>
      <c r="M128" s="175">
        <f>'6) GAW import'!M75</f>
        <v>0</v>
      </c>
      <c r="N128" s="175">
        <f>'6) GAW import'!N75</f>
        <v>0</v>
      </c>
      <c r="O128" s="175">
        <f>'6) GAW import'!O75</f>
        <v>0</v>
      </c>
      <c r="P128" s="175">
        <f>'6) GAW import'!P75</f>
        <v>0</v>
      </c>
      <c r="Q128" s="175">
        <f>'6) GAW import'!Q75</f>
        <v>0</v>
      </c>
      <c r="S128" s="175">
        <f>'6) GAW import'!S75</f>
        <v>0</v>
      </c>
      <c r="U128" s="175">
        <f>'6) GAW import'!U75</f>
        <v>0</v>
      </c>
      <c r="V128" s="175">
        <f>'6) GAW import'!V75</f>
        <v>0</v>
      </c>
    </row>
    <row r="129" spans="2:24" s="171" customFormat="1" ht="12" customHeight="1" x14ac:dyDescent="0.2">
      <c r="B129" s="171" t="s">
        <v>61</v>
      </c>
      <c r="F129" s="171" t="s">
        <v>92</v>
      </c>
      <c r="J129" s="172">
        <f>SUM(L129:S129)</f>
        <v>1652258.8394972167</v>
      </c>
      <c r="L129" s="175">
        <f>'6) GAW import'!L76</f>
        <v>0</v>
      </c>
      <c r="M129" s="175">
        <f>'6) GAW import'!M76</f>
        <v>10097.39053217326</v>
      </c>
      <c r="N129" s="175">
        <f>'6) GAW import'!N76</f>
        <v>442600.86127007002</v>
      </c>
      <c r="O129" s="175">
        <f>'6) GAW import'!O76</f>
        <v>0</v>
      </c>
      <c r="P129" s="175">
        <f>'6) GAW import'!P76</f>
        <v>1061687.3639351865</v>
      </c>
      <c r="Q129" s="175">
        <f>'6) GAW import'!Q76</f>
        <v>27374.922746181819</v>
      </c>
      <c r="S129" s="175">
        <f>'6) GAW import'!S76</f>
        <v>110498.3010136051</v>
      </c>
      <c r="U129" s="175">
        <f>'6) GAW import'!U76</f>
        <v>10097.39053217326</v>
      </c>
      <c r="V129" s="175">
        <f>'6) GAW import'!V76</f>
        <v>0</v>
      </c>
    </row>
    <row r="130" spans="2:24" s="171" customFormat="1" ht="12" customHeight="1" x14ac:dyDescent="0.2">
      <c r="B130" s="171" t="s">
        <v>62</v>
      </c>
      <c r="F130" s="171" t="s">
        <v>92</v>
      </c>
      <c r="J130" s="172">
        <f>SUM(L130:S130)</f>
        <v>18820610.294504542</v>
      </c>
      <c r="L130" s="175">
        <f>'6) GAW import'!L77</f>
        <v>0</v>
      </c>
      <c r="M130" s="175">
        <f>'6) GAW import'!M77</f>
        <v>244102.27309192836</v>
      </c>
      <c r="N130" s="175">
        <f>'6) GAW import'!N77</f>
        <v>3018498.9078935841</v>
      </c>
      <c r="O130" s="175">
        <f>'6) GAW import'!O77</f>
        <v>0</v>
      </c>
      <c r="P130" s="175">
        <f>'6) GAW import'!P77</f>
        <v>14992329.452092351</v>
      </c>
      <c r="Q130" s="175">
        <f>'6) GAW import'!Q77</f>
        <v>68437.306865454535</v>
      </c>
      <c r="S130" s="175">
        <f>'6) GAW import'!S77</f>
        <v>497242.35456122301</v>
      </c>
      <c r="U130" s="175">
        <f>'6) GAW import'!U77</f>
        <v>244102.27309192836</v>
      </c>
      <c r="V130" s="175">
        <f>'6) GAW import'!V77</f>
        <v>0</v>
      </c>
    </row>
    <row r="131" spans="2:24" s="171" customFormat="1" ht="12" customHeight="1" x14ac:dyDescent="0.2"/>
    <row r="132" spans="2:24" s="171" customFormat="1" ht="12" customHeight="1" x14ac:dyDescent="0.2">
      <c r="B132" s="173" t="s">
        <v>148</v>
      </c>
    </row>
    <row r="133" spans="2:24" s="171" customFormat="1" ht="12" customHeight="1" x14ac:dyDescent="0.2">
      <c r="B133" s="176" t="s">
        <v>149</v>
      </c>
      <c r="F133" s="171" t="s">
        <v>92</v>
      </c>
      <c r="J133" s="172">
        <f>SUM(L133:S133)</f>
        <v>12633312.557518186</v>
      </c>
      <c r="L133" s="175">
        <f>'5) Overige opbrengsten'!L91</f>
        <v>0</v>
      </c>
      <c r="M133" s="175">
        <f>'5) Overige opbrengsten'!M91</f>
        <v>3348083.101818182</v>
      </c>
      <c r="N133" s="175">
        <f>'5) Overige opbrengsten'!N91</f>
        <v>3010271.8856999995</v>
      </c>
      <c r="O133" s="175">
        <f>'5) Overige opbrengsten'!O91</f>
        <v>0</v>
      </c>
      <c r="P133" s="175">
        <f>'5) Overige opbrengsten'!P91</f>
        <v>5175435.330000001</v>
      </c>
      <c r="Q133" s="175">
        <f>'5) Overige opbrengsten'!Q91</f>
        <v>10683.720000000001</v>
      </c>
      <c r="S133" s="175">
        <f>'5) Overige opbrengsten'!S91</f>
        <v>1088838.5200000035</v>
      </c>
      <c r="U133" s="175">
        <f>'5) Overige opbrengsten'!U91</f>
        <v>3348083.101818182</v>
      </c>
      <c r="V133" s="175">
        <f>'5) Overige opbrengsten'!V91</f>
        <v>0</v>
      </c>
    </row>
    <row r="134" spans="2:24" s="171" customFormat="1" ht="12" customHeight="1" x14ac:dyDescent="0.2">
      <c r="B134" s="176" t="s">
        <v>150</v>
      </c>
      <c r="F134" s="171" t="s">
        <v>92</v>
      </c>
      <c r="J134" s="172">
        <f>SUM(L134:S134)</f>
        <v>3610425.1827898095</v>
      </c>
      <c r="L134" s="175">
        <f>'5) Overige opbrengsten'!L97</f>
        <v>0</v>
      </c>
      <c r="M134" s="175">
        <f>'5) Overige opbrengsten'!M97</f>
        <v>669616.62036363641</v>
      </c>
      <c r="N134" s="175">
        <f>'5) Overige opbrengsten'!N97</f>
        <v>934222.30935517233</v>
      </c>
      <c r="O134" s="175">
        <f>'5) Overige opbrengsten'!O97</f>
        <v>0</v>
      </c>
      <c r="P134" s="175">
        <f>'5) Overige opbrengsten'!P97</f>
        <v>1545902.5330710004</v>
      </c>
      <c r="Q134" s="175">
        <f>'5) Overige opbrengsten'!Q97</f>
        <v>10683.720000000001</v>
      </c>
      <c r="S134" s="175">
        <f>'5) Overige opbrengsten'!S97</f>
        <v>450000</v>
      </c>
      <c r="U134" s="175">
        <f>'5) Overige opbrengsten'!U97</f>
        <v>669616.62036363641</v>
      </c>
      <c r="V134" s="175">
        <f>'5) Overige opbrengsten'!V97</f>
        <v>0</v>
      </c>
    </row>
    <row r="135" spans="2:24" s="171" customFormat="1" ht="12" customHeight="1" x14ac:dyDescent="0.2">
      <c r="B135" s="171" t="s">
        <v>151</v>
      </c>
      <c r="F135" s="171" t="s">
        <v>92</v>
      </c>
      <c r="J135" s="172">
        <f>SUM(L135:S135)</f>
        <v>10453.379999999999</v>
      </c>
      <c r="L135" s="175">
        <f>'5) Overige opbrengsten'!L124</f>
        <v>0</v>
      </c>
      <c r="M135" s="175">
        <f>'5) Overige opbrengsten'!M124</f>
        <v>0</v>
      </c>
      <c r="N135" s="175">
        <f>'5) Overige opbrengsten'!N124</f>
        <v>0</v>
      </c>
      <c r="O135" s="175">
        <f>'5) Overige opbrengsten'!O124</f>
        <v>10453.379999999999</v>
      </c>
      <c r="P135" s="175">
        <f>'5) Overige opbrengsten'!P124</f>
        <v>0</v>
      </c>
      <c r="Q135" s="175">
        <f>'5) Overige opbrengsten'!Q124</f>
        <v>0</v>
      </c>
      <c r="S135" s="175">
        <f>'5) Overige opbrengsten'!S124</f>
        <v>0</v>
      </c>
      <c r="U135" s="175">
        <f>'5) Overige opbrengsten'!U124</f>
        <v>0</v>
      </c>
      <c r="V135" s="175">
        <f>'5) Overige opbrengsten'!V124</f>
        <v>10453.379999999999</v>
      </c>
    </row>
    <row r="136" spans="2:24" s="171" customFormat="1" ht="12" customHeight="1" x14ac:dyDescent="0.2"/>
    <row r="137" spans="2:24" s="171" customFormat="1" ht="12" customHeight="1" x14ac:dyDescent="0.2">
      <c r="B137" s="40" t="s">
        <v>156</v>
      </c>
    </row>
    <row r="138" spans="2:24" s="171" customFormat="1" ht="12" customHeight="1" x14ac:dyDescent="0.2">
      <c r="B138" s="173" t="s">
        <v>154</v>
      </c>
    </row>
    <row r="139" spans="2:24" s="171" customFormat="1" ht="12" customHeight="1" x14ac:dyDescent="0.2">
      <c r="B139" s="177" t="s">
        <v>46</v>
      </c>
      <c r="F139" s="171" t="s">
        <v>92</v>
      </c>
      <c r="J139" s="172">
        <f>SUM(L139:S139)</f>
        <v>591025340.10949993</v>
      </c>
      <c r="L139" s="172">
        <f t="shared" ref="L139:Q140" si="16">L114+L119+L124+L129</f>
        <v>3635979.3642529016</v>
      </c>
      <c r="M139" s="172">
        <f t="shared" si="16"/>
        <v>202442550.52890146</v>
      </c>
      <c r="N139" s="172">
        <f t="shared" si="16"/>
        <v>185557741.12647861</v>
      </c>
      <c r="O139" s="172">
        <f t="shared" si="16"/>
        <v>2776920.0713961357</v>
      </c>
      <c r="P139" s="172">
        <f t="shared" si="16"/>
        <v>169136818.69550917</v>
      </c>
      <c r="Q139" s="172">
        <f t="shared" si="16"/>
        <v>9812585.5384872984</v>
      </c>
      <c r="S139" s="172">
        <f t="shared" ref="S139:S140" si="17">S114+S119+S124+S129</f>
        <v>17662744.784474339</v>
      </c>
      <c r="U139" s="172">
        <f t="shared" ref="U139:V139" si="18">U114+U119+U124+U129</f>
        <v>220763000.14883298</v>
      </c>
      <c r="V139" s="172">
        <f t="shared" si="18"/>
        <v>2906000.8281390225</v>
      </c>
      <c r="X139" s="88" t="s">
        <v>649</v>
      </c>
    </row>
    <row r="140" spans="2:24" s="171" customFormat="1" ht="12" customHeight="1" x14ac:dyDescent="0.2">
      <c r="B140" s="177" t="s">
        <v>147</v>
      </c>
      <c r="F140" s="171" t="s">
        <v>92</v>
      </c>
      <c r="J140" s="172">
        <f>SUM(L140:S140)</f>
        <v>11223523533.730103</v>
      </c>
      <c r="L140" s="172">
        <f t="shared" si="16"/>
        <v>56665525.666322246</v>
      </c>
      <c r="M140" s="172">
        <f t="shared" si="16"/>
        <v>3583872200.4366918</v>
      </c>
      <c r="N140" s="172">
        <f t="shared" si="16"/>
        <v>3994563536.5002255</v>
      </c>
      <c r="O140" s="172">
        <f t="shared" si="16"/>
        <v>28979345.185073033</v>
      </c>
      <c r="P140" s="172">
        <f t="shared" si="16"/>
        <v>3014613189.7123446</v>
      </c>
      <c r="Q140" s="172">
        <f t="shared" si="16"/>
        <v>242469550.41729268</v>
      </c>
      <c r="S140" s="172">
        <f t="shared" si="17"/>
        <v>302360185.81215334</v>
      </c>
      <c r="U140" s="172">
        <f t="shared" ref="U140:V140" si="19">U115+U120+U125+U130</f>
        <v>3627259782.4928021</v>
      </c>
      <c r="V140" s="172">
        <f t="shared" si="19"/>
        <v>29762169.784668058</v>
      </c>
      <c r="X140" s="88" t="s">
        <v>650</v>
      </c>
    </row>
    <row r="141" spans="2:24" s="171" customFormat="1" ht="12" customHeight="1" x14ac:dyDescent="0.2"/>
    <row r="142" spans="2:24" s="171" customFormat="1" ht="12" customHeight="1" x14ac:dyDescent="0.2">
      <c r="B142" s="173" t="s">
        <v>155</v>
      </c>
      <c r="D142" s="178"/>
    </row>
    <row r="143" spans="2:24" s="171" customFormat="1" ht="12" customHeight="1" x14ac:dyDescent="0.2">
      <c r="B143" s="177" t="s">
        <v>93</v>
      </c>
      <c r="D143" s="178" t="s">
        <v>636</v>
      </c>
      <c r="F143" s="171" t="s">
        <v>92</v>
      </c>
      <c r="J143" s="172">
        <f>SUM(L143:S143)</f>
        <v>1079248613.8267593</v>
      </c>
      <c r="L143" s="172">
        <f>L139+L140*$H$21</f>
        <v>6100929.730737919</v>
      </c>
      <c r="M143" s="172">
        <f t="shared" ref="M143:N143" si="20">M139+M140*$H$21</f>
        <v>358340991.24789751</v>
      </c>
      <c r="N143" s="172">
        <f t="shared" si="20"/>
        <v>359321254.96423841</v>
      </c>
      <c r="O143" s="172">
        <f>O139+O140*$H$21</f>
        <v>4037521.5869468125</v>
      </c>
      <c r="P143" s="181">
        <f>(P139+P140*$H$21)+(S139+S140*$H$21)</f>
        <v>331087905.31529915</v>
      </c>
      <c r="Q143" s="172">
        <f>Q139+Q140*$H$21</f>
        <v>20360010.981639527</v>
      </c>
      <c r="S143" s="78"/>
      <c r="U143" s="172">
        <f t="shared" ref="U143" si="21">U139+U140*$H$21</f>
        <v>378548800.68726987</v>
      </c>
      <c r="V143" s="172">
        <f>V139+V140*$H$21</f>
        <v>4200655.2137720827</v>
      </c>
      <c r="X143" s="88" t="s">
        <v>646</v>
      </c>
    </row>
    <row r="144" spans="2:24" s="171" customFormat="1" ht="12" customHeight="1" x14ac:dyDescent="0.2">
      <c r="B144" s="177" t="s">
        <v>93</v>
      </c>
      <c r="D144" s="178" t="s">
        <v>639</v>
      </c>
      <c r="F144" s="171" t="s">
        <v>92</v>
      </c>
      <c r="J144" s="172">
        <f>SUM(L144:S144)</f>
        <v>1045578043.225569</v>
      </c>
      <c r="L144" s="172">
        <f>L139+L140*$H$22</f>
        <v>5930933.1537389522</v>
      </c>
      <c r="M144" s="172">
        <f t="shared" ref="M144:N144" si="22">M139+M140*$H$22</f>
        <v>347589374.64658749</v>
      </c>
      <c r="N144" s="172">
        <f t="shared" si="22"/>
        <v>347337564.35473776</v>
      </c>
      <c r="O144" s="172">
        <f>O139+O140*$H$22</f>
        <v>3950583.5513915932</v>
      </c>
      <c r="P144" s="181">
        <f>(P139+P140*$H$22)+(S139+S140*$H$22)</f>
        <v>321136985.18872565</v>
      </c>
      <c r="Q144" s="172">
        <f>Q139+Q140*$H$22</f>
        <v>19632602.330387652</v>
      </c>
      <c r="S144" s="78"/>
      <c r="U144" s="172">
        <f t="shared" ref="U144" si="23">U139+U140*$H$22</f>
        <v>367667021.33979142</v>
      </c>
      <c r="V144" s="172">
        <f>V139+V140*$H$22</f>
        <v>4111368.7044180785</v>
      </c>
    </row>
    <row r="145" spans="2:24" s="171" customFormat="1" ht="12.75" x14ac:dyDescent="0.2"/>
    <row r="146" spans="2:24" s="171" customFormat="1" ht="15" x14ac:dyDescent="0.2">
      <c r="B146" s="40" t="s">
        <v>153</v>
      </c>
    </row>
    <row r="147" spans="2:24" s="180" customFormat="1" x14ac:dyDescent="0.2">
      <c r="B147" s="177" t="s">
        <v>93</v>
      </c>
      <c r="C147" s="171"/>
      <c r="D147" s="178" t="s">
        <v>638</v>
      </c>
      <c r="E147" s="171"/>
      <c r="F147" s="171" t="s">
        <v>92</v>
      </c>
      <c r="H147" s="171"/>
      <c r="J147" s="172">
        <f>SUM(L147:Q147)</f>
        <v>1070215273.0720309</v>
      </c>
      <c r="L147" s="179">
        <f>L143-(L133-L134+L135)</f>
        <v>6100929.730737919</v>
      </c>
      <c r="M147" s="179">
        <f>M143-(M133-M134+M135)</f>
        <v>355662524.76644295</v>
      </c>
      <c r="N147" s="179">
        <f>N143-(N133-N134+N135)</f>
        <v>357245205.38789356</v>
      </c>
      <c r="O147" s="179">
        <f t="shared" ref="O147" si="24">O143-(O133-O134+O135)</f>
        <v>4027068.2069468126</v>
      </c>
      <c r="P147" s="181">
        <f>P143-(P133-P134+P135)-(S133-S134+S135)</f>
        <v>326819533.99837017</v>
      </c>
      <c r="Q147" s="179">
        <f t="shared" ref="Q147" si="25">Q143-(Q133-Q134+Q135)</f>
        <v>20360010.981639527</v>
      </c>
      <c r="R147" s="171"/>
      <c r="S147" s="78"/>
      <c r="U147" s="179">
        <f>U143-(U133-U134+U135)</f>
        <v>375870334.20581532</v>
      </c>
      <c r="V147" s="179">
        <f t="shared" ref="V147" si="26">V143-(V133-V134+V135)</f>
        <v>4190201.8337720828</v>
      </c>
      <c r="X147" s="88" t="s">
        <v>647</v>
      </c>
    </row>
    <row r="148" spans="2:24" s="180" customFormat="1" x14ac:dyDescent="0.2">
      <c r="B148" s="177" t="s">
        <v>93</v>
      </c>
      <c r="C148" s="171"/>
      <c r="D148" s="178" t="s">
        <v>640</v>
      </c>
      <c r="E148" s="171"/>
      <c r="F148" s="171" t="s">
        <v>92</v>
      </c>
      <c r="H148" s="171"/>
      <c r="J148" s="172">
        <f>SUM(L148:Q148)</f>
        <v>1036544702.4708407</v>
      </c>
      <c r="L148" s="179">
        <f>L144-(L133-L134+L135)</f>
        <v>5930933.1537389522</v>
      </c>
      <c r="M148" s="179">
        <f>M144-(M133-M134+M135)</f>
        <v>344910908.16513294</v>
      </c>
      <c r="N148" s="179">
        <f>N144-(N133-N134+N135)</f>
        <v>345261514.77839291</v>
      </c>
      <c r="O148" s="179">
        <f t="shared" ref="O148" si="27">O144-(O133-O134+O135)</f>
        <v>3940130.1713915933</v>
      </c>
      <c r="P148" s="181">
        <f>P144-(P133-P134+P135)-(S133-S134+S135)</f>
        <v>316868613.87179667</v>
      </c>
      <c r="Q148" s="179">
        <f>Q144-(Q133-Q134+Q135)</f>
        <v>19632602.330387652</v>
      </c>
      <c r="S148" s="78"/>
      <c r="U148" s="179">
        <f>U144-(U133-U134+U135)</f>
        <v>364988554.85833687</v>
      </c>
      <c r="V148" s="179">
        <f t="shared" ref="V148" si="28">V144-(V133-V134+V135)</f>
        <v>4100915.3244180786</v>
      </c>
    </row>
    <row r="150" spans="2:24" s="24" customFormat="1" ht="12.75" x14ac:dyDescent="0.2">
      <c r="B150" s="24" t="s">
        <v>159</v>
      </c>
    </row>
    <row r="151" spans="2:24" s="171" customFormat="1" ht="12" customHeight="1" x14ac:dyDescent="0.2"/>
    <row r="152" spans="2:24" s="171" customFormat="1" ht="12" customHeight="1" x14ac:dyDescent="0.2">
      <c r="B152" s="40" t="s">
        <v>131</v>
      </c>
    </row>
    <row r="153" spans="2:24" s="171" customFormat="1" ht="12" customHeight="1" x14ac:dyDescent="0.2">
      <c r="B153" s="173" t="s">
        <v>152</v>
      </c>
    </row>
    <row r="154" spans="2:24" s="171" customFormat="1" ht="12" customHeight="1" x14ac:dyDescent="0.2">
      <c r="B154" s="173" t="s">
        <v>48</v>
      </c>
      <c r="C154" s="6"/>
      <c r="D154" s="6"/>
      <c r="E154" s="6"/>
    </row>
    <row r="155" spans="2:24" s="171" customFormat="1" ht="12" customHeight="1" x14ac:dyDescent="0.2">
      <c r="B155" s="171" t="s">
        <v>49</v>
      </c>
      <c r="C155" s="6"/>
      <c r="D155" s="6"/>
      <c r="E155" s="6"/>
      <c r="F155" s="171" t="s">
        <v>97</v>
      </c>
      <c r="J155" s="172">
        <f>SUM(L155:S155)</f>
        <v>0</v>
      </c>
      <c r="L155" s="175">
        <f>'6) GAW import'!L82</f>
        <v>0</v>
      </c>
      <c r="M155" s="175">
        <f>'6) GAW import'!M82</f>
        <v>0</v>
      </c>
      <c r="N155" s="175">
        <f>'6) GAW import'!N82</f>
        <v>0</v>
      </c>
      <c r="O155" s="175">
        <f>'6) GAW import'!O82</f>
        <v>0</v>
      </c>
      <c r="P155" s="175">
        <f>'6) GAW import'!P82</f>
        <v>0</v>
      </c>
      <c r="Q155" s="175">
        <f>'6) GAW import'!Q82</f>
        <v>0</v>
      </c>
      <c r="S155" s="175">
        <f>'6) GAW import'!S82</f>
        <v>0</v>
      </c>
      <c r="U155" s="175">
        <f>'6) GAW import'!U82</f>
        <v>0</v>
      </c>
      <c r="V155" s="175">
        <f>'6) GAW import'!V82</f>
        <v>0</v>
      </c>
    </row>
    <row r="156" spans="2:24" s="171" customFormat="1" ht="12" customHeight="1" x14ac:dyDescent="0.2">
      <c r="B156" s="171" t="s">
        <v>50</v>
      </c>
      <c r="C156" s="6"/>
      <c r="D156" s="6"/>
      <c r="E156" s="6"/>
      <c r="F156" s="171" t="s">
        <v>97</v>
      </c>
      <c r="J156" s="172">
        <f>SUM(L156:S156)</f>
        <v>402716034.14495432</v>
      </c>
      <c r="L156" s="175">
        <f>'6) GAW import'!L83</f>
        <v>2549606.4593204954</v>
      </c>
      <c r="M156" s="175">
        <f>'6) GAW import'!M83</f>
        <v>148304201.44464791</v>
      </c>
      <c r="N156" s="175">
        <f>'6) GAW import'!N83</f>
        <v>129954670.01831831</v>
      </c>
      <c r="O156" s="175">
        <f>'6) GAW import'!O83</f>
        <v>2009484.6532976902</v>
      </c>
      <c r="P156" s="175">
        <f>'6) GAW import'!P83</f>
        <v>105087152.83754593</v>
      </c>
      <c r="Q156" s="175">
        <f>'6) GAW import'!Q83</f>
        <v>4174263.2890304523</v>
      </c>
      <c r="S156" s="175">
        <f>'6) GAW import'!S83</f>
        <v>10636655.442793595</v>
      </c>
      <c r="U156" s="175">
        <f>'6) GAW import'!U83</f>
        <v>148304201.44464791</v>
      </c>
      <c r="V156" s="175">
        <f>'6) GAW import'!V83</f>
        <v>2009484.6532976902</v>
      </c>
    </row>
    <row r="157" spans="2:24" s="171" customFormat="1" ht="12" customHeight="1" x14ac:dyDescent="0.2">
      <c r="B157" s="171" t="s">
        <v>51</v>
      </c>
      <c r="C157" s="6"/>
      <c r="D157" s="6"/>
      <c r="E157" s="6"/>
      <c r="F157" s="171" t="s">
        <v>97</v>
      </c>
      <c r="J157" s="172">
        <f>SUM(L157:S157)</f>
        <v>4420263257.5596123</v>
      </c>
      <c r="L157" s="175">
        <f>'6) GAW import'!L84</f>
        <v>11993116.078268753</v>
      </c>
      <c r="M157" s="175">
        <f>'6) GAW import'!M84</f>
        <v>1472639000.8983724</v>
      </c>
      <c r="N157" s="175">
        <f>'6) GAW import'!N84</f>
        <v>1773678636.555614</v>
      </c>
      <c r="O157" s="175">
        <f>'6) GAW import'!O84</f>
        <v>1621195.4622825116</v>
      </c>
      <c r="P157" s="175">
        <f>'6) GAW import'!P84</f>
        <v>1043078937.3546519</v>
      </c>
      <c r="Q157" s="175">
        <f>'6) GAW import'!Q84</f>
        <v>58697885.830687381</v>
      </c>
      <c r="S157" s="175">
        <f>'6) GAW import'!S84</f>
        <v>58554485.379734658</v>
      </c>
      <c r="U157" s="175">
        <f>'6) GAW import'!U84</f>
        <v>1472639000.8983724</v>
      </c>
      <c r="V157" s="175">
        <f>'6) GAW import'!V84</f>
        <v>1621195.4622825116</v>
      </c>
    </row>
    <row r="158" spans="2:24" s="171" customFormat="1" ht="12" customHeight="1" x14ac:dyDescent="0.2">
      <c r="C158" s="6"/>
      <c r="D158" s="6"/>
      <c r="E158" s="6"/>
    </row>
    <row r="159" spans="2:24" s="171" customFormat="1" ht="12" customHeight="1" x14ac:dyDescent="0.2">
      <c r="B159" s="173" t="s">
        <v>52</v>
      </c>
      <c r="C159" s="6"/>
      <c r="D159" s="6"/>
      <c r="E159" s="6"/>
    </row>
    <row r="160" spans="2:24" s="171" customFormat="1" ht="12" customHeight="1" x14ac:dyDescent="0.2">
      <c r="B160" s="171" t="s">
        <v>53</v>
      </c>
      <c r="C160" s="6"/>
      <c r="D160" s="6"/>
      <c r="E160" s="6"/>
      <c r="F160" s="171" t="s">
        <v>97</v>
      </c>
      <c r="J160" s="172">
        <f>SUM(L160:S160)</f>
        <v>685824513.27449739</v>
      </c>
      <c r="L160" s="175">
        <f>'6) GAW import'!L87</f>
        <v>652292.92836747342</v>
      </c>
      <c r="M160" s="175">
        <f>'6) GAW import'!M87</f>
        <v>188343213.80789405</v>
      </c>
      <c r="N160" s="175">
        <f>'6) GAW import'!N87</f>
        <v>285864011.88682652</v>
      </c>
      <c r="O160" s="175">
        <f>'6) GAW import'!O87</f>
        <v>1216233.1600000001</v>
      </c>
      <c r="P160" s="175">
        <f>'6) GAW import'!P87</f>
        <v>183215119.52949914</v>
      </c>
      <c r="Q160" s="175">
        <f>'6) GAW import'!Q87</f>
        <v>6419420.056244893</v>
      </c>
      <c r="S160" s="175">
        <f>'6) GAW import'!S87</f>
        <v>20114221.905665431</v>
      </c>
      <c r="U160" s="175">
        <f>'6) GAW import'!U87</f>
        <v>188343213.80789405</v>
      </c>
      <c r="V160" s="175">
        <f>'6) GAW import'!V87</f>
        <v>1438304.6800000002</v>
      </c>
    </row>
    <row r="161" spans="2:22" s="171" customFormat="1" ht="12" customHeight="1" x14ac:dyDescent="0.2">
      <c r="B161" s="171" t="s">
        <v>46</v>
      </c>
      <c r="C161" s="6"/>
      <c r="D161" s="6"/>
      <c r="E161" s="6"/>
      <c r="F161" s="171" t="s">
        <v>97</v>
      </c>
      <c r="J161" s="172">
        <f>SUM(L161:S161)</f>
        <v>207584135.60689464</v>
      </c>
      <c r="L161" s="175">
        <f>'6) GAW import'!L88</f>
        <v>1164443.6423057283</v>
      </c>
      <c r="M161" s="175">
        <f>'6) GAW import'!M88</f>
        <v>59522544.83897233</v>
      </c>
      <c r="N161" s="175">
        <f>'6) GAW import'!N88</f>
        <v>62849881.808409072</v>
      </c>
      <c r="O161" s="175">
        <f>'6) GAW import'!O88</f>
        <v>806657.76505664038</v>
      </c>
      <c r="P161" s="175">
        <f>'6) GAW import'!P88</f>
        <v>70122323.364497393</v>
      </c>
      <c r="Q161" s="175">
        <f>'6) GAW import'!Q88</f>
        <v>5788826.9209909132</v>
      </c>
      <c r="S161" s="175">
        <f>'6) GAW import'!S88</f>
        <v>7329457.2666625725</v>
      </c>
      <c r="U161" s="175">
        <f>'6) GAW import'!U88</f>
        <v>72610964.929347157</v>
      </c>
      <c r="V161" s="175">
        <f>'6) GAW import'!V88</f>
        <v>985765.83048392693</v>
      </c>
    </row>
    <row r="162" spans="2:22" s="171" customFormat="1" ht="12" customHeight="1" x14ac:dyDescent="0.2">
      <c r="B162" s="171" t="s">
        <v>54</v>
      </c>
      <c r="C162" s="6"/>
      <c r="D162" s="6"/>
      <c r="E162" s="6"/>
      <c r="F162" s="171" t="s">
        <v>97</v>
      </c>
      <c r="J162" s="172">
        <f>SUM(L162:S162)</f>
        <v>7007704278.769001</v>
      </c>
      <c r="L162" s="175">
        <f>'6) GAW import'!L89</f>
        <v>42403969.712444641</v>
      </c>
      <c r="M162" s="175">
        <f>'6) GAW import'!M89</f>
        <v>2141676358.1637917</v>
      </c>
      <c r="N162" s="175">
        <f>'6) GAW import'!N89</f>
        <v>2366807491.6231065</v>
      </c>
      <c r="O162" s="175">
        <f>'6) GAW import'!O89</f>
        <v>26163951.297027223</v>
      </c>
      <c r="P162" s="175">
        <f>'6) GAW import'!P89</f>
        <v>2006542258.2767</v>
      </c>
      <c r="Q162" s="175">
        <f>'6) GAW import'!Q89</f>
        <v>183553172.70950937</v>
      </c>
      <c r="S162" s="175">
        <f>'6) GAW import'!S89</f>
        <v>240557076.9864215</v>
      </c>
      <c r="U162" s="175">
        <f>'6) GAW import'!U89</f>
        <v>2172582946.2783127</v>
      </c>
      <c r="V162" s="175">
        <f>'6) GAW import'!V89</f>
        <v>27000698.895589285</v>
      </c>
    </row>
    <row r="163" spans="2:22" s="171" customFormat="1" ht="12" customHeight="1" x14ac:dyDescent="0.2">
      <c r="C163" s="6"/>
      <c r="D163" s="6"/>
      <c r="E163" s="6"/>
    </row>
    <row r="164" spans="2:22" s="171" customFormat="1" ht="12" customHeight="1" x14ac:dyDescent="0.2">
      <c r="B164" s="173" t="s">
        <v>55</v>
      </c>
      <c r="C164" s="8"/>
      <c r="D164" s="8"/>
      <c r="E164" s="8"/>
    </row>
    <row r="165" spans="2:22" s="171" customFormat="1" ht="12" customHeight="1" x14ac:dyDescent="0.2">
      <c r="B165" s="171" t="s">
        <v>56</v>
      </c>
      <c r="C165" s="8"/>
      <c r="D165" s="8"/>
      <c r="E165" s="8"/>
      <c r="F165" s="171" t="s">
        <v>97</v>
      </c>
      <c r="J165" s="172">
        <f>SUM(L165:S165)</f>
        <v>0</v>
      </c>
      <c r="L165" s="175">
        <f>'6) GAW import'!L92</f>
        <v>0</v>
      </c>
      <c r="M165" s="175">
        <f>'6) GAW import'!M92</f>
        <v>0</v>
      </c>
      <c r="N165" s="175">
        <f>'6) GAW import'!N92</f>
        <v>0</v>
      </c>
      <c r="O165" s="175">
        <f>'6) GAW import'!O92</f>
        <v>0</v>
      </c>
      <c r="P165" s="175">
        <f>'6) GAW import'!P92</f>
        <v>0</v>
      </c>
      <c r="Q165" s="175">
        <f>'6) GAW import'!Q92</f>
        <v>0</v>
      </c>
      <c r="S165" s="175">
        <f>'6) GAW import'!S92</f>
        <v>0</v>
      </c>
      <c r="U165" s="175">
        <f>'6) GAW import'!U92</f>
        <v>0</v>
      </c>
      <c r="V165" s="175">
        <f>'6) GAW import'!V92</f>
        <v>0</v>
      </c>
    </row>
    <row r="166" spans="2:22" s="171" customFormat="1" ht="12" customHeight="1" x14ac:dyDescent="0.2">
      <c r="B166" s="171" t="s">
        <v>57</v>
      </c>
      <c r="C166" s="8"/>
      <c r="D166" s="8"/>
      <c r="E166" s="8"/>
      <c r="F166" s="171" t="s">
        <v>97</v>
      </c>
      <c r="J166" s="172">
        <f>SUM(L166:S166)</f>
        <v>258201.76672531341</v>
      </c>
      <c r="L166" s="175">
        <f>'6) GAW import'!L93</f>
        <v>0</v>
      </c>
      <c r="M166" s="175">
        <f>'6) GAW import'!M93</f>
        <v>0</v>
      </c>
      <c r="N166" s="175">
        <f>'6) GAW import'!N93</f>
        <v>0</v>
      </c>
      <c r="O166" s="175">
        <f>'6) GAW import'!O93</f>
        <v>0</v>
      </c>
      <c r="P166" s="175">
        <f>'6) GAW import'!P93</f>
        <v>0</v>
      </c>
      <c r="Q166" s="175">
        <f>'6) GAW import'!Q93</f>
        <v>0</v>
      </c>
      <c r="S166" s="175">
        <f>'6) GAW import'!S93</f>
        <v>258201.76672531341</v>
      </c>
      <c r="U166" s="175">
        <f>'6) GAW import'!U93</f>
        <v>0</v>
      </c>
      <c r="V166" s="175">
        <f>'6) GAW import'!V93</f>
        <v>0</v>
      </c>
    </row>
    <row r="167" spans="2:22" s="171" customFormat="1" ht="12" customHeight="1" x14ac:dyDescent="0.2">
      <c r="B167" s="171" t="s">
        <v>58</v>
      </c>
      <c r="C167" s="8"/>
      <c r="D167" s="8"/>
      <c r="E167" s="8"/>
      <c r="F167" s="171" t="s">
        <v>97</v>
      </c>
      <c r="J167" s="172">
        <f>SUM(L167:S167)</f>
        <v>8867369.7293262761</v>
      </c>
      <c r="L167" s="175">
        <f>'6) GAW import'!L94</f>
        <v>0</v>
      </c>
      <c r="M167" s="175">
        <f>'6) GAW import'!M94</f>
        <v>0</v>
      </c>
      <c r="N167" s="175">
        <f>'6) GAW import'!N94</f>
        <v>0</v>
      </c>
      <c r="O167" s="175">
        <f>'6) GAW import'!O94</f>
        <v>0</v>
      </c>
      <c r="P167" s="175">
        <f>'6) GAW import'!P94</f>
        <v>0</v>
      </c>
      <c r="Q167" s="175">
        <f>'6) GAW import'!Q94</f>
        <v>0</v>
      </c>
      <c r="S167" s="175">
        <f>'6) GAW import'!S94</f>
        <v>8867369.7293262761</v>
      </c>
      <c r="U167" s="175">
        <f>'6) GAW import'!U94</f>
        <v>0</v>
      </c>
      <c r="V167" s="175">
        <f>'6) GAW import'!V94</f>
        <v>0</v>
      </c>
    </row>
    <row r="168" spans="2:22" s="171" customFormat="1" ht="12" customHeight="1" x14ac:dyDescent="0.2">
      <c r="C168" s="8"/>
      <c r="D168" s="8"/>
      <c r="E168" s="8"/>
    </row>
    <row r="169" spans="2:22" s="171" customFormat="1" ht="12" customHeight="1" x14ac:dyDescent="0.2">
      <c r="B169" s="173" t="s">
        <v>59</v>
      </c>
      <c r="C169" s="8"/>
      <c r="D169" s="8"/>
      <c r="E169" s="8"/>
    </row>
    <row r="170" spans="2:22" s="171" customFormat="1" ht="12" customHeight="1" x14ac:dyDescent="0.2">
      <c r="B170" s="171" t="s">
        <v>60</v>
      </c>
      <c r="C170" s="8"/>
      <c r="D170" s="8"/>
      <c r="E170" s="8"/>
      <c r="F170" s="171" t="s">
        <v>97</v>
      </c>
      <c r="J170" s="172">
        <f>SUM(L170:S170)</f>
        <v>0</v>
      </c>
      <c r="L170" s="175">
        <f>'6) GAW import'!L97</f>
        <v>0</v>
      </c>
      <c r="M170" s="175">
        <f>'6) GAW import'!M97</f>
        <v>0</v>
      </c>
      <c r="N170" s="175">
        <f>'6) GAW import'!N97</f>
        <v>0</v>
      </c>
      <c r="O170" s="175">
        <f>'6) GAW import'!O97</f>
        <v>0</v>
      </c>
      <c r="P170" s="175">
        <f>'6) GAW import'!P97</f>
        <v>0</v>
      </c>
      <c r="Q170" s="175">
        <f>'6) GAW import'!Q97</f>
        <v>0</v>
      </c>
      <c r="S170" s="175">
        <f>'6) GAW import'!S97</f>
        <v>0</v>
      </c>
      <c r="U170" s="175">
        <f>'6) GAW import'!U97</f>
        <v>0</v>
      </c>
      <c r="V170" s="175">
        <f>'6) GAW import'!V97</f>
        <v>0</v>
      </c>
    </row>
    <row r="171" spans="2:22" s="171" customFormat="1" ht="12" customHeight="1" x14ac:dyDescent="0.2">
      <c r="B171" s="171" t="s">
        <v>61</v>
      </c>
      <c r="F171" s="171" t="s">
        <v>97</v>
      </c>
      <c r="J171" s="172">
        <f>SUM(L171:S171)</f>
        <v>1675390.4632501779</v>
      </c>
      <c r="L171" s="175">
        <f>'6) GAW import'!L98</f>
        <v>0</v>
      </c>
      <c r="M171" s="175">
        <f>'6) GAW import'!M98</f>
        <v>10238.753999623685</v>
      </c>
      <c r="N171" s="175">
        <f>'6) GAW import'!N98</f>
        <v>448797.27332785097</v>
      </c>
      <c r="O171" s="175">
        <f>'6) GAW import'!O98</f>
        <v>0</v>
      </c>
      <c r="P171" s="175">
        <f>'6) GAW import'!P98</f>
        <v>1076550.9870302791</v>
      </c>
      <c r="Q171" s="175">
        <f>'6) GAW import'!Q98</f>
        <v>27758.171664628357</v>
      </c>
      <c r="S171" s="175">
        <f>'6) GAW import'!S98</f>
        <v>112045.27722779557</v>
      </c>
      <c r="U171" s="175">
        <f>'6) GAW import'!U98</f>
        <v>10238.753999623685</v>
      </c>
      <c r="V171" s="175">
        <f>'6) GAW import'!V98</f>
        <v>0</v>
      </c>
    </row>
    <row r="172" spans="2:22" s="171" customFormat="1" ht="12" customHeight="1" x14ac:dyDescent="0.2">
      <c r="B172" s="171" t="s">
        <v>62</v>
      </c>
      <c r="F172" s="171" t="s">
        <v>97</v>
      </c>
      <c r="J172" s="172">
        <f>SUM(L172:S172)</f>
        <v>17408708.375377428</v>
      </c>
      <c r="L172" s="175">
        <f>'6) GAW import'!L99</f>
        <v>0</v>
      </c>
      <c r="M172" s="175">
        <f>'6) GAW import'!M99</f>
        <v>237280.95091559167</v>
      </c>
      <c r="N172" s="175">
        <f>'6) GAW import'!N99</f>
        <v>2611960.6192762433</v>
      </c>
      <c r="O172" s="175">
        <f>'6) GAW import'!O99</f>
        <v>0</v>
      </c>
      <c r="P172" s="175">
        <f>'6) GAW import'!P99</f>
        <v>14125671.077391366</v>
      </c>
      <c r="Q172" s="175">
        <f>'6) GAW import'!Q99</f>
        <v>41637.257496942533</v>
      </c>
      <c r="S172" s="175">
        <f>'6) GAW import'!S99</f>
        <v>392158.47029728448</v>
      </c>
      <c r="U172" s="175">
        <f>'6) GAW import'!U99</f>
        <v>237280.95091559167</v>
      </c>
      <c r="V172" s="175">
        <f>'6) GAW import'!V99</f>
        <v>0</v>
      </c>
    </row>
    <row r="173" spans="2:22" s="171" customFormat="1" ht="12" customHeight="1" x14ac:dyDescent="0.2"/>
    <row r="174" spans="2:22" s="171" customFormat="1" ht="12" customHeight="1" x14ac:dyDescent="0.2">
      <c r="B174" s="173" t="s">
        <v>148</v>
      </c>
    </row>
    <row r="175" spans="2:22" s="171" customFormat="1" ht="12" customHeight="1" x14ac:dyDescent="0.2">
      <c r="B175" s="176" t="s">
        <v>149</v>
      </c>
      <c r="F175" s="171" t="s">
        <v>97</v>
      </c>
      <c r="J175" s="172">
        <f>SUM(L175:S175)</f>
        <v>12410754.951348918</v>
      </c>
      <c r="L175" s="175">
        <f>'5) Overige opbrengsten'!L129</f>
        <v>0</v>
      </c>
      <c r="M175" s="175">
        <f>'5) Overige opbrengsten'!M129</f>
        <v>3783004.9818181819</v>
      </c>
      <c r="N175" s="175">
        <f>'5) Overige opbrengsten'!N129</f>
        <v>3211455</v>
      </c>
      <c r="O175" s="175">
        <f>'5) Overige opbrengsten'!O129</f>
        <v>0</v>
      </c>
      <c r="P175" s="175">
        <f>'5) Overige opbrengsten'!P129</f>
        <v>4243706.0361600732</v>
      </c>
      <c r="Q175" s="175">
        <f>'5) Overige opbrengsten'!Q129</f>
        <v>9532.91</v>
      </c>
      <c r="S175" s="175">
        <f>'5) Overige opbrengsten'!S129</f>
        <v>1163056.0233706627</v>
      </c>
      <c r="U175" s="175">
        <f>'5) Overige opbrengsten'!U129</f>
        <v>3783004.98</v>
      </c>
      <c r="V175" s="175">
        <f>'5) Overige opbrengsten'!V129</f>
        <v>0</v>
      </c>
    </row>
    <row r="176" spans="2:22" s="171" customFormat="1" ht="12" customHeight="1" x14ac:dyDescent="0.2">
      <c r="B176" s="176" t="s">
        <v>150</v>
      </c>
      <c r="F176" s="171" t="s">
        <v>97</v>
      </c>
      <c r="J176" s="172">
        <f>SUM(L176:S176)</f>
        <v>3733724.3376423875</v>
      </c>
      <c r="L176" s="175">
        <f>'5) Overige opbrengsten'!L135</f>
        <v>0</v>
      </c>
      <c r="M176" s="175">
        <f>'5) Overige opbrengsten'!M135</f>
        <v>756600.99636363646</v>
      </c>
      <c r="N176" s="175">
        <f>'5) Overige opbrengsten'!N135</f>
        <v>996658.44827586215</v>
      </c>
      <c r="O176" s="175">
        <f>'5) Overige opbrengsten'!O135</f>
        <v>0</v>
      </c>
      <c r="P176" s="175">
        <f>'5) Overige opbrengsten'!P135</f>
        <v>1480931.983002889</v>
      </c>
      <c r="Q176" s="175">
        <f>'5) Overige opbrengsten'!Q135</f>
        <v>9532.91</v>
      </c>
      <c r="S176" s="175">
        <f>'5) Overige opbrengsten'!S135</f>
        <v>490000</v>
      </c>
      <c r="U176" s="175">
        <f>'5) Overige opbrengsten'!U135</f>
        <v>756600.99636363646</v>
      </c>
      <c r="V176" s="175">
        <f>'5) Overige opbrengsten'!V135</f>
        <v>0</v>
      </c>
    </row>
    <row r="177" spans="2:24" s="171" customFormat="1" ht="12" customHeight="1" x14ac:dyDescent="0.2">
      <c r="B177" s="171" t="s">
        <v>151</v>
      </c>
      <c r="F177" s="171" t="s">
        <v>97</v>
      </c>
      <c r="J177" s="172">
        <f>SUM(L177:S177)</f>
        <v>213154.5385</v>
      </c>
      <c r="L177" s="175">
        <f>'5) Overige opbrengsten'!L162</f>
        <v>0</v>
      </c>
      <c r="M177" s="175">
        <f>'5) Overige opbrengsten'!M162</f>
        <v>0</v>
      </c>
      <c r="N177" s="175">
        <f>'5) Overige opbrengsten'!N162</f>
        <v>0</v>
      </c>
      <c r="O177" s="175">
        <f>'5) Overige opbrengsten'!O162</f>
        <v>213154.5385</v>
      </c>
      <c r="P177" s="175">
        <f>'5) Overige opbrengsten'!P162</f>
        <v>0</v>
      </c>
      <c r="Q177" s="175">
        <f>'5) Overige opbrengsten'!Q162</f>
        <v>0</v>
      </c>
      <c r="S177" s="175">
        <f>'5) Overige opbrengsten'!S162</f>
        <v>0</v>
      </c>
      <c r="U177" s="175">
        <f>'5) Overige opbrengsten'!U162</f>
        <v>0</v>
      </c>
      <c r="V177" s="175">
        <f>'5) Overige opbrengsten'!V162</f>
        <v>213154.5385</v>
      </c>
    </row>
    <row r="178" spans="2:24" s="171" customFormat="1" ht="12" customHeight="1" x14ac:dyDescent="0.2"/>
    <row r="179" spans="2:24" s="171" customFormat="1" ht="12" customHeight="1" x14ac:dyDescent="0.2">
      <c r="B179" s="40" t="s">
        <v>156</v>
      </c>
    </row>
    <row r="180" spans="2:24" s="171" customFormat="1" ht="12" customHeight="1" x14ac:dyDescent="0.2">
      <c r="B180" s="173" t="s">
        <v>154</v>
      </c>
    </row>
    <row r="181" spans="2:24" s="171" customFormat="1" ht="12" customHeight="1" x14ac:dyDescent="0.2">
      <c r="B181" s="177" t="s">
        <v>46</v>
      </c>
      <c r="F181" s="171" t="s">
        <v>97</v>
      </c>
      <c r="J181" s="172">
        <f>SUM(L181:S181)</f>
        <v>612233761.98182452</v>
      </c>
      <c r="L181" s="172">
        <f t="shared" ref="L181:Q182" si="29">L156+L161+L166+L171</f>
        <v>3714050.1016262239</v>
      </c>
      <c r="M181" s="172">
        <f t="shared" si="29"/>
        <v>207836985.03761986</v>
      </c>
      <c r="N181" s="172">
        <f t="shared" si="29"/>
        <v>193253349.10005525</v>
      </c>
      <c r="O181" s="172">
        <f t="shared" si="29"/>
        <v>2816142.4183543306</v>
      </c>
      <c r="P181" s="172">
        <f t="shared" si="29"/>
        <v>176286027.18907359</v>
      </c>
      <c r="Q181" s="172">
        <f t="shared" si="29"/>
        <v>9990848.3816859946</v>
      </c>
      <c r="S181" s="172">
        <f t="shared" ref="S181:S182" si="30">S156+S161+S166+S171</f>
        <v>18336359.753409278</v>
      </c>
      <c r="U181" s="172">
        <f t="shared" ref="U181:V181" si="31">U156+U161+U166+U171</f>
        <v>220925405.12799469</v>
      </c>
      <c r="V181" s="172">
        <f t="shared" si="31"/>
        <v>2995250.4837816171</v>
      </c>
      <c r="X181" s="88" t="s">
        <v>649</v>
      </c>
    </row>
    <row r="182" spans="2:24" s="171" customFormat="1" ht="12" customHeight="1" x14ac:dyDescent="0.2">
      <c r="B182" s="177" t="s">
        <v>147</v>
      </c>
      <c r="F182" s="171" t="s">
        <v>97</v>
      </c>
      <c r="J182" s="172">
        <f>SUM(L182:S182)</f>
        <v>11454243614.433315</v>
      </c>
      <c r="L182" s="172">
        <f t="shared" si="29"/>
        <v>54397085.790713392</v>
      </c>
      <c r="M182" s="172">
        <f t="shared" si="29"/>
        <v>3614552640.0130801</v>
      </c>
      <c r="N182" s="172">
        <f t="shared" si="29"/>
        <v>4143098088.7979965</v>
      </c>
      <c r="O182" s="172">
        <f t="shared" si="29"/>
        <v>27785146.759309735</v>
      </c>
      <c r="P182" s="172">
        <f t="shared" si="29"/>
        <v>3063746866.7087431</v>
      </c>
      <c r="Q182" s="172">
        <f t="shared" si="29"/>
        <v>242292695.7976937</v>
      </c>
      <c r="S182" s="172">
        <f t="shared" si="30"/>
        <v>308371090.56577969</v>
      </c>
      <c r="U182" s="172">
        <f t="shared" ref="U182:V182" si="32">U157+U162+U167+U172</f>
        <v>3645459228.1276011</v>
      </c>
      <c r="V182" s="172">
        <f t="shared" si="32"/>
        <v>28621894.357871797</v>
      </c>
      <c r="X182" s="88" t="s">
        <v>650</v>
      </c>
    </row>
    <row r="183" spans="2:24" s="171" customFormat="1" ht="12" customHeight="1" x14ac:dyDescent="0.2"/>
    <row r="184" spans="2:24" s="171" customFormat="1" ht="12" customHeight="1" x14ac:dyDescent="0.2">
      <c r="B184" s="173" t="s">
        <v>155</v>
      </c>
      <c r="D184" s="178"/>
    </row>
    <row r="185" spans="2:24" s="171" customFormat="1" ht="12" customHeight="1" x14ac:dyDescent="0.2">
      <c r="B185" s="177" t="s">
        <v>99</v>
      </c>
      <c r="D185" s="178" t="s">
        <v>160</v>
      </c>
      <c r="F185" s="171" t="s">
        <v>97</v>
      </c>
      <c r="J185" s="172">
        <f>SUM(L185:S185)</f>
        <v>862181970.5458895</v>
      </c>
      <c r="L185" s="172">
        <f>L181+L182*$H$16</f>
        <v>4910785.9890219187</v>
      </c>
      <c r="M185" s="172">
        <f t="shared" ref="M185:N185" si="33">M181+M182*$H$16</f>
        <v>287357143.11790764</v>
      </c>
      <c r="N185" s="172">
        <f t="shared" si="33"/>
        <v>284401507.05361116</v>
      </c>
      <c r="O185" s="181">
        <f>O181-O156+(O182-O157)*$H$16</f>
        <v>1382264.6935912394</v>
      </c>
      <c r="P185" s="181">
        <f>(P181+P182*$H$16)+(S181+S182*$H$16)</f>
        <v>268808982.00252235</v>
      </c>
      <c r="Q185" s="172">
        <f>Q181+Q182*$H$16</f>
        <v>15321287.689235255</v>
      </c>
      <c r="S185" s="78"/>
      <c r="U185" s="172">
        <f t="shared" ref="U185" si="34">U181+U182*$H$16</f>
        <v>301125508.14680189</v>
      </c>
      <c r="V185" s="181">
        <f>V181-V156+(V182-V157)*$H$16</f>
        <v>1579781.2061868911</v>
      </c>
      <c r="X185" s="88" t="s">
        <v>646</v>
      </c>
    </row>
    <row r="186" spans="2:24" s="171" customFormat="1" ht="12" customHeight="1" x14ac:dyDescent="0.2">
      <c r="B186" s="177" t="s">
        <v>99</v>
      </c>
      <c r="D186" s="178" t="s">
        <v>164</v>
      </c>
      <c r="F186" s="171" t="s">
        <v>97</v>
      </c>
      <c r="J186" s="172">
        <f>SUM(L186:S186)</f>
        <v>827824103.28897643</v>
      </c>
      <c r="L186" s="172">
        <f>L181+L182*$H$17</f>
        <v>4747594.7316497788</v>
      </c>
      <c r="M186" s="172">
        <f t="shared" ref="M186:N186" si="35">M181+M182*$H$17</f>
        <v>276513485.19786835</v>
      </c>
      <c r="N186" s="172">
        <f t="shared" si="35"/>
        <v>271972212.7872172</v>
      </c>
      <c r="O186" s="181">
        <f>O181-O156+(O182-O157)*$H$17</f>
        <v>1303772.8397001575</v>
      </c>
      <c r="P186" s="181">
        <f>P181+P182*$H$17+(S181+S182*$H$17)</f>
        <v>258692628.1306988</v>
      </c>
      <c r="Q186" s="172">
        <f>Q181+Q182*$H$17</f>
        <v>14594409.601842174</v>
      </c>
      <c r="S186" s="78"/>
      <c r="U186" s="172">
        <f t="shared" ref="U186" si="36">U181+U182*$H$17</f>
        <v>290189130.46241909</v>
      </c>
      <c r="V186" s="181">
        <f>V181-V156+(V182-V157)*$H$17</f>
        <v>1498779.1095001232</v>
      </c>
    </row>
    <row r="187" spans="2:24" s="171" customFormat="1" ht="12" customHeight="1" x14ac:dyDescent="0.2">
      <c r="B187" s="173"/>
      <c r="D187" s="178"/>
      <c r="S187" s="87"/>
    </row>
    <row r="188" spans="2:24" s="171" customFormat="1" ht="12" customHeight="1" x14ac:dyDescent="0.2">
      <c r="B188" s="177" t="s">
        <v>99</v>
      </c>
      <c r="D188" s="178" t="s">
        <v>639</v>
      </c>
      <c r="F188" s="171" t="s">
        <v>97</v>
      </c>
      <c r="J188" s="172">
        <f>SUM(L188:S188)</f>
        <v>1076130628.3663738</v>
      </c>
      <c r="L188" s="172">
        <f>L181+L182*$H$22</f>
        <v>5917132.0761501156</v>
      </c>
      <c r="M188" s="172">
        <f t="shared" ref="M188:N188" si="37">M181+M182*$H$22</f>
        <v>354226366.95814955</v>
      </c>
      <c r="N188" s="172">
        <f t="shared" si="37"/>
        <v>361048821.69637406</v>
      </c>
      <c r="O188" s="172">
        <f>O181+O182*$H$22</f>
        <v>3941440.8621063745</v>
      </c>
      <c r="P188" s="181">
        <f>(P181+P182*$H$22)+(S181+S182*$H$22)</f>
        <v>331193164.21210104</v>
      </c>
      <c r="Q188" s="172">
        <f>Q181+Q182*$H$22</f>
        <v>19803702.561492588</v>
      </c>
      <c r="S188" s="78"/>
      <c r="U188" s="172">
        <f t="shared" ref="U188" si="38">U181+U182*$H$22</f>
        <v>368566503.86716253</v>
      </c>
      <c r="V188" s="172">
        <f>V181+V182*$H$22</f>
        <v>4154437.2052754248</v>
      </c>
      <c r="X188" s="88" t="s">
        <v>646</v>
      </c>
    </row>
    <row r="189" spans="2:24" s="171" customFormat="1" ht="12" customHeight="1" x14ac:dyDescent="0.2">
      <c r="B189" s="177" t="s">
        <v>99</v>
      </c>
      <c r="D189" s="178" t="s">
        <v>641</v>
      </c>
      <c r="F189" s="171" t="s">
        <v>97</v>
      </c>
      <c r="J189" s="172">
        <f>SUM(L189:S189)</f>
        <v>1039697618.0399405</v>
      </c>
      <c r="L189" s="172">
        <f>L181+L182*$H$23</f>
        <v>5753940.8187779756</v>
      </c>
      <c r="M189" s="172">
        <f t="shared" ref="M189:N189" si="39">M181+M182*$H$23</f>
        <v>343382709.03811038</v>
      </c>
      <c r="N189" s="172">
        <f t="shared" si="39"/>
        <v>348619527.42998004</v>
      </c>
      <c r="O189" s="181">
        <f>O181-O156+(O182-O157)*$H$23</f>
        <v>1787805.9386951611</v>
      </c>
      <c r="P189" s="181">
        <f>(P181+P182*$H$23)+(S181+S182*$H$23)</f>
        <v>321076810.34027743</v>
      </c>
      <c r="Q189" s="172">
        <f>Q181+Q182*$H$23</f>
        <v>19076824.474099506</v>
      </c>
      <c r="S189" s="78"/>
      <c r="U189" s="172">
        <f t="shared" ref="U189" si="40">U181+U182*$H$23</f>
        <v>357630126.18277967</v>
      </c>
      <c r="V189" s="181">
        <f>V181-V156+(V182-V157)*$H$23</f>
        <v>1998292.0390685247</v>
      </c>
    </row>
    <row r="190" spans="2:24" s="171" customFormat="1" ht="12.75" x14ac:dyDescent="0.2"/>
    <row r="191" spans="2:24" s="171" customFormat="1" ht="15" x14ac:dyDescent="0.2">
      <c r="B191" s="40" t="s">
        <v>153</v>
      </c>
    </row>
    <row r="192" spans="2:24" s="171" customFormat="1" ht="12" customHeight="1" x14ac:dyDescent="0.2">
      <c r="B192" s="177" t="s">
        <v>99</v>
      </c>
      <c r="D192" s="178" t="s">
        <v>161</v>
      </c>
      <c r="F192" s="171" t="s">
        <v>97</v>
      </c>
      <c r="J192" s="172">
        <f>SUM(L192:Q192)</f>
        <v>853291785.39368308</v>
      </c>
      <c r="L192" s="179">
        <f>L185-(L175-L176+L177)</f>
        <v>4910785.9890219187</v>
      </c>
      <c r="M192" s="179">
        <f>M185-(M175-M176+M177)</f>
        <v>284330739.13245308</v>
      </c>
      <c r="N192" s="179">
        <f>N185-(N175-N176+N177)</f>
        <v>282186710.50188702</v>
      </c>
      <c r="O192" s="179">
        <f>O185-(O175-O176+O177)</f>
        <v>1169110.1550912394</v>
      </c>
      <c r="P192" s="181">
        <f>P185-(P175-P176+P177)-(S175-S176+S177)</f>
        <v>265373151.92599452</v>
      </c>
      <c r="Q192" s="179">
        <f>Q185-(Q175-Q176+Q177)</f>
        <v>15321287.689235255</v>
      </c>
      <c r="S192" s="78"/>
      <c r="U192" s="179">
        <f>U185-(U175-U176+U177)</f>
        <v>298099104.16316551</v>
      </c>
      <c r="V192" s="179">
        <f>V185-(V175-V176+V177)</f>
        <v>1366626.667686891</v>
      </c>
      <c r="X192" s="88" t="s">
        <v>647</v>
      </c>
    </row>
    <row r="193" spans="2:24" s="171" customFormat="1" ht="12" customHeight="1" x14ac:dyDescent="0.2">
      <c r="B193" s="177" t="s">
        <v>99</v>
      </c>
      <c r="D193" s="178" t="s">
        <v>164</v>
      </c>
      <c r="F193" s="171" t="s">
        <v>97</v>
      </c>
      <c r="J193" s="172">
        <f>SUM(L193:Q193)</f>
        <v>818933918.13676989</v>
      </c>
      <c r="L193" s="179">
        <f>L186-(L175-L176+L177)</f>
        <v>4747594.7316497788</v>
      </c>
      <c r="M193" s="179">
        <f>M186-(M175-M176+M177)</f>
        <v>273487081.21241379</v>
      </c>
      <c r="N193" s="179">
        <f>N186-(N175-N176+N177)</f>
        <v>269757416.23549306</v>
      </c>
      <c r="O193" s="179">
        <f>O186-(O175-O176+O177)</f>
        <v>1090618.3012001575</v>
      </c>
      <c r="P193" s="181">
        <f>P186-(P175-P176+P177)-(S175-S176+S177)</f>
        <v>255256798.05417097</v>
      </c>
      <c r="Q193" s="179">
        <f>Q186-(Q175-Q176+Q177)</f>
        <v>14594409.601842174</v>
      </c>
      <c r="S193" s="78"/>
      <c r="U193" s="179">
        <f>U186-(U175-U176+U177)</f>
        <v>287162726.47878271</v>
      </c>
      <c r="V193" s="179">
        <f>V186-(V175-V176+V177)</f>
        <v>1285624.5710001232</v>
      </c>
    </row>
    <row r="194" spans="2:24" s="171" customFormat="1" ht="15" x14ac:dyDescent="0.2">
      <c r="B194" s="40"/>
      <c r="S194" s="87"/>
    </row>
    <row r="195" spans="2:24" s="180" customFormat="1" x14ac:dyDescent="0.2">
      <c r="B195" s="177" t="s">
        <v>99</v>
      </c>
      <c r="C195" s="171"/>
      <c r="D195" s="178" t="s">
        <v>640</v>
      </c>
      <c r="E195" s="171"/>
      <c r="F195" s="171" t="s">
        <v>97</v>
      </c>
      <c r="H195" s="171"/>
      <c r="J195" s="172">
        <f>SUM(L195:Q195)</f>
        <v>1067240443.2141671</v>
      </c>
      <c r="L195" s="179">
        <f>L188-(L175-L176+L177)</f>
        <v>5917132.0761501156</v>
      </c>
      <c r="M195" s="179">
        <f>M188-(M175-M176+M177)</f>
        <v>351199962.97269499</v>
      </c>
      <c r="N195" s="179">
        <f>N188-(N175-N176+N177)</f>
        <v>358834025.14464992</v>
      </c>
      <c r="O195" s="179">
        <f>O188-(O175-O176+O177)</f>
        <v>3728286.3236063747</v>
      </c>
      <c r="P195" s="181">
        <f>P188-(P175-P176+P177)-(S175-S176+S177)</f>
        <v>327757334.13557315</v>
      </c>
      <c r="Q195" s="179">
        <f>Q188-(Q175-Q176+Q177)</f>
        <v>19803702.561492588</v>
      </c>
      <c r="R195" s="171"/>
      <c r="S195" s="78"/>
      <c r="U195" s="179">
        <f>U188-(U175-U176+U177)</f>
        <v>365540099.88352615</v>
      </c>
      <c r="V195" s="179">
        <f>V188-(V175-V176+V177)</f>
        <v>3941282.666775425</v>
      </c>
      <c r="X195" s="88" t="s">
        <v>647</v>
      </c>
    </row>
    <row r="196" spans="2:24" s="180" customFormat="1" x14ac:dyDescent="0.2">
      <c r="B196" s="177" t="s">
        <v>99</v>
      </c>
      <c r="C196" s="171"/>
      <c r="D196" s="178" t="s">
        <v>642</v>
      </c>
      <c r="E196" s="171"/>
      <c r="F196" s="171" t="s">
        <v>97</v>
      </c>
      <c r="H196" s="171"/>
      <c r="J196" s="172">
        <f>SUM(L196:Q196)</f>
        <v>1030807432.8877338</v>
      </c>
      <c r="L196" s="179">
        <f>L189-(L175-L176+L177)</f>
        <v>5753940.8187779756</v>
      </c>
      <c r="M196" s="179">
        <f>M189-(M175-M176+M177)</f>
        <v>340356305.05265582</v>
      </c>
      <c r="N196" s="179">
        <f>N189-(N175-N176+N177)</f>
        <v>346404730.8782559</v>
      </c>
      <c r="O196" s="179">
        <f>O189-(O175-O176+O177)</f>
        <v>1574651.4001951611</v>
      </c>
      <c r="P196" s="181">
        <f>P189-(P175-P176+P177)-(S175-S176+S177)</f>
        <v>317640980.26374954</v>
      </c>
      <c r="Q196" s="179">
        <f>Q189-(Q175-Q176+Q177)</f>
        <v>19076824.474099506</v>
      </c>
      <c r="S196" s="78"/>
      <c r="U196" s="179">
        <f>U189-(U175-U176+U177)</f>
        <v>354603722.19914329</v>
      </c>
      <c r="V196" s="179">
        <f>V189-(V175-V176+V177)</f>
        <v>1785137.5005685247</v>
      </c>
    </row>
    <row r="198" spans="2:24" s="24" customFormat="1" ht="12.75" x14ac:dyDescent="0.2">
      <c r="B198" s="24" t="s">
        <v>162</v>
      </c>
    </row>
    <row r="199" spans="2:24" s="171" customFormat="1" ht="12" customHeight="1" x14ac:dyDescent="0.2"/>
    <row r="200" spans="2:24" s="171" customFormat="1" ht="12" customHeight="1" x14ac:dyDescent="0.2">
      <c r="B200" s="40" t="s">
        <v>131</v>
      </c>
    </row>
    <row r="201" spans="2:24" s="171" customFormat="1" ht="12" customHeight="1" x14ac:dyDescent="0.2">
      <c r="B201" s="173" t="s">
        <v>152</v>
      </c>
    </row>
    <row r="202" spans="2:24" s="171" customFormat="1" ht="12" customHeight="1" x14ac:dyDescent="0.2">
      <c r="B202" s="173" t="s">
        <v>48</v>
      </c>
      <c r="C202" s="6"/>
      <c r="D202" s="6"/>
      <c r="E202" s="6"/>
    </row>
    <row r="203" spans="2:24" s="171" customFormat="1" ht="12" customHeight="1" x14ac:dyDescent="0.2">
      <c r="B203" s="171" t="s">
        <v>49</v>
      </c>
      <c r="C203" s="6"/>
      <c r="D203" s="6"/>
      <c r="E203" s="6"/>
      <c r="F203" s="171" t="s">
        <v>106</v>
      </c>
      <c r="J203" s="172">
        <f>SUM(L203:S203)</f>
        <v>0</v>
      </c>
      <c r="L203" s="175">
        <f>'6) GAW import'!L104</f>
        <v>0</v>
      </c>
      <c r="M203" s="175">
        <f>'6) GAW import'!M104</f>
        <v>0</v>
      </c>
      <c r="N203" s="175">
        <f>'6) GAW import'!N104</f>
        <v>0</v>
      </c>
      <c r="O203" s="175">
        <f>'6) GAW import'!O104</f>
        <v>0</v>
      </c>
      <c r="P203" s="175">
        <f>'6) GAW import'!P104</f>
        <v>0</v>
      </c>
      <c r="Q203" s="175">
        <f>'6) GAW import'!Q104</f>
        <v>0</v>
      </c>
      <c r="S203" s="175">
        <f>'6) GAW import'!S104</f>
        <v>0</v>
      </c>
      <c r="U203" s="175">
        <f>'6) GAW import'!U104</f>
        <v>0</v>
      </c>
      <c r="V203" s="175">
        <f>'6) GAW import'!V104</f>
        <v>0</v>
      </c>
    </row>
    <row r="204" spans="2:24" s="171" customFormat="1" ht="12" customHeight="1" x14ac:dyDescent="0.2">
      <c r="B204" s="171" t="s">
        <v>50</v>
      </c>
      <c r="C204" s="6"/>
      <c r="D204" s="6"/>
      <c r="E204" s="6"/>
      <c r="F204" s="171" t="s">
        <v>106</v>
      </c>
      <c r="J204" s="172">
        <f>SUM(L204:S204)</f>
        <v>410776627.59797186</v>
      </c>
      <c r="L204" s="175">
        <f>'6) GAW import'!L105</f>
        <v>2603148.1949662254</v>
      </c>
      <c r="M204" s="175">
        <f>'6) GAW import'!M105</f>
        <v>151418589.67498547</v>
      </c>
      <c r="N204" s="175">
        <f>'6) GAW import'!N105</f>
        <v>132683718.08870298</v>
      </c>
      <c r="O204" s="175">
        <f>'6) GAW import'!O105</f>
        <v>1655240.5669904125</v>
      </c>
      <c r="P204" s="175">
        <f>'6) GAW import'!P105</f>
        <v>107293983.04713438</v>
      </c>
      <c r="Q204" s="175">
        <f>'6) GAW import'!Q105</f>
        <v>4261922.8181000911</v>
      </c>
      <c r="S204" s="175">
        <f>'6) GAW import'!S105</f>
        <v>10860025.207092259</v>
      </c>
      <c r="U204" s="175">
        <f>'6) GAW import'!U105</f>
        <v>151418589.67498547</v>
      </c>
      <c r="V204" s="175">
        <f>'6) GAW import'!V105</f>
        <v>1655240.5669904125</v>
      </c>
    </row>
    <row r="205" spans="2:24" s="171" customFormat="1" ht="12" customHeight="1" x14ac:dyDescent="0.2">
      <c r="B205" s="171" t="s">
        <v>51</v>
      </c>
      <c r="C205" s="6"/>
      <c r="D205" s="6"/>
      <c r="E205" s="6"/>
      <c r="F205" s="171" t="s">
        <v>106</v>
      </c>
      <c r="J205" s="172">
        <f>SUM(L205:S205)</f>
        <v>4102312158.3703914</v>
      </c>
      <c r="L205" s="175">
        <f>'6) GAW import'!L106</f>
        <v>9641823.32094617</v>
      </c>
      <c r="M205" s="175">
        <f>'6) GAW import'!M106</f>
        <v>1352145830.2422528</v>
      </c>
      <c r="N205" s="175">
        <f>'6) GAW import'!N106</f>
        <v>1678242169.8345788</v>
      </c>
      <c r="O205" s="175">
        <f>'6) GAW import'!O106</f>
        <v>3.1541338441832125E-8</v>
      </c>
      <c r="P205" s="175">
        <f>'6) GAW import'!P106</f>
        <v>957689611.99196517</v>
      </c>
      <c r="Q205" s="175">
        <f>'6) GAW import'!Q106</f>
        <v>55668618.615031712</v>
      </c>
      <c r="S205" s="175">
        <f>'6) GAW import'!S106</f>
        <v>48924104.365616806</v>
      </c>
      <c r="U205" s="175">
        <f>'6) GAW import'!U106</f>
        <v>1352145830.2422528</v>
      </c>
      <c r="V205" s="175">
        <f>'6) GAW import'!V106</f>
        <v>3.1541338441832125E-8</v>
      </c>
    </row>
    <row r="206" spans="2:24" s="171" customFormat="1" ht="12" customHeight="1" x14ac:dyDescent="0.2">
      <c r="C206" s="6"/>
      <c r="D206" s="6"/>
      <c r="E206" s="6"/>
    </row>
    <row r="207" spans="2:24" s="171" customFormat="1" ht="12" customHeight="1" x14ac:dyDescent="0.2">
      <c r="B207" s="173" t="s">
        <v>52</v>
      </c>
      <c r="C207" s="6"/>
      <c r="D207" s="6"/>
      <c r="E207" s="6"/>
    </row>
    <row r="208" spans="2:24" s="171" customFormat="1" ht="12" customHeight="1" x14ac:dyDescent="0.2">
      <c r="B208" s="171" t="s">
        <v>53</v>
      </c>
      <c r="C208" s="6"/>
      <c r="D208" s="6"/>
      <c r="E208" s="6"/>
      <c r="F208" s="171" t="s">
        <v>106</v>
      </c>
      <c r="J208" s="172">
        <f>SUM(L208:S208)</f>
        <v>850882628.75255919</v>
      </c>
      <c r="L208" s="175">
        <f>'6) GAW import'!L109</f>
        <v>1668590</v>
      </c>
      <c r="M208" s="175">
        <f>'6) GAW import'!M109</f>
        <v>249518130.33873323</v>
      </c>
      <c r="N208" s="175">
        <f>'6) GAW import'!N109</f>
        <v>324592531.82439685</v>
      </c>
      <c r="O208" s="175">
        <f>'6) GAW import'!O109</f>
        <v>1871396.6500000001</v>
      </c>
      <c r="P208" s="175">
        <f>'6) GAW import'!P109</f>
        <v>227271891.43007874</v>
      </c>
      <c r="Q208" s="175">
        <f>'6) GAW import'!Q109</f>
        <v>7456757.5444897888</v>
      </c>
      <c r="S208" s="175">
        <f>'6) GAW import'!S109</f>
        <v>38503330.964860693</v>
      </c>
      <c r="U208" s="175">
        <f>'6) GAW import'!U109</f>
        <v>249518130.33873323</v>
      </c>
      <c r="V208" s="175">
        <f>'6) GAW import'!V109</f>
        <v>2087769.9900000002</v>
      </c>
    </row>
    <row r="209" spans="2:22" s="171" customFormat="1" ht="12" customHeight="1" x14ac:dyDescent="0.2">
      <c r="B209" s="171" t="s">
        <v>46</v>
      </c>
      <c r="C209" s="6"/>
      <c r="D209" s="6"/>
      <c r="E209" s="6"/>
      <c r="F209" s="171" t="s">
        <v>106</v>
      </c>
      <c r="J209" s="172">
        <f>SUM(L209:S209)</f>
        <v>228109543.88942164</v>
      </c>
      <c r="L209" s="175">
        <f>'6) GAW import'!L110</f>
        <v>1219450.3381252547</v>
      </c>
      <c r="M209" s="175">
        <f>'6) GAW import'!M110</f>
        <v>64751932.130235232</v>
      </c>
      <c r="N209" s="175">
        <f>'6) GAW import'!N110</f>
        <v>70930150.42903994</v>
      </c>
      <c r="O209" s="175">
        <f>'6) GAW import'!O110</f>
        <v>845285.38816291187</v>
      </c>
      <c r="P209" s="175">
        <f>'6) GAW import'!P110</f>
        <v>76146384.816962957</v>
      </c>
      <c r="Q209" s="175">
        <f>'6) GAW import'!Q110</f>
        <v>5951366.7952460079</v>
      </c>
      <c r="S209" s="175">
        <f>'6) GAW import'!S110</f>
        <v>8264973.9916493157</v>
      </c>
      <c r="U209" s="175">
        <f>'6) GAW import'!U110</f>
        <v>75468307.174550831</v>
      </c>
      <c r="V209" s="175">
        <f>'6) GAW import'!V110</f>
        <v>1043436.1062096255</v>
      </c>
    </row>
    <row r="210" spans="2:22" s="171" customFormat="1" ht="12" customHeight="1" x14ac:dyDescent="0.2">
      <c r="B210" s="171" t="s">
        <v>54</v>
      </c>
      <c r="C210" s="6"/>
      <c r="D210" s="6"/>
      <c r="E210" s="6"/>
      <c r="F210" s="171" t="s">
        <v>106</v>
      </c>
      <c r="J210" s="172">
        <f>SUM(L210:S210)</f>
        <v>7777639153.48629</v>
      </c>
      <c r="L210" s="175">
        <f>'6) GAW import'!L111</f>
        <v>43743592.738280721</v>
      </c>
      <c r="M210" s="175">
        <f>'6) GAW import'!M111</f>
        <v>2371417759.8937297</v>
      </c>
      <c r="N210" s="175">
        <f>'6) GAW import'!N111</f>
        <v>2670172830.3425498</v>
      </c>
      <c r="O210" s="175">
        <f>'6) GAW import'!O111</f>
        <v>27739505.536101844</v>
      </c>
      <c r="P210" s="175">
        <f>'6) GAW import'!P111</f>
        <v>2199805152.3136268</v>
      </c>
      <c r="Q210" s="175">
        <f>'6) GAW import'!Q111</f>
        <v>188913180.08565289</v>
      </c>
      <c r="S210" s="175">
        <f>'6) GAW import'!S111</f>
        <v>275847132.57634771</v>
      </c>
      <c r="U210" s="175">
        <f>'6) GAW import'!U111</f>
        <v>2392257011.3143396</v>
      </c>
      <c r="V210" s="175">
        <f>'6) GAW import'!V111</f>
        <v>28612047.456187036</v>
      </c>
    </row>
    <row r="211" spans="2:22" s="171" customFormat="1" ht="12" customHeight="1" x14ac:dyDescent="0.2">
      <c r="C211" s="6"/>
      <c r="D211" s="6"/>
      <c r="E211" s="6"/>
    </row>
    <row r="212" spans="2:22" s="171" customFormat="1" ht="12" customHeight="1" x14ac:dyDescent="0.2">
      <c r="B212" s="173" t="s">
        <v>55</v>
      </c>
      <c r="C212" s="8"/>
      <c r="D212" s="8"/>
      <c r="E212" s="8"/>
    </row>
    <row r="213" spans="2:22" s="171" customFormat="1" ht="12" customHeight="1" x14ac:dyDescent="0.2">
      <c r="B213" s="171" t="s">
        <v>56</v>
      </c>
      <c r="C213" s="8"/>
      <c r="D213" s="8"/>
      <c r="E213" s="8"/>
      <c r="F213" s="171" t="s">
        <v>106</v>
      </c>
      <c r="J213" s="172">
        <f>SUM(L213:S213)</f>
        <v>0</v>
      </c>
      <c r="L213" s="175">
        <f>'6) GAW import'!L114</f>
        <v>0</v>
      </c>
      <c r="M213" s="175">
        <f>'6) GAW import'!M114</f>
        <v>0</v>
      </c>
      <c r="N213" s="175">
        <f>'6) GAW import'!N114</f>
        <v>0</v>
      </c>
      <c r="O213" s="175">
        <f>'6) GAW import'!O114</f>
        <v>0</v>
      </c>
      <c r="P213" s="175">
        <f>'6) GAW import'!P114</f>
        <v>0</v>
      </c>
      <c r="Q213" s="175">
        <f>'6) GAW import'!Q114</f>
        <v>0</v>
      </c>
      <c r="S213" s="175">
        <f>'6) GAW import'!S114</f>
        <v>0</v>
      </c>
      <c r="U213" s="175">
        <f>'6) GAW import'!U114</f>
        <v>0</v>
      </c>
      <c r="V213" s="175">
        <f>'6) GAW import'!V114</f>
        <v>0</v>
      </c>
    </row>
    <row r="214" spans="2:22" s="171" customFormat="1" ht="12" customHeight="1" x14ac:dyDescent="0.2">
      <c r="B214" s="171" t="s">
        <v>57</v>
      </c>
      <c r="C214" s="8"/>
      <c r="D214" s="8"/>
      <c r="E214" s="8"/>
      <c r="F214" s="171" t="s">
        <v>106</v>
      </c>
      <c r="J214" s="172">
        <f>SUM(L214:S214)</f>
        <v>263624.00382654497</v>
      </c>
      <c r="L214" s="175">
        <f>'6) GAW import'!L115</f>
        <v>0</v>
      </c>
      <c r="M214" s="175">
        <f>'6) GAW import'!M115</f>
        <v>0</v>
      </c>
      <c r="N214" s="175">
        <f>'6) GAW import'!N115</f>
        <v>0</v>
      </c>
      <c r="O214" s="175">
        <f>'6) GAW import'!O115</f>
        <v>0</v>
      </c>
      <c r="P214" s="175">
        <f>'6) GAW import'!P115</f>
        <v>0</v>
      </c>
      <c r="Q214" s="175">
        <f>'6) GAW import'!Q115</f>
        <v>0</v>
      </c>
      <c r="S214" s="175">
        <f>'6) GAW import'!S115</f>
        <v>263624.00382654497</v>
      </c>
      <c r="U214" s="175">
        <f>'6) GAW import'!U115</f>
        <v>0</v>
      </c>
      <c r="V214" s="175">
        <f>'6) GAW import'!V115</f>
        <v>0</v>
      </c>
    </row>
    <row r="215" spans="2:22" s="171" customFormat="1" ht="12" customHeight="1" x14ac:dyDescent="0.2">
      <c r="B215" s="171" t="s">
        <v>58</v>
      </c>
      <c r="C215" s="8"/>
      <c r="D215" s="8"/>
      <c r="E215" s="8"/>
      <c r="F215" s="171" t="s">
        <v>106</v>
      </c>
      <c r="J215" s="172">
        <f>SUM(L215:S215)</f>
        <v>8789960.4898155816</v>
      </c>
      <c r="L215" s="175">
        <f>'6) GAW import'!L116</f>
        <v>0</v>
      </c>
      <c r="M215" s="175">
        <f>'6) GAW import'!M116</f>
        <v>0</v>
      </c>
      <c r="N215" s="175">
        <f>'6) GAW import'!N116</f>
        <v>0</v>
      </c>
      <c r="O215" s="175">
        <f>'6) GAW import'!O116</f>
        <v>0</v>
      </c>
      <c r="P215" s="175">
        <f>'6) GAW import'!P116</f>
        <v>0</v>
      </c>
      <c r="Q215" s="175">
        <f>'6) GAW import'!Q116</f>
        <v>0</v>
      </c>
      <c r="S215" s="175">
        <f>'6) GAW import'!S116</f>
        <v>8789960.4898155816</v>
      </c>
      <c r="U215" s="175">
        <f>'6) GAW import'!U116</f>
        <v>0</v>
      </c>
      <c r="V215" s="175">
        <f>'6) GAW import'!V116</f>
        <v>0</v>
      </c>
    </row>
    <row r="216" spans="2:22" s="171" customFormat="1" ht="12" customHeight="1" x14ac:dyDescent="0.2">
      <c r="C216" s="8"/>
      <c r="D216" s="8"/>
      <c r="E216" s="8"/>
    </row>
    <row r="217" spans="2:22" s="171" customFormat="1" ht="12" customHeight="1" x14ac:dyDescent="0.2">
      <c r="B217" s="173" t="s">
        <v>59</v>
      </c>
      <c r="C217" s="8"/>
      <c r="D217" s="8"/>
      <c r="E217" s="8"/>
    </row>
    <row r="218" spans="2:22" s="171" customFormat="1" ht="12" customHeight="1" x14ac:dyDescent="0.2">
      <c r="B218" s="171" t="s">
        <v>60</v>
      </c>
      <c r="C218" s="8"/>
      <c r="D218" s="8"/>
      <c r="E218" s="8"/>
      <c r="F218" s="171" t="s">
        <v>106</v>
      </c>
      <c r="J218" s="172">
        <f>SUM(L218:S218)</f>
        <v>0</v>
      </c>
      <c r="L218" s="175">
        <f>'6) GAW import'!L119</f>
        <v>0</v>
      </c>
      <c r="M218" s="175">
        <f>'6) GAW import'!M119</f>
        <v>0</v>
      </c>
      <c r="N218" s="175">
        <f>'6) GAW import'!N119</f>
        <v>0</v>
      </c>
      <c r="O218" s="175">
        <f>'6) GAW import'!O119</f>
        <v>0</v>
      </c>
      <c r="P218" s="175">
        <f>'6) GAW import'!P119</f>
        <v>0</v>
      </c>
      <c r="Q218" s="175">
        <f>'6) GAW import'!Q119</f>
        <v>0</v>
      </c>
      <c r="S218" s="175">
        <f>'6) GAW import'!S119</f>
        <v>0</v>
      </c>
      <c r="U218" s="175">
        <f>'6) GAW import'!U119</f>
        <v>0</v>
      </c>
      <c r="V218" s="175">
        <f>'6) GAW import'!V119</f>
        <v>0</v>
      </c>
    </row>
    <row r="219" spans="2:22" s="171" customFormat="1" ht="12" customHeight="1" x14ac:dyDescent="0.2">
      <c r="B219" s="171" t="s">
        <v>61</v>
      </c>
      <c r="F219" s="171" t="s">
        <v>106</v>
      </c>
      <c r="J219" s="172">
        <f>SUM(L219:S219)</f>
        <v>1710573.6629784314</v>
      </c>
      <c r="L219" s="175">
        <f>'6) GAW import'!L120</f>
        <v>0</v>
      </c>
      <c r="M219" s="175">
        <f>'6) GAW import'!M120</f>
        <v>10453.767833615781</v>
      </c>
      <c r="N219" s="175">
        <f>'6) GAW import'!N120</f>
        <v>458222.01606773573</v>
      </c>
      <c r="O219" s="175">
        <f>'6) GAW import'!O120</f>
        <v>0</v>
      </c>
      <c r="P219" s="175">
        <f>'6) GAW import'!P120</f>
        <v>1099158.557757915</v>
      </c>
      <c r="Q219" s="175">
        <f>'6) GAW import'!Q120</f>
        <v>28341.093269585548</v>
      </c>
      <c r="S219" s="175">
        <f>'6) GAW import'!S120</f>
        <v>114398.22804957925</v>
      </c>
      <c r="U219" s="175">
        <f>'6) GAW import'!U120</f>
        <v>10453.767833615781</v>
      </c>
      <c r="V219" s="175">
        <f>'6) GAW import'!V120</f>
        <v>0</v>
      </c>
    </row>
    <row r="220" spans="2:22" s="171" customFormat="1" ht="12" customHeight="1" x14ac:dyDescent="0.2">
      <c r="B220" s="171" t="s">
        <v>62</v>
      </c>
      <c r="F220" s="171" t="s">
        <v>106</v>
      </c>
      <c r="J220" s="172">
        <f>SUM(L220:S220)</f>
        <v>16063717.588281922</v>
      </c>
      <c r="L220" s="175">
        <f>'6) GAW import'!L121</f>
        <v>0</v>
      </c>
      <c r="M220" s="175">
        <f>'6) GAW import'!M121</f>
        <v>231810.08305120331</v>
      </c>
      <c r="N220" s="175">
        <f>'6) GAW import'!N121</f>
        <v>2208589.7762133083</v>
      </c>
      <c r="O220" s="175">
        <f>'6) GAW import'!O121</f>
        <v>0</v>
      </c>
      <c r="P220" s="175">
        <f>'6) GAW import'!P121</f>
        <v>13323151.612258669</v>
      </c>
      <c r="Q220" s="175">
        <f>'6) GAW import'!Q121</f>
        <v>14170.546634792774</v>
      </c>
      <c r="S220" s="175">
        <f>'6) GAW import'!S121</f>
        <v>285995.57012394816</v>
      </c>
      <c r="U220" s="175">
        <f>'6) GAW import'!U121</f>
        <v>231810.08305120331</v>
      </c>
      <c r="V220" s="175">
        <f>'6) GAW import'!V121</f>
        <v>0</v>
      </c>
    </row>
    <row r="221" spans="2:22" s="171" customFormat="1" ht="12" customHeight="1" x14ac:dyDescent="0.2"/>
    <row r="222" spans="2:22" s="171" customFormat="1" ht="12" customHeight="1" x14ac:dyDescent="0.2">
      <c r="B222" s="173" t="s">
        <v>148</v>
      </c>
    </row>
    <row r="223" spans="2:22" s="171" customFormat="1" ht="12" customHeight="1" x14ac:dyDescent="0.2">
      <c r="B223" s="176" t="s">
        <v>149</v>
      </c>
      <c r="F223" s="171" t="s">
        <v>106</v>
      </c>
      <c r="J223" s="172">
        <f>SUM(L223:S223)</f>
        <v>12972698.127070708</v>
      </c>
      <c r="L223" s="175">
        <f>'5) Overige opbrengsten'!L167</f>
        <v>0</v>
      </c>
      <c r="M223" s="175">
        <f>'5) Overige opbrengsten'!M167</f>
        <v>3953311.7781818197</v>
      </c>
      <c r="N223" s="175">
        <f>'5) Overige opbrengsten'!N167</f>
        <v>3116565.67</v>
      </c>
      <c r="O223" s="175">
        <f>'5) Overige opbrengsten'!O167</f>
        <v>0</v>
      </c>
      <c r="P223" s="175">
        <f>'5) Overige opbrengsten'!P167</f>
        <v>4539628.1088888906</v>
      </c>
      <c r="Q223" s="175">
        <f>'5) Overige opbrengsten'!Q167</f>
        <v>15618.539999999999</v>
      </c>
      <c r="S223" s="175">
        <f>'5) Overige opbrengsten'!S167</f>
        <v>1347574.0299999998</v>
      </c>
      <c r="U223" s="175">
        <f>'5) Overige opbrengsten'!U167</f>
        <v>3953311.78</v>
      </c>
      <c r="V223" s="175">
        <f>'5) Overige opbrengsten'!V167</f>
        <v>0</v>
      </c>
    </row>
    <row r="224" spans="2:22" s="171" customFormat="1" ht="12" customHeight="1" x14ac:dyDescent="0.2">
      <c r="B224" s="176" t="s">
        <v>150</v>
      </c>
      <c r="F224" s="171" t="s">
        <v>106</v>
      </c>
      <c r="J224" s="172">
        <f>SUM(L224:S224)</f>
        <v>3752644.2792296978</v>
      </c>
      <c r="L224" s="175">
        <f>'5) Overige opbrengsten'!L173</f>
        <v>0</v>
      </c>
      <c r="M224" s="175">
        <f>'5) Overige opbrengsten'!M173</f>
        <v>790662.35563636397</v>
      </c>
      <c r="N224" s="175">
        <f>'5) Overige opbrengsten'!N173</f>
        <v>1038855.2233333333</v>
      </c>
      <c r="O224" s="175">
        <f>'5) Overige opbrengsten'!O173</f>
        <v>0</v>
      </c>
      <c r="P224" s="175">
        <f>'5) Overige opbrengsten'!P173</f>
        <v>1511696.1602600005</v>
      </c>
      <c r="Q224" s="175">
        <f>'5) Overige opbrengsten'!Q173</f>
        <v>15618.539999999999</v>
      </c>
      <c r="S224" s="175">
        <f>'5) Overige opbrengsten'!S173</f>
        <v>395812</v>
      </c>
      <c r="U224" s="175">
        <f>'5) Overige opbrengsten'!U173</f>
        <v>790662.35563636397</v>
      </c>
      <c r="V224" s="175">
        <f>'5) Overige opbrengsten'!V173</f>
        <v>0</v>
      </c>
    </row>
    <row r="225" spans="2:24" s="171" customFormat="1" ht="12" customHeight="1" x14ac:dyDescent="0.2">
      <c r="B225" s="171" t="s">
        <v>151</v>
      </c>
      <c r="F225" s="171" t="s">
        <v>106</v>
      </c>
      <c r="J225" s="172">
        <f>SUM(L225:S225)</f>
        <v>7063.13</v>
      </c>
      <c r="L225" s="175">
        <f>'5) Overige opbrengsten'!L200</f>
        <v>0</v>
      </c>
      <c r="M225" s="175">
        <f>'5) Overige opbrengsten'!M200</f>
        <v>0</v>
      </c>
      <c r="N225" s="175">
        <f>'5) Overige opbrengsten'!N200</f>
        <v>0</v>
      </c>
      <c r="O225" s="175">
        <f>'5) Overige opbrengsten'!O200</f>
        <v>7063.13</v>
      </c>
      <c r="P225" s="175">
        <f>'5) Overige opbrengsten'!P200</f>
        <v>0</v>
      </c>
      <c r="Q225" s="175">
        <f>'5) Overige opbrengsten'!Q200</f>
        <v>0</v>
      </c>
      <c r="S225" s="175">
        <f>'5) Overige opbrengsten'!S200</f>
        <v>0</v>
      </c>
      <c r="U225" s="175">
        <f>'5) Overige opbrengsten'!U200</f>
        <v>0</v>
      </c>
      <c r="V225" s="175">
        <f>'5) Overige opbrengsten'!V200</f>
        <v>7063.13</v>
      </c>
    </row>
    <row r="226" spans="2:24" s="171" customFormat="1" ht="12" customHeight="1" x14ac:dyDescent="0.2"/>
    <row r="227" spans="2:24" s="171" customFormat="1" ht="12" customHeight="1" x14ac:dyDescent="0.2">
      <c r="B227" s="40" t="s">
        <v>156</v>
      </c>
    </row>
    <row r="228" spans="2:24" s="171" customFormat="1" ht="12" customHeight="1" x14ac:dyDescent="0.2">
      <c r="B228" s="173" t="s">
        <v>154</v>
      </c>
    </row>
    <row r="229" spans="2:24" s="171" customFormat="1" ht="12" customHeight="1" x14ac:dyDescent="0.2">
      <c r="B229" s="177" t="s">
        <v>46</v>
      </c>
      <c r="F229" s="171" t="s">
        <v>106</v>
      </c>
      <c r="J229" s="172">
        <f>SUM(L229:S229)</f>
        <v>640860369.15419853</v>
      </c>
      <c r="L229" s="172">
        <f t="shared" ref="L229:Q230" si="41">L204+L209+L214+L219</f>
        <v>3822598.5330914799</v>
      </c>
      <c r="M229" s="172">
        <f t="shared" si="41"/>
        <v>216180975.57305431</v>
      </c>
      <c r="N229" s="172">
        <f t="shared" si="41"/>
        <v>204072090.53381068</v>
      </c>
      <c r="O229" s="172">
        <f t="shared" si="41"/>
        <v>2500525.9551533246</v>
      </c>
      <c r="P229" s="172">
        <f t="shared" si="41"/>
        <v>184539526.42185527</v>
      </c>
      <c r="Q229" s="172">
        <f t="shared" si="41"/>
        <v>10241630.706615685</v>
      </c>
      <c r="S229" s="172">
        <f t="shared" ref="S229:S230" si="42">S204+S209+S214+S219</f>
        <v>19503021.430617698</v>
      </c>
      <c r="U229" s="172">
        <f t="shared" ref="U229:V229" si="43">U204+U209+U214+U219</f>
        <v>226897350.61736992</v>
      </c>
      <c r="V229" s="172">
        <f t="shared" si="43"/>
        <v>2698676.6732000383</v>
      </c>
      <c r="X229" s="88" t="s">
        <v>649</v>
      </c>
    </row>
    <row r="230" spans="2:24" s="171" customFormat="1" ht="12" customHeight="1" x14ac:dyDescent="0.2">
      <c r="B230" s="177" t="s">
        <v>147</v>
      </c>
      <c r="F230" s="171" t="s">
        <v>106</v>
      </c>
      <c r="J230" s="172">
        <f>SUM(L230:S230)</f>
        <v>11904804989.93478</v>
      </c>
      <c r="L230" s="172">
        <f t="shared" si="41"/>
        <v>53385416.059226893</v>
      </c>
      <c r="M230" s="172">
        <f t="shared" si="41"/>
        <v>3723795400.2190337</v>
      </c>
      <c r="N230" s="172">
        <f t="shared" si="41"/>
        <v>4350623589.9533424</v>
      </c>
      <c r="O230" s="172">
        <f t="shared" si="41"/>
        <v>27739505.536101874</v>
      </c>
      <c r="P230" s="172">
        <f t="shared" si="41"/>
        <v>3170817915.9178505</v>
      </c>
      <c r="Q230" s="172">
        <f t="shared" si="41"/>
        <v>244595969.2473194</v>
      </c>
      <c r="S230" s="172">
        <f t="shared" si="42"/>
        <v>333847193.00190407</v>
      </c>
      <c r="U230" s="172">
        <f t="shared" ref="U230:V230" si="44">U205+U210+U215+U220</f>
        <v>3744634651.6396437</v>
      </c>
      <c r="V230" s="172">
        <f t="shared" si="44"/>
        <v>28612047.456187066</v>
      </c>
      <c r="X230" s="88" t="s">
        <v>650</v>
      </c>
    </row>
    <row r="231" spans="2:24" s="171" customFormat="1" ht="12" customHeight="1" x14ac:dyDescent="0.2"/>
    <row r="232" spans="2:24" s="171" customFormat="1" ht="12" customHeight="1" x14ac:dyDescent="0.2">
      <c r="B232" s="173" t="s">
        <v>155</v>
      </c>
      <c r="D232" s="178"/>
    </row>
    <row r="233" spans="2:24" s="171" customFormat="1" ht="12" customHeight="1" x14ac:dyDescent="0.2">
      <c r="B233" s="177" t="s">
        <v>108</v>
      </c>
      <c r="D233" s="178" t="s">
        <v>160</v>
      </c>
      <c r="F233" s="171" t="s">
        <v>106</v>
      </c>
      <c r="J233" s="172">
        <f>SUM(L233:S233)</f>
        <v>901110838.3657732</v>
      </c>
      <c r="L233" s="172">
        <f>L229+L230*$H$16</f>
        <v>4997077.6863944717</v>
      </c>
      <c r="M233" s="172">
        <f t="shared" ref="M233:N233" si="45">M229+M230*$H$16</f>
        <v>298104474.37787306</v>
      </c>
      <c r="N233" s="172">
        <f t="shared" si="45"/>
        <v>299785809.51278418</v>
      </c>
      <c r="O233" s="181">
        <f>O229-O204+(O230-O205)*$H$16</f>
        <v>1455554.5099571527</v>
      </c>
      <c r="P233" s="181">
        <f>(P229+P230*$H$16)+(S229+S230*$H$16)</f>
        <v>281145180.24870759</v>
      </c>
      <c r="Q233" s="172">
        <f>Q229+Q230*$H$16</f>
        <v>15622742.030056711</v>
      </c>
      <c r="S233" s="78"/>
      <c r="U233" s="172">
        <f t="shared" ref="U233" si="46">U229+U230*$H$16</f>
        <v>309279312.9534421</v>
      </c>
      <c r="V233" s="181">
        <f>V229-V204+(V230-V205)*$H$16</f>
        <v>1672901.1502457405</v>
      </c>
      <c r="X233" s="88" t="s">
        <v>646</v>
      </c>
    </row>
    <row r="234" spans="2:24" s="171" customFormat="1" ht="12" customHeight="1" x14ac:dyDescent="0.2">
      <c r="B234" s="177" t="s">
        <v>108</v>
      </c>
      <c r="D234" s="178" t="s">
        <v>164</v>
      </c>
      <c r="F234" s="171" t="s">
        <v>106</v>
      </c>
      <c r="J234" s="172">
        <f>SUM(L234:S234)</f>
        <v>865396423.39596891</v>
      </c>
      <c r="L234" s="172">
        <f>L229+L230*$H$17</f>
        <v>4836921.4382167906</v>
      </c>
      <c r="M234" s="172">
        <f t="shared" ref="M234:N234" si="47">M229+M230*$H$17</f>
        <v>286933088.17721593</v>
      </c>
      <c r="N234" s="172">
        <f t="shared" si="47"/>
        <v>286733938.74292421</v>
      </c>
      <c r="O234" s="181">
        <f>O229-O204+(O230-O205)*$H$17</f>
        <v>1372335.9933488471</v>
      </c>
      <c r="P234" s="181">
        <f>P229+P230*$H$17+(S229+S230*$H$17)</f>
        <v>270631184.92194831</v>
      </c>
      <c r="Q234" s="172">
        <f>Q229+Q230*$H$17</f>
        <v>14888954.122314753</v>
      </c>
      <c r="S234" s="78"/>
      <c r="U234" s="172">
        <f t="shared" ref="U234" si="48">U229+U230*$H$17</f>
        <v>298045408.99852312</v>
      </c>
      <c r="V234" s="181">
        <f>V229-V204+(V230-V205)*$H$17</f>
        <v>1587065.0078771794</v>
      </c>
    </row>
    <row r="235" spans="2:24" s="171" customFormat="1" ht="12" customHeight="1" x14ac:dyDescent="0.2">
      <c r="B235" s="173"/>
      <c r="D235" s="178"/>
      <c r="S235" s="87"/>
    </row>
    <row r="236" spans="2:24" s="171" customFormat="1" ht="12" customHeight="1" x14ac:dyDescent="0.2">
      <c r="B236" s="177" t="s">
        <v>108</v>
      </c>
      <c r="D236" s="178" t="s">
        <v>641</v>
      </c>
      <c r="F236" s="171" t="s">
        <v>106</v>
      </c>
      <c r="J236" s="172">
        <f>SUM(L236:S236)</f>
        <v>1085635315.7097623</v>
      </c>
      <c r="L236" s="172">
        <f>L229+L230*$H$23</f>
        <v>5824551.6353124883</v>
      </c>
      <c r="M236" s="172">
        <f t="shared" ref="M236:N236" si="49">M229+M230*$H$23</f>
        <v>355823303.08126807</v>
      </c>
      <c r="N236" s="172">
        <f t="shared" si="49"/>
        <v>367220475.15706098</v>
      </c>
      <c r="O236" s="181">
        <f>O229-O204+(O230-O205)*$H$23</f>
        <v>1885516.8457667311</v>
      </c>
      <c r="P236" s="181">
        <f>(P229+P230*$H$23)+(S229+S230*$H$23)</f>
        <v>335467489.43696374</v>
      </c>
      <c r="Q236" s="172">
        <f>Q229+Q230*$H$23</f>
        <v>19413979.55339016</v>
      </c>
      <c r="S236" s="78"/>
      <c r="U236" s="172">
        <f t="shared" ref="U236" si="50">U229+U230*$H$23</f>
        <v>367321150.05385649</v>
      </c>
      <c r="V236" s="181">
        <f>V229-V204+(V230-V205)*$H$23</f>
        <v>2116387.8858166393</v>
      </c>
      <c r="X236" s="88" t="s">
        <v>646</v>
      </c>
    </row>
    <row r="237" spans="2:24" s="171" customFormat="1" ht="12" customHeight="1" x14ac:dyDescent="0.2">
      <c r="B237" s="177" t="s">
        <v>108</v>
      </c>
      <c r="D237" s="178" t="s">
        <v>643</v>
      </c>
      <c r="F237" s="171" t="s">
        <v>106</v>
      </c>
      <c r="J237" s="172">
        <f>SUM(L237:S237)</f>
        <v>1049920900.7399578</v>
      </c>
      <c r="L237" s="172">
        <f>L229+L230*$H$24</f>
        <v>5664395.3871348072</v>
      </c>
      <c r="M237" s="172">
        <f t="shared" ref="M237:N237" si="51">M229+M230*$H$24</f>
        <v>344651916.88061094</v>
      </c>
      <c r="N237" s="172">
        <f t="shared" si="51"/>
        <v>354168604.38720095</v>
      </c>
      <c r="O237" s="181">
        <f>O229-O204+(O230-O205)*$H$24</f>
        <v>1802298.3291584253</v>
      </c>
      <c r="P237" s="181">
        <f>(P229+P230*$H$24)+(S229+S230*$H$24)</f>
        <v>324953494.11020446</v>
      </c>
      <c r="Q237" s="172">
        <f>Q229+Q230*$H$24</f>
        <v>18680191.645648204</v>
      </c>
      <c r="S237" s="78"/>
      <c r="U237" s="172">
        <f t="shared" ref="U237" si="52">U229+U230*$H$24</f>
        <v>356087246.09893757</v>
      </c>
      <c r="V237" s="181">
        <f>V229-V204+(V230-V205)*$H$24</f>
        <v>2030551.7434480782</v>
      </c>
    </row>
    <row r="238" spans="2:24" s="171" customFormat="1" ht="12.75" x14ac:dyDescent="0.2"/>
    <row r="239" spans="2:24" s="171" customFormat="1" ht="15" x14ac:dyDescent="0.2">
      <c r="B239" s="40" t="s">
        <v>153</v>
      </c>
    </row>
    <row r="240" spans="2:24" s="171" customFormat="1" ht="12" customHeight="1" x14ac:dyDescent="0.2">
      <c r="B240" s="177" t="s">
        <v>108</v>
      </c>
      <c r="D240" s="178" t="s">
        <v>161</v>
      </c>
      <c r="F240" s="171" t="s">
        <v>106</v>
      </c>
      <c r="J240" s="172">
        <f>SUM(L240:Q240)</f>
        <v>891883721.3879323</v>
      </c>
      <c r="L240" s="179">
        <f>L233-(L223-L224+L225)</f>
        <v>4997077.6863944717</v>
      </c>
      <c r="M240" s="179">
        <f>M233-(M223-M224+M225)</f>
        <v>294941824.95532763</v>
      </c>
      <c r="N240" s="179">
        <f>N233-(N223-N224+N225)</f>
        <v>297708099.06611753</v>
      </c>
      <c r="O240" s="179">
        <f>O233-(O223-O224+O225)</f>
        <v>1448491.3799571528</v>
      </c>
      <c r="P240" s="181">
        <f>P233-(P223-P224+P225)-(S223-S224+S225)</f>
        <v>277165486.27007872</v>
      </c>
      <c r="Q240" s="179">
        <f>Q233-(Q223-Q224+Q225)</f>
        <v>15622742.030056711</v>
      </c>
      <c r="S240" s="78"/>
      <c r="U240" s="179">
        <f>U233-(U223-U224+U225)</f>
        <v>306116663.52907848</v>
      </c>
      <c r="V240" s="179">
        <f>V233-(V223-V224+V225)</f>
        <v>1665838.0202457407</v>
      </c>
      <c r="X240" s="88" t="s">
        <v>647</v>
      </c>
    </row>
    <row r="241" spans="2:24" s="171" customFormat="1" ht="12" customHeight="1" x14ac:dyDescent="0.2">
      <c r="B241" s="177" t="s">
        <v>108</v>
      </c>
      <c r="D241" s="178" t="s">
        <v>164</v>
      </c>
      <c r="F241" s="171" t="s">
        <v>106</v>
      </c>
      <c r="J241" s="172">
        <f>SUM(L241:Q241)</f>
        <v>856169306.41812789</v>
      </c>
      <c r="L241" s="179">
        <f>L234-(L223-L224+L225)</f>
        <v>4836921.4382167906</v>
      </c>
      <c r="M241" s="179">
        <f>M234-(M223-M224+M225)</f>
        <v>283770438.7546705</v>
      </c>
      <c r="N241" s="179">
        <f>N234-(N223-N224+N225)</f>
        <v>284656228.29625756</v>
      </c>
      <c r="O241" s="179">
        <f>O234-(O223-O224+O225)</f>
        <v>1365272.8633488473</v>
      </c>
      <c r="P241" s="181">
        <f>P234-(P223-P224+P225)-(S223-S224+S225)</f>
        <v>266651490.94331941</v>
      </c>
      <c r="Q241" s="179">
        <f>Q234-(Q223-Q224+Q225)</f>
        <v>14888954.122314753</v>
      </c>
      <c r="S241" s="78"/>
      <c r="U241" s="179">
        <f>U234-(U223-U224+U225)</f>
        <v>294882759.5741595</v>
      </c>
      <c r="V241" s="179">
        <f>V234-(V223-V224+V225)</f>
        <v>1580001.8778771795</v>
      </c>
    </row>
    <row r="242" spans="2:24" s="171" customFormat="1" ht="15" x14ac:dyDescent="0.2">
      <c r="B242" s="40"/>
      <c r="S242" s="87"/>
    </row>
    <row r="243" spans="2:24" s="180" customFormat="1" x14ac:dyDescent="0.2">
      <c r="B243" s="177" t="s">
        <v>108</v>
      </c>
      <c r="C243" s="171"/>
      <c r="D243" s="178" t="s">
        <v>642</v>
      </c>
      <c r="E243" s="171"/>
      <c r="F243" s="171" t="s">
        <v>106</v>
      </c>
      <c r="H243" s="171"/>
      <c r="J243" s="172">
        <f>SUM(L243:Q243)</f>
        <v>1076408198.7319214</v>
      </c>
      <c r="L243" s="179">
        <f>L236-(L223-L224+L225)</f>
        <v>5824551.6353124883</v>
      </c>
      <c r="M243" s="179">
        <f>M236-(M223-M224+M225)</f>
        <v>352660653.65872264</v>
      </c>
      <c r="N243" s="179">
        <f>N236-(N223-N224+N225)</f>
        <v>365142764.71039432</v>
      </c>
      <c r="O243" s="179">
        <f>O236-(O223-O224+O225)</f>
        <v>1878453.7157667312</v>
      </c>
      <c r="P243" s="181">
        <f>P236-(P223-P224+P225)-(S223-S224+S225)</f>
        <v>331487795.45833486</v>
      </c>
      <c r="Q243" s="179">
        <f>Q236-(Q223-Q224+Q225)</f>
        <v>19413979.55339016</v>
      </c>
      <c r="R243" s="171"/>
      <c r="S243" s="78"/>
      <c r="U243" s="179">
        <f>U236-(U223-U224+U225)</f>
        <v>364158500.62949288</v>
      </c>
      <c r="V243" s="179">
        <f>V236-(V223-V224+V225)</f>
        <v>2109324.7558166394</v>
      </c>
      <c r="X243" s="88" t="s">
        <v>647</v>
      </c>
    </row>
    <row r="244" spans="2:24" s="180" customFormat="1" x14ac:dyDescent="0.2">
      <c r="B244" s="177" t="s">
        <v>108</v>
      </c>
      <c r="C244" s="171"/>
      <c r="D244" s="178" t="s">
        <v>644</v>
      </c>
      <c r="E244" s="171"/>
      <c r="F244" s="171" t="s">
        <v>106</v>
      </c>
      <c r="H244" s="171"/>
      <c r="J244" s="172">
        <f>SUM(L244:Q244)</f>
        <v>1040693783.7621169</v>
      </c>
      <c r="L244" s="179">
        <f>L237-(L223-L224+L225)</f>
        <v>5664395.3871348072</v>
      </c>
      <c r="M244" s="179">
        <f>M237-(M223-M224+M225)</f>
        <v>341489267.45806551</v>
      </c>
      <c r="N244" s="179">
        <f>N237-(N223-N224+N225)</f>
        <v>352090893.94053429</v>
      </c>
      <c r="O244" s="179">
        <f>O237-(O223-O224+O225)</f>
        <v>1795235.1991584254</v>
      </c>
      <c r="P244" s="181">
        <f>P237-(P223-P224+P225)-(S223-S224+S225)</f>
        <v>320973800.13157558</v>
      </c>
      <c r="Q244" s="179">
        <f>Q237-(Q223-Q224+Q225)</f>
        <v>18680191.645648204</v>
      </c>
      <c r="S244" s="78"/>
      <c r="U244" s="179">
        <f>U237-(U223-U224+U225)</f>
        <v>352924596.67457396</v>
      </c>
      <c r="V244" s="179">
        <f>V237-(V223-V224+V225)</f>
        <v>2023488.6134480783</v>
      </c>
    </row>
    <row r="246" spans="2:24" s="24" customFormat="1" ht="12.75" x14ac:dyDescent="0.2">
      <c r="B246" s="24" t="s">
        <v>163</v>
      </c>
    </row>
    <row r="247" spans="2:24" s="171" customFormat="1" ht="12" customHeight="1" x14ac:dyDescent="0.2"/>
    <row r="248" spans="2:24" s="171" customFormat="1" ht="12" customHeight="1" x14ac:dyDescent="0.2">
      <c r="B248" s="40" t="s">
        <v>131</v>
      </c>
    </row>
    <row r="249" spans="2:24" s="171" customFormat="1" ht="12" customHeight="1" x14ac:dyDescent="0.2">
      <c r="B249" s="173" t="s">
        <v>152</v>
      </c>
    </row>
    <row r="250" spans="2:24" s="171" customFormat="1" ht="12" customHeight="1" x14ac:dyDescent="0.2">
      <c r="B250" s="173" t="s">
        <v>48</v>
      </c>
      <c r="C250" s="6"/>
      <c r="D250" s="6"/>
      <c r="E250" s="6"/>
    </row>
    <row r="251" spans="2:24" s="171" customFormat="1" ht="12" customHeight="1" x14ac:dyDescent="0.2">
      <c r="B251" s="171" t="s">
        <v>49</v>
      </c>
      <c r="C251" s="6"/>
      <c r="D251" s="6"/>
      <c r="E251" s="6"/>
      <c r="F251" s="171" t="s">
        <v>113</v>
      </c>
      <c r="J251" s="198">
        <f>SUM(L251:S251)</f>
        <v>0</v>
      </c>
      <c r="K251" s="176"/>
      <c r="L251" s="200">
        <f>'6) GAW import'!L126</f>
        <v>0</v>
      </c>
      <c r="M251" s="200">
        <f>'6) GAW import'!M126</f>
        <v>0</v>
      </c>
      <c r="N251" s="200">
        <f>'6) GAW import'!N126</f>
        <v>0</v>
      </c>
      <c r="O251" s="200">
        <f>'6) GAW import'!O126</f>
        <v>0</v>
      </c>
      <c r="P251" s="200">
        <f>'6) GAW import'!P126</f>
        <v>0</v>
      </c>
      <c r="Q251" s="200">
        <f>'6) GAW import'!Q126</f>
        <v>0</v>
      </c>
      <c r="R251" s="176"/>
      <c r="S251" s="200">
        <f>'6) GAW import'!S126</f>
        <v>0</v>
      </c>
      <c r="T251" s="79"/>
      <c r="U251" s="200">
        <f>'6) GAW import'!U126</f>
        <v>0</v>
      </c>
      <c r="V251" s="200">
        <f>'6) GAW import'!V126</f>
        <v>0</v>
      </c>
    </row>
    <row r="252" spans="2:24" s="171" customFormat="1" ht="12" customHeight="1" x14ac:dyDescent="0.2">
      <c r="B252" s="171" t="s">
        <v>50</v>
      </c>
      <c r="C252" s="6"/>
      <c r="D252" s="6"/>
      <c r="E252" s="6"/>
      <c r="F252" s="171" t="s">
        <v>113</v>
      </c>
      <c r="J252" s="198">
        <f t="shared" ref="J252:J253" si="53">SUM(L252:S252)</f>
        <v>420576785.8985337</v>
      </c>
      <c r="K252" s="176"/>
      <c r="L252" s="200">
        <f>'6) GAW import'!L127</f>
        <v>2676036.349521108</v>
      </c>
      <c r="M252" s="200">
        <f>'6) GAW import'!M127</f>
        <v>155658310.19683427</v>
      </c>
      <c r="N252" s="200">
        <f>'6) GAW import'!N127</f>
        <v>136398862.20018211</v>
      </c>
      <c r="O252" s="200">
        <f>'6) GAW import'!O127</f>
        <v>0</v>
      </c>
      <c r="P252" s="200">
        <f>'6) GAW import'!P127</f>
        <v>110298214.57539038</v>
      </c>
      <c r="Q252" s="200">
        <f>'6) GAW import'!Q127</f>
        <v>4381256.6590848016</v>
      </c>
      <c r="R252" s="176"/>
      <c r="S252" s="200">
        <f>'6) GAW import'!S127</f>
        <v>11164105.91752106</v>
      </c>
      <c r="T252" s="79"/>
      <c r="U252" s="200">
        <f>'6) GAW import'!U127</f>
        <v>155658310.19683427</v>
      </c>
      <c r="V252" s="200">
        <f>'6) GAW import'!V127</f>
        <v>0</v>
      </c>
    </row>
    <row r="253" spans="2:24" s="171" customFormat="1" ht="12" customHeight="1" x14ac:dyDescent="0.2">
      <c r="B253" s="171" t="s">
        <v>51</v>
      </c>
      <c r="C253" s="6"/>
      <c r="D253" s="6"/>
      <c r="E253" s="6"/>
      <c r="F253" s="171" t="s">
        <v>113</v>
      </c>
      <c r="J253" s="198">
        <f t="shared" si="53"/>
        <v>3796600112.8558135</v>
      </c>
      <c r="K253" s="176"/>
      <c r="L253" s="200">
        <f>'6) GAW import'!L128</f>
        <v>7235758.0432862397</v>
      </c>
      <c r="M253" s="200">
        <f>'6) GAW import'!M128</f>
        <v>1234347603.1936595</v>
      </c>
      <c r="N253" s="200">
        <f>'6) GAW import'!N128</f>
        <v>1588834088.344806</v>
      </c>
      <c r="O253" s="200">
        <f>'6) GAW import'!O128</f>
        <v>0</v>
      </c>
      <c r="P253" s="200">
        <f>'6) GAW import'!P128</f>
        <v>874206706.57856071</v>
      </c>
      <c r="Q253" s="200">
        <f>'6) GAW import'!Q128</f>
        <v>52846083.304308757</v>
      </c>
      <c r="R253" s="176"/>
      <c r="S253" s="200">
        <f>'6) GAW import'!S128</f>
        <v>39129873.391192131</v>
      </c>
      <c r="T253" s="79"/>
      <c r="U253" s="200">
        <f>'6) GAW import'!U128</f>
        <v>1234347603.1936595</v>
      </c>
      <c r="V253" s="200">
        <f>'6) GAW import'!V128</f>
        <v>0</v>
      </c>
    </row>
    <row r="254" spans="2:24" s="171" customFormat="1" ht="12" customHeight="1" x14ac:dyDescent="0.2">
      <c r="C254" s="6"/>
      <c r="D254" s="6"/>
      <c r="E254" s="6"/>
      <c r="J254" s="176"/>
      <c r="K254" s="176"/>
      <c r="L254" s="176"/>
      <c r="M254" s="176"/>
      <c r="N254" s="176"/>
      <c r="O254" s="176"/>
      <c r="P254" s="176"/>
      <c r="Q254" s="176"/>
      <c r="R254" s="176"/>
      <c r="S254" s="176"/>
      <c r="T254" s="79"/>
      <c r="U254" s="176"/>
      <c r="V254" s="176"/>
    </row>
    <row r="255" spans="2:24" s="171" customFormat="1" ht="12" customHeight="1" x14ac:dyDescent="0.2">
      <c r="B255" s="173" t="s">
        <v>52</v>
      </c>
      <c r="C255" s="6"/>
      <c r="D255" s="6"/>
      <c r="E255" s="6"/>
      <c r="J255" s="176"/>
      <c r="K255" s="176"/>
      <c r="L255" s="176"/>
      <c r="M255" s="176"/>
      <c r="N255" s="176"/>
      <c r="O255" s="176"/>
      <c r="P255" s="176"/>
      <c r="Q255" s="176"/>
      <c r="R255" s="176"/>
      <c r="S255" s="176"/>
      <c r="T255" s="79"/>
      <c r="U255" s="176"/>
      <c r="V255" s="176"/>
    </row>
    <row r="256" spans="2:24" s="171" customFormat="1" ht="12" customHeight="1" x14ac:dyDescent="0.2">
      <c r="B256" s="171" t="s">
        <v>53</v>
      </c>
      <c r="C256" s="6"/>
      <c r="D256" s="6"/>
      <c r="E256" s="6"/>
      <c r="F256" s="171" t="s">
        <v>113</v>
      </c>
      <c r="J256" s="198">
        <f>SUM(L256:S256)</f>
        <v>1067691610.2243378</v>
      </c>
      <c r="K256" s="176"/>
      <c r="L256" s="200">
        <f>'6) GAW import'!L131</f>
        <v>1955140</v>
      </c>
      <c r="M256" s="200">
        <f>'6) GAW import'!M131</f>
        <v>323543355.31970507</v>
      </c>
      <c r="N256" s="200">
        <f>'6) GAW import'!N131</f>
        <v>440297686.85973799</v>
      </c>
      <c r="O256" s="200">
        <f>'6) GAW import'!O131</f>
        <v>3845138.2899999996</v>
      </c>
      <c r="P256" s="200">
        <f>'6) GAW import'!P131</f>
        <v>262267205.30024162</v>
      </c>
      <c r="Q256" s="200">
        <f>'6) GAW import'!Q131</f>
        <v>4442127.6327220369</v>
      </c>
      <c r="R256" s="176"/>
      <c r="S256" s="200">
        <f>'6) GAW import'!S131</f>
        <v>31340956.821931131</v>
      </c>
      <c r="T256" s="79"/>
      <c r="U256" s="200">
        <f>'6) GAW import'!U131</f>
        <v>323543355.31970507</v>
      </c>
      <c r="V256" s="200">
        <f>'6) GAW import'!V131</f>
        <v>3845138.2899999996</v>
      </c>
    </row>
    <row r="257" spans="2:22" s="171" customFormat="1" ht="12" customHeight="1" x14ac:dyDescent="0.2">
      <c r="B257" s="171" t="s">
        <v>46</v>
      </c>
      <c r="C257" s="6"/>
      <c r="D257" s="6"/>
      <c r="E257" s="6"/>
      <c r="F257" s="171" t="s">
        <v>113</v>
      </c>
      <c r="J257" s="198">
        <f t="shared" ref="J257:J258" si="54">SUM(L257:S257)</f>
        <v>256670523.73873618</v>
      </c>
      <c r="K257" s="176"/>
      <c r="L257" s="200">
        <f>'6) GAW import'!L132</f>
        <v>1314515.4913112472</v>
      </c>
      <c r="M257" s="200">
        <f>'6) GAW import'!M132</f>
        <v>72766349.827278614</v>
      </c>
      <c r="N257" s="200">
        <f>'6) GAW import'!N132</f>
        <v>82542666.523706764</v>
      </c>
      <c r="O257" s="200">
        <f>'6) GAW import'!O132</f>
        <v>958210.43075512536</v>
      </c>
      <c r="P257" s="200">
        <f>'6) GAW import'!P132</f>
        <v>83611854.71953015</v>
      </c>
      <c r="Q257" s="200">
        <f>'6) GAW import'!Q132</f>
        <v>6179205.3553517545</v>
      </c>
      <c r="R257" s="176"/>
      <c r="S257" s="200">
        <f>'6) GAW import'!S132</f>
        <v>9297721.390802538</v>
      </c>
      <c r="T257" s="79"/>
      <c r="U257" s="200">
        <f>'6) GAW import'!U132</f>
        <v>80813250.46458146</v>
      </c>
      <c r="V257" s="200">
        <f>'6) GAW import'!V132</f>
        <v>1151166.222427024</v>
      </c>
    </row>
    <row r="258" spans="2:22" s="171" customFormat="1" ht="12" customHeight="1" x14ac:dyDescent="0.2">
      <c r="B258" s="171" t="s">
        <v>54</v>
      </c>
      <c r="C258" s="6"/>
      <c r="D258" s="6"/>
      <c r="E258" s="6"/>
      <c r="F258" s="171" t="s">
        <v>113</v>
      </c>
      <c r="J258" s="198">
        <f t="shared" si="54"/>
        <v>8806434135.9382973</v>
      </c>
      <c r="K258" s="176"/>
      <c r="L258" s="200">
        <f>'6) GAW import'!L133</f>
        <v>45609037.878906198</v>
      </c>
      <c r="M258" s="200">
        <f>'6) GAW import'!M133</f>
        <v>2688594462.6631837</v>
      </c>
      <c r="N258" s="200">
        <f>'6) GAW import'!N133</f>
        <v>3102692689.6520967</v>
      </c>
      <c r="O258" s="200">
        <f>'6) GAW import'!O133</f>
        <v>31403139.550357576</v>
      </c>
      <c r="P258" s="200">
        <f>'6) GAW import'!P133</f>
        <v>2440055047.0013843</v>
      </c>
      <c r="Q258" s="200">
        <f>'6) GAW import'!Q133</f>
        <v>192465671.47275493</v>
      </c>
      <c r="R258" s="176"/>
      <c r="S258" s="200">
        <f>'6) GAW import'!S133</f>
        <v>305614087.71961379</v>
      </c>
      <c r="T258" s="79"/>
      <c r="U258" s="200">
        <f>'6) GAW import'!U133</f>
        <v>2701970312.486268</v>
      </c>
      <c r="V258" s="200">
        <f>'6) GAW import'!V133</f>
        <v>32107156.83614558</v>
      </c>
    </row>
    <row r="259" spans="2:22" s="171" customFormat="1" ht="12" customHeight="1" x14ac:dyDescent="0.2">
      <c r="C259" s="6"/>
      <c r="D259" s="6"/>
      <c r="E259" s="6"/>
      <c r="J259" s="176"/>
      <c r="K259" s="176"/>
      <c r="L259" s="176"/>
      <c r="M259" s="176"/>
      <c r="N259" s="176"/>
      <c r="O259" s="176"/>
      <c r="P259" s="176"/>
      <c r="Q259" s="176"/>
      <c r="R259" s="176"/>
      <c r="S259" s="176"/>
      <c r="T259" s="79"/>
      <c r="U259" s="176"/>
      <c r="V259" s="176"/>
    </row>
    <row r="260" spans="2:22" s="171" customFormat="1" ht="12" customHeight="1" x14ac:dyDescent="0.2">
      <c r="B260" s="173" t="s">
        <v>55</v>
      </c>
      <c r="C260" s="8"/>
      <c r="D260" s="8"/>
      <c r="E260" s="8"/>
      <c r="J260" s="176"/>
      <c r="K260" s="176"/>
      <c r="L260" s="176"/>
      <c r="M260" s="176"/>
      <c r="N260" s="176"/>
      <c r="O260" s="176"/>
      <c r="P260" s="176"/>
      <c r="Q260" s="176"/>
      <c r="R260" s="176"/>
      <c r="S260" s="176"/>
      <c r="T260" s="79"/>
      <c r="U260" s="176"/>
      <c r="V260" s="176"/>
    </row>
    <row r="261" spans="2:22" s="171" customFormat="1" ht="12" customHeight="1" x14ac:dyDescent="0.2">
      <c r="B261" s="171" t="s">
        <v>56</v>
      </c>
      <c r="C261" s="8"/>
      <c r="D261" s="8"/>
      <c r="E261" s="8"/>
      <c r="F261" s="171" t="s">
        <v>113</v>
      </c>
      <c r="J261" s="198">
        <f>SUM(L261:S261)</f>
        <v>0</v>
      </c>
      <c r="K261" s="176"/>
      <c r="L261" s="200">
        <f>'6) GAW import'!L136</f>
        <v>0</v>
      </c>
      <c r="M261" s="200">
        <f>'6) GAW import'!M136</f>
        <v>0</v>
      </c>
      <c r="N261" s="200">
        <f>'6) GAW import'!N136</f>
        <v>0</v>
      </c>
      <c r="O261" s="200">
        <f>'6) GAW import'!O136</f>
        <v>0</v>
      </c>
      <c r="P261" s="200">
        <f>'6) GAW import'!P136</f>
        <v>0</v>
      </c>
      <c r="Q261" s="200">
        <f>'6) GAW import'!Q136</f>
        <v>0</v>
      </c>
      <c r="R261" s="176"/>
      <c r="S261" s="200">
        <f>'6) GAW import'!S136</f>
        <v>0</v>
      </c>
      <c r="T261" s="79"/>
      <c r="U261" s="200">
        <f>'6) GAW import'!U136</f>
        <v>0</v>
      </c>
      <c r="V261" s="200">
        <f>'6) GAW import'!V136</f>
        <v>0</v>
      </c>
    </row>
    <row r="262" spans="2:22" s="171" customFormat="1" ht="12" customHeight="1" x14ac:dyDescent="0.2">
      <c r="B262" s="171" t="s">
        <v>57</v>
      </c>
      <c r="C262" s="8"/>
      <c r="D262" s="8"/>
      <c r="E262" s="8"/>
      <c r="F262" s="171" t="s">
        <v>113</v>
      </c>
      <c r="J262" s="198">
        <f t="shared" ref="J262:J263" si="55">SUM(L262:S262)</f>
        <v>271005.47593368817</v>
      </c>
      <c r="K262" s="176"/>
      <c r="L262" s="200">
        <f>'6) GAW import'!L137</f>
        <v>0</v>
      </c>
      <c r="M262" s="200">
        <f>'6) GAW import'!M137</f>
        <v>0</v>
      </c>
      <c r="N262" s="200">
        <f>'6) GAW import'!N137</f>
        <v>0</v>
      </c>
      <c r="O262" s="200">
        <f>'6) GAW import'!O137</f>
        <v>0</v>
      </c>
      <c r="P262" s="200">
        <f>'6) GAW import'!P137</f>
        <v>0</v>
      </c>
      <c r="Q262" s="200">
        <f>'6) GAW import'!Q137</f>
        <v>0</v>
      </c>
      <c r="R262" s="176"/>
      <c r="S262" s="200">
        <f>'6) GAW import'!S137</f>
        <v>271005.47593368817</v>
      </c>
      <c r="T262" s="79"/>
      <c r="U262" s="200">
        <f>'6) GAW import'!U137</f>
        <v>0</v>
      </c>
      <c r="V262" s="200">
        <f>'6) GAW import'!V137</f>
        <v>0</v>
      </c>
    </row>
    <row r="263" spans="2:22" s="171" customFormat="1" ht="12" customHeight="1" x14ac:dyDescent="0.2">
      <c r="B263" s="171" t="s">
        <v>58</v>
      </c>
      <c r="C263" s="8"/>
      <c r="D263" s="8"/>
      <c r="E263" s="8"/>
      <c r="F263" s="171" t="s">
        <v>113</v>
      </c>
      <c r="J263" s="198">
        <f t="shared" si="55"/>
        <v>8765073.9075967278</v>
      </c>
      <c r="K263" s="176"/>
      <c r="L263" s="200">
        <f>'6) GAW import'!L138</f>
        <v>0</v>
      </c>
      <c r="M263" s="200">
        <f>'6) GAW import'!M138</f>
        <v>0</v>
      </c>
      <c r="N263" s="200">
        <f>'6) GAW import'!N138</f>
        <v>0</v>
      </c>
      <c r="O263" s="200">
        <f>'6) GAW import'!O138</f>
        <v>0</v>
      </c>
      <c r="P263" s="200">
        <f>'6) GAW import'!P138</f>
        <v>0</v>
      </c>
      <c r="Q263" s="200">
        <f>'6) GAW import'!Q138</f>
        <v>0</v>
      </c>
      <c r="R263" s="176"/>
      <c r="S263" s="200">
        <f>'6) GAW import'!S138</f>
        <v>8765073.9075967278</v>
      </c>
      <c r="T263" s="79"/>
      <c r="U263" s="200">
        <f>'6) GAW import'!U138</f>
        <v>0</v>
      </c>
      <c r="V263" s="200">
        <f>'6) GAW import'!V138</f>
        <v>0</v>
      </c>
    </row>
    <row r="264" spans="2:22" s="171" customFormat="1" ht="12" customHeight="1" x14ac:dyDescent="0.2">
      <c r="C264" s="8"/>
      <c r="D264" s="8"/>
      <c r="E264" s="8"/>
      <c r="J264" s="176"/>
      <c r="K264" s="176"/>
      <c r="L264" s="176"/>
      <c r="M264" s="176"/>
      <c r="N264" s="176"/>
      <c r="O264" s="176"/>
      <c r="P264" s="176"/>
      <c r="Q264" s="176"/>
      <c r="R264" s="176"/>
      <c r="S264" s="176"/>
      <c r="T264" s="79"/>
      <c r="U264" s="176"/>
      <c r="V264" s="176"/>
    </row>
    <row r="265" spans="2:22" s="171" customFormat="1" ht="12" customHeight="1" x14ac:dyDescent="0.2">
      <c r="B265" s="173" t="s">
        <v>59</v>
      </c>
      <c r="C265" s="8"/>
      <c r="D265" s="8"/>
      <c r="E265" s="8"/>
      <c r="J265" s="176"/>
      <c r="K265" s="176"/>
      <c r="L265" s="176"/>
      <c r="M265" s="176"/>
      <c r="N265" s="176"/>
      <c r="O265" s="176"/>
      <c r="P265" s="176"/>
      <c r="Q265" s="176"/>
      <c r="R265" s="176"/>
      <c r="S265" s="176"/>
      <c r="T265" s="79"/>
      <c r="U265" s="176"/>
      <c r="V265" s="176"/>
    </row>
    <row r="266" spans="2:22" s="171" customFormat="1" ht="12" customHeight="1" x14ac:dyDescent="0.2">
      <c r="B266" s="171" t="s">
        <v>60</v>
      </c>
      <c r="C266" s="8"/>
      <c r="D266" s="8"/>
      <c r="E266" s="8"/>
      <c r="F266" s="171" t="s">
        <v>113</v>
      </c>
      <c r="J266" s="198">
        <f>SUM(L266:S266)</f>
        <v>0</v>
      </c>
      <c r="K266" s="176"/>
      <c r="L266" s="200">
        <f>'6) GAW import'!L141</f>
        <v>0</v>
      </c>
      <c r="M266" s="200">
        <f>'6) GAW import'!M141</f>
        <v>0</v>
      </c>
      <c r="N266" s="200">
        <f>'6) GAW import'!N141</f>
        <v>0</v>
      </c>
      <c r="O266" s="200">
        <f>'6) GAW import'!O141</f>
        <v>0</v>
      </c>
      <c r="P266" s="200">
        <f>'6) GAW import'!P141</f>
        <v>0</v>
      </c>
      <c r="Q266" s="200">
        <f>'6) GAW import'!Q141</f>
        <v>0</v>
      </c>
      <c r="R266" s="176"/>
      <c r="S266" s="200">
        <f>'6) GAW import'!S141</f>
        <v>0</v>
      </c>
      <c r="T266" s="79"/>
      <c r="U266" s="200">
        <f>'6) GAW import'!U141</f>
        <v>0</v>
      </c>
      <c r="V266" s="200">
        <f>'6) GAW import'!V141</f>
        <v>0</v>
      </c>
    </row>
    <row r="267" spans="2:22" s="171" customFormat="1" ht="12" customHeight="1" x14ac:dyDescent="0.2">
      <c r="B267" s="171" t="s">
        <v>61</v>
      </c>
      <c r="F267" s="171" t="s">
        <v>113</v>
      </c>
      <c r="J267" s="198">
        <f t="shared" ref="J267:J268" si="56">SUM(L267:S267)</f>
        <v>1743902.4036012602</v>
      </c>
      <c r="K267" s="176"/>
      <c r="L267" s="200">
        <f>'6) GAW import'!L142</f>
        <v>0</v>
      </c>
      <c r="M267" s="200">
        <f>'6) GAW import'!M142</f>
        <v>10746.473332957021</v>
      </c>
      <c r="N267" s="200">
        <f>'6) GAW import'!N142</f>
        <v>471052.23251763236</v>
      </c>
      <c r="O267" s="200">
        <f>'6) GAW import'!O142</f>
        <v>0</v>
      </c>
      <c r="P267" s="200">
        <f>'6) GAW import'!P142</f>
        <v>1129934.9973751365</v>
      </c>
      <c r="Q267" s="200">
        <f>'6) GAW import'!Q142</f>
        <v>14567.321940566975</v>
      </c>
      <c r="R267" s="176"/>
      <c r="S267" s="200">
        <f>'6) GAW import'!S142</f>
        <v>117601.37843496747</v>
      </c>
      <c r="T267" s="79"/>
      <c r="U267" s="200">
        <f>'6) GAW import'!U142</f>
        <v>10746.473332957021</v>
      </c>
      <c r="V267" s="200">
        <f>'6) GAW import'!V142</f>
        <v>0</v>
      </c>
    </row>
    <row r="268" spans="2:22" s="171" customFormat="1" ht="12" customHeight="1" x14ac:dyDescent="0.2">
      <c r="B268" s="171" t="s">
        <v>62</v>
      </c>
      <c r="F268" s="171" t="s">
        <v>113</v>
      </c>
      <c r="J268" s="198">
        <f t="shared" si="56"/>
        <v>14769599.277152557</v>
      </c>
      <c r="K268" s="176"/>
      <c r="L268" s="200">
        <f>'6) GAW import'!L143</f>
        <v>0</v>
      </c>
      <c r="M268" s="200">
        <f>'6) GAW import'!M143</f>
        <v>227554.29204368001</v>
      </c>
      <c r="N268" s="200">
        <f>'6) GAW import'!N143</f>
        <v>1799378.0574296485</v>
      </c>
      <c r="O268" s="200">
        <f>'6) GAW import'!O143</f>
        <v>0</v>
      </c>
      <c r="P268" s="200">
        <f>'6) GAW import'!P143</f>
        <v>12566264.860026777</v>
      </c>
      <c r="Q268" s="200">
        <f>'6) GAW import'!Q143</f>
        <v>5.4569682106375694E-12</v>
      </c>
      <c r="R268" s="176"/>
      <c r="S268" s="200">
        <f>'6) GAW import'!S143</f>
        <v>176402.06765245122</v>
      </c>
      <c r="T268" s="79"/>
      <c r="U268" s="200">
        <f>'6) GAW import'!U143</f>
        <v>227554.29204368001</v>
      </c>
      <c r="V268" s="200">
        <f>'6) GAW import'!V143</f>
        <v>0</v>
      </c>
    </row>
    <row r="269" spans="2:22" s="171" customFormat="1" ht="12" customHeight="1" x14ac:dyDescent="0.2">
      <c r="J269" s="176"/>
      <c r="K269" s="176"/>
      <c r="L269" s="176"/>
      <c r="M269" s="176"/>
      <c r="N269" s="176"/>
      <c r="O269" s="176"/>
      <c r="P269" s="176"/>
      <c r="Q269" s="176"/>
      <c r="R269" s="176"/>
      <c r="S269" s="176"/>
      <c r="T269" s="79"/>
      <c r="U269" s="176"/>
      <c r="V269" s="176"/>
    </row>
    <row r="270" spans="2:22" s="171" customFormat="1" ht="12" customHeight="1" x14ac:dyDescent="0.2">
      <c r="B270" s="173" t="s">
        <v>148</v>
      </c>
      <c r="J270" s="176"/>
      <c r="K270" s="176"/>
      <c r="L270" s="176"/>
      <c r="M270" s="176"/>
      <c r="N270" s="176"/>
      <c r="O270" s="176"/>
      <c r="P270" s="176"/>
      <c r="Q270" s="176"/>
      <c r="R270" s="176"/>
      <c r="S270" s="176"/>
      <c r="T270" s="79"/>
      <c r="U270" s="176"/>
      <c r="V270" s="176"/>
    </row>
    <row r="271" spans="2:22" s="171" customFormat="1" ht="12" customHeight="1" x14ac:dyDescent="0.2">
      <c r="B271" s="176" t="s">
        <v>149</v>
      </c>
      <c r="F271" s="171" t="s">
        <v>113</v>
      </c>
      <c r="J271" s="198">
        <f>SUM(L271:S271)</f>
        <v>14276162.95944592</v>
      </c>
      <c r="K271" s="176"/>
      <c r="L271" s="200">
        <f>'5) Overige opbrengsten'!L205</f>
        <v>0</v>
      </c>
      <c r="M271" s="200">
        <f>'5) Overige opbrengsten'!M205</f>
        <v>4329658.160000002</v>
      </c>
      <c r="N271" s="200">
        <f>'5) Overige opbrengsten'!N205</f>
        <v>4077941.85</v>
      </c>
      <c r="O271" s="200">
        <f>'5) Overige opbrengsten'!O205</f>
        <v>23848.880000000001</v>
      </c>
      <c r="P271" s="200">
        <f>'5) Overige opbrengsten'!P205</f>
        <v>4661537.0999999996</v>
      </c>
      <c r="Q271" s="200">
        <f>'5) Overige opbrengsten'!Q205</f>
        <v>17496.84</v>
      </c>
      <c r="R271" s="176"/>
      <c r="S271" s="200">
        <f>'5) Overige opbrengsten'!S205</f>
        <v>1165680.1294459184</v>
      </c>
      <c r="T271" s="79"/>
      <c r="U271" s="200">
        <f>'5) Overige opbrengsten'!U205</f>
        <v>4329658.160000002</v>
      </c>
      <c r="V271" s="200">
        <f>'5) Overige opbrengsten'!V205</f>
        <v>23848.880000000001</v>
      </c>
    </row>
    <row r="272" spans="2:22" s="171" customFormat="1" ht="12" customHeight="1" x14ac:dyDescent="0.2">
      <c r="B272" s="176" t="s">
        <v>150</v>
      </c>
      <c r="F272" s="171" t="s">
        <v>113</v>
      </c>
      <c r="J272" s="198">
        <f t="shared" ref="J272:J273" si="57">SUM(L272:S272)</f>
        <v>4147086.2763</v>
      </c>
      <c r="K272" s="176"/>
      <c r="L272" s="200">
        <f>'5) Overige opbrengsten'!L211</f>
        <v>0</v>
      </c>
      <c r="M272" s="200">
        <f>'5) Overige opbrengsten'!M211</f>
        <v>865931.63200000045</v>
      </c>
      <c r="N272" s="200">
        <f>'5) Overige opbrengsten'!N211</f>
        <v>1359313.95</v>
      </c>
      <c r="O272" s="200">
        <f>'5) Overige opbrengsten'!O211</f>
        <v>0</v>
      </c>
      <c r="P272" s="200">
        <f>'5) Overige opbrengsten'!P211</f>
        <v>1552291.8543</v>
      </c>
      <c r="Q272" s="200">
        <f>'5) Overige opbrengsten'!Q211</f>
        <v>17496.84</v>
      </c>
      <c r="R272" s="176"/>
      <c r="S272" s="200">
        <f>'5) Overige opbrengsten'!S211</f>
        <v>352052</v>
      </c>
      <c r="T272" s="79"/>
      <c r="U272" s="200">
        <f>'5) Overige opbrengsten'!U211</f>
        <v>865931.63200000045</v>
      </c>
      <c r="V272" s="200">
        <f>'5) Overige opbrengsten'!V211</f>
        <v>0</v>
      </c>
    </row>
    <row r="273" spans="2:24" s="171" customFormat="1" ht="12" customHeight="1" x14ac:dyDescent="0.2">
      <c r="B273" s="171" t="s">
        <v>151</v>
      </c>
      <c r="F273" s="171" t="s">
        <v>113</v>
      </c>
      <c r="J273" s="198">
        <f t="shared" si="57"/>
        <v>118278.04000000001</v>
      </c>
      <c r="K273" s="176"/>
      <c r="L273" s="200">
        <f>'5) Overige opbrengsten'!L238</f>
        <v>0</v>
      </c>
      <c r="M273" s="200">
        <f>'5) Overige opbrengsten'!M238</f>
        <v>101013</v>
      </c>
      <c r="N273" s="200">
        <f>'5) Overige opbrengsten'!N238</f>
        <v>0</v>
      </c>
      <c r="O273" s="200">
        <f>'5) Overige opbrengsten'!O238</f>
        <v>17265.04</v>
      </c>
      <c r="P273" s="200">
        <f>'5) Overige opbrengsten'!P238</f>
        <v>0</v>
      </c>
      <c r="Q273" s="200">
        <f>'5) Overige opbrengsten'!Q238</f>
        <v>0</v>
      </c>
      <c r="R273" s="176"/>
      <c r="S273" s="200">
        <f>'5) Overige opbrengsten'!S238</f>
        <v>0</v>
      </c>
      <c r="T273" s="79"/>
      <c r="U273" s="200">
        <f>'5) Overige opbrengsten'!U238</f>
        <v>101013</v>
      </c>
      <c r="V273" s="200">
        <f>'5) Overige opbrengsten'!V238</f>
        <v>17265.04</v>
      </c>
    </row>
    <row r="274" spans="2:24" s="171" customFormat="1" ht="12" customHeight="1" x14ac:dyDescent="0.2">
      <c r="J274" s="176"/>
      <c r="K274" s="176"/>
      <c r="L274" s="176"/>
      <c r="M274" s="176"/>
      <c r="N274" s="176"/>
      <c r="O274" s="176"/>
      <c r="P274" s="176"/>
      <c r="Q274" s="176"/>
      <c r="R274" s="176"/>
      <c r="S274" s="176"/>
      <c r="T274" s="79"/>
      <c r="U274" s="176"/>
      <c r="V274" s="176"/>
    </row>
    <row r="275" spans="2:24" s="171" customFormat="1" ht="12" customHeight="1" x14ac:dyDescent="0.2">
      <c r="B275" s="40" t="s">
        <v>156</v>
      </c>
      <c r="J275" s="176"/>
      <c r="K275" s="176"/>
      <c r="L275" s="176"/>
      <c r="M275" s="176"/>
      <c r="N275" s="176"/>
      <c r="O275" s="176"/>
      <c r="P275" s="176"/>
      <c r="Q275" s="176"/>
      <c r="R275" s="176"/>
      <c r="S275" s="176"/>
      <c r="T275" s="79"/>
      <c r="U275" s="176"/>
      <c r="V275" s="176"/>
    </row>
    <row r="276" spans="2:24" s="171" customFormat="1" ht="12" customHeight="1" x14ac:dyDescent="0.2">
      <c r="B276" s="173" t="s">
        <v>154</v>
      </c>
      <c r="J276" s="176"/>
      <c r="K276" s="176"/>
      <c r="L276" s="176"/>
      <c r="M276" s="176"/>
      <c r="N276" s="176"/>
      <c r="O276" s="176"/>
      <c r="P276" s="176"/>
      <c r="Q276" s="176"/>
      <c r="R276" s="176"/>
      <c r="S276" s="176"/>
      <c r="T276" s="79"/>
      <c r="U276" s="176"/>
      <c r="V276" s="176"/>
    </row>
    <row r="277" spans="2:24" s="171" customFormat="1" ht="12" customHeight="1" x14ac:dyDescent="0.2">
      <c r="B277" s="177" t="s">
        <v>46</v>
      </c>
      <c r="F277" s="171" t="s">
        <v>113</v>
      </c>
      <c r="J277" s="198">
        <f>SUM(L277:S277)</f>
        <v>679262217.51680493</v>
      </c>
      <c r="K277" s="176"/>
      <c r="L277" s="198">
        <f t="shared" ref="L277:Q278" si="58">L252+L257+L262+L267</f>
        <v>3990551.8408323554</v>
      </c>
      <c r="M277" s="198">
        <f t="shared" si="58"/>
        <v>228435406.49744585</v>
      </c>
      <c r="N277" s="198">
        <f t="shared" si="58"/>
        <v>219412580.9564065</v>
      </c>
      <c r="O277" s="198">
        <f t="shared" si="58"/>
        <v>958210.43075512536</v>
      </c>
      <c r="P277" s="198">
        <f t="shared" si="58"/>
        <v>195040004.29229566</v>
      </c>
      <c r="Q277" s="198">
        <f t="shared" si="58"/>
        <v>10575029.336377123</v>
      </c>
      <c r="R277" s="176"/>
      <c r="S277" s="198">
        <f t="shared" ref="S277:S278" si="59">S252+S257+S262+S267</f>
        <v>20850434.162692256</v>
      </c>
      <c r="T277" s="79"/>
      <c r="U277" s="198">
        <f t="shared" ref="U277:V277" si="60">U252+U257+U262+U267</f>
        <v>236482307.1347487</v>
      </c>
      <c r="V277" s="198">
        <f t="shared" si="60"/>
        <v>1151166.222427024</v>
      </c>
      <c r="X277" s="88" t="s">
        <v>649</v>
      </c>
    </row>
    <row r="278" spans="2:24" s="171" customFormat="1" ht="12" customHeight="1" x14ac:dyDescent="0.2">
      <c r="B278" s="177" t="s">
        <v>147</v>
      </c>
      <c r="F278" s="171" t="s">
        <v>113</v>
      </c>
      <c r="J278" s="198">
        <f>SUM(L278:S278)</f>
        <v>12626568921.978861</v>
      </c>
      <c r="K278" s="176"/>
      <c r="L278" s="198">
        <f t="shared" si="58"/>
        <v>52844795.922192439</v>
      </c>
      <c r="M278" s="198">
        <f t="shared" si="58"/>
        <v>3923169620.1488867</v>
      </c>
      <c r="N278" s="198">
        <f t="shared" si="58"/>
        <v>4693326156.0543318</v>
      </c>
      <c r="O278" s="198">
        <f t="shared" si="58"/>
        <v>31403139.550357576</v>
      </c>
      <c r="P278" s="198">
        <f t="shared" si="58"/>
        <v>3326828018.4399719</v>
      </c>
      <c r="Q278" s="198">
        <f t="shared" si="58"/>
        <v>245311754.77706367</v>
      </c>
      <c r="R278" s="176"/>
      <c r="S278" s="198">
        <f t="shared" si="59"/>
        <v>353685437.0860551</v>
      </c>
      <c r="T278" s="79"/>
      <c r="U278" s="198">
        <f t="shared" ref="U278:V278" si="61">U253+U258+U263+U268</f>
        <v>3936545469.9719715</v>
      </c>
      <c r="V278" s="198">
        <f t="shared" si="61"/>
        <v>32107156.83614558</v>
      </c>
      <c r="X278" s="88" t="s">
        <v>650</v>
      </c>
    </row>
    <row r="279" spans="2:24" s="171" customFormat="1" ht="12" customHeight="1" x14ac:dyDescent="0.2">
      <c r="J279" s="176"/>
      <c r="K279" s="176"/>
      <c r="L279" s="176"/>
      <c r="M279" s="176"/>
      <c r="N279" s="176"/>
      <c r="O279" s="176"/>
      <c r="P279" s="176"/>
      <c r="Q279" s="176"/>
      <c r="R279" s="176"/>
      <c r="S279" s="176"/>
      <c r="T279" s="79"/>
      <c r="U279" s="176"/>
      <c r="V279" s="176"/>
    </row>
    <row r="280" spans="2:24" s="171" customFormat="1" ht="12" customHeight="1" x14ac:dyDescent="0.2">
      <c r="B280" s="173" t="s">
        <v>155</v>
      </c>
      <c r="D280" s="178"/>
      <c r="J280" s="176"/>
      <c r="K280" s="176"/>
      <c r="L280" s="176"/>
      <c r="M280" s="176"/>
      <c r="N280" s="176"/>
      <c r="O280" s="176"/>
      <c r="P280" s="176"/>
      <c r="Q280" s="176"/>
      <c r="R280" s="176"/>
      <c r="S280" s="176"/>
      <c r="T280" s="79"/>
      <c r="U280" s="176"/>
      <c r="V280" s="176"/>
    </row>
    <row r="281" spans="2:24" s="171" customFormat="1" ht="12" customHeight="1" x14ac:dyDescent="0.2">
      <c r="B281" s="177" t="s">
        <v>115</v>
      </c>
      <c r="D281" s="178" t="s">
        <v>160</v>
      </c>
      <c r="F281" s="171" t="s">
        <v>113</v>
      </c>
      <c r="J281" s="198">
        <f t="shared" ref="J281:J282" si="62">SUM(L281:Q281)</f>
        <v>957046733.8003397</v>
      </c>
      <c r="K281" s="176"/>
      <c r="L281" s="198">
        <f>L277+L278*$H$16</f>
        <v>5153137.3511205893</v>
      </c>
      <c r="M281" s="198">
        <f t="shared" ref="M281:N281" si="63">M277+M278*$H$16</f>
        <v>314745138.14072132</v>
      </c>
      <c r="N281" s="198">
        <f t="shared" si="63"/>
        <v>322665756.38960183</v>
      </c>
      <c r="O281" s="182">
        <f>O277-O252+(O278-O253)*$H$16</f>
        <v>1649079.5008629919</v>
      </c>
      <c r="P281" s="182">
        <f>(P277+P278*$H$16)+(S277+S278*$H$16)</f>
        <v>296861734.47656053</v>
      </c>
      <c r="Q281" s="198">
        <f>Q277+Q278*$H$16</f>
        <v>15971887.941472523</v>
      </c>
      <c r="R281" s="176"/>
      <c r="S281" s="206"/>
      <c r="T281" s="79"/>
      <c r="U281" s="198">
        <f t="shared" ref="U281" si="64">U277+U278*$H$16</f>
        <v>323086307.47413206</v>
      </c>
      <c r="V281" s="182">
        <f>V277-V252+(V278-V253)*$H$16</f>
        <v>1857523.6728222268</v>
      </c>
      <c r="X281" s="88" t="s">
        <v>646</v>
      </c>
    </row>
    <row r="282" spans="2:24" s="171" customFormat="1" ht="12" customHeight="1" x14ac:dyDescent="0.2">
      <c r="B282" s="177" t="s">
        <v>115</v>
      </c>
      <c r="D282" s="178" t="s">
        <v>164</v>
      </c>
      <c r="F282" s="171" t="s">
        <v>113</v>
      </c>
      <c r="J282" s="198">
        <f t="shared" si="62"/>
        <v>919167027.0344032</v>
      </c>
      <c r="K282" s="176"/>
      <c r="L282" s="198">
        <f>L277+L278*$H$17</f>
        <v>4994602.963354012</v>
      </c>
      <c r="M282" s="198">
        <f t="shared" ref="M282:N282" si="65">M277+M278*$H$17</f>
        <v>302975629.28027469</v>
      </c>
      <c r="N282" s="198">
        <f t="shared" si="65"/>
        <v>308585777.92143881</v>
      </c>
      <c r="O282" s="182">
        <f>O277-O252+(O278-O253)*$H$17</f>
        <v>1554870.0822119191</v>
      </c>
      <c r="P282" s="182">
        <f>P277+P278*$H$17+(S277+S278*$H$17)</f>
        <v>285820194.10998243</v>
      </c>
      <c r="Q282" s="198">
        <f>Q277+Q278*$H$17</f>
        <v>15235952.677141333</v>
      </c>
      <c r="R282" s="176"/>
      <c r="S282" s="206"/>
      <c r="T282" s="79"/>
      <c r="U282" s="198">
        <f t="shared" ref="U282" si="66">U277+U278*$H$17</f>
        <v>311276671.06421614</v>
      </c>
      <c r="V282" s="182">
        <f>V277-V252+(V278-V253)*$H$17</f>
        <v>1761202.2023137901</v>
      </c>
    </row>
    <row r="283" spans="2:24" s="171" customFormat="1" ht="12" customHeight="1" x14ac:dyDescent="0.2">
      <c r="B283" s="173"/>
      <c r="D283" s="178"/>
      <c r="J283" s="176"/>
      <c r="K283" s="176"/>
      <c r="L283" s="176"/>
      <c r="M283" s="176"/>
      <c r="N283" s="176"/>
      <c r="O283" s="176"/>
      <c r="P283" s="176"/>
      <c r="Q283" s="176"/>
      <c r="R283" s="176"/>
      <c r="S283" s="207"/>
      <c r="T283" s="79"/>
      <c r="U283" s="176"/>
      <c r="V283" s="176"/>
    </row>
    <row r="284" spans="2:24" s="171" customFormat="1" ht="12" customHeight="1" x14ac:dyDescent="0.2">
      <c r="B284" s="177" t="s">
        <v>115</v>
      </c>
      <c r="D284" s="178" t="s">
        <v>643</v>
      </c>
      <c r="F284" s="171" t="s">
        <v>113</v>
      </c>
      <c r="J284" s="198">
        <f>SUM(L284:Q284)</f>
        <v>1114878845.3250756</v>
      </c>
      <c r="K284" s="176"/>
      <c r="L284" s="198">
        <f>L277+L278*$H$24</f>
        <v>5813697.3001479935</v>
      </c>
      <c r="M284" s="198">
        <f t="shared" ref="M284:N284" si="67">M277+M278*$H$24</f>
        <v>363784758.39258242</v>
      </c>
      <c r="N284" s="198">
        <f t="shared" si="67"/>
        <v>381332333.34028089</v>
      </c>
      <c r="O284" s="182">
        <f>O277-O252+(O278-O253)*$H$24</f>
        <v>2041618.7452424613</v>
      </c>
      <c r="P284" s="182">
        <f>(P277+P278*$H$24)+(S277+S278*$H$24)</f>
        <v>342868152.67063582</v>
      </c>
      <c r="Q284" s="198">
        <f>Q277+Q278*$H$24</f>
        <v>19038284.87618582</v>
      </c>
      <c r="R284" s="176"/>
      <c r="S284" s="206"/>
      <c r="T284" s="79"/>
      <c r="U284" s="198">
        <f t="shared" ref="U284" si="68">U277+U278*$H$24</f>
        <v>372293125.8487817</v>
      </c>
      <c r="V284" s="182">
        <f>V277-V252+(V278-V253)*$H$24</f>
        <v>2258863.1332740462</v>
      </c>
      <c r="X284" s="88" t="s">
        <v>646</v>
      </c>
    </row>
    <row r="285" spans="2:24" s="171" customFormat="1" ht="12.75" x14ac:dyDescent="0.2">
      <c r="J285" s="176"/>
      <c r="K285" s="176"/>
      <c r="L285" s="176"/>
      <c r="M285" s="176"/>
      <c r="N285" s="176"/>
      <c r="O285" s="176"/>
      <c r="P285" s="176"/>
      <c r="Q285" s="176"/>
      <c r="R285" s="176"/>
      <c r="S285" s="176"/>
      <c r="T285" s="79"/>
      <c r="U285" s="176"/>
      <c r="V285" s="176"/>
    </row>
    <row r="286" spans="2:24" s="171" customFormat="1" ht="15" x14ac:dyDescent="0.2">
      <c r="B286" s="40" t="s">
        <v>153</v>
      </c>
      <c r="J286" s="176"/>
      <c r="K286" s="176"/>
      <c r="L286" s="176"/>
      <c r="M286" s="176"/>
      <c r="N286" s="176"/>
      <c r="O286" s="176"/>
      <c r="P286" s="176"/>
      <c r="Q286" s="176"/>
      <c r="R286" s="176"/>
      <c r="S286" s="176"/>
      <c r="T286" s="79"/>
      <c r="U286" s="176"/>
      <c r="V286" s="176"/>
    </row>
    <row r="287" spans="2:24" s="171" customFormat="1" ht="12" customHeight="1" x14ac:dyDescent="0.2">
      <c r="B287" s="177" t="s">
        <v>115</v>
      </c>
      <c r="D287" s="178" t="s">
        <v>161</v>
      </c>
      <c r="F287" s="171" t="s">
        <v>113</v>
      </c>
      <c r="J287" s="198">
        <f>SUM(L287:Q287)</f>
        <v>946799379.07719398</v>
      </c>
      <c r="K287" s="176"/>
      <c r="L287" s="199">
        <f>L281-(L271-L272+L273)</f>
        <v>5153137.3511205893</v>
      </c>
      <c r="M287" s="199">
        <f>M281-(M271-M272+M273)</f>
        <v>311180398.61272132</v>
      </c>
      <c r="N287" s="199">
        <f>N281-(N271-N272+N273)</f>
        <v>319947128.48960185</v>
      </c>
      <c r="O287" s="199">
        <f>O281-(O271-O272+O273)</f>
        <v>1607965.580862992</v>
      </c>
      <c r="P287" s="182">
        <f>P281-(P271-P272+P273)-(S271-S272+S273)</f>
        <v>292938861.10141462</v>
      </c>
      <c r="Q287" s="199">
        <f>Q281-(Q271-Q272+Q273)</f>
        <v>15971887.941472523</v>
      </c>
      <c r="R287" s="176"/>
      <c r="S287" s="206"/>
      <c r="T287" s="79"/>
      <c r="U287" s="199">
        <f>U281-(U271-U272+U273)</f>
        <v>319521567.94613206</v>
      </c>
      <c r="V287" s="199">
        <f>V281-(V271-V272+V273)</f>
        <v>1816409.7528222268</v>
      </c>
      <c r="X287" s="88" t="s">
        <v>647</v>
      </c>
    </row>
    <row r="288" spans="2:24" s="171" customFormat="1" ht="12" customHeight="1" x14ac:dyDescent="0.2">
      <c r="B288" s="177" t="s">
        <v>115</v>
      </c>
      <c r="D288" s="178" t="s">
        <v>164</v>
      </c>
      <c r="F288" s="171" t="s">
        <v>113</v>
      </c>
      <c r="J288" s="198">
        <f>SUM(L288:Q288)</f>
        <v>908919672.31125724</v>
      </c>
      <c r="K288" s="176"/>
      <c r="L288" s="199">
        <f>L282-(L271-L272+L273)</f>
        <v>4994602.963354012</v>
      </c>
      <c r="M288" s="199">
        <f>M282-(M271-M272+M273)</f>
        <v>299410889.75227469</v>
      </c>
      <c r="N288" s="199">
        <f>N282-(N271-N272+N273)</f>
        <v>305867150.02143884</v>
      </c>
      <c r="O288" s="199">
        <f>O282-(O271-O272+O273)</f>
        <v>1513756.1622119192</v>
      </c>
      <c r="P288" s="182">
        <f>P282-(P271-P272+P273)-(S271-S272+S273)</f>
        <v>281897320.73483652</v>
      </c>
      <c r="Q288" s="199">
        <f>Q282-(Q271-Q272+Q273)</f>
        <v>15235952.677141333</v>
      </c>
      <c r="R288" s="176"/>
      <c r="S288" s="206"/>
      <c r="T288" s="79"/>
      <c r="U288" s="199">
        <f>U282-(U271-U272+U273)</f>
        <v>307711931.53621614</v>
      </c>
      <c r="V288" s="199">
        <f>V282-(V271-V272+V273)</f>
        <v>1720088.2823137902</v>
      </c>
    </row>
    <row r="289" spans="2:24" s="171" customFormat="1" ht="15" x14ac:dyDescent="0.2">
      <c r="B289" s="40"/>
      <c r="J289" s="176"/>
      <c r="K289" s="176"/>
      <c r="L289" s="176"/>
      <c r="M289" s="176"/>
      <c r="N289" s="176"/>
      <c r="O289" s="176"/>
      <c r="P289" s="176"/>
      <c r="Q289" s="176"/>
      <c r="R289" s="176"/>
      <c r="S289" s="207"/>
      <c r="T289" s="79"/>
      <c r="U289" s="176"/>
      <c r="V289" s="176"/>
    </row>
    <row r="290" spans="2:24" s="180" customFormat="1" x14ac:dyDescent="0.2">
      <c r="B290" s="177" t="s">
        <v>115</v>
      </c>
      <c r="C290" s="171"/>
      <c r="D290" s="178" t="s">
        <v>644</v>
      </c>
      <c r="E290" s="171"/>
      <c r="F290" s="171" t="s">
        <v>113</v>
      </c>
      <c r="H290" s="171"/>
      <c r="J290" s="198">
        <f>SUM(L290:Q290)</f>
        <v>1104631490.6019297</v>
      </c>
      <c r="K290" s="203"/>
      <c r="L290" s="199">
        <f>L284-(L271-L272+L273)</f>
        <v>5813697.3001479935</v>
      </c>
      <c r="M290" s="199">
        <f>M284-(M271-M272+M273)</f>
        <v>360220018.86458242</v>
      </c>
      <c r="N290" s="199">
        <f>N284-(N271-N272+N273)</f>
        <v>378613705.44028091</v>
      </c>
      <c r="O290" s="199">
        <f>O284-(O271-O272+O273)</f>
        <v>2000504.8252424614</v>
      </c>
      <c r="P290" s="182">
        <f>P284-(P271-P272+P273)-(S271-S272+S273)</f>
        <v>338945279.29548991</v>
      </c>
      <c r="Q290" s="199">
        <f>Q284-(Q271-Q272+Q273)</f>
        <v>19038284.87618582</v>
      </c>
      <c r="R290" s="176"/>
      <c r="S290" s="206"/>
      <c r="T290" s="2"/>
      <c r="U290" s="199">
        <f>U284-(U271-U272+U273)</f>
        <v>368728386.32078171</v>
      </c>
      <c r="V290" s="199">
        <f>V284-(V271-V272+V273)</f>
        <v>2217749.2132740463</v>
      </c>
      <c r="X290" s="88" t="s">
        <v>647</v>
      </c>
    </row>
    <row r="291" spans="2:24" x14ac:dyDescent="0.2">
      <c r="J291" s="203"/>
      <c r="K291" s="203"/>
      <c r="L291" s="203"/>
      <c r="M291" s="203"/>
      <c r="N291" s="203"/>
      <c r="O291" s="203"/>
      <c r="P291" s="203"/>
      <c r="Q291" s="203"/>
      <c r="R291" s="203"/>
      <c r="S291" s="203"/>
      <c r="U291" s="203"/>
      <c r="V291" s="203"/>
    </row>
    <row r="292" spans="2:24" x14ac:dyDescent="0.2">
      <c r="J292" s="203"/>
      <c r="K292" s="203"/>
      <c r="L292" s="203"/>
      <c r="M292" s="203"/>
      <c r="N292" s="203"/>
      <c r="O292" s="203"/>
      <c r="P292" s="203"/>
      <c r="Q292" s="203"/>
      <c r="R292" s="203"/>
      <c r="S292" s="203"/>
      <c r="U292" s="203"/>
      <c r="V292" s="203"/>
    </row>
    <row r="293" spans="2:24" x14ac:dyDescent="0.2">
      <c r="J293" s="203"/>
      <c r="K293" s="203"/>
      <c r="L293" s="203"/>
      <c r="M293" s="203"/>
      <c r="N293" s="203"/>
      <c r="O293" s="203"/>
      <c r="P293" s="203"/>
      <c r="Q293" s="203"/>
      <c r="R293" s="203"/>
      <c r="S293" s="203"/>
      <c r="U293" s="203"/>
      <c r="V293" s="203"/>
    </row>
    <row r="294" spans="2:24" x14ac:dyDescent="0.2">
      <c r="J294" s="209"/>
      <c r="K294" s="203"/>
      <c r="L294" s="203"/>
      <c r="M294" s="203"/>
      <c r="N294" s="203"/>
      <c r="O294" s="203"/>
      <c r="P294" s="203"/>
      <c r="Q294" s="203"/>
      <c r="R294" s="203"/>
      <c r="S294" s="203"/>
      <c r="U294" s="203"/>
      <c r="V294" s="203"/>
    </row>
    <row r="295" spans="2:24" x14ac:dyDescent="0.2">
      <c r="J295" s="203"/>
      <c r="K295" s="203"/>
      <c r="L295" s="203"/>
      <c r="M295" s="203"/>
      <c r="N295" s="203"/>
      <c r="O295" s="203"/>
      <c r="P295" s="203"/>
      <c r="Q295" s="203"/>
      <c r="R295" s="203"/>
      <c r="S295" s="203"/>
      <c r="U295" s="203"/>
      <c r="V295" s="203"/>
    </row>
    <row r="296" spans="2:24" x14ac:dyDescent="0.2">
      <c r="J296" s="209"/>
      <c r="K296" s="203"/>
      <c r="L296" s="203"/>
      <c r="M296" s="203"/>
      <c r="N296" s="203"/>
      <c r="O296" s="203"/>
      <c r="P296" s="203"/>
      <c r="Q296" s="203"/>
      <c r="R296" s="203"/>
      <c r="S296" s="203"/>
      <c r="U296" s="203"/>
      <c r="V296" s="203"/>
    </row>
    <row r="297" spans="2:24" x14ac:dyDescent="0.2">
      <c r="J297" s="203"/>
      <c r="K297" s="203"/>
      <c r="L297" s="203"/>
      <c r="M297" s="203"/>
      <c r="N297" s="203"/>
      <c r="O297" s="203"/>
      <c r="P297" s="203"/>
      <c r="Q297" s="203"/>
      <c r="R297" s="203"/>
      <c r="S297" s="203"/>
      <c r="U297" s="203"/>
      <c r="V297" s="203"/>
    </row>
  </sheetData>
  <mergeCells count="3">
    <mergeCell ref="B5:F5"/>
    <mergeCell ref="B8:F8"/>
    <mergeCell ref="B9:F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A2:Q82"/>
  <sheetViews>
    <sheetView showGridLines="0" zoomScale="85" zoomScaleNormal="85" workbookViewId="0">
      <pane ySplit="3" topLeftCell="A4" activePane="bottomLeft" state="frozen"/>
      <selection pane="bottomLeft" activeCell="A4" sqref="A4"/>
    </sheetView>
  </sheetViews>
  <sheetFormatPr defaultRowHeight="12.75" x14ac:dyDescent="0.2"/>
  <cols>
    <col min="1" max="1" width="4.7109375" style="17" customWidth="1"/>
    <col min="2" max="2" width="19.140625" style="17" customWidth="1"/>
    <col min="3" max="3" width="2.7109375" style="17" customWidth="1"/>
    <col min="4" max="4" width="40.7109375" style="17" customWidth="1"/>
    <col min="5" max="5" width="2.7109375" style="17" customWidth="1"/>
    <col min="6" max="6" width="20.7109375" style="17" customWidth="1"/>
    <col min="7" max="7" width="2.7109375" style="17" customWidth="1"/>
    <col min="8" max="8" width="40.7109375" style="17" customWidth="1"/>
    <col min="9" max="9" width="2.7109375" style="17" customWidth="1"/>
    <col min="10" max="10" width="20.7109375" style="17" customWidth="1"/>
    <col min="11" max="11" width="4.7109375" style="17" customWidth="1"/>
    <col min="12" max="12" width="40.7109375" style="17" customWidth="1"/>
    <col min="13" max="13" width="4.7109375" style="17" customWidth="1"/>
    <col min="14" max="14" width="20.7109375" style="17" customWidth="1"/>
    <col min="15" max="15" width="4.7109375" style="17" customWidth="1"/>
    <col min="16" max="16" width="40.7109375" style="17" customWidth="1"/>
    <col min="17" max="17" width="4.7109375" style="17" customWidth="1"/>
    <col min="18" max="16384" width="9.140625" style="17"/>
  </cols>
  <sheetData>
    <row r="2" spans="1:17" s="131" customFormat="1" ht="18" x14ac:dyDescent="0.2">
      <c r="B2" s="131" t="s">
        <v>184</v>
      </c>
    </row>
    <row r="4" spans="1:17" s="111" customFormat="1" x14ac:dyDescent="0.2">
      <c r="B4" s="111" t="s">
        <v>185</v>
      </c>
    </row>
    <row r="5" spans="1:17" x14ac:dyDescent="0.2">
      <c r="A5" s="109"/>
    </row>
    <row r="6" spans="1:17" x14ac:dyDescent="0.2">
      <c r="B6" s="235" t="s">
        <v>590</v>
      </c>
      <c r="C6" s="183"/>
      <c r="D6" s="183"/>
      <c r="E6" s="183"/>
      <c r="F6" s="183"/>
      <c r="G6" s="183"/>
    </row>
    <row r="7" spans="1:17" x14ac:dyDescent="0.2">
      <c r="H7" s="115"/>
    </row>
    <row r="9" spans="1:17" s="111" customFormat="1" x14ac:dyDescent="0.2">
      <c r="B9" s="111" t="s">
        <v>186</v>
      </c>
    </row>
    <row r="10" spans="1:17" x14ac:dyDescent="0.2">
      <c r="F10" s="149"/>
    </row>
    <row r="11" spans="1:17" ht="13.5" thickBot="1" x14ac:dyDescent="0.25">
      <c r="F11" s="149"/>
    </row>
    <row r="12" spans="1:17" x14ac:dyDescent="0.2">
      <c r="C12" s="137"/>
      <c r="D12" s="107"/>
      <c r="E12" s="144"/>
      <c r="G12" s="137"/>
      <c r="H12" s="107"/>
      <c r="I12" s="144"/>
      <c r="K12" s="166"/>
      <c r="L12" s="120"/>
      <c r="M12" s="129"/>
      <c r="O12" s="137"/>
      <c r="P12" s="107"/>
      <c r="Q12" s="144"/>
    </row>
    <row r="13" spans="1:17" x14ac:dyDescent="0.2">
      <c r="C13" s="108"/>
      <c r="D13" s="121" t="s">
        <v>187</v>
      </c>
      <c r="E13" s="161"/>
      <c r="G13" s="108"/>
      <c r="H13" s="134" t="s">
        <v>188</v>
      </c>
      <c r="I13" s="161"/>
      <c r="K13" s="110"/>
      <c r="L13" s="237" t="s">
        <v>189</v>
      </c>
      <c r="M13" s="136"/>
      <c r="O13" s="108"/>
      <c r="P13" s="138" t="s">
        <v>565</v>
      </c>
      <c r="Q13" s="161"/>
    </row>
    <row r="14" spans="1:17" ht="13.5" thickBot="1" x14ac:dyDescent="0.25">
      <c r="C14" s="116"/>
      <c r="D14" s="132"/>
      <c r="E14" s="118"/>
      <c r="G14" s="116"/>
      <c r="H14" s="132"/>
      <c r="I14" s="118"/>
      <c r="K14" s="112"/>
      <c r="L14" s="153"/>
      <c r="M14" s="140"/>
      <c r="O14" s="116"/>
      <c r="P14" s="132"/>
      <c r="Q14" s="118"/>
    </row>
    <row r="15" spans="1:17" x14ac:dyDescent="0.2">
      <c r="C15" s="135"/>
      <c r="D15" s="135"/>
      <c r="E15" s="135"/>
      <c r="G15" s="135"/>
      <c r="H15" s="135"/>
      <c r="I15" s="135"/>
    </row>
    <row r="16" spans="1:17" x14ac:dyDescent="0.2">
      <c r="C16" s="135"/>
      <c r="D16" s="135"/>
      <c r="E16" s="135"/>
      <c r="G16" s="135"/>
      <c r="H16" s="135"/>
      <c r="I16" s="135"/>
    </row>
    <row r="17" spans="1:17" x14ac:dyDescent="0.2">
      <c r="C17" s="135"/>
      <c r="D17" s="135"/>
      <c r="E17" s="135"/>
      <c r="G17" s="135"/>
      <c r="H17" s="135"/>
      <c r="I17" s="135"/>
      <c r="K17" s="137"/>
      <c r="L17" s="107"/>
      <c r="M17" s="144"/>
      <c r="O17" s="137"/>
      <c r="P17" s="107"/>
      <c r="Q17" s="144"/>
    </row>
    <row r="18" spans="1:17" x14ac:dyDescent="0.2">
      <c r="C18" s="135"/>
      <c r="D18" s="135"/>
      <c r="E18" s="135"/>
      <c r="G18" s="135"/>
      <c r="H18" s="135"/>
      <c r="I18" s="135"/>
      <c r="K18" s="108"/>
      <c r="L18" s="237" t="s">
        <v>190</v>
      </c>
      <c r="M18" s="161"/>
      <c r="O18" s="108"/>
      <c r="P18" s="237" t="s">
        <v>566</v>
      </c>
      <c r="Q18" s="161"/>
    </row>
    <row r="19" spans="1:17" x14ac:dyDescent="0.2">
      <c r="C19" s="135"/>
      <c r="D19" s="135"/>
      <c r="E19" s="135"/>
      <c r="G19" s="135"/>
      <c r="H19" s="135"/>
      <c r="I19" s="135"/>
      <c r="K19" s="116"/>
      <c r="L19" s="132"/>
      <c r="M19" s="118"/>
      <c r="O19" s="116"/>
      <c r="P19" s="132"/>
      <c r="Q19" s="118"/>
    </row>
    <row r="20" spans="1:17" x14ac:dyDescent="0.2">
      <c r="C20" s="135"/>
      <c r="D20" s="135"/>
      <c r="E20" s="135"/>
      <c r="G20" s="135"/>
      <c r="H20" s="135"/>
      <c r="I20" s="135"/>
    </row>
    <row r="21" spans="1:17" x14ac:dyDescent="0.2">
      <c r="C21" s="135"/>
      <c r="D21" s="135"/>
      <c r="E21" s="135"/>
      <c r="G21" s="135"/>
      <c r="H21" s="135"/>
      <c r="I21" s="135"/>
    </row>
    <row r="22" spans="1:17" s="111" customFormat="1" x14ac:dyDescent="0.2">
      <c r="B22" s="111" t="s">
        <v>191</v>
      </c>
    </row>
    <row r="23" spans="1:17" x14ac:dyDescent="0.2">
      <c r="A23" s="109"/>
    </row>
    <row r="24" spans="1:17" x14ac:dyDescent="0.2">
      <c r="A24" s="109"/>
      <c r="B24" s="17" t="s">
        <v>192</v>
      </c>
    </row>
    <row r="25" spans="1:17" x14ac:dyDescent="0.2">
      <c r="A25" s="109"/>
    </row>
    <row r="26" spans="1:17" x14ac:dyDescent="0.2">
      <c r="A26" s="109"/>
      <c r="D26" s="167" t="s">
        <v>573</v>
      </c>
      <c r="H26" s="167" t="s">
        <v>193</v>
      </c>
      <c r="L26" s="167" t="s">
        <v>210</v>
      </c>
      <c r="P26" s="167"/>
    </row>
    <row r="27" spans="1:17" x14ac:dyDescent="0.2">
      <c r="A27" s="109"/>
    </row>
    <row r="28" spans="1:17" x14ac:dyDescent="0.2">
      <c r="A28" s="109"/>
      <c r="C28" s="137"/>
      <c r="D28" s="107"/>
      <c r="E28" s="144"/>
    </row>
    <row r="29" spans="1:17" x14ac:dyDescent="0.2">
      <c r="A29" s="109"/>
      <c r="C29" s="108"/>
      <c r="D29" s="121" t="s">
        <v>569</v>
      </c>
      <c r="E29" s="161"/>
      <c r="G29" s="137"/>
      <c r="H29" s="107"/>
      <c r="I29" s="144"/>
    </row>
    <row r="30" spans="1:17" x14ac:dyDescent="0.2">
      <c r="A30" s="109"/>
      <c r="C30" s="116"/>
      <c r="D30" s="132"/>
      <c r="E30" s="118"/>
      <c r="G30" s="108"/>
      <c r="H30" s="134" t="s">
        <v>570</v>
      </c>
      <c r="I30" s="161"/>
    </row>
    <row r="31" spans="1:17" x14ac:dyDescent="0.2">
      <c r="A31" s="109"/>
      <c r="G31" s="116"/>
      <c r="H31" s="132"/>
      <c r="I31" s="118"/>
    </row>
    <row r="32" spans="1:17" x14ac:dyDescent="0.2">
      <c r="A32" s="109"/>
    </row>
    <row r="33" spans="1:13" x14ac:dyDescent="0.2">
      <c r="A33" s="109"/>
      <c r="C33" s="137"/>
      <c r="D33" s="107"/>
      <c r="E33" s="144"/>
    </row>
    <row r="34" spans="1:13" x14ac:dyDescent="0.2">
      <c r="A34" s="109"/>
      <c r="C34" s="108"/>
      <c r="D34" s="121" t="s">
        <v>235</v>
      </c>
      <c r="E34" s="161"/>
    </row>
    <row r="35" spans="1:13" x14ac:dyDescent="0.2">
      <c r="A35" s="109"/>
      <c r="C35" s="116"/>
      <c r="D35" s="132"/>
      <c r="E35" s="118"/>
    </row>
    <row r="36" spans="1:13" x14ac:dyDescent="0.2">
      <c r="A36" s="109"/>
      <c r="C36" s="135"/>
      <c r="D36" s="135"/>
      <c r="E36" s="135"/>
      <c r="G36" s="137"/>
      <c r="H36" s="107"/>
      <c r="I36" s="144"/>
      <c r="K36" s="137"/>
      <c r="L36" s="107"/>
      <c r="M36" s="144"/>
    </row>
    <row r="37" spans="1:13" x14ac:dyDescent="0.2">
      <c r="A37" s="109"/>
      <c r="C37" s="137"/>
      <c r="D37" s="107"/>
      <c r="E37" s="144"/>
      <c r="G37" s="108"/>
      <c r="H37" s="134" t="s">
        <v>571</v>
      </c>
      <c r="I37" s="161"/>
      <c r="K37" s="108"/>
      <c r="L37" s="138" t="s">
        <v>236</v>
      </c>
      <c r="M37" s="161"/>
    </row>
    <row r="38" spans="1:13" x14ac:dyDescent="0.2">
      <c r="A38" s="109"/>
      <c r="C38" s="108"/>
      <c r="D38" s="121" t="s">
        <v>567</v>
      </c>
      <c r="E38" s="161"/>
      <c r="G38" s="116"/>
      <c r="H38" s="132"/>
      <c r="I38" s="118"/>
      <c r="K38" s="116"/>
      <c r="L38" s="132"/>
      <c r="M38" s="118"/>
    </row>
    <row r="39" spans="1:13" x14ac:dyDescent="0.2">
      <c r="A39" s="109"/>
      <c r="C39" s="116"/>
      <c r="D39" s="132"/>
      <c r="E39" s="118"/>
    </row>
    <row r="40" spans="1:13" x14ac:dyDescent="0.2">
      <c r="A40" s="109"/>
    </row>
    <row r="41" spans="1:13" x14ac:dyDescent="0.2">
      <c r="A41" s="109"/>
    </row>
    <row r="42" spans="1:13" x14ac:dyDescent="0.2">
      <c r="A42" s="109"/>
      <c r="C42" s="137"/>
      <c r="D42" s="107"/>
      <c r="E42" s="144"/>
    </row>
    <row r="43" spans="1:13" x14ac:dyDescent="0.2">
      <c r="A43" s="109"/>
      <c r="C43" s="108"/>
      <c r="D43" s="121" t="s">
        <v>568</v>
      </c>
      <c r="E43" s="161"/>
      <c r="G43" s="137"/>
      <c r="H43" s="107"/>
      <c r="I43" s="144"/>
    </row>
    <row r="44" spans="1:13" x14ac:dyDescent="0.2">
      <c r="A44" s="109"/>
      <c r="C44" s="116"/>
      <c r="D44" s="132"/>
      <c r="E44" s="118"/>
      <c r="G44" s="108"/>
      <c r="H44" s="134" t="s">
        <v>572</v>
      </c>
      <c r="I44" s="161"/>
    </row>
    <row r="45" spans="1:13" x14ac:dyDescent="0.2">
      <c r="A45" s="109"/>
      <c r="G45" s="116"/>
      <c r="H45" s="132"/>
      <c r="I45" s="118"/>
    </row>
    <row r="46" spans="1:13" x14ac:dyDescent="0.2">
      <c r="A46" s="109"/>
    </row>
    <row r="47" spans="1:13" x14ac:dyDescent="0.2">
      <c r="A47" s="109"/>
      <c r="C47" s="137"/>
      <c r="D47" s="107"/>
      <c r="E47" s="144"/>
    </row>
    <row r="48" spans="1:13" x14ac:dyDescent="0.2">
      <c r="A48" s="109"/>
      <c r="C48" s="108"/>
      <c r="D48" s="121" t="s">
        <v>234</v>
      </c>
      <c r="E48" s="161"/>
    </row>
    <row r="49" spans="1:9" x14ac:dyDescent="0.2">
      <c r="A49" s="109"/>
      <c r="C49" s="116"/>
      <c r="D49" s="132"/>
      <c r="E49" s="118"/>
    </row>
    <row r="50" spans="1:9" x14ac:dyDescent="0.2">
      <c r="A50" s="109"/>
    </row>
    <row r="51" spans="1:9" x14ac:dyDescent="0.2">
      <c r="A51" s="109"/>
    </row>
    <row r="52" spans="1:9" s="111" customFormat="1" x14ac:dyDescent="0.2">
      <c r="B52" s="111" t="s">
        <v>194</v>
      </c>
    </row>
    <row r="53" spans="1:9" x14ac:dyDescent="0.2">
      <c r="C53" s="109"/>
    </row>
    <row r="54" spans="1:9" x14ac:dyDescent="0.2">
      <c r="B54" s="19" t="s">
        <v>195</v>
      </c>
      <c r="C54" s="109"/>
      <c r="D54" s="19" t="s">
        <v>196</v>
      </c>
      <c r="F54" s="157"/>
    </row>
    <row r="55" spans="1:9" x14ac:dyDescent="0.2">
      <c r="C55" s="109"/>
    </row>
    <row r="56" spans="1:9" x14ac:dyDescent="0.2">
      <c r="B56" s="160">
        <v>123</v>
      </c>
      <c r="C56" s="109"/>
      <c r="D56" s="21" t="s">
        <v>197</v>
      </c>
    </row>
    <row r="57" spans="1:9" x14ac:dyDescent="0.2">
      <c r="B57" s="123">
        <f>B56</f>
        <v>123</v>
      </c>
      <c r="C57" s="109"/>
      <c r="D57" s="17" t="s">
        <v>198</v>
      </c>
    </row>
    <row r="58" spans="1:9" x14ac:dyDescent="0.2">
      <c r="B58" s="163">
        <f>B57+B56</f>
        <v>246</v>
      </c>
      <c r="C58" s="109"/>
      <c r="D58" s="17" t="s">
        <v>69</v>
      </c>
    </row>
    <row r="59" spans="1:9" x14ac:dyDescent="0.2">
      <c r="B59" s="141">
        <f>B57+B58</f>
        <v>369</v>
      </c>
      <c r="C59" s="109"/>
      <c r="D59" s="21" t="s">
        <v>199</v>
      </c>
      <c r="E59" s="157"/>
      <c r="F59" s="165"/>
      <c r="G59" s="157"/>
      <c r="I59" s="157"/>
    </row>
    <row r="60" spans="1:9" x14ac:dyDescent="0.2">
      <c r="B60" s="127"/>
      <c r="C60" s="109"/>
      <c r="D60" s="21" t="s">
        <v>200</v>
      </c>
      <c r="E60" s="157"/>
      <c r="G60" s="157"/>
      <c r="I60" s="157"/>
    </row>
    <row r="61" spans="1:9" x14ac:dyDescent="0.2">
      <c r="B61" s="109"/>
      <c r="C61" s="109"/>
    </row>
    <row r="62" spans="1:9" x14ac:dyDescent="0.2">
      <c r="B62" s="22" t="s">
        <v>201</v>
      </c>
      <c r="C62" s="109"/>
    </row>
    <row r="63" spans="1:9" x14ac:dyDescent="0.2">
      <c r="B63" s="124">
        <f>B59+16</f>
        <v>385</v>
      </c>
      <c r="C63" s="109"/>
      <c r="D63" s="17" t="s">
        <v>202</v>
      </c>
    </row>
    <row r="64" spans="1:9" x14ac:dyDescent="0.2">
      <c r="B64" s="152">
        <f>B57*PI()</f>
        <v>386.41589639154455</v>
      </c>
      <c r="C64" s="150"/>
      <c r="D64" s="17" t="s">
        <v>203</v>
      </c>
    </row>
    <row r="65" spans="2:4" x14ac:dyDescent="0.2">
      <c r="B65" s="150"/>
      <c r="C65" s="150"/>
    </row>
    <row r="66" spans="2:4" x14ac:dyDescent="0.2">
      <c r="B66" s="22" t="s">
        <v>204</v>
      </c>
      <c r="C66" s="114"/>
    </row>
    <row r="67" spans="2:4" x14ac:dyDescent="0.2">
      <c r="B67" s="113">
        <v>123</v>
      </c>
      <c r="C67" s="114"/>
      <c r="D67" s="21" t="s">
        <v>205</v>
      </c>
    </row>
    <row r="68" spans="2:4" x14ac:dyDescent="0.2">
      <c r="B68" s="119">
        <v>124</v>
      </c>
      <c r="C68" s="114"/>
      <c r="D68" s="21" t="s">
        <v>206</v>
      </c>
    </row>
    <row r="69" spans="2:4" x14ac:dyDescent="0.2">
      <c r="B69" s="142">
        <f>B67-B68</f>
        <v>-1</v>
      </c>
      <c r="C69" s="147"/>
      <c r="D69" s="17" t="s">
        <v>207</v>
      </c>
    </row>
    <row r="72" spans="2:4" x14ac:dyDescent="0.2">
      <c r="B72" s="19" t="s">
        <v>208</v>
      </c>
    </row>
    <row r="73" spans="2:4" x14ac:dyDescent="0.2">
      <c r="B73" s="155"/>
    </row>
    <row r="74" spans="2:4" x14ac:dyDescent="0.2">
      <c r="B74" s="22" t="s">
        <v>209</v>
      </c>
    </row>
    <row r="75" spans="2:4" x14ac:dyDescent="0.2">
      <c r="B75" s="164" t="s">
        <v>210</v>
      </c>
      <c r="C75" s="109"/>
      <c r="D75" s="21" t="s">
        <v>211</v>
      </c>
    </row>
    <row r="76" spans="2:4" x14ac:dyDescent="0.2">
      <c r="B76" s="160" t="s">
        <v>212</v>
      </c>
      <c r="C76" s="109"/>
      <c r="D76" s="21" t="s">
        <v>213</v>
      </c>
    </row>
    <row r="77" spans="2:4" x14ac:dyDescent="0.2">
      <c r="B77" s="117" t="s">
        <v>214</v>
      </c>
      <c r="C77" s="109"/>
      <c r="D77" s="21" t="s">
        <v>215</v>
      </c>
    </row>
    <row r="78" spans="2:4" x14ac:dyDescent="0.2">
      <c r="B78" s="126" t="s">
        <v>214</v>
      </c>
      <c r="C78" s="109"/>
      <c r="D78" s="21" t="s">
        <v>216</v>
      </c>
    </row>
    <row r="79" spans="2:4" x14ac:dyDescent="0.2">
      <c r="C79" s="109"/>
      <c r="D79" s="21"/>
    </row>
    <row r="80" spans="2:4" x14ac:dyDescent="0.2">
      <c r="B80" s="22" t="s">
        <v>217</v>
      </c>
      <c r="C80" s="109"/>
      <c r="D80" s="21"/>
    </row>
    <row r="81" spans="2:4" x14ac:dyDescent="0.2">
      <c r="B81" s="130" t="s">
        <v>218</v>
      </c>
      <c r="C81" s="109"/>
      <c r="D81" s="21" t="s">
        <v>219</v>
      </c>
    </row>
    <row r="82" spans="2:4" x14ac:dyDescent="0.2">
      <c r="B82" s="162" t="s">
        <v>68</v>
      </c>
      <c r="D82" s="21" t="s">
        <v>220</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F20"/>
  <sheetViews>
    <sheetView showGridLines="0" zoomScale="80" zoomScaleNormal="80" workbookViewId="0">
      <pane ySplit="3" topLeftCell="A4" activePane="bottomLeft" state="frozen"/>
      <selection pane="bottomLeft" activeCell="A4" sqref="A4"/>
    </sheetView>
  </sheetViews>
  <sheetFormatPr defaultRowHeight="12.75" x14ac:dyDescent="0.2"/>
  <cols>
    <col min="1" max="1" width="4.7109375" style="17" customWidth="1"/>
    <col min="2" max="2" width="7.5703125" style="17" customWidth="1"/>
    <col min="3" max="3" width="48.5703125" style="17" bestFit="1" customWidth="1"/>
    <col min="4" max="5" width="36.28515625" style="17" customWidth="1"/>
    <col min="6" max="6" width="40.7109375" style="17" customWidth="1"/>
    <col min="7" max="7" width="4.5703125" style="17" customWidth="1"/>
    <col min="8" max="8" width="43.42578125" style="17" customWidth="1"/>
    <col min="9" max="9" width="28.7109375" style="17" customWidth="1"/>
    <col min="10" max="10" width="18.42578125" style="17" customWidth="1"/>
    <col min="11" max="11" width="93" style="17" customWidth="1"/>
    <col min="12" max="12" width="58.42578125" style="17" customWidth="1"/>
    <col min="13" max="16384" width="9.140625" style="17"/>
  </cols>
  <sheetData>
    <row r="2" spans="2:6" s="148" customFormat="1" ht="18" x14ac:dyDescent="0.2">
      <c r="B2" s="148" t="s">
        <v>221</v>
      </c>
    </row>
    <row r="4" spans="2:6" s="111" customFormat="1" x14ac:dyDescent="0.2">
      <c r="B4" s="111" t="s">
        <v>222</v>
      </c>
    </row>
    <row r="6" spans="2:6" x14ac:dyDescent="0.2">
      <c r="B6" s="22" t="s">
        <v>223</v>
      </c>
    </row>
    <row r="7" spans="2:6" x14ac:dyDescent="0.2">
      <c r="B7" s="22" t="s">
        <v>224</v>
      </c>
    </row>
    <row r="9" spans="2:6" x14ac:dyDescent="0.2">
      <c r="B9" s="122" t="s">
        <v>225</v>
      </c>
      <c r="C9" s="122" t="s">
        <v>226</v>
      </c>
      <c r="D9" s="122" t="s">
        <v>227</v>
      </c>
      <c r="E9" s="122" t="s">
        <v>228</v>
      </c>
      <c r="F9" s="122" t="s">
        <v>229</v>
      </c>
    </row>
    <row r="10" spans="2:6" x14ac:dyDescent="0.2">
      <c r="B10" s="139"/>
      <c r="C10" s="139" t="s">
        <v>230</v>
      </c>
      <c r="D10" s="139" t="s">
        <v>231</v>
      </c>
      <c r="E10" s="139" t="s">
        <v>232</v>
      </c>
      <c r="F10" s="139" t="s">
        <v>233</v>
      </c>
    </row>
    <row r="11" spans="2:6" x14ac:dyDescent="0.2">
      <c r="B11" s="159">
        <v>1</v>
      </c>
      <c r="C11" s="159" t="s">
        <v>137</v>
      </c>
      <c r="D11" s="146"/>
      <c r="E11" s="146"/>
      <c r="F11" s="146"/>
    </row>
    <row r="12" spans="2:6" x14ac:dyDescent="0.2">
      <c r="B12" s="146">
        <v>2</v>
      </c>
      <c r="C12" s="159" t="s">
        <v>438</v>
      </c>
      <c r="E12" s="146"/>
      <c r="F12" s="146"/>
    </row>
    <row r="13" spans="2:6" x14ac:dyDescent="0.2">
      <c r="B13" s="146">
        <v>3</v>
      </c>
      <c r="C13" s="146" t="s">
        <v>240</v>
      </c>
      <c r="D13" s="158"/>
      <c r="F13" s="146"/>
    </row>
    <row r="14" spans="2:6" x14ac:dyDescent="0.2">
      <c r="B14" s="146">
        <v>4</v>
      </c>
      <c r="C14" s="146" t="s">
        <v>455</v>
      </c>
      <c r="D14" s="146"/>
      <c r="E14" s="146"/>
      <c r="F14" s="146"/>
    </row>
    <row r="15" spans="2:6" x14ac:dyDescent="0.2">
      <c r="B15" s="146">
        <v>5</v>
      </c>
      <c r="C15" s="185" t="s">
        <v>633</v>
      </c>
      <c r="D15" s="146"/>
      <c r="F15" s="146"/>
    </row>
    <row r="16" spans="2:6" x14ac:dyDescent="0.2">
      <c r="B16" s="146">
        <v>6</v>
      </c>
      <c r="C16" s="146"/>
      <c r="D16" s="146"/>
      <c r="E16" s="146"/>
      <c r="F16" s="156"/>
    </row>
    <row r="17" spans="2:6" x14ac:dyDescent="0.2">
      <c r="B17" s="146">
        <v>7</v>
      </c>
      <c r="C17" s="146"/>
      <c r="D17" s="146"/>
      <c r="E17" s="146"/>
      <c r="F17" s="156"/>
    </row>
    <row r="18" spans="2:6" x14ac:dyDescent="0.2">
      <c r="B18" s="146">
        <v>8</v>
      </c>
      <c r="C18" s="146"/>
      <c r="D18" s="146"/>
      <c r="E18" s="146"/>
      <c r="F18" s="156"/>
    </row>
    <row r="19" spans="2:6" x14ac:dyDescent="0.2">
      <c r="B19" s="146">
        <v>9</v>
      </c>
      <c r="C19" s="146"/>
      <c r="D19" s="146"/>
      <c r="E19" s="146"/>
      <c r="F19" s="156"/>
    </row>
    <row r="20" spans="2:6" x14ac:dyDescent="0.2">
      <c r="B20" s="146">
        <v>10</v>
      </c>
      <c r="C20" s="146"/>
      <c r="D20" s="146"/>
      <c r="E20" s="146"/>
      <c r="F20" s="156"/>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pageSetUpPr fitToPage="1"/>
  </sheetPr>
  <dimension ref="A1:V66"/>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75" x14ac:dyDescent="0.2"/>
  <cols>
    <col min="1" max="1" width="2.7109375" style="16" customWidth="1"/>
    <col min="2" max="2" width="43.140625" style="16" customWidth="1"/>
    <col min="3" max="3" width="3.140625" style="16" customWidth="1"/>
    <col min="4" max="4" width="13.7109375" style="16" customWidth="1"/>
    <col min="5" max="5" width="3.7109375" style="16" customWidth="1"/>
    <col min="6" max="6" width="13.7109375" style="16" customWidth="1"/>
    <col min="7" max="7" width="2.7109375" style="171" customWidth="1"/>
    <col min="8" max="8" width="13.7109375" style="171" customWidth="1"/>
    <col min="9" max="9" width="2.7109375" style="16" customWidth="1"/>
    <col min="10" max="10" width="13.7109375" style="16" customWidth="1"/>
    <col min="11" max="11" width="3.28515625" style="16" customWidth="1"/>
    <col min="12" max="17" width="13.7109375" style="16" customWidth="1"/>
    <col min="18" max="18" width="3.28515625" style="16" customWidth="1"/>
    <col min="19" max="20" width="13.7109375" style="171" customWidth="1"/>
    <col min="21" max="16384" width="9.140625" style="16"/>
  </cols>
  <sheetData>
    <row r="1" spans="1:22" s="17" customFormat="1" x14ac:dyDescent="0.2"/>
    <row r="2" spans="1:22" s="23" customFormat="1" ht="18" x14ac:dyDescent="0.2">
      <c r="B2" s="23" t="s">
        <v>591</v>
      </c>
    </row>
    <row r="3" spans="1:22" s="17" customFormat="1" x14ac:dyDescent="0.2"/>
    <row r="4" spans="1:22" s="17" customFormat="1" x14ac:dyDescent="0.2">
      <c r="B4" s="19" t="s">
        <v>79</v>
      </c>
      <c r="K4" s="20"/>
      <c r="L4" s="20"/>
      <c r="R4" s="20"/>
    </row>
    <row r="5" spans="1:22" s="17" customFormat="1" ht="42.75" customHeight="1" x14ac:dyDescent="0.2">
      <c r="B5" s="253" t="s">
        <v>436</v>
      </c>
      <c r="C5" s="253"/>
    </row>
    <row r="6" spans="1:22" s="17" customFormat="1" x14ac:dyDescent="0.2">
      <c r="B6" s="21"/>
    </row>
    <row r="7" spans="1:22" s="24" customFormat="1" x14ac:dyDescent="0.2">
      <c r="B7" s="24" t="s">
        <v>81</v>
      </c>
      <c r="D7" s="24" t="s">
        <v>66</v>
      </c>
      <c r="F7" s="24" t="s">
        <v>0</v>
      </c>
      <c r="H7" s="24" t="s">
        <v>439</v>
      </c>
      <c r="J7" s="24" t="s">
        <v>440</v>
      </c>
      <c r="L7" s="24" t="s">
        <v>82</v>
      </c>
      <c r="M7" s="24" t="s">
        <v>1</v>
      </c>
      <c r="N7" s="24" t="s">
        <v>2</v>
      </c>
      <c r="O7" s="24" t="s">
        <v>3</v>
      </c>
      <c r="P7" s="24" t="s">
        <v>4</v>
      </c>
      <c r="Q7" s="24" t="s">
        <v>5</v>
      </c>
      <c r="S7" s="24" t="s">
        <v>560</v>
      </c>
      <c r="T7" s="24" t="s">
        <v>652</v>
      </c>
    </row>
    <row r="9" spans="1:22" s="24" customFormat="1" x14ac:dyDescent="0.2">
      <c r="B9" s="24" t="s">
        <v>44</v>
      </c>
    </row>
    <row r="10" spans="1:22" s="25" customFormat="1" x14ac:dyDescent="0.2"/>
    <row r="11" spans="1:22" x14ac:dyDescent="0.2">
      <c r="A11" s="25"/>
      <c r="B11" s="4" t="s">
        <v>73</v>
      </c>
      <c r="L11" s="26"/>
      <c r="V11" s="88" t="s">
        <v>648</v>
      </c>
    </row>
    <row r="12" spans="1:22" x14ac:dyDescent="0.2">
      <c r="A12" s="25"/>
      <c r="B12" s="10" t="s">
        <v>83</v>
      </c>
      <c r="D12" s="16" t="s">
        <v>435</v>
      </c>
      <c r="F12" s="16" t="s">
        <v>20</v>
      </c>
      <c r="J12" s="5">
        <f>SUM(L12:Q12)</f>
        <v>973124864.26440775</v>
      </c>
      <c r="L12" s="179">
        <f>'8) Berekening Oper. kosten'!L76</f>
        <v>4571550.2540674517</v>
      </c>
      <c r="M12" s="179">
        <f>'8) Berekening Oper. kosten'!M76</f>
        <v>279382067.0943011</v>
      </c>
      <c r="N12" s="179">
        <f>'8) Berekening Oper. kosten'!N76</f>
        <v>431723282.08801162</v>
      </c>
      <c r="O12" s="179">
        <f>'8) Berekening Oper. kosten'!O76</f>
        <v>2729417.13</v>
      </c>
      <c r="P12" s="179">
        <f>'8) Berekening Oper. kosten'!P76</f>
        <v>242743583.9444744</v>
      </c>
      <c r="Q12" s="179">
        <f>'8) Berekening Oper. kosten'!Q76</f>
        <v>11974963.753553275</v>
      </c>
      <c r="S12" s="230"/>
      <c r="T12" s="230"/>
    </row>
    <row r="13" spans="1:22" x14ac:dyDescent="0.2">
      <c r="A13" s="25"/>
      <c r="B13" s="10" t="s">
        <v>65</v>
      </c>
      <c r="D13" s="11" t="s">
        <v>84</v>
      </c>
      <c r="F13" s="16" t="s">
        <v>20</v>
      </c>
      <c r="J13" s="5">
        <f>SUM(L13:Q13)</f>
        <v>999666215.95852435</v>
      </c>
      <c r="K13" s="27"/>
      <c r="L13" s="179">
        <f>'9) Berekening Kapitaalkosten'!L64</f>
        <v>5913219.4031619262</v>
      </c>
      <c r="M13" s="179">
        <f>'9) Berekening Kapitaalkosten'!M64</f>
        <v>344504866.42293304</v>
      </c>
      <c r="N13" s="179">
        <f>'9) Berekening Kapitaalkosten'!N64</f>
        <v>326636918.5820806</v>
      </c>
      <c r="O13" s="179">
        <f>'9) Berekening Kapitaalkosten'!O64</f>
        <v>3948668.1273172079</v>
      </c>
      <c r="P13" s="179">
        <f>'9) Berekening Kapitaalkosten'!P64</f>
        <v>298895255.49605262</v>
      </c>
      <c r="Q13" s="179">
        <f>'9) Berekening Kapitaalkosten'!Q64</f>
        <v>19767287.926978983</v>
      </c>
      <c r="R13" s="27"/>
      <c r="S13" s="179">
        <f>'9) Berekening Kapitaalkosten'!U64</f>
        <v>364505976.78865701</v>
      </c>
      <c r="T13" s="179">
        <f>'9) Berekening Kapitaalkosten'!V64</f>
        <v>4036438.7423505681</v>
      </c>
    </row>
    <row r="14" spans="1:22" x14ac:dyDescent="0.2">
      <c r="A14" s="25"/>
    </row>
    <row r="15" spans="1:22" s="24" customFormat="1" x14ac:dyDescent="0.2">
      <c r="B15" s="24" t="s">
        <v>85</v>
      </c>
    </row>
    <row r="16" spans="1:22" s="25" customFormat="1" x14ac:dyDescent="0.2"/>
    <row r="17" spans="1:22" x14ac:dyDescent="0.2">
      <c r="A17" s="25"/>
      <c r="B17" s="4" t="s">
        <v>73</v>
      </c>
      <c r="L17" s="26"/>
      <c r="V17" s="88" t="s">
        <v>648</v>
      </c>
    </row>
    <row r="18" spans="1:22" x14ac:dyDescent="0.2">
      <c r="A18" s="25"/>
      <c r="B18" s="10" t="s">
        <v>86</v>
      </c>
      <c r="D18" s="16" t="s">
        <v>435</v>
      </c>
      <c r="F18" s="16" t="s">
        <v>87</v>
      </c>
      <c r="J18" s="5">
        <f>SUM(L18:Q18)</f>
        <v>911305549.99349415</v>
      </c>
      <c r="L18" s="179">
        <f>'8) Berekening Oper. kosten'!L141</f>
        <v>4744040.0775594693</v>
      </c>
      <c r="M18" s="179">
        <f>'8) Berekening Oper. kosten'!M141</f>
        <v>271291179.72745043</v>
      </c>
      <c r="N18" s="179">
        <f>'8) Berekening Oper. kosten'!N141</f>
        <v>386316165.23504925</v>
      </c>
      <c r="O18" s="179">
        <f>'8) Berekening Oper. kosten'!O141</f>
        <v>2491685.4400000004</v>
      </c>
      <c r="P18" s="179">
        <f>'8) Berekening Oper. kosten'!P141</f>
        <v>236823025.31887537</v>
      </c>
      <c r="Q18" s="179">
        <f>'8) Berekening Oper. kosten'!Q141</f>
        <v>9639454.1945597194</v>
      </c>
      <c r="S18" s="230"/>
      <c r="T18" s="230"/>
    </row>
    <row r="19" spans="1:22" x14ac:dyDescent="0.2">
      <c r="A19" s="25"/>
      <c r="B19" s="10" t="s">
        <v>88</v>
      </c>
      <c r="D19" s="11" t="s">
        <v>84</v>
      </c>
      <c r="F19" s="16" t="s">
        <v>87</v>
      </c>
      <c r="J19" s="5">
        <f>SUM(L19:Q19)</f>
        <v>1019702886.2676834</v>
      </c>
      <c r="K19" s="27"/>
      <c r="L19" s="179">
        <f>'9) Berekening Kapitaalkosten'!L105</f>
        <v>5941429.6321190689</v>
      </c>
      <c r="M19" s="179">
        <f>'9) Berekening Kapitaalkosten'!M105</f>
        <v>344391454.57128751</v>
      </c>
      <c r="N19" s="179">
        <f>'9) Berekening Kapitaalkosten'!N105</f>
        <v>336306153.32600009</v>
      </c>
      <c r="O19" s="179">
        <f>'9) Berekening Kapitaalkosten'!O105</f>
        <v>3966724.7886264441</v>
      </c>
      <c r="P19" s="179">
        <f>'9) Berekening Kapitaalkosten'!P105</f>
        <v>309239287.35215294</v>
      </c>
      <c r="Q19" s="179">
        <f>'9) Berekening Kapitaalkosten'!Q105</f>
        <v>19857836.597497389</v>
      </c>
      <c r="R19" s="27"/>
      <c r="S19" s="179">
        <f>'9) Berekening Kapitaalkosten'!U105</f>
        <v>367490433.43847513</v>
      </c>
      <c r="T19" s="179">
        <f>'9) Berekening Kapitaalkosten'!V105</f>
        <v>4073310.4539763173</v>
      </c>
    </row>
    <row r="20" spans="1:22" x14ac:dyDescent="0.2">
      <c r="A20" s="25"/>
      <c r="B20" s="10" t="s">
        <v>88</v>
      </c>
      <c r="D20" s="11" t="s">
        <v>89</v>
      </c>
      <c r="F20" s="16" t="s">
        <v>87</v>
      </c>
      <c r="J20" s="5">
        <f>SUM(L20:Q20)</f>
        <v>1053188924.8229412</v>
      </c>
      <c r="K20" s="27"/>
      <c r="L20" s="179">
        <f>'9) Berekening Kapitaalkosten'!L106</f>
        <v>6116956.9760172199</v>
      </c>
      <c r="M20" s="179">
        <f>'9) Berekening Kapitaalkosten'!M106</f>
        <v>355191956.47265458</v>
      </c>
      <c r="N20" s="179">
        <f>'9) Berekening Kapitaalkosten'!N106</f>
        <v>348070828.07267159</v>
      </c>
      <c r="O20" s="179">
        <f>'9) Berekening Kapitaalkosten'!O106</f>
        <v>4056792.3825080884</v>
      </c>
      <c r="P20" s="179">
        <f>'9) Berekening Kapitaalkosten'!P106</f>
        <v>319149380.05976111</v>
      </c>
      <c r="Q20" s="179">
        <f>'9) Berekening Kapitaalkosten'!Q106</f>
        <v>20603010.859328613</v>
      </c>
      <c r="R20" s="27"/>
      <c r="S20" s="179">
        <f>'9) Berekening Kapitaalkosten'!U106</f>
        <v>378475689.92569864</v>
      </c>
      <c r="T20" s="179">
        <f>'9) Berekening Kapitaalkosten'!V106</f>
        <v>4164745.3140745419</v>
      </c>
    </row>
    <row r="21" spans="1:22" x14ac:dyDescent="0.2">
      <c r="A21" s="25"/>
    </row>
    <row r="22" spans="1:22" s="24" customFormat="1" x14ac:dyDescent="0.2">
      <c r="B22" s="24" t="s">
        <v>90</v>
      </c>
    </row>
    <row r="23" spans="1:22" s="25" customFormat="1" x14ac:dyDescent="0.2"/>
    <row r="24" spans="1:22" x14ac:dyDescent="0.2">
      <c r="A24" s="25"/>
      <c r="B24" s="4" t="s">
        <v>73</v>
      </c>
      <c r="L24" s="26"/>
      <c r="V24" s="88" t="s">
        <v>648</v>
      </c>
    </row>
    <row r="25" spans="1:22" x14ac:dyDescent="0.2">
      <c r="A25" s="25"/>
      <c r="B25" s="10" t="s">
        <v>91</v>
      </c>
      <c r="D25" s="16" t="s">
        <v>435</v>
      </c>
      <c r="F25" s="16" t="s">
        <v>92</v>
      </c>
      <c r="J25" s="5">
        <f>SUM(L25:Q25)</f>
        <v>963234682.88586998</v>
      </c>
      <c r="L25" s="179">
        <f>'8) Berekening Oper. kosten'!L206</f>
        <v>4793848.4849565132</v>
      </c>
      <c r="M25" s="179">
        <f>'8) Berekening Oper. kosten'!M206</f>
        <v>282825111.31030846</v>
      </c>
      <c r="N25" s="179">
        <f>'8) Berekening Oper. kosten'!N206</f>
        <v>422075879.79618818</v>
      </c>
      <c r="O25" s="179">
        <f>'8) Berekening Oper. kosten'!O206</f>
        <v>2879617.7499999991</v>
      </c>
      <c r="P25" s="179">
        <f>'8) Berekening Oper. kosten'!P206</f>
        <v>237096299.37102836</v>
      </c>
      <c r="Q25" s="179">
        <f>'8) Berekening Oper. kosten'!Q206</f>
        <v>13563926.173388492</v>
      </c>
      <c r="S25" s="230"/>
      <c r="T25" s="230"/>
    </row>
    <row r="26" spans="1:22" x14ac:dyDescent="0.2">
      <c r="A26" s="25"/>
      <c r="B26" s="10" t="s">
        <v>93</v>
      </c>
      <c r="D26" s="11" t="s">
        <v>89</v>
      </c>
      <c r="F26" s="16" t="s">
        <v>92</v>
      </c>
      <c r="J26" s="5">
        <f>SUM(L26:Q26)</f>
        <v>1070215273.0720309</v>
      </c>
      <c r="K26" s="27"/>
      <c r="L26" s="179">
        <f>'9) Berekening Kapitaalkosten'!L147</f>
        <v>6100929.730737919</v>
      </c>
      <c r="M26" s="179">
        <f>'9) Berekening Kapitaalkosten'!M147</f>
        <v>355662524.76644295</v>
      </c>
      <c r="N26" s="179">
        <f>'9) Berekening Kapitaalkosten'!N147</f>
        <v>357245205.38789356</v>
      </c>
      <c r="O26" s="179">
        <f>'9) Berekening Kapitaalkosten'!O147</f>
        <v>4027068.2069468126</v>
      </c>
      <c r="P26" s="179">
        <f>'9) Berekening Kapitaalkosten'!P147</f>
        <v>326819533.99837017</v>
      </c>
      <c r="Q26" s="179">
        <f>'9) Berekening Kapitaalkosten'!Q147</f>
        <v>20360010.981639527</v>
      </c>
      <c r="R26" s="27"/>
      <c r="S26" s="179">
        <f>'9) Berekening Kapitaalkosten'!U147</f>
        <v>375870334.20581532</v>
      </c>
      <c r="T26" s="179">
        <f>'9) Berekening Kapitaalkosten'!V147</f>
        <v>4190201.8337720828</v>
      </c>
    </row>
    <row r="27" spans="1:22" x14ac:dyDescent="0.2">
      <c r="A27" s="25"/>
      <c r="B27" s="10" t="s">
        <v>93</v>
      </c>
      <c r="D27" s="11" t="s">
        <v>94</v>
      </c>
      <c r="F27" s="16" t="s">
        <v>92</v>
      </c>
      <c r="J27" s="5">
        <f>SUM(L27:Q27)</f>
        <v>1036544702.4708407</v>
      </c>
      <c r="K27" s="27"/>
      <c r="L27" s="179">
        <f>'9) Berekening Kapitaalkosten'!L148</f>
        <v>5930933.1537389522</v>
      </c>
      <c r="M27" s="179">
        <f>'9) Berekening Kapitaalkosten'!M148</f>
        <v>344910908.16513294</v>
      </c>
      <c r="N27" s="179">
        <f>'9) Berekening Kapitaalkosten'!N148</f>
        <v>345261514.77839291</v>
      </c>
      <c r="O27" s="179">
        <f>'9) Berekening Kapitaalkosten'!O148</f>
        <v>3940130.1713915933</v>
      </c>
      <c r="P27" s="179">
        <f>'9) Berekening Kapitaalkosten'!P148</f>
        <v>316868613.87179667</v>
      </c>
      <c r="Q27" s="179">
        <f>'9) Berekening Kapitaalkosten'!Q148</f>
        <v>19632602.330387652</v>
      </c>
      <c r="R27" s="27"/>
      <c r="S27" s="179">
        <f>'9) Berekening Kapitaalkosten'!U148</f>
        <v>364988554.85833687</v>
      </c>
      <c r="T27" s="179">
        <f>'9) Berekening Kapitaalkosten'!V148</f>
        <v>4100915.3244180786</v>
      </c>
    </row>
    <row r="28" spans="1:22" x14ac:dyDescent="0.2">
      <c r="A28" s="25"/>
    </row>
    <row r="29" spans="1:22" s="24" customFormat="1" x14ac:dyDescent="0.2">
      <c r="B29" s="24" t="s">
        <v>95</v>
      </c>
    </row>
    <row r="30" spans="1:22" s="25" customFormat="1" x14ac:dyDescent="0.2"/>
    <row r="31" spans="1:22" s="29" customFormat="1" x14ac:dyDescent="0.2">
      <c r="A31" s="25"/>
      <c r="B31" s="28" t="s">
        <v>72</v>
      </c>
      <c r="G31" s="174"/>
      <c r="H31" s="174"/>
      <c r="M31" s="30"/>
      <c r="S31" s="30"/>
      <c r="T31" s="30"/>
      <c r="V31" s="88" t="s">
        <v>648</v>
      </c>
    </row>
    <row r="32" spans="1:22" x14ac:dyDescent="0.2">
      <c r="A32" s="25"/>
      <c r="B32" s="10" t="s">
        <v>96</v>
      </c>
      <c r="D32" s="16" t="s">
        <v>435</v>
      </c>
      <c r="F32" s="16" t="s">
        <v>97</v>
      </c>
      <c r="J32" s="5">
        <f>SUM(L32:Q32)</f>
        <v>1009971433.9997885</v>
      </c>
      <c r="L32" s="179">
        <f>'8) Berekening Oper. kosten'!L271</f>
        <v>4439847</v>
      </c>
      <c r="M32" s="179">
        <f>'8) Berekening Oper. kosten'!M271</f>
        <v>299802677.21869445</v>
      </c>
      <c r="N32" s="179">
        <f>'8) Berekening Oper. kosten'!N271</f>
        <v>426475939.31395882</v>
      </c>
      <c r="O32" s="179">
        <f>'8) Berekening Oper. kosten'!O271</f>
        <v>2997263.19</v>
      </c>
      <c r="P32" s="179">
        <f>'8) Berekening Oper. kosten'!P271</f>
        <v>261834860.35601774</v>
      </c>
      <c r="Q32" s="179">
        <f>'8) Berekening Oper. kosten'!Q271</f>
        <v>14420846.921117436</v>
      </c>
      <c r="S32" s="230"/>
      <c r="T32" s="230"/>
    </row>
    <row r="33" spans="1:22" x14ac:dyDescent="0.2">
      <c r="A33" s="25"/>
      <c r="B33" s="10" t="s">
        <v>98</v>
      </c>
      <c r="F33" s="16" t="s">
        <v>97</v>
      </c>
      <c r="J33" s="5">
        <f>SUM(L33:Q33)</f>
        <v>425553739.03948039</v>
      </c>
      <c r="L33" s="179">
        <f>'8) Berekening Oper. kosten'!L272</f>
        <v>3085313.7827404072</v>
      </c>
      <c r="M33" s="179">
        <f>'8) Berekening Oper. kosten'!M272</f>
        <v>157241166.7658073</v>
      </c>
      <c r="N33" s="179">
        <f>'8) Berekening Oper. kosten'!N272</f>
        <v>146855574.71489841</v>
      </c>
      <c r="O33" s="179">
        <f>'8) Berekening Oper. kosten'!O272</f>
        <v>1939371.6598624184</v>
      </c>
      <c r="P33" s="179">
        <f>'8) Berekening Oper. kosten'!P272</f>
        <v>106839771.21628962</v>
      </c>
      <c r="Q33" s="179">
        <f>'8) Berekening Oper. kosten'!Q272</f>
        <v>9592540.899882257</v>
      </c>
      <c r="S33" s="230"/>
      <c r="T33" s="230"/>
    </row>
    <row r="34" spans="1:22" x14ac:dyDescent="0.2">
      <c r="A34" s="25"/>
      <c r="B34" s="10" t="s">
        <v>99</v>
      </c>
      <c r="D34" s="11" t="s">
        <v>100</v>
      </c>
      <c r="F34" s="16" t="s">
        <v>97</v>
      </c>
      <c r="J34" s="5">
        <f>SUM(L34:Q34)</f>
        <v>853291785.39368308</v>
      </c>
      <c r="L34" s="179">
        <f>'9) Berekening Kapitaalkosten'!L192</f>
        <v>4910785.9890219187</v>
      </c>
      <c r="M34" s="179">
        <f>'9) Berekening Kapitaalkosten'!M192</f>
        <v>284330739.13245308</v>
      </c>
      <c r="N34" s="179">
        <f>'9) Berekening Kapitaalkosten'!N192</f>
        <v>282186710.50188702</v>
      </c>
      <c r="O34" s="179">
        <f>'9) Berekening Kapitaalkosten'!O192</f>
        <v>1169110.1550912394</v>
      </c>
      <c r="P34" s="179">
        <f>'9) Berekening Kapitaalkosten'!P192</f>
        <v>265373151.92599452</v>
      </c>
      <c r="Q34" s="179">
        <f>'9) Berekening Kapitaalkosten'!Q192</f>
        <v>15321287.689235255</v>
      </c>
      <c r="S34" s="179">
        <f>'9) Berekening Kapitaalkosten'!U192</f>
        <v>298099104.16316551</v>
      </c>
      <c r="T34" s="179">
        <f>'9) Berekening Kapitaalkosten'!V192</f>
        <v>1366626.667686891</v>
      </c>
    </row>
    <row r="35" spans="1:22" x14ac:dyDescent="0.2">
      <c r="A35" s="25"/>
      <c r="B35" s="10" t="s">
        <v>99</v>
      </c>
      <c r="D35" s="11" t="s">
        <v>101</v>
      </c>
      <c r="F35" s="16" t="s">
        <v>97</v>
      </c>
      <c r="J35" s="5">
        <f>SUM(L35:Q35)</f>
        <v>818933918.13676989</v>
      </c>
      <c r="L35" s="179">
        <f>'9) Berekening Kapitaalkosten'!L193</f>
        <v>4747594.7316497788</v>
      </c>
      <c r="M35" s="179">
        <f>'9) Berekening Kapitaalkosten'!M193</f>
        <v>273487081.21241379</v>
      </c>
      <c r="N35" s="179">
        <f>'9) Berekening Kapitaalkosten'!N193</f>
        <v>269757416.23549306</v>
      </c>
      <c r="O35" s="179">
        <f>'9) Berekening Kapitaalkosten'!O193</f>
        <v>1090618.3012001575</v>
      </c>
      <c r="P35" s="179">
        <f>'9) Berekening Kapitaalkosten'!P193</f>
        <v>255256798.05417097</v>
      </c>
      <c r="Q35" s="179">
        <f>'9) Berekening Kapitaalkosten'!Q193</f>
        <v>14594409.601842174</v>
      </c>
      <c r="S35" s="179">
        <f>'9) Berekening Kapitaalkosten'!U193</f>
        <v>287162726.47878271</v>
      </c>
      <c r="T35" s="179">
        <f>'9) Berekening Kapitaalkosten'!V193</f>
        <v>1285624.5710001232</v>
      </c>
    </row>
    <row r="36" spans="1:22" x14ac:dyDescent="0.2">
      <c r="A36" s="25"/>
      <c r="B36" s="10"/>
      <c r="D36" s="11"/>
      <c r="J36" s="27"/>
      <c r="K36" s="27"/>
      <c r="R36" s="27"/>
    </row>
    <row r="37" spans="1:22" x14ac:dyDescent="0.2">
      <c r="A37" s="25"/>
      <c r="B37" s="4" t="s">
        <v>73</v>
      </c>
      <c r="V37" s="88" t="s">
        <v>648</v>
      </c>
    </row>
    <row r="38" spans="1:22" x14ac:dyDescent="0.2">
      <c r="A38" s="25"/>
      <c r="B38" s="10" t="s">
        <v>96</v>
      </c>
      <c r="D38" s="16" t="s">
        <v>435</v>
      </c>
      <c r="F38" s="16" t="s">
        <v>97</v>
      </c>
      <c r="J38" s="5">
        <f>SUM(L38:Q38)</f>
        <v>1009971433.9997885</v>
      </c>
      <c r="L38" s="179">
        <f>'8) Berekening Oper. kosten'!L275</f>
        <v>4439847</v>
      </c>
      <c r="M38" s="179">
        <f>'8) Berekening Oper. kosten'!M275</f>
        <v>299802677.21869445</v>
      </c>
      <c r="N38" s="179">
        <f>'8) Berekening Oper. kosten'!N275</f>
        <v>426475939.31395882</v>
      </c>
      <c r="O38" s="179">
        <f>'8) Berekening Oper. kosten'!O275</f>
        <v>2997263.19</v>
      </c>
      <c r="P38" s="179">
        <f>'8) Berekening Oper. kosten'!P275</f>
        <v>261834860.35601774</v>
      </c>
      <c r="Q38" s="179">
        <f>'8) Berekening Oper. kosten'!Q275</f>
        <v>14420846.921117436</v>
      </c>
      <c r="S38" s="230"/>
      <c r="T38" s="230"/>
    </row>
    <row r="39" spans="1:22" x14ac:dyDescent="0.2">
      <c r="A39" s="25"/>
      <c r="B39" s="10" t="s">
        <v>99</v>
      </c>
      <c r="D39" s="11" t="s">
        <v>94</v>
      </c>
      <c r="F39" s="16" t="s">
        <v>97</v>
      </c>
      <c r="J39" s="5">
        <f>SUM(L39:Q39)</f>
        <v>1067240443.2141671</v>
      </c>
      <c r="K39" s="27"/>
      <c r="L39" s="179">
        <f>'9) Berekening Kapitaalkosten'!L195</f>
        <v>5917132.0761501156</v>
      </c>
      <c r="M39" s="179">
        <f>'9) Berekening Kapitaalkosten'!M195</f>
        <v>351199962.97269499</v>
      </c>
      <c r="N39" s="179">
        <f>'9) Berekening Kapitaalkosten'!N195</f>
        <v>358834025.14464992</v>
      </c>
      <c r="O39" s="179">
        <f>'9) Berekening Kapitaalkosten'!O195</f>
        <v>3728286.3236063747</v>
      </c>
      <c r="P39" s="179">
        <f>'9) Berekening Kapitaalkosten'!P195</f>
        <v>327757334.13557315</v>
      </c>
      <c r="Q39" s="179">
        <f>'9) Berekening Kapitaalkosten'!Q195</f>
        <v>19803702.561492588</v>
      </c>
      <c r="R39" s="27"/>
      <c r="S39" s="179">
        <f>'9) Berekening Kapitaalkosten'!U195</f>
        <v>365540099.88352615</v>
      </c>
      <c r="T39" s="179">
        <f>'9) Berekening Kapitaalkosten'!V195</f>
        <v>3941282.666775425</v>
      </c>
    </row>
    <row r="40" spans="1:22" x14ac:dyDescent="0.2">
      <c r="A40" s="25"/>
      <c r="B40" s="16" t="s">
        <v>102</v>
      </c>
      <c r="D40" s="11" t="s">
        <v>103</v>
      </c>
      <c r="F40" s="16" t="s">
        <v>97</v>
      </c>
      <c r="J40" s="5">
        <f>SUM(L40:Q40)</f>
        <v>1030807432.8877338</v>
      </c>
      <c r="K40" s="27"/>
      <c r="L40" s="179">
        <f>'9) Berekening Kapitaalkosten'!L196</f>
        <v>5753940.8187779756</v>
      </c>
      <c r="M40" s="179">
        <f>'9) Berekening Kapitaalkosten'!M196</f>
        <v>340356305.05265582</v>
      </c>
      <c r="N40" s="179">
        <f>'9) Berekening Kapitaalkosten'!N196</f>
        <v>346404730.8782559</v>
      </c>
      <c r="O40" s="179">
        <f>'9) Berekening Kapitaalkosten'!O196</f>
        <v>1574651.4001951611</v>
      </c>
      <c r="P40" s="179">
        <f>'9) Berekening Kapitaalkosten'!P196</f>
        <v>317640980.26374954</v>
      </c>
      <c r="Q40" s="179">
        <f>'9) Berekening Kapitaalkosten'!Q196</f>
        <v>19076824.474099506</v>
      </c>
      <c r="R40" s="27"/>
      <c r="S40" s="179">
        <f>'9) Berekening Kapitaalkosten'!U196</f>
        <v>354603722.19914329</v>
      </c>
      <c r="T40" s="179">
        <f>'9) Berekening Kapitaalkosten'!V196</f>
        <v>1785137.5005685247</v>
      </c>
    </row>
    <row r="42" spans="1:22" s="24" customFormat="1" x14ac:dyDescent="0.2">
      <c r="B42" s="24" t="s">
        <v>104</v>
      </c>
    </row>
    <row r="43" spans="1:22" s="25" customFormat="1" x14ac:dyDescent="0.2"/>
    <row r="44" spans="1:22" s="29" customFormat="1" x14ac:dyDescent="0.2">
      <c r="A44" s="25"/>
      <c r="B44" s="28" t="s">
        <v>72</v>
      </c>
      <c r="G44" s="174"/>
      <c r="H44" s="174"/>
      <c r="M44" s="30"/>
      <c r="S44" s="30"/>
      <c r="T44" s="30"/>
      <c r="V44" s="88" t="s">
        <v>648</v>
      </c>
    </row>
    <row r="45" spans="1:22" x14ac:dyDescent="0.2">
      <c r="A45" s="25"/>
      <c r="B45" s="10" t="s">
        <v>105</v>
      </c>
      <c r="D45" s="16" t="s">
        <v>435</v>
      </c>
      <c r="F45" s="16" t="s">
        <v>106</v>
      </c>
      <c r="J45" s="5">
        <f>SUM(L45:Q45)</f>
        <v>1087441866.6401911</v>
      </c>
      <c r="L45" s="179">
        <f>'8) Berekening Oper. kosten'!L340</f>
        <v>5071352</v>
      </c>
      <c r="M45" s="179">
        <f>'8) Berekening Oper. kosten'!M340</f>
        <v>332067371.70822752</v>
      </c>
      <c r="N45" s="179">
        <f>'8) Berekening Oper. kosten'!N340</f>
        <v>456762141.08280051</v>
      </c>
      <c r="O45" s="179">
        <f>'8) Berekening Oper. kosten'!O340</f>
        <v>3379986.4499999997</v>
      </c>
      <c r="P45" s="179">
        <f>'8) Berekening Oper. kosten'!P340</f>
        <v>274769924.33086795</v>
      </c>
      <c r="Q45" s="179">
        <f>'8) Berekening Oper. kosten'!Q340</f>
        <v>15391091.068295019</v>
      </c>
      <c r="S45" s="230"/>
      <c r="T45" s="230"/>
    </row>
    <row r="46" spans="1:22" x14ac:dyDescent="0.2">
      <c r="A46" s="25"/>
      <c r="B46" s="10" t="s">
        <v>107</v>
      </c>
      <c r="F46" s="16" t="s">
        <v>106</v>
      </c>
      <c r="J46" s="5">
        <f>SUM(L46:Q46)</f>
        <v>436833674.88939983</v>
      </c>
      <c r="L46" s="179">
        <f>'8) Berekening Oper. kosten'!L341</f>
        <v>3177900.5445365515</v>
      </c>
      <c r="M46" s="179">
        <f>'8) Berekening Oper. kosten'!M341</f>
        <v>159454455.57186881</v>
      </c>
      <c r="N46" s="179">
        <f>'8) Berekening Oper. kosten'!N341</f>
        <v>152735467.35903996</v>
      </c>
      <c r="O46" s="179">
        <f>'8) Berekening Oper. kosten'!O341</f>
        <v>2039105.0750962067</v>
      </c>
      <c r="P46" s="179">
        <f>'8) Berekening Oper. kosten'!P341</f>
        <v>109850147.18643378</v>
      </c>
      <c r="Q46" s="179">
        <f>'8) Berekening Oper. kosten'!Q341</f>
        <v>9576599.1524245199</v>
      </c>
      <c r="S46" s="230"/>
      <c r="T46" s="230"/>
    </row>
    <row r="47" spans="1:22" x14ac:dyDescent="0.2">
      <c r="A47" s="25"/>
      <c r="B47" s="10" t="s">
        <v>108</v>
      </c>
      <c r="D47" s="11" t="s">
        <v>100</v>
      </c>
      <c r="F47" s="16" t="s">
        <v>106</v>
      </c>
      <c r="J47" s="5">
        <f>SUM(L47:Q47)</f>
        <v>891883721.3879323</v>
      </c>
      <c r="L47" s="179">
        <f>'9) Berekening Kapitaalkosten'!L240</f>
        <v>4997077.6863944717</v>
      </c>
      <c r="M47" s="179">
        <f>'9) Berekening Kapitaalkosten'!M240</f>
        <v>294941824.95532763</v>
      </c>
      <c r="N47" s="179">
        <f>'9) Berekening Kapitaalkosten'!N240</f>
        <v>297708099.06611753</v>
      </c>
      <c r="O47" s="179">
        <f>'9) Berekening Kapitaalkosten'!O240</f>
        <v>1448491.3799571528</v>
      </c>
      <c r="P47" s="179">
        <f>'9) Berekening Kapitaalkosten'!P240</f>
        <v>277165486.27007872</v>
      </c>
      <c r="Q47" s="179">
        <f>'9) Berekening Kapitaalkosten'!Q240</f>
        <v>15622742.030056711</v>
      </c>
      <c r="S47" s="179">
        <f>'9) Berekening Kapitaalkosten'!U240</f>
        <v>306116663.52907848</v>
      </c>
      <c r="T47" s="179">
        <f>'9) Berekening Kapitaalkosten'!V240</f>
        <v>1665838.0202457407</v>
      </c>
    </row>
    <row r="48" spans="1:22" x14ac:dyDescent="0.2">
      <c r="A48" s="25"/>
      <c r="B48" s="10" t="s">
        <v>108</v>
      </c>
      <c r="D48" s="11" t="s">
        <v>101</v>
      </c>
      <c r="F48" s="16" t="s">
        <v>106</v>
      </c>
      <c r="J48" s="5">
        <f>SUM(L48:Q48)</f>
        <v>856169306.41812789</v>
      </c>
      <c r="L48" s="179">
        <f>'9) Berekening Kapitaalkosten'!L241</f>
        <v>4836921.4382167906</v>
      </c>
      <c r="M48" s="179">
        <f>'9) Berekening Kapitaalkosten'!M241</f>
        <v>283770438.7546705</v>
      </c>
      <c r="N48" s="179">
        <f>'9) Berekening Kapitaalkosten'!N241</f>
        <v>284656228.29625756</v>
      </c>
      <c r="O48" s="179">
        <f>'9) Berekening Kapitaalkosten'!O241</f>
        <v>1365272.8633488473</v>
      </c>
      <c r="P48" s="179">
        <f>'9) Berekening Kapitaalkosten'!P241</f>
        <v>266651490.94331941</v>
      </c>
      <c r="Q48" s="179">
        <f>'9) Berekening Kapitaalkosten'!Q241</f>
        <v>14888954.122314753</v>
      </c>
      <c r="S48" s="179">
        <f>'9) Berekening Kapitaalkosten'!U241</f>
        <v>294882759.5741595</v>
      </c>
      <c r="T48" s="179">
        <f>'9) Berekening Kapitaalkosten'!V241</f>
        <v>1580001.8778771795</v>
      </c>
    </row>
    <row r="49" spans="1:22" x14ac:dyDescent="0.2">
      <c r="A49" s="25"/>
      <c r="B49" s="10"/>
      <c r="D49" s="11"/>
      <c r="J49" s="27"/>
      <c r="K49" s="27"/>
      <c r="M49" s="171"/>
      <c r="N49" s="171"/>
      <c r="O49" s="171"/>
      <c r="P49" s="171"/>
      <c r="Q49" s="171"/>
      <c r="R49" s="27"/>
    </row>
    <row r="50" spans="1:22" x14ac:dyDescent="0.2">
      <c r="A50" s="25"/>
      <c r="B50" s="4" t="s">
        <v>73</v>
      </c>
      <c r="M50" s="171"/>
      <c r="N50" s="171"/>
      <c r="O50" s="171"/>
      <c r="P50" s="171"/>
      <c r="Q50" s="171"/>
      <c r="V50" s="88" t="s">
        <v>648</v>
      </c>
    </row>
    <row r="51" spans="1:22" x14ac:dyDescent="0.2">
      <c r="A51" s="25"/>
      <c r="B51" s="10" t="s">
        <v>105</v>
      </c>
      <c r="D51" s="16" t="s">
        <v>435</v>
      </c>
      <c r="F51" s="16" t="s">
        <v>106</v>
      </c>
      <c r="J51" s="5">
        <f>SUM(L51:Q51)</f>
        <v>1087441866.6401911</v>
      </c>
      <c r="L51" s="179">
        <f>'8) Berekening Oper. kosten'!L344</f>
        <v>5071352</v>
      </c>
      <c r="M51" s="179">
        <f>'8) Berekening Oper. kosten'!M344</f>
        <v>332067371.70822752</v>
      </c>
      <c r="N51" s="179">
        <f>'8) Berekening Oper. kosten'!N344</f>
        <v>456762141.08280051</v>
      </c>
      <c r="O51" s="179">
        <f>'8) Berekening Oper. kosten'!O344</f>
        <v>3379986.4499999997</v>
      </c>
      <c r="P51" s="179">
        <f>'8) Berekening Oper. kosten'!P344</f>
        <v>274769924.33086795</v>
      </c>
      <c r="Q51" s="179">
        <f>'8) Berekening Oper. kosten'!Q344</f>
        <v>15391091.068295019</v>
      </c>
      <c r="S51" s="230"/>
      <c r="T51" s="230"/>
    </row>
    <row r="52" spans="1:22" x14ac:dyDescent="0.2">
      <c r="A52" s="25"/>
      <c r="B52" s="10" t="s">
        <v>108</v>
      </c>
      <c r="D52" s="11" t="s">
        <v>103</v>
      </c>
      <c r="F52" s="16" t="s">
        <v>106</v>
      </c>
      <c r="J52" s="5">
        <f>SUM(L52:Q52)</f>
        <v>1076408198.7319214</v>
      </c>
      <c r="K52" s="27"/>
      <c r="L52" s="179">
        <f>'9) Berekening Kapitaalkosten'!L243</f>
        <v>5824551.6353124883</v>
      </c>
      <c r="M52" s="179">
        <f>'9) Berekening Kapitaalkosten'!M243</f>
        <v>352660653.65872264</v>
      </c>
      <c r="N52" s="179">
        <f>'9) Berekening Kapitaalkosten'!N243</f>
        <v>365142764.71039432</v>
      </c>
      <c r="O52" s="179">
        <f>'9) Berekening Kapitaalkosten'!O243</f>
        <v>1878453.7157667312</v>
      </c>
      <c r="P52" s="179">
        <f>'9) Berekening Kapitaalkosten'!P243</f>
        <v>331487795.45833486</v>
      </c>
      <c r="Q52" s="179">
        <f>'9) Berekening Kapitaalkosten'!Q243</f>
        <v>19413979.55339016</v>
      </c>
      <c r="R52" s="27"/>
      <c r="S52" s="179">
        <f>'9) Berekening Kapitaalkosten'!U243</f>
        <v>364158500.62949288</v>
      </c>
      <c r="T52" s="179">
        <f>'9) Berekening Kapitaalkosten'!V243</f>
        <v>2109324.7558166394</v>
      </c>
    </row>
    <row r="53" spans="1:22" x14ac:dyDescent="0.2">
      <c r="A53" s="25"/>
      <c r="B53" s="16" t="s">
        <v>109</v>
      </c>
      <c r="D53" s="11" t="s">
        <v>110</v>
      </c>
      <c r="F53" s="16" t="s">
        <v>106</v>
      </c>
      <c r="J53" s="5">
        <f>SUM(L53:Q53)</f>
        <v>1040693783.7621169</v>
      </c>
      <c r="K53" s="27"/>
      <c r="L53" s="179">
        <f>'9) Berekening Kapitaalkosten'!L244</f>
        <v>5664395.3871348072</v>
      </c>
      <c r="M53" s="179">
        <f>'9) Berekening Kapitaalkosten'!M244</f>
        <v>341489267.45806551</v>
      </c>
      <c r="N53" s="179">
        <f>'9) Berekening Kapitaalkosten'!N244</f>
        <v>352090893.94053429</v>
      </c>
      <c r="O53" s="179">
        <f>'9) Berekening Kapitaalkosten'!O244</f>
        <v>1795235.1991584254</v>
      </c>
      <c r="P53" s="179">
        <f>'9) Berekening Kapitaalkosten'!P244</f>
        <v>320973800.13157558</v>
      </c>
      <c r="Q53" s="179">
        <f>'9) Berekening Kapitaalkosten'!Q244</f>
        <v>18680191.645648204</v>
      </c>
      <c r="R53" s="27"/>
      <c r="S53" s="179">
        <f>'9) Berekening Kapitaalkosten'!U244</f>
        <v>352924596.67457396</v>
      </c>
      <c r="T53" s="179">
        <f>'9) Berekening Kapitaalkosten'!V244</f>
        <v>2023488.6134480783</v>
      </c>
    </row>
    <row r="55" spans="1:22" s="24" customFormat="1" x14ac:dyDescent="0.2">
      <c r="B55" s="24" t="s">
        <v>111</v>
      </c>
    </row>
    <row r="56" spans="1:22" s="25" customFormat="1" x14ac:dyDescent="0.2"/>
    <row r="57" spans="1:22" s="29" customFormat="1" x14ac:dyDescent="0.2">
      <c r="A57" s="25"/>
      <c r="B57" s="28" t="s">
        <v>72</v>
      </c>
      <c r="G57" s="174"/>
      <c r="H57" s="174"/>
      <c r="M57" s="174"/>
      <c r="N57" s="174"/>
      <c r="O57" s="174"/>
      <c r="P57" s="174"/>
      <c r="Q57" s="174"/>
      <c r="S57" s="174"/>
      <c r="T57" s="174"/>
      <c r="V57" s="88" t="s">
        <v>648</v>
      </c>
    </row>
    <row r="58" spans="1:22" x14ac:dyDescent="0.2">
      <c r="A58" s="25"/>
      <c r="B58" s="10" t="s">
        <v>112</v>
      </c>
      <c r="D58" s="16" t="s">
        <v>435</v>
      </c>
      <c r="F58" s="16" t="s">
        <v>113</v>
      </c>
      <c r="J58" s="198">
        <f>SUM(L58:Q58)</f>
        <v>1162233747.3752635</v>
      </c>
      <c r="K58" s="176"/>
      <c r="L58" s="199">
        <f>'8) Berekening Oper. kosten'!L409</f>
        <v>6204111.3105000006</v>
      </c>
      <c r="M58" s="199">
        <f>'8) Berekening Oper. kosten'!M409</f>
        <v>381252352.82367951</v>
      </c>
      <c r="N58" s="199">
        <f>'8) Berekening Oper. kosten'!N409</f>
        <v>477952056.88271475</v>
      </c>
      <c r="O58" s="199">
        <f>'8) Berekening Oper. kosten'!O409</f>
        <v>3647978.0700000003</v>
      </c>
      <c r="P58" s="199">
        <f>'8) Berekening Oper. kosten'!P409</f>
        <v>277635862.00361073</v>
      </c>
      <c r="Q58" s="199">
        <f>'8) Berekening Oper. kosten'!Q409</f>
        <v>15541386.284758322</v>
      </c>
      <c r="S58" s="230"/>
      <c r="T58" s="230"/>
    </row>
    <row r="59" spans="1:22" x14ac:dyDescent="0.2">
      <c r="A59" s="25"/>
      <c r="B59" s="10" t="s">
        <v>114</v>
      </c>
      <c r="F59" s="16" t="s">
        <v>113</v>
      </c>
      <c r="J59" s="198">
        <f>SUM(L59:Q59)</f>
        <v>473284866.03944355</v>
      </c>
      <c r="K59" s="176"/>
      <c r="L59" s="199">
        <f>'8) Berekening Oper. kosten'!L410</f>
        <v>2758814.2709009191</v>
      </c>
      <c r="M59" s="199">
        <f>'8) Berekening Oper. kosten'!M410</f>
        <v>175153010.53270462</v>
      </c>
      <c r="N59" s="199">
        <f>'8) Berekening Oper. kosten'!N410</f>
        <v>165464747.56449082</v>
      </c>
      <c r="O59" s="199">
        <f>'8) Berekening Oper. kosten'!O410</f>
        <v>1876196.0459502104</v>
      </c>
      <c r="P59" s="199">
        <f>'8) Berekening Oper. kosten'!P410</f>
        <v>117982115.76653253</v>
      </c>
      <c r="Q59" s="199">
        <f>'8) Berekening Oper. kosten'!Q410</f>
        <v>10049981.858864449</v>
      </c>
      <c r="S59" s="230"/>
      <c r="T59" s="230"/>
    </row>
    <row r="60" spans="1:22" x14ac:dyDescent="0.2">
      <c r="A60" s="25"/>
      <c r="B60" s="10" t="s">
        <v>115</v>
      </c>
      <c r="D60" s="11" t="s">
        <v>100</v>
      </c>
      <c r="F60" s="16" t="s">
        <v>113</v>
      </c>
      <c r="J60" s="198">
        <f>SUM(L60:Q60)</f>
        <v>946799379.07719398</v>
      </c>
      <c r="K60" s="176"/>
      <c r="L60" s="199">
        <f>'9) Berekening Kapitaalkosten'!L287</f>
        <v>5153137.3511205893</v>
      </c>
      <c r="M60" s="199">
        <f>'9) Berekening Kapitaalkosten'!M287</f>
        <v>311180398.61272132</v>
      </c>
      <c r="N60" s="199">
        <f>'9) Berekening Kapitaalkosten'!N287</f>
        <v>319947128.48960185</v>
      </c>
      <c r="O60" s="199">
        <f>'9) Berekening Kapitaalkosten'!O287</f>
        <v>1607965.580862992</v>
      </c>
      <c r="P60" s="199">
        <f>'9) Berekening Kapitaalkosten'!P287</f>
        <v>292938861.10141462</v>
      </c>
      <c r="Q60" s="199">
        <f>'9) Berekening Kapitaalkosten'!Q287</f>
        <v>15971887.941472523</v>
      </c>
      <c r="S60" s="199">
        <f>'9) Berekening Kapitaalkosten'!U287</f>
        <v>319521567.94613206</v>
      </c>
      <c r="T60" s="199">
        <f>'9) Berekening Kapitaalkosten'!V287</f>
        <v>1816409.7528222268</v>
      </c>
    </row>
    <row r="61" spans="1:22" x14ac:dyDescent="0.2">
      <c r="A61" s="25"/>
      <c r="B61" s="10" t="s">
        <v>115</v>
      </c>
      <c r="D61" s="11" t="s">
        <v>101</v>
      </c>
      <c r="F61" s="16" t="s">
        <v>113</v>
      </c>
      <c r="J61" s="198">
        <f>SUM(L61:Q61)</f>
        <v>908919672.31125724</v>
      </c>
      <c r="K61" s="176"/>
      <c r="L61" s="199">
        <f>'9) Berekening Kapitaalkosten'!L288</f>
        <v>4994602.963354012</v>
      </c>
      <c r="M61" s="199">
        <f>'9) Berekening Kapitaalkosten'!M288</f>
        <v>299410889.75227469</v>
      </c>
      <c r="N61" s="199">
        <f>'9) Berekening Kapitaalkosten'!N288</f>
        <v>305867150.02143884</v>
      </c>
      <c r="O61" s="199">
        <f>'9) Berekening Kapitaalkosten'!O288</f>
        <v>1513756.1622119192</v>
      </c>
      <c r="P61" s="199">
        <f>'9) Berekening Kapitaalkosten'!P288</f>
        <v>281897320.73483652</v>
      </c>
      <c r="Q61" s="199">
        <f>'9) Berekening Kapitaalkosten'!Q288</f>
        <v>15235952.677141333</v>
      </c>
      <c r="S61" s="199">
        <f>'9) Berekening Kapitaalkosten'!U288</f>
        <v>307711931.53621614</v>
      </c>
      <c r="T61" s="199">
        <f>'9) Berekening Kapitaalkosten'!V288</f>
        <v>1720088.2823137902</v>
      </c>
    </row>
    <row r="62" spans="1:22" x14ac:dyDescent="0.2">
      <c r="A62" s="25"/>
      <c r="B62" s="10"/>
      <c r="D62" s="11"/>
      <c r="J62" s="27"/>
      <c r="K62" s="27"/>
      <c r="L62" s="176"/>
      <c r="M62" s="176"/>
      <c r="N62" s="176"/>
      <c r="O62" s="176"/>
      <c r="P62" s="176"/>
      <c r="Q62" s="176"/>
      <c r="R62" s="27"/>
      <c r="S62" s="176"/>
      <c r="T62" s="176"/>
    </row>
    <row r="63" spans="1:22" x14ac:dyDescent="0.2">
      <c r="A63" s="25"/>
      <c r="B63" s="4" t="s">
        <v>73</v>
      </c>
      <c r="J63" s="176"/>
      <c r="K63" s="176"/>
      <c r="L63" s="176"/>
      <c r="M63" s="176"/>
      <c r="N63" s="176"/>
      <c r="O63" s="176"/>
      <c r="P63" s="176"/>
      <c r="Q63" s="176"/>
      <c r="S63" s="176"/>
      <c r="T63" s="176"/>
      <c r="V63" s="88" t="s">
        <v>648</v>
      </c>
    </row>
    <row r="64" spans="1:22" x14ac:dyDescent="0.2">
      <c r="A64" s="25"/>
      <c r="B64" s="10" t="s">
        <v>112</v>
      </c>
      <c r="D64" s="16" t="s">
        <v>435</v>
      </c>
      <c r="F64" s="16" t="s">
        <v>113</v>
      </c>
      <c r="J64" s="198">
        <f>SUM(L64:Q64)</f>
        <v>1162233747.3752635</v>
      </c>
      <c r="K64" s="176"/>
      <c r="L64" s="199">
        <f>'8) Berekening Oper. kosten'!L413</f>
        <v>6204111.3105000006</v>
      </c>
      <c r="M64" s="199">
        <f>'8) Berekening Oper. kosten'!M413</f>
        <v>381252352.82367951</v>
      </c>
      <c r="N64" s="199">
        <f>'8) Berekening Oper. kosten'!N413</f>
        <v>477952056.88271475</v>
      </c>
      <c r="O64" s="199">
        <f>'8) Berekening Oper. kosten'!O413</f>
        <v>3647978.0700000003</v>
      </c>
      <c r="P64" s="199">
        <f>'8) Berekening Oper. kosten'!P413</f>
        <v>277635862.00361073</v>
      </c>
      <c r="Q64" s="199">
        <f>'8) Berekening Oper. kosten'!Q413</f>
        <v>15541386.284758322</v>
      </c>
      <c r="S64" s="230"/>
      <c r="T64" s="230"/>
    </row>
    <row r="65" spans="1:20" x14ac:dyDescent="0.2">
      <c r="A65" s="25"/>
      <c r="B65" s="10" t="s">
        <v>115</v>
      </c>
      <c r="D65" s="11" t="s">
        <v>110</v>
      </c>
      <c r="F65" s="16" t="s">
        <v>113</v>
      </c>
      <c r="J65" s="198">
        <f>SUM(L65:Q65)</f>
        <v>1104631490.6019297</v>
      </c>
      <c r="K65" s="27"/>
      <c r="L65" s="199">
        <f>'9) Berekening Kapitaalkosten'!L290</f>
        <v>5813697.3001479935</v>
      </c>
      <c r="M65" s="199">
        <f>'9) Berekening Kapitaalkosten'!M290</f>
        <v>360220018.86458242</v>
      </c>
      <c r="N65" s="199">
        <f>'9) Berekening Kapitaalkosten'!N290</f>
        <v>378613705.44028091</v>
      </c>
      <c r="O65" s="199">
        <f>'9) Berekening Kapitaalkosten'!O290</f>
        <v>2000504.8252424614</v>
      </c>
      <c r="P65" s="199">
        <f>'9) Berekening Kapitaalkosten'!P290</f>
        <v>338945279.29548991</v>
      </c>
      <c r="Q65" s="199">
        <f>'9) Berekening Kapitaalkosten'!Q290</f>
        <v>19038284.87618582</v>
      </c>
      <c r="R65" s="27"/>
      <c r="S65" s="199">
        <f>'9) Berekening Kapitaalkosten'!U290</f>
        <v>368728386.32078171</v>
      </c>
      <c r="T65" s="199">
        <f>'9) Berekening Kapitaalkosten'!V290</f>
        <v>2217749.2132740463</v>
      </c>
    </row>
    <row r="66" spans="1:20" ht="13.5" customHeight="1" x14ac:dyDescent="0.2">
      <c r="J66" s="176"/>
      <c r="K66" s="176"/>
      <c r="L66" s="176"/>
      <c r="M66" s="176"/>
      <c r="N66" s="176"/>
      <c r="O66" s="176"/>
      <c r="P66" s="176"/>
      <c r="Q66" s="176"/>
      <c r="S66" s="176"/>
      <c r="T66" s="176"/>
    </row>
  </sheetData>
  <mergeCells count="1">
    <mergeCell ref="B5:C5"/>
  </mergeCells>
  <pageMargins left="0.7" right="0.7" top="0.75" bottom="0.75" header="0.3" footer="0.3"/>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
  <sheetViews>
    <sheetView showGridLines="0" zoomScale="80" zoomScaleNormal="80" workbookViewId="0"/>
  </sheetViews>
  <sheetFormatPr defaultRowHeight="12.75" x14ac:dyDescent="0.2"/>
  <cols>
    <col min="1" max="16384" width="9.140625" style="13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1:S32"/>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75" x14ac:dyDescent="0.2"/>
  <cols>
    <col min="1" max="1" width="2.7109375" style="93" customWidth="1"/>
    <col min="2" max="2" width="43.140625" style="93" customWidth="1"/>
    <col min="3" max="3" width="3.140625" style="93" customWidth="1"/>
    <col min="4" max="4" width="13.7109375" style="93" customWidth="1"/>
    <col min="5" max="5" width="3.140625" style="93" customWidth="1"/>
    <col min="6" max="6" width="13.7109375" style="93" customWidth="1"/>
    <col min="7" max="7" width="2.85546875" style="93" customWidth="1"/>
    <col min="8" max="8" width="13.7109375" style="93" customWidth="1"/>
    <col min="9" max="9" width="2.5703125" style="93" customWidth="1"/>
    <col min="10" max="10" width="13.7109375" style="171" customWidth="1"/>
    <col min="11" max="11" width="2.5703125" style="171" customWidth="1"/>
    <col min="12" max="17" width="13.7109375" style="93" customWidth="1"/>
    <col min="18" max="18" width="2.5703125" style="93" customWidth="1"/>
    <col min="19" max="19" width="13.7109375" style="93" customWidth="1"/>
    <col min="20" max="20" width="2.7109375" style="93" customWidth="1"/>
    <col min="21" max="21" width="13.7109375" style="93" customWidth="1"/>
    <col min="22" max="16384" width="9.140625" style="93"/>
  </cols>
  <sheetData>
    <row r="1" spans="2:19" x14ac:dyDescent="0.2">
      <c r="D1" s="17"/>
    </row>
    <row r="2" spans="2:19" s="23" customFormat="1" ht="18" x14ac:dyDescent="0.2">
      <c r="B2" s="23" t="s">
        <v>165</v>
      </c>
    </row>
    <row r="3" spans="2:19" x14ac:dyDescent="0.2">
      <c r="D3" s="17"/>
    </row>
    <row r="4" spans="2:19" x14ac:dyDescent="0.2">
      <c r="B4" s="19" t="s">
        <v>79</v>
      </c>
      <c r="D4" s="17"/>
    </row>
    <row r="5" spans="2:19" ht="12.75" customHeight="1" x14ac:dyDescent="0.2">
      <c r="B5" s="254" t="s">
        <v>579</v>
      </c>
      <c r="C5" s="255"/>
      <c r="D5" s="255"/>
      <c r="E5" s="255"/>
      <c r="F5" s="255"/>
    </row>
    <row r="6" spans="2:19" x14ac:dyDescent="0.2">
      <c r="D6" s="17"/>
    </row>
    <row r="7" spans="2:19" s="47" customFormat="1" x14ac:dyDescent="0.2">
      <c r="B7" s="47" t="s">
        <v>81</v>
      </c>
      <c r="D7" s="47" t="s">
        <v>66</v>
      </c>
      <c r="F7" s="47" t="s">
        <v>0</v>
      </c>
      <c r="H7" s="47" t="s">
        <v>439</v>
      </c>
      <c r="J7" s="47" t="s">
        <v>440</v>
      </c>
      <c r="L7" s="195"/>
      <c r="M7" s="195"/>
      <c r="N7" s="195"/>
      <c r="O7" s="195"/>
      <c r="P7" s="195"/>
      <c r="Q7" s="195"/>
      <c r="S7" s="47" t="s">
        <v>67</v>
      </c>
    </row>
    <row r="9" spans="2:19" s="24" customFormat="1" x14ac:dyDescent="0.2">
      <c r="B9" s="24" t="s">
        <v>47</v>
      </c>
      <c r="L9" s="51"/>
      <c r="M9" s="51"/>
      <c r="N9" s="51"/>
      <c r="O9" s="51"/>
      <c r="P9" s="51"/>
      <c r="Q9" s="51"/>
      <c r="S9" s="51"/>
    </row>
    <row r="11" spans="2:19" x14ac:dyDescent="0.2">
      <c r="B11" s="94" t="s">
        <v>656</v>
      </c>
      <c r="I11" s="93" t="s">
        <v>136</v>
      </c>
      <c r="J11" s="87"/>
      <c r="K11" s="171" t="s">
        <v>136</v>
      </c>
      <c r="R11" s="93" t="s">
        <v>136</v>
      </c>
    </row>
    <row r="12" spans="2:19" x14ac:dyDescent="0.2">
      <c r="B12" s="93" t="s">
        <v>138</v>
      </c>
      <c r="F12" s="93" t="s">
        <v>63</v>
      </c>
      <c r="H12" s="193">
        <v>2.1999999999999999E-2</v>
      </c>
      <c r="J12" s="208"/>
      <c r="S12" s="93" t="s">
        <v>137</v>
      </c>
    </row>
    <row r="13" spans="2:19" x14ac:dyDescent="0.2">
      <c r="B13" s="93" t="s">
        <v>139</v>
      </c>
      <c r="F13" s="93" t="s">
        <v>63</v>
      </c>
      <c r="H13" s="193">
        <v>1.9E-2</v>
      </c>
      <c r="J13" s="208"/>
      <c r="S13" s="171" t="s">
        <v>137</v>
      </c>
    </row>
    <row r="14" spans="2:19" x14ac:dyDescent="0.2">
      <c r="J14" s="87"/>
    </row>
    <row r="15" spans="2:19" x14ac:dyDescent="0.2">
      <c r="B15" s="94" t="s">
        <v>140</v>
      </c>
      <c r="L15" s="171"/>
    </row>
    <row r="16" spans="2:19" s="171" customFormat="1" x14ac:dyDescent="0.2">
      <c r="B16" s="185" t="s">
        <v>632</v>
      </c>
      <c r="F16" s="171" t="s">
        <v>63</v>
      </c>
      <c r="H16" s="193">
        <v>3.5999999999999997E-2</v>
      </c>
      <c r="S16" s="93"/>
    </row>
    <row r="17" spans="2:19" x14ac:dyDescent="0.2">
      <c r="B17" s="185" t="s">
        <v>78</v>
      </c>
      <c r="F17" s="93" t="s">
        <v>63</v>
      </c>
      <c r="H17" s="193">
        <v>4.4999999999999998E-2</v>
      </c>
      <c r="S17" s="185" t="s">
        <v>633</v>
      </c>
    </row>
    <row r="18" spans="2:19" x14ac:dyDescent="0.2">
      <c r="B18" s="185" t="s">
        <v>141</v>
      </c>
      <c r="F18" s="171" t="s">
        <v>63</v>
      </c>
      <c r="H18" s="194">
        <f>H17-(($H$17-$H$22)/5)</f>
        <v>4.1999999999999996E-2</v>
      </c>
      <c r="S18" s="171" t="s">
        <v>438</v>
      </c>
    </row>
    <row r="19" spans="2:19" x14ac:dyDescent="0.2">
      <c r="B19" s="185" t="s">
        <v>142</v>
      </c>
      <c r="F19" s="171" t="s">
        <v>63</v>
      </c>
      <c r="H19" s="194">
        <f>H18-(($H$17-$H$22)/5)</f>
        <v>3.8999999999999993E-2</v>
      </c>
      <c r="S19" s="171"/>
    </row>
    <row r="20" spans="2:19" x14ac:dyDescent="0.2">
      <c r="B20" s="185" t="s">
        <v>143</v>
      </c>
      <c r="F20" s="171" t="s">
        <v>63</v>
      </c>
      <c r="H20" s="194">
        <f>H19-(($H$17-$H$22)/5)</f>
        <v>3.599999999999999E-2</v>
      </c>
      <c r="S20" s="171"/>
    </row>
    <row r="21" spans="2:19" x14ac:dyDescent="0.2">
      <c r="B21" s="185" t="s">
        <v>144</v>
      </c>
      <c r="F21" s="171" t="s">
        <v>63</v>
      </c>
      <c r="H21" s="194">
        <f>H20-(($H$17-$H$22)/5)</f>
        <v>3.2999999999999988E-2</v>
      </c>
      <c r="S21" s="171"/>
    </row>
    <row r="22" spans="2:19" x14ac:dyDescent="0.2">
      <c r="B22" s="185" t="s">
        <v>580</v>
      </c>
      <c r="F22" s="171" t="s">
        <v>63</v>
      </c>
      <c r="H22" s="196">
        <v>0.03</v>
      </c>
    </row>
    <row r="23" spans="2:19" x14ac:dyDescent="0.2">
      <c r="L23" s="171"/>
    </row>
    <row r="24" spans="2:19" x14ac:dyDescent="0.2">
      <c r="B24" s="185" t="s">
        <v>627</v>
      </c>
      <c r="F24" s="171" t="s">
        <v>63</v>
      </c>
      <c r="H24" s="194">
        <f>AVERAGE(H16,H17)</f>
        <v>4.0499999999999994E-2</v>
      </c>
      <c r="L24" s="171"/>
    </row>
    <row r="25" spans="2:19" x14ac:dyDescent="0.2">
      <c r="B25" s="185" t="s">
        <v>628</v>
      </c>
      <c r="F25" s="171" t="s">
        <v>63</v>
      </c>
      <c r="H25" s="194">
        <f>AVERAGE(H17,H18)</f>
        <v>4.3499999999999997E-2</v>
      </c>
      <c r="L25" s="171"/>
    </row>
    <row r="26" spans="2:19" x14ac:dyDescent="0.2">
      <c r="B26" s="185" t="s">
        <v>629</v>
      </c>
      <c r="F26" s="171" t="s">
        <v>63</v>
      </c>
      <c r="H26" s="194">
        <f>AVERAGE(H18,H19)</f>
        <v>4.0499999999999994E-2</v>
      </c>
      <c r="L26" s="171"/>
    </row>
    <row r="27" spans="2:19" x14ac:dyDescent="0.2">
      <c r="B27" s="185" t="s">
        <v>630</v>
      </c>
      <c r="F27" s="171" t="s">
        <v>63</v>
      </c>
      <c r="H27" s="194">
        <f>AVERAGE(H19,H20)</f>
        <v>3.7499999999999992E-2</v>
      </c>
      <c r="L27" s="171"/>
    </row>
    <row r="28" spans="2:19" x14ac:dyDescent="0.2">
      <c r="B28" s="185" t="s">
        <v>631</v>
      </c>
      <c r="F28" s="171" t="s">
        <v>63</v>
      </c>
      <c r="H28" s="194">
        <f>AVERAGE(H20,H21)</f>
        <v>3.4499999999999989E-2</v>
      </c>
      <c r="L28" s="171"/>
    </row>
    <row r="29" spans="2:19" x14ac:dyDescent="0.2">
      <c r="L29" s="171"/>
    </row>
    <row r="30" spans="2:19" x14ac:dyDescent="0.2">
      <c r="L30" s="171"/>
    </row>
    <row r="31" spans="2:19" x14ac:dyDescent="0.2">
      <c r="L31" s="171"/>
    </row>
    <row r="32" spans="2:19" x14ac:dyDescent="0.2">
      <c r="L32" s="171"/>
    </row>
  </sheetData>
  <mergeCells count="1">
    <mergeCell ref="B5:F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tabColor rgb="FFCCFFCC"/>
  </sheetPr>
  <dimension ref="A1:AH131"/>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75" x14ac:dyDescent="0.2"/>
  <cols>
    <col min="1" max="1" width="2.7109375" style="74" customWidth="1"/>
    <col min="2" max="2" width="43" style="74" customWidth="1"/>
    <col min="3" max="3" width="2.7109375" style="74" customWidth="1"/>
    <col min="4" max="4" width="13.7109375" style="74" customWidth="1"/>
    <col min="5" max="5" width="2.7109375" style="74" customWidth="1"/>
    <col min="6" max="6" width="13.7109375" style="74" customWidth="1"/>
    <col min="7" max="7" width="2.7109375" style="74" customWidth="1"/>
    <col min="8" max="8" width="13.7109375" style="171" customWidth="1"/>
    <col min="9" max="9" width="2.7109375" style="171" customWidth="1"/>
    <col min="10" max="10" width="13.7109375" style="74" customWidth="1"/>
    <col min="11" max="11" width="2.7109375" style="74" customWidth="1"/>
    <col min="12" max="17" width="13.7109375" style="74" customWidth="1"/>
    <col min="18" max="18" width="2.7109375" style="74" customWidth="1"/>
    <col min="19" max="19" width="13.7109375" style="74" customWidth="1"/>
    <col min="20" max="20" width="2.7109375" style="74" customWidth="1"/>
    <col min="21" max="21" width="72.85546875" style="74" customWidth="1"/>
    <col min="22" max="22" width="19.42578125" style="74" customWidth="1"/>
    <col min="23" max="23" width="15" style="74" customWidth="1"/>
    <col min="24" max="24" width="19" style="74" customWidth="1"/>
    <col min="25" max="25" width="20.7109375" style="74" customWidth="1"/>
    <col min="26" max="26" width="4.85546875" style="74" customWidth="1"/>
    <col min="27" max="16384" width="9.140625" style="74"/>
  </cols>
  <sheetData>
    <row r="1" spans="1:34" x14ac:dyDescent="0.2">
      <c r="A1" s="21"/>
      <c r="B1" s="21"/>
      <c r="C1" s="21"/>
      <c r="D1" s="21"/>
      <c r="E1" s="21"/>
      <c r="F1" s="21"/>
      <c r="G1" s="21"/>
      <c r="H1" s="21"/>
      <c r="I1" s="21"/>
      <c r="J1" s="21"/>
      <c r="K1" s="21"/>
      <c r="L1" s="21"/>
      <c r="M1" s="21"/>
      <c r="N1" s="21"/>
      <c r="O1" s="21"/>
      <c r="P1" s="21"/>
      <c r="Q1" s="21"/>
      <c r="R1" s="21"/>
      <c r="S1" s="21"/>
      <c r="T1" s="21"/>
    </row>
    <row r="2" spans="1:34" s="45" customFormat="1" ht="18" x14ac:dyDescent="0.2">
      <c r="B2" s="45" t="s">
        <v>592</v>
      </c>
    </row>
    <row r="3" spans="1:34" x14ac:dyDescent="0.2">
      <c r="A3" s="21"/>
      <c r="B3" s="21"/>
      <c r="C3" s="21"/>
      <c r="D3" s="21"/>
      <c r="E3" s="21"/>
      <c r="F3" s="21"/>
      <c r="G3" s="21"/>
      <c r="H3" s="21"/>
      <c r="I3" s="21"/>
      <c r="J3" s="21"/>
      <c r="K3" s="21"/>
      <c r="L3" s="21"/>
      <c r="M3" s="21"/>
      <c r="N3" s="21"/>
      <c r="O3" s="21"/>
      <c r="P3" s="21"/>
      <c r="Q3" s="21"/>
      <c r="R3" s="21"/>
      <c r="S3" s="21"/>
      <c r="T3" s="21"/>
    </row>
    <row r="4" spans="1:34" ht="14.25" x14ac:dyDescent="0.2">
      <c r="A4" s="21"/>
      <c r="B4" s="42" t="s">
        <v>79</v>
      </c>
      <c r="C4" s="21"/>
      <c r="D4" s="21"/>
      <c r="E4" s="21"/>
      <c r="F4" s="21"/>
      <c r="G4" s="21"/>
      <c r="H4" s="21"/>
      <c r="I4" s="73"/>
      <c r="J4" s="21"/>
      <c r="K4" s="73"/>
      <c r="L4" s="73"/>
      <c r="M4" s="21"/>
      <c r="N4" s="21"/>
      <c r="O4" s="21"/>
      <c r="P4" s="21"/>
      <c r="Q4" s="21"/>
      <c r="R4" s="73"/>
      <c r="S4" s="21"/>
      <c r="T4" s="73"/>
    </row>
    <row r="5" spans="1:34" ht="25.5" customHeight="1" x14ac:dyDescent="0.2">
      <c r="A5" s="21"/>
      <c r="B5" s="253" t="s">
        <v>588</v>
      </c>
      <c r="C5" s="253"/>
      <c r="D5" s="253"/>
      <c r="E5" s="253"/>
      <c r="F5" s="253"/>
      <c r="G5" s="21"/>
      <c r="H5" s="21"/>
      <c r="I5" s="21"/>
      <c r="J5" s="21"/>
      <c r="K5" s="21"/>
      <c r="L5" s="21"/>
      <c r="M5" s="21"/>
      <c r="N5" s="21"/>
      <c r="O5" s="21"/>
      <c r="P5" s="21"/>
      <c r="Q5" s="21"/>
      <c r="R5" s="21"/>
      <c r="S5" s="21"/>
      <c r="T5" s="21"/>
    </row>
    <row r="6" spans="1:34" x14ac:dyDescent="0.2">
      <c r="A6" s="21"/>
      <c r="B6" s="21"/>
      <c r="C6" s="21"/>
      <c r="D6" s="21"/>
      <c r="E6" s="21"/>
      <c r="F6" s="21"/>
      <c r="G6" s="21"/>
      <c r="H6" s="21"/>
      <c r="I6" s="21"/>
      <c r="J6" s="21"/>
      <c r="K6" s="21"/>
      <c r="L6" s="21"/>
      <c r="M6" s="21"/>
      <c r="N6" s="21"/>
      <c r="O6" s="21"/>
      <c r="P6" s="21"/>
      <c r="Q6" s="21"/>
      <c r="R6" s="21"/>
      <c r="S6" s="21"/>
      <c r="T6" s="21"/>
    </row>
    <row r="7" spans="1:34" ht="14.25" x14ac:dyDescent="0.2">
      <c r="B7" s="48" t="s">
        <v>80</v>
      </c>
      <c r="D7" s="91"/>
      <c r="F7" s="91"/>
      <c r="G7" s="91"/>
      <c r="H7" s="180"/>
      <c r="I7" s="180"/>
      <c r="J7" s="91"/>
      <c r="K7" s="91"/>
      <c r="L7" s="91"/>
      <c r="M7" s="91"/>
      <c r="N7" s="91"/>
      <c r="O7" s="91"/>
      <c r="P7" s="91"/>
      <c r="Q7" s="91"/>
      <c r="R7" s="91"/>
      <c r="S7" s="91"/>
      <c r="T7" s="91"/>
    </row>
    <row r="8" spans="1:34" ht="51" customHeight="1" x14ac:dyDescent="0.2">
      <c r="B8" s="253" t="s">
        <v>581</v>
      </c>
      <c r="C8" s="253"/>
      <c r="D8" s="253"/>
      <c r="E8" s="253"/>
      <c r="F8" s="253"/>
      <c r="G8" s="91"/>
      <c r="H8" s="180"/>
      <c r="I8" s="180"/>
      <c r="J8" s="91"/>
      <c r="K8" s="91"/>
      <c r="L8" s="26"/>
      <c r="M8" s="91"/>
      <c r="N8" s="91"/>
      <c r="O8" s="91"/>
      <c r="P8" s="91"/>
      <c r="Q8" s="91"/>
      <c r="R8" s="91"/>
      <c r="S8" s="91"/>
      <c r="T8" s="91"/>
    </row>
    <row r="10" spans="1:34" s="47" customFormat="1" x14ac:dyDescent="0.2">
      <c r="B10" s="47" t="s">
        <v>81</v>
      </c>
      <c r="D10" s="47" t="s">
        <v>66</v>
      </c>
      <c r="F10" s="47" t="s">
        <v>0</v>
      </c>
      <c r="H10" s="47" t="s">
        <v>439</v>
      </c>
      <c r="J10" s="47" t="s">
        <v>440</v>
      </c>
      <c r="L10" s="47" t="s">
        <v>82</v>
      </c>
      <c r="M10" s="47" t="s">
        <v>1</v>
      </c>
      <c r="N10" s="47" t="s">
        <v>2</v>
      </c>
      <c r="O10" s="47" t="s">
        <v>3</v>
      </c>
      <c r="P10" s="47" t="s">
        <v>4</v>
      </c>
      <c r="Q10" s="47" t="s">
        <v>5</v>
      </c>
      <c r="S10" s="47" t="s">
        <v>35</v>
      </c>
      <c r="U10" s="47" t="s">
        <v>67</v>
      </c>
      <c r="V10" s="47" t="s">
        <v>271</v>
      </c>
    </row>
    <row r="12" spans="1:34" s="47" customFormat="1" x14ac:dyDescent="0.2">
      <c r="B12" s="47" t="s">
        <v>19</v>
      </c>
    </row>
    <row r="14" spans="1:34" x14ac:dyDescent="0.2">
      <c r="B14" s="75" t="s">
        <v>238</v>
      </c>
    </row>
    <row r="15" spans="1:34" x14ac:dyDescent="0.2">
      <c r="A15" s="89"/>
      <c r="B15" s="75" t="s">
        <v>6</v>
      </c>
      <c r="C15" s="89"/>
      <c r="D15" s="75"/>
      <c r="E15" s="89"/>
    </row>
    <row r="16" spans="1:34" x14ac:dyDescent="0.2">
      <c r="A16" s="89"/>
      <c r="B16" s="74" t="s">
        <v>7</v>
      </c>
      <c r="C16" s="89"/>
      <c r="E16" s="89"/>
      <c r="F16" s="74" t="s">
        <v>20</v>
      </c>
      <c r="J16" s="76">
        <f>SUM(L16:Q16,S16)</f>
        <v>433245657.58773011</v>
      </c>
      <c r="L16" s="213"/>
      <c r="M16" s="124">
        <v>162038366.07091802</v>
      </c>
      <c r="N16" s="124">
        <v>154902134.30083051</v>
      </c>
      <c r="O16" s="213"/>
      <c r="P16" s="124">
        <v>97956760.129999995</v>
      </c>
      <c r="Q16" s="213">
        <v>9556977.525981538</v>
      </c>
      <c r="S16" s="213">
        <v>8791419.5600000024</v>
      </c>
      <c r="U16" s="74" t="s">
        <v>274</v>
      </c>
      <c r="V16" s="171" t="s">
        <v>272</v>
      </c>
      <c r="X16" s="86"/>
      <c r="Z16" s="86"/>
      <c r="AB16" s="86"/>
      <c r="AD16" s="86"/>
      <c r="AF16" s="86"/>
      <c r="AH16" s="86"/>
    </row>
    <row r="17" spans="1:34" x14ac:dyDescent="0.2">
      <c r="A17" s="89"/>
      <c r="B17" s="74" t="s">
        <v>8</v>
      </c>
      <c r="C17" s="89"/>
      <c r="E17" s="89"/>
      <c r="F17" s="74" t="s">
        <v>20</v>
      </c>
      <c r="J17" s="172">
        <f t="shared" ref="J17:J19" si="0">SUM(L17:Q17,S17)</f>
        <v>10161047.026570963</v>
      </c>
      <c r="L17" s="213">
        <v>3321046.5</v>
      </c>
      <c r="M17" s="124">
        <v>0</v>
      </c>
      <c r="N17" s="124">
        <v>1278014.4207042954</v>
      </c>
      <c r="O17" s="213">
        <v>2205049.6699999995</v>
      </c>
      <c r="P17" s="124">
        <v>3263307.9200000004</v>
      </c>
      <c r="Q17" s="213">
        <v>93628.515866666668</v>
      </c>
      <c r="S17" s="213"/>
      <c r="U17" s="171" t="s">
        <v>252</v>
      </c>
      <c r="V17" s="171" t="s">
        <v>273</v>
      </c>
      <c r="X17" s="86"/>
      <c r="Z17" s="86"/>
      <c r="AB17" s="86"/>
      <c r="AD17" s="86"/>
      <c r="AF17" s="86"/>
      <c r="AH17" s="86"/>
    </row>
    <row r="18" spans="1:34" x14ac:dyDescent="0.2">
      <c r="A18" s="89"/>
      <c r="B18" s="74" t="s">
        <v>9</v>
      </c>
      <c r="C18" s="89"/>
      <c r="E18" s="89"/>
      <c r="F18" s="74" t="s">
        <v>20</v>
      </c>
      <c r="J18" s="172">
        <f t="shared" si="0"/>
        <v>181349105.17467612</v>
      </c>
      <c r="L18" s="213">
        <v>727083.75999999989</v>
      </c>
      <c r="M18" s="124">
        <v>65172068.558161162</v>
      </c>
      <c r="N18" s="124">
        <v>72650496.048697948</v>
      </c>
      <c r="O18" s="213">
        <v>458862.42</v>
      </c>
      <c r="P18" s="124">
        <v>36892731.467817038</v>
      </c>
      <c r="Q18" s="213">
        <v>1521059.1</v>
      </c>
      <c r="S18" s="213">
        <v>3926803.8199999994</v>
      </c>
      <c r="U18" s="171" t="s">
        <v>253</v>
      </c>
      <c r="V18" s="86"/>
      <c r="X18" s="86"/>
      <c r="Z18" s="86"/>
      <c r="AB18" s="86"/>
      <c r="AD18" s="86"/>
      <c r="AF18" s="86"/>
      <c r="AH18" s="86"/>
    </row>
    <row r="19" spans="1:34" x14ac:dyDescent="0.2">
      <c r="A19" s="89"/>
      <c r="B19" s="74" t="s">
        <v>10</v>
      </c>
      <c r="C19" s="89"/>
      <c r="E19" s="89"/>
      <c r="F19" s="74" t="s">
        <v>20</v>
      </c>
      <c r="J19" s="172">
        <f t="shared" si="0"/>
        <v>0</v>
      </c>
      <c r="L19" s="213"/>
      <c r="M19" s="124">
        <v>0</v>
      </c>
      <c r="N19" s="124">
        <v>0</v>
      </c>
      <c r="O19" s="213"/>
      <c r="P19" s="124">
        <v>0</v>
      </c>
      <c r="Q19" s="213"/>
      <c r="S19" s="213"/>
      <c r="U19" s="171" t="s">
        <v>254</v>
      </c>
      <c r="V19" s="86"/>
      <c r="X19" s="86"/>
      <c r="Z19" s="86"/>
      <c r="AB19" s="86"/>
      <c r="AD19" s="86"/>
      <c r="AF19" s="86"/>
      <c r="AH19" s="86"/>
    </row>
    <row r="20" spans="1:34" x14ac:dyDescent="0.2">
      <c r="A20" s="89"/>
      <c r="C20" s="89"/>
      <c r="E20" s="89"/>
      <c r="J20" s="77"/>
      <c r="L20" s="86"/>
      <c r="M20" s="86"/>
      <c r="N20" s="86"/>
      <c r="O20" s="86"/>
      <c r="P20" s="86"/>
      <c r="Q20" s="86"/>
      <c r="S20" s="86"/>
      <c r="U20" s="171"/>
      <c r="V20" s="86"/>
      <c r="X20" s="86"/>
      <c r="Z20" s="86"/>
      <c r="AB20" s="86"/>
      <c r="AD20" s="86"/>
      <c r="AF20" s="86"/>
      <c r="AH20" s="86"/>
    </row>
    <row r="21" spans="1:34" x14ac:dyDescent="0.2">
      <c r="A21" s="89"/>
      <c r="B21" s="75" t="s">
        <v>11</v>
      </c>
      <c r="C21" s="89"/>
      <c r="D21" s="75"/>
      <c r="E21" s="89"/>
      <c r="J21" s="77"/>
      <c r="L21" s="86"/>
      <c r="M21" s="86"/>
      <c r="N21" s="86"/>
      <c r="O21" s="86"/>
      <c r="P21" s="86"/>
      <c r="Q21" s="86"/>
      <c r="S21" s="86"/>
      <c r="U21" s="171"/>
      <c r="V21" s="86"/>
      <c r="X21" s="86"/>
      <c r="Z21" s="86"/>
      <c r="AB21" s="86"/>
      <c r="AD21" s="86"/>
      <c r="AF21" s="86"/>
      <c r="AH21" s="86"/>
    </row>
    <row r="22" spans="1:34" ht="13.5" customHeight="1" x14ac:dyDescent="0.2">
      <c r="A22" s="89"/>
      <c r="B22" s="74" t="s">
        <v>12</v>
      </c>
      <c r="C22" s="89"/>
      <c r="E22" s="89"/>
      <c r="F22" s="74" t="s">
        <v>20</v>
      </c>
      <c r="J22" s="172">
        <f t="shared" ref="J22:J24" si="1">SUM(L22:Q22,S22)</f>
        <v>843407209.24740136</v>
      </c>
      <c r="L22" s="213">
        <v>3993305.2884554057</v>
      </c>
      <c r="M22" s="124">
        <v>251599469.18863535</v>
      </c>
      <c r="N22" s="124">
        <v>365721629.67821509</v>
      </c>
      <c r="O22" s="213">
        <v>2121105.62</v>
      </c>
      <c r="P22" s="124">
        <v>186752871.51111409</v>
      </c>
      <c r="Q22" s="213">
        <v>11056134.162798595</v>
      </c>
      <c r="R22" s="171"/>
      <c r="S22" s="213">
        <v>22162693.798182774</v>
      </c>
      <c r="U22" s="171" t="s">
        <v>255</v>
      </c>
      <c r="V22" s="86"/>
      <c r="X22" s="86"/>
      <c r="Z22" s="86"/>
      <c r="AB22" s="86"/>
      <c r="AD22" s="86"/>
      <c r="AF22" s="86"/>
      <c r="AH22" s="86"/>
    </row>
    <row r="23" spans="1:34" s="171" customFormat="1" ht="13.5" customHeight="1" x14ac:dyDescent="0.2">
      <c r="A23" s="102"/>
      <c r="B23" s="171" t="s">
        <v>430</v>
      </c>
      <c r="C23" s="102"/>
      <c r="E23" s="102"/>
      <c r="F23" s="171" t="s">
        <v>20</v>
      </c>
      <c r="J23" s="172">
        <f t="shared" si="1"/>
        <v>1329154.2823920669</v>
      </c>
      <c r="L23" s="213">
        <v>6668</v>
      </c>
      <c r="M23" s="124">
        <v>451155.00030178478</v>
      </c>
      <c r="N23" s="124">
        <v>498522.66</v>
      </c>
      <c r="O23" s="213">
        <v>6487.46</v>
      </c>
      <c r="P23" s="124">
        <v>308790.94751250098</v>
      </c>
      <c r="Q23" s="213">
        <v>20309.5145777814</v>
      </c>
      <c r="S23" s="213">
        <v>37220.699999999997</v>
      </c>
      <c r="U23" s="185" t="s">
        <v>582</v>
      </c>
      <c r="V23" s="86"/>
      <c r="X23" s="86"/>
      <c r="Z23" s="86"/>
      <c r="AB23" s="86"/>
      <c r="AD23" s="86"/>
      <c r="AF23" s="86"/>
      <c r="AH23" s="86"/>
    </row>
    <row r="24" spans="1:34" x14ac:dyDescent="0.2">
      <c r="A24" s="89"/>
      <c r="B24" s="74" t="s">
        <v>13</v>
      </c>
      <c r="C24" s="89"/>
      <c r="E24" s="89"/>
      <c r="F24" s="74" t="s">
        <v>20</v>
      </c>
      <c r="J24" s="172">
        <f t="shared" si="1"/>
        <v>1854450.56</v>
      </c>
      <c r="L24" s="213">
        <v>11398</v>
      </c>
      <c r="M24" s="124">
        <v>564100</v>
      </c>
      <c r="N24" s="124">
        <v>603671</v>
      </c>
      <c r="O24" s="213">
        <v>254626.56</v>
      </c>
      <c r="P24" s="124">
        <v>409687</v>
      </c>
      <c r="Q24" s="213">
        <v>10968</v>
      </c>
      <c r="R24" s="171"/>
      <c r="S24" s="213"/>
      <c r="U24" s="171" t="s">
        <v>256</v>
      </c>
      <c r="V24" s="86"/>
      <c r="X24" s="86"/>
      <c r="Z24" s="86"/>
      <c r="AB24" s="86"/>
      <c r="AD24" s="86"/>
      <c r="AF24" s="86"/>
      <c r="AH24" s="86"/>
    </row>
    <row r="25" spans="1:34" x14ac:dyDescent="0.2">
      <c r="A25" s="89"/>
      <c r="C25" s="89"/>
      <c r="E25" s="89"/>
      <c r="J25" s="77"/>
      <c r="L25" s="86"/>
      <c r="M25" s="86"/>
      <c r="N25" s="86"/>
      <c r="O25" s="86"/>
      <c r="P25" s="86"/>
      <c r="Q25" s="86"/>
      <c r="S25" s="86"/>
      <c r="U25" s="171"/>
      <c r="V25" s="86"/>
      <c r="X25" s="86"/>
      <c r="Z25" s="86"/>
      <c r="AB25" s="86"/>
      <c r="AD25" s="86"/>
      <c r="AF25" s="86"/>
      <c r="AH25" s="86"/>
    </row>
    <row r="26" spans="1:34" x14ac:dyDescent="0.2">
      <c r="A26" s="89"/>
      <c r="B26" s="75" t="s">
        <v>14</v>
      </c>
      <c r="C26" s="89"/>
      <c r="D26" s="75"/>
      <c r="E26" s="89"/>
      <c r="J26" s="77"/>
      <c r="L26" s="86"/>
      <c r="M26" s="86"/>
      <c r="N26" s="86"/>
      <c r="O26" s="86"/>
      <c r="P26" s="86"/>
      <c r="Q26" s="86"/>
      <c r="S26" s="86"/>
      <c r="U26" s="171"/>
      <c r="V26" s="86"/>
      <c r="X26" s="86"/>
      <c r="Z26" s="86"/>
      <c r="AB26" s="86"/>
      <c r="AD26" s="86"/>
      <c r="AF26" s="86"/>
      <c r="AH26" s="86"/>
    </row>
    <row r="27" spans="1:34" x14ac:dyDescent="0.2">
      <c r="A27" s="89"/>
      <c r="B27" s="74" t="s">
        <v>15</v>
      </c>
      <c r="C27" s="89"/>
      <c r="D27" s="79"/>
      <c r="E27" s="89"/>
      <c r="F27" s="74" t="s">
        <v>20</v>
      </c>
      <c r="J27" s="172">
        <f t="shared" ref="J27:J30" si="2">SUM(L27:Q27,S27)</f>
        <v>6853735.8912426112</v>
      </c>
      <c r="L27" s="213">
        <v>8387.82</v>
      </c>
      <c r="M27" s="124">
        <v>4313970.714857935</v>
      </c>
      <c r="N27" s="124">
        <v>1311642.93</v>
      </c>
      <c r="O27" s="213"/>
      <c r="P27" s="124">
        <v>1207518.5463846761</v>
      </c>
      <c r="Q27" s="213">
        <v>12215.88</v>
      </c>
      <c r="R27" s="171"/>
      <c r="S27" s="213"/>
      <c r="U27" s="171" t="s">
        <v>257</v>
      </c>
      <c r="V27" s="86"/>
      <c r="X27" s="86"/>
      <c r="Z27" s="86"/>
      <c r="AB27" s="86"/>
      <c r="AD27" s="86"/>
      <c r="AF27" s="86"/>
      <c r="AH27" s="86"/>
    </row>
    <row r="28" spans="1:34" x14ac:dyDescent="0.2">
      <c r="A28" s="89"/>
      <c r="B28" s="74" t="s">
        <v>16</v>
      </c>
      <c r="C28" s="89"/>
      <c r="E28" s="89"/>
      <c r="F28" s="74" t="s">
        <v>20</v>
      </c>
      <c r="J28" s="172">
        <f t="shared" si="2"/>
        <v>1290133.4196464689</v>
      </c>
      <c r="L28" s="213">
        <v>-173.01</v>
      </c>
      <c r="M28" s="124">
        <v>1230313.867921771</v>
      </c>
      <c r="N28" s="124">
        <v>0</v>
      </c>
      <c r="O28" s="213">
        <v>3620.94</v>
      </c>
      <c r="P28" s="124">
        <v>56371.621724698067</v>
      </c>
      <c r="Q28" s="213"/>
      <c r="R28" s="171"/>
      <c r="S28" s="213"/>
      <c r="U28" s="171" t="s">
        <v>258</v>
      </c>
      <c r="V28" s="86"/>
      <c r="X28" s="86"/>
      <c r="Z28" s="86"/>
      <c r="AB28" s="86"/>
      <c r="AD28" s="86"/>
      <c r="AF28" s="86"/>
      <c r="AH28" s="86"/>
    </row>
    <row r="29" spans="1:34" x14ac:dyDescent="0.2">
      <c r="A29" s="89"/>
      <c r="B29" s="74" t="s">
        <v>17</v>
      </c>
      <c r="C29" s="89"/>
      <c r="E29" s="89"/>
      <c r="F29" s="74" t="s">
        <v>20</v>
      </c>
      <c r="J29" s="172">
        <f t="shared" si="2"/>
        <v>2581312.6533622276</v>
      </c>
      <c r="L29" s="213">
        <v>824.12</v>
      </c>
      <c r="M29" s="124">
        <v>940791.88407319936</v>
      </c>
      <c r="N29" s="124">
        <v>1007992.2916745904</v>
      </c>
      <c r="O29" s="213">
        <v>4435.88</v>
      </c>
      <c r="P29" s="124">
        <v>395240.2931658228</v>
      </c>
      <c r="Q29" s="213">
        <v>83110.539999999994</v>
      </c>
      <c r="R29" s="171"/>
      <c r="S29" s="213">
        <v>148917.64444861509</v>
      </c>
      <c r="U29" s="171" t="s">
        <v>259</v>
      </c>
      <c r="V29" s="86"/>
      <c r="X29" s="86"/>
      <c r="Z29" s="86"/>
      <c r="AB29" s="86"/>
      <c r="AD29" s="86"/>
      <c r="AF29" s="86"/>
      <c r="AH29" s="86"/>
    </row>
    <row r="30" spans="1:34" x14ac:dyDescent="0.2">
      <c r="A30" s="89"/>
      <c r="B30" s="74" t="s">
        <v>18</v>
      </c>
      <c r="C30" s="89"/>
      <c r="E30" s="89"/>
      <c r="F30" s="74" t="s">
        <v>20</v>
      </c>
      <c r="J30" s="172">
        <f t="shared" si="2"/>
        <v>29742317.310290616</v>
      </c>
      <c r="L30" s="213"/>
      <c r="M30" s="124">
        <v>2829708.0683512497</v>
      </c>
      <c r="N30" s="124">
        <v>16619999.029893739</v>
      </c>
      <c r="O30" s="213">
        <v>10148.17</v>
      </c>
      <c r="P30" s="124">
        <v>10281972.042045627</v>
      </c>
      <c r="Q30" s="213">
        <v>490</v>
      </c>
      <c r="R30" s="171"/>
      <c r="S30" s="213"/>
      <c r="U30" s="171" t="s">
        <v>260</v>
      </c>
      <c r="V30" s="86"/>
      <c r="X30" s="86"/>
      <c r="Z30" s="86"/>
      <c r="AB30" s="86"/>
      <c r="AD30" s="86"/>
      <c r="AF30" s="86"/>
      <c r="AH30" s="86"/>
    </row>
    <row r="31" spans="1:34" x14ac:dyDescent="0.2">
      <c r="L31" s="77"/>
      <c r="M31" s="86"/>
      <c r="N31" s="86"/>
      <c r="O31" s="96"/>
      <c r="P31" s="86"/>
      <c r="Q31" s="96"/>
      <c r="S31" s="96"/>
      <c r="U31" s="86"/>
      <c r="V31" s="86"/>
      <c r="W31" s="86"/>
      <c r="X31" s="86"/>
    </row>
    <row r="32" spans="1:34" s="47" customFormat="1" x14ac:dyDescent="0.2">
      <c r="B32" s="47" t="s">
        <v>116</v>
      </c>
    </row>
    <row r="33" spans="1:34" x14ac:dyDescent="0.2">
      <c r="O33" s="171"/>
      <c r="Q33" s="171"/>
      <c r="S33" s="171"/>
    </row>
    <row r="34" spans="1:34" x14ac:dyDescent="0.2">
      <c r="B34" s="75" t="s">
        <v>238</v>
      </c>
      <c r="O34" s="171"/>
      <c r="Q34" s="171"/>
      <c r="S34" s="171"/>
    </row>
    <row r="35" spans="1:34" x14ac:dyDescent="0.2">
      <c r="A35" s="89"/>
      <c r="B35" s="75" t="s">
        <v>6</v>
      </c>
      <c r="C35" s="89"/>
      <c r="D35" s="75"/>
      <c r="E35" s="89"/>
      <c r="O35" s="171"/>
      <c r="Q35" s="171"/>
      <c r="S35" s="171"/>
    </row>
    <row r="36" spans="1:34" x14ac:dyDescent="0.2">
      <c r="A36" s="89"/>
      <c r="B36" s="74" t="s">
        <v>7</v>
      </c>
      <c r="C36" s="89"/>
      <c r="E36" s="89"/>
      <c r="F36" s="74" t="s">
        <v>87</v>
      </c>
      <c r="J36" s="172">
        <f t="shared" ref="J36:J39" si="3">SUM(L36:Q36,S36)</f>
        <v>449635227.26949102</v>
      </c>
      <c r="L36" s="213">
        <v>0</v>
      </c>
      <c r="M36" s="124">
        <v>168365881.88999999</v>
      </c>
      <c r="N36" s="213">
        <v>162369324.03999999</v>
      </c>
      <c r="O36" s="213"/>
      <c r="P36" s="124">
        <v>102145610.84</v>
      </c>
      <c r="Q36" s="213">
        <v>6427942.3394910097</v>
      </c>
      <c r="S36" s="213">
        <v>10326468.159999998</v>
      </c>
      <c r="U36" s="171" t="s">
        <v>389</v>
      </c>
      <c r="V36" s="86"/>
      <c r="X36" s="86"/>
      <c r="Z36" s="86"/>
      <c r="AB36" s="86"/>
      <c r="AD36" s="86"/>
      <c r="AF36" s="86"/>
      <c r="AH36" s="86"/>
    </row>
    <row r="37" spans="1:34" x14ac:dyDescent="0.2">
      <c r="A37" s="89"/>
      <c r="B37" s="74" t="s">
        <v>8</v>
      </c>
      <c r="C37" s="89"/>
      <c r="E37" s="89"/>
      <c r="F37" s="74" t="s">
        <v>87</v>
      </c>
      <c r="J37" s="172">
        <f t="shared" si="3"/>
        <v>10617154.986532025</v>
      </c>
      <c r="L37" s="213">
        <v>3384368</v>
      </c>
      <c r="M37" s="124">
        <v>345008.1657320261</v>
      </c>
      <c r="N37" s="213">
        <v>1324634.1839999999</v>
      </c>
      <c r="O37" s="213">
        <v>2242880.09</v>
      </c>
      <c r="P37" s="124">
        <v>3029065.3299999987</v>
      </c>
      <c r="Q37" s="213">
        <v>291199.21680000005</v>
      </c>
      <c r="S37" s="213">
        <v>0</v>
      </c>
      <c r="U37" s="171" t="s">
        <v>421</v>
      </c>
      <c r="V37" s="86"/>
      <c r="X37" s="86"/>
      <c r="Z37" s="86"/>
      <c r="AB37" s="86"/>
      <c r="AD37" s="86"/>
      <c r="AF37" s="86"/>
      <c r="AH37" s="86"/>
    </row>
    <row r="38" spans="1:34" x14ac:dyDescent="0.2">
      <c r="A38" s="89"/>
      <c r="B38" s="74" t="s">
        <v>9</v>
      </c>
      <c r="C38" s="89"/>
      <c r="E38" s="89"/>
      <c r="F38" s="74" t="s">
        <v>87</v>
      </c>
      <c r="J38" s="172">
        <f t="shared" si="3"/>
        <v>162156561.84999999</v>
      </c>
      <c r="L38" s="213">
        <v>599183</v>
      </c>
      <c r="M38" s="124">
        <v>59982373.788028285</v>
      </c>
      <c r="N38" s="213">
        <v>61055556</v>
      </c>
      <c r="O38" s="213">
        <v>454489.98</v>
      </c>
      <c r="P38" s="124">
        <v>33814907.081971712</v>
      </c>
      <c r="Q38" s="213">
        <v>1957414.55</v>
      </c>
      <c r="S38" s="213">
        <v>4292637.4499999993</v>
      </c>
      <c r="U38" s="171" t="s">
        <v>422</v>
      </c>
      <c r="V38" s="86"/>
      <c r="X38" s="86"/>
      <c r="Z38" s="86"/>
      <c r="AB38" s="86"/>
      <c r="AD38" s="86"/>
      <c r="AF38" s="86"/>
      <c r="AH38" s="86"/>
    </row>
    <row r="39" spans="1:34" x14ac:dyDescent="0.2">
      <c r="A39" s="89"/>
      <c r="B39" s="74" t="s">
        <v>10</v>
      </c>
      <c r="C39" s="89"/>
      <c r="E39" s="89"/>
      <c r="F39" s="74" t="s">
        <v>87</v>
      </c>
      <c r="J39" s="172">
        <f t="shared" si="3"/>
        <v>0</v>
      </c>
      <c r="L39" s="213">
        <v>0</v>
      </c>
      <c r="M39" s="124">
        <v>0</v>
      </c>
      <c r="N39" s="213"/>
      <c r="O39" s="213"/>
      <c r="P39" s="124">
        <v>0</v>
      </c>
      <c r="Q39" s="213"/>
      <c r="S39" s="213">
        <v>0</v>
      </c>
      <c r="U39" s="171" t="s">
        <v>423</v>
      </c>
      <c r="V39" s="86"/>
      <c r="X39" s="86"/>
      <c r="Z39" s="86"/>
      <c r="AB39" s="86"/>
      <c r="AD39" s="86"/>
      <c r="AF39" s="86"/>
      <c r="AH39" s="86"/>
    </row>
    <row r="40" spans="1:34" x14ac:dyDescent="0.2">
      <c r="A40" s="89"/>
      <c r="C40" s="89"/>
      <c r="E40" s="89"/>
      <c r="J40" s="96"/>
      <c r="L40" s="86"/>
      <c r="M40" s="86"/>
      <c r="N40" s="86"/>
      <c r="O40" s="86"/>
      <c r="P40" s="86"/>
      <c r="Q40" s="86"/>
      <c r="S40" s="86"/>
      <c r="U40" s="171"/>
      <c r="V40" s="86"/>
      <c r="X40" s="86"/>
      <c r="Z40" s="86"/>
      <c r="AB40" s="86"/>
      <c r="AD40" s="86"/>
      <c r="AF40" s="86"/>
      <c r="AH40" s="86"/>
    </row>
    <row r="41" spans="1:34" x14ac:dyDescent="0.2">
      <c r="A41" s="89"/>
      <c r="B41" s="75" t="s">
        <v>11</v>
      </c>
      <c r="C41" s="89"/>
      <c r="D41" s="75"/>
      <c r="E41" s="89"/>
      <c r="J41" s="96"/>
      <c r="L41" s="86"/>
      <c r="M41" s="86"/>
      <c r="N41" s="86"/>
      <c r="O41" s="86"/>
      <c r="P41" s="86"/>
      <c r="Q41" s="86"/>
      <c r="S41" s="86"/>
      <c r="U41" s="171"/>
      <c r="V41" s="86"/>
      <c r="X41" s="86"/>
      <c r="Z41" s="86"/>
      <c r="AB41" s="86"/>
      <c r="AD41" s="86"/>
      <c r="AF41" s="86"/>
      <c r="AH41" s="86"/>
    </row>
    <row r="42" spans="1:34" x14ac:dyDescent="0.2">
      <c r="A42" s="89"/>
      <c r="B42" s="74" t="s">
        <v>12</v>
      </c>
      <c r="C42" s="89"/>
      <c r="E42" s="89"/>
      <c r="F42" s="74" t="s">
        <v>87</v>
      </c>
      <c r="J42" s="172">
        <f t="shared" ref="J42:J44" si="4">SUM(L42:Q42,S42)</f>
        <v>823409949.62412262</v>
      </c>
      <c r="L42" s="213">
        <v>4330676</v>
      </c>
      <c r="M42" s="124">
        <v>257727636.42505801</v>
      </c>
      <c r="N42" s="213">
        <v>334535432.41055858</v>
      </c>
      <c r="O42" s="213">
        <v>2092307.61</v>
      </c>
      <c r="P42" s="124">
        <v>193431201.9361912</v>
      </c>
      <c r="Q42" s="213">
        <v>8245407.8762845658</v>
      </c>
      <c r="R42" s="171"/>
      <c r="S42" s="213">
        <v>23047287.36603016</v>
      </c>
      <c r="U42" s="171" t="s">
        <v>424</v>
      </c>
      <c r="V42" s="86"/>
      <c r="X42" s="86"/>
      <c r="Z42" s="86"/>
      <c r="AB42" s="86"/>
      <c r="AD42" s="86"/>
      <c r="AF42" s="86"/>
      <c r="AH42" s="86"/>
    </row>
    <row r="43" spans="1:34" s="171" customFormat="1" x14ac:dyDescent="0.2">
      <c r="A43" s="102"/>
      <c r="B43" s="171" t="s">
        <v>430</v>
      </c>
      <c r="C43" s="102"/>
      <c r="E43" s="102"/>
      <c r="F43" s="171" t="s">
        <v>87</v>
      </c>
      <c r="J43" s="172">
        <f t="shared" si="4"/>
        <v>724618.73961678089</v>
      </c>
      <c r="L43" s="213">
        <v>2681</v>
      </c>
      <c r="M43" s="124">
        <v>320733.74925137253</v>
      </c>
      <c r="N43" s="213">
        <v>223252.39798857534</v>
      </c>
      <c r="O43" s="213">
        <v>6131.79</v>
      </c>
      <c r="P43" s="124">
        <v>142336.49795553571</v>
      </c>
      <c r="Q43" s="213">
        <v>10885.0544212972</v>
      </c>
      <c r="S43" s="213">
        <v>18598.25</v>
      </c>
      <c r="U43" s="185" t="s">
        <v>583</v>
      </c>
      <c r="V43" s="86"/>
      <c r="X43" s="86"/>
      <c r="Z43" s="86"/>
      <c r="AB43" s="86"/>
      <c r="AD43" s="86"/>
      <c r="AF43" s="86"/>
      <c r="AH43" s="86"/>
    </row>
    <row r="44" spans="1:34" x14ac:dyDescent="0.2">
      <c r="A44" s="89"/>
      <c r="B44" s="74" t="s">
        <v>13</v>
      </c>
      <c r="C44" s="89"/>
      <c r="E44" s="89"/>
      <c r="F44" s="74" t="s">
        <v>87</v>
      </c>
      <c r="J44" s="172">
        <f t="shared" si="4"/>
        <v>2315487.65</v>
      </c>
      <c r="L44" s="213">
        <v>15396</v>
      </c>
      <c r="M44" s="124">
        <v>761971</v>
      </c>
      <c r="N44" s="213">
        <v>815422</v>
      </c>
      <c r="O44" s="213">
        <v>154488.65</v>
      </c>
      <c r="P44" s="124">
        <v>553395</v>
      </c>
      <c r="Q44" s="213">
        <v>14815</v>
      </c>
      <c r="R44" s="171"/>
      <c r="S44" s="213">
        <v>0</v>
      </c>
      <c r="U44" s="171" t="s">
        <v>425</v>
      </c>
      <c r="V44" s="86"/>
      <c r="X44" s="86"/>
      <c r="Z44" s="86"/>
      <c r="AB44" s="86"/>
      <c r="AD44" s="86"/>
      <c r="AF44" s="86"/>
      <c r="AH44" s="86"/>
    </row>
    <row r="45" spans="1:34" x14ac:dyDescent="0.2">
      <c r="A45" s="89"/>
      <c r="C45" s="89"/>
      <c r="E45" s="89"/>
      <c r="J45" s="96"/>
      <c r="L45" s="86"/>
      <c r="M45" s="86"/>
      <c r="N45" s="86"/>
      <c r="O45" s="86"/>
      <c r="P45" s="86"/>
      <c r="Q45" s="86"/>
      <c r="S45" s="86"/>
      <c r="U45" s="171"/>
      <c r="V45" s="86"/>
      <c r="X45" s="86"/>
      <c r="Z45" s="86"/>
      <c r="AB45" s="86"/>
      <c r="AD45" s="86"/>
      <c r="AF45" s="86"/>
      <c r="AH45" s="86"/>
    </row>
    <row r="46" spans="1:34" x14ac:dyDescent="0.2">
      <c r="A46" s="89"/>
      <c r="B46" s="75" t="s">
        <v>14</v>
      </c>
      <c r="C46" s="89"/>
      <c r="D46" s="75"/>
      <c r="E46" s="89"/>
      <c r="J46" s="96"/>
      <c r="L46" s="86"/>
      <c r="M46" s="86"/>
      <c r="N46" s="86"/>
      <c r="O46" s="86"/>
      <c r="P46" s="86"/>
      <c r="Q46" s="86"/>
      <c r="S46" s="86"/>
      <c r="U46" s="171"/>
      <c r="V46" s="86"/>
      <c r="X46" s="86"/>
      <c r="Z46" s="86"/>
      <c r="AB46" s="86"/>
      <c r="AD46" s="86"/>
      <c r="AF46" s="86"/>
      <c r="AH46" s="86"/>
    </row>
    <row r="47" spans="1:34" x14ac:dyDescent="0.2">
      <c r="A47" s="89"/>
      <c r="B47" s="74" t="s">
        <v>15</v>
      </c>
      <c r="C47" s="89"/>
      <c r="D47" s="79"/>
      <c r="E47" s="89"/>
      <c r="F47" s="74" t="s">
        <v>87</v>
      </c>
      <c r="J47" s="172">
        <f t="shared" ref="J47:J50" si="5">SUM(L47:Q47,S47)</f>
        <v>4915803.0889218822</v>
      </c>
      <c r="L47" s="213">
        <v>12292</v>
      </c>
      <c r="M47" s="124">
        <v>1928713.4459019748</v>
      </c>
      <c r="N47" s="213">
        <v>1471393.0756646986</v>
      </c>
      <c r="O47" s="213">
        <v>115013.19</v>
      </c>
      <c r="P47" s="124">
        <v>1381691.8773552086</v>
      </c>
      <c r="Q47" s="213">
        <v>6699.4999999999991</v>
      </c>
      <c r="R47" s="171"/>
      <c r="S47" s="213">
        <v>0</v>
      </c>
      <c r="U47" s="171" t="s">
        <v>426</v>
      </c>
      <c r="V47" s="86"/>
      <c r="X47" s="86"/>
      <c r="Z47" s="86"/>
      <c r="AB47" s="86"/>
      <c r="AD47" s="86"/>
      <c r="AF47" s="86"/>
      <c r="AH47" s="86"/>
    </row>
    <row r="48" spans="1:34" x14ac:dyDescent="0.2">
      <c r="A48" s="89"/>
      <c r="B48" s="74" t="s">
        <v>16</v>
      </c>
      <c r="C48" s="89"/>
      <c r="E48" s="89"/>
      <c r="F48" s="74" t="s">
        <v>87</v>
      </c>
      <c r="J48" s="172">
        <f t="shared" si="5"/>
        <v>1280258.9833676356</v>
      </c>
      <c r="L48" s="213">
        <v>184</v>
      </c>
      <c r="M48" s="124">
        <v>857669.67929164763</v>
      </c>
      <c r="N48" s="213">
        <v>0</v>
      </c>
      <c r="O48" s="213">
        <v>5058.3900000000003</v>
      </c>
      <c r="P48" s="124">
        <v>416395.45407598803</v>
      </c>
      <c r="Q48" s="213">
        <v>951.46</v>
      </c>
      <c r="R48" s="171"/>
      <c r="S48" s="213">
        <v>0</v>
      </c>
      <c r="U48" s="171" t="s">
        <v>427</v>
      </c>
      <c r="V48" s="86"/>
      <c r="X48" s="86"/>
      <c r="Z48" s="86"/>
      <c r="AB48" s="86"/>
      <c r="AD48" s="86"/>
      <c r="AF48" s="86"/>
      <c r="AH48" s="86"/>
    </row>
    <row r="49" spans="1:34" x14ac:dyDescent="0.2">
      <c r="A49" s="89"/>
      <c r="B49" s="74" t="s">
        <v>17</v>
      </c>
      <c r="C49" s="89"/>
      <c r="E49" s="89"/>
      <c r="F49" s="74" t="s">
        <v>87</v>
      </c>
      <c r="J49" s="172">
        <f t="shared" si="5"/>
        <v>2553074.4388384498</v>
      </c>
      <c r="L49" s="213">
        <v>3453</v>
      </c>
      <c r="M49" s="124">
        <v>971130.60590310488</v>
      </c>
      <c r="N49" s="213">
        <v>827061.958277122</v>
      </c>
      <c r="O49" s="213">
        <v>4297.79</v>
      </c>
      <c r="P49" s="124">
        <v>405562.3827847403</v>
      </c>
      <c r="Q49" s="213">
        <v>224049.35595318998</v>
      </c>
      <c r="R49" s="171"/>
      <c r="S49" s="213">
        <v>117519.3459202926</v>
      </c>
      <c r="U49" s="171" t="s">
        <v>428</v>
      </c>
      <c r="V49" s="86"/>
      <c r="X49" s="86"/>
      <c r="Z49" s="86"/>
      <c r="AB49" s="86"/>
      <c r="AD49" s="86"/>
      <c r="AF49" s="86"/>
      <c r="AH49" s="86"/>
    </row>
    <row r="50" spans="1:34" x14ac:dyDescent="0.2">
      <c r="A50" s="89"/>
      <c r="B50" s="74" t="s">
        <v>18</v>
      </c>
      <c r="C50" s="89"/>
      <c r="E50" s="89"/>
      <c r="F50" s="74" t="s">
        <v>87</v>
      </c>
      <c r="J50" s="172">
        <f t="shared" si="5"/>
        <v>24915665.612801727</v>
      </c>
      <c r="L50" s="213">
        <v>0</v>
      </c>
      <c r="M50" s="124">
        <v>2640182.349696212</v>
      </c>
      <c r="N50" s="213">
        <v>17664211.721074909</v>
      </c>
      <c r="O50" s="213">
        <v>12867.83</v>
      </c>
      <c r="P50" s="124">
        <v>4064072.302030609</v>
      </c>
      <c r="Q50" s="213">
        <v>12250</v>
      </c>
      <c r="R50" s="171"/>
      <c r="S50" s="213">
        <v>522081.40999999992</v>
      </c>
      <c r="U50" s="171" t="s">
        <v>429</v>
      </c>
      <c r="V50" s="86"/>
      <c r="X50" s="86"/>
      <c r="Z50" s="86"/>
      <c r="AB50" s="86"/>
      <c r="AD50" s="86"/>
      <c r="AF50" s="86"/>
      <c r="AH50" s="86"/>
    </row>
    <row r="51" spans="1:34" x14ac:dyDescent="0.2">
      <c r="M51" s="86"/>
      <c r="N51" s="171"/>
      <c r="O51" s="171"/>
      <c r="P51" s="86"/>
      <c r="Q51" s="171"/>
      <c r="S51" s="171"/>
    </row>
    <row r="52" spans="1:34" s="47" customFormat="1" x14ac:dyDescent="0.2">
      <c r="B52" s="47" t="s">
        <v>117</v>
      </c>
    </row>
    <row r="53" spans="1:34" x14ac:dyDescent="0.2">
      <c r="N53" s="171"/>
      <c r="O53" s="171"/>
      <c r="Q53" s="171"/>
      <c r="S53" s="171"/>
    </row>
    <row r="54" spans="1:34" x14ac:dyDescent="0.2">
      <c r="B54" s="75" t="s">
        <v>238</v>
      </c>
      <c r="N54" s="171"/>
      <c r="O54" s="171"/>
      <c r="Q54" s="171"/>
      <c r="S54" s="171"/>
    </row>
    <row r="55" spans="1:34" x14ac:dyDescent="0.2">
      <c r="A55" s="89"/>
      <c r="B55" s="75" t="s">
        <v>6</v>
      </c>
      <c r="C55" s="89"/>
      <c r="D55" s="75"/>
      <c r="E55" s="89"/>
      <c r="N55" s="171"/>
      <c r="O55" s="171"/>
      <c r="Q55" s="171"/>
      <c r="S55" s="171"/>
    </row>
    <row r="56" spans="1:34" x14ac:dyDescent="0.2">
      <c r="A56" s="89"/>
      <c r="B56" s="74" t="s">
        <v>7</v>
      </c>
      <c r="C56" s="89"/>
      <c r="E56" s="89"/>
      <c r="F56" s="74" t="s">
        <v>92</v>
      </c>
      <c r="J56" s="172">
        <f t="shared" ref="J56:J59" si="6">SUM(L56:Q56,S56)</f>
        <v>495886316.79359996</v>
      </c>
      <c r="L56" s="213">
        <v>0</v>
      </c>
      <c r="M56" s="124">
        <v>184772944.96000001</v>
      </c>
      <c r="N56" s="213">
        <v>176321409.41</v>
      </c>
      <c r="O56" s="213"/>
      <c r="P56" s="124">
        <v>112145013.83359998</v>
      </c>
      <c r="Q56" s="213">
        <v>10548658.84</v>
      </c>
      <c r="R56" s="171"/>
      <c r="S56" s="213">
        <v>12098289.75</v>
      </c>
      <c r="U56" s="171" t="s">
        <v>390</v>
      </c>
      <c r="V56" s="86"/>
      <c r="X56" s="86"/>
      <c r="Z56" s="86"/>
      <c r="AB56" s="86"/>
      <c r="AD56" s="86"/>
      <c r="AF56" s="86"/>
      <c r="AH56" s="86"/>
    </row>
    <row r="57" spans="1:34" x14ac:dyDescent="0.2">
      <c r="A57" s="89"/>
      <c r="B57" s="74" t="s">
        <v>8</v>
      </c>
      <c r="C57" s="89"/>
      <c r="E57" s="89"/>
      <c r="F57" s="74" t="s">
        <v>92</v>
      </c>
      <c r="J57" s="172">
        <f t="shared" si="6"/>
        <v>10133783.367717329</v>
      </c>
      <c r="L57" s="213">
        <v>3297706</v>
      </c>
      <c r="M57" s="124">
        <v>86942.942867973252</v>
      </c>
      <c r="N57" s="213">
        <v>1290234.514</v>
      </c>
      <c r="O57" s="213">
        <v>2124377.0099999998</v>
      </c>
      <c r="P57" s="124">
        <v>3058090.0253333575</v>
      </c>
      <c r="Q57" s="213">
        <v>276432.87551599997</v>
      </c>
      <c r="R57" s="171"/>
      <c r="S57" s="213">
        <v>0</v>
      </c>
      <c r="U57" s="171" t="s">
        <v>391</v>
      </c>
      <c r="V57" s="86"/>
      <c r="X57" s="86"/>
      <c r="Z57" s="86"/>
      <c r="AB57" s="86"/>
      <c r="AD57" s="86"/>
      <c r="AF57" s="86"/>
      <c r="AH57" s="86"/>
    </row>
    <row r="58" spans="1:34" x14ac:dyDescent="0.2">
      <c r="A58" s="89"/>
      <c r="B58" s="74" t="s">
        <v>9</v>
      </c>
      <c r="C58" s="89"/>
      <c r="E58" s="89"/>
      <c r="F58" s="74" t="s">
        <v>92</v>
      </c>
      <c r="J58" s="172">
        <f t="shared" si="6"/>
        <v>145181626.10999998</v>
      </c>
      <c r="L58" s="213">
        <v>797098</v>
      </c>
      <c r="M58" s="124">
        <v>45609760.983085006</v>
      </c>
      <c r="N58" s="213">
        <v>57506965.390000001</v>
      </c>
      <c r="O58" s="213">
        <v>345453.09</v>
      </c>
      <c r="P58" s="124">
        <v>34472255.216914989</v>
      </c>
      <c r="Q58" s="213">
        <v>2364828.9800000004</v>
      </c>
      <c r="R58" s="171"/>
      <c r="S58" s="213">
        <v>4085264.4499999997</v>
      </c>
      <c r="U58" s="171" t="s">
        <v>392</v>
      </c>
      <c r="V58" s="86"/>
      <c r="X58" s="86"/>
      <c r="Z58" s="86"/>
      <c r="AB58" s="86"/>
      <c r="AD58" s="86"/>
      <c r="AF58" s="86"/>
      <c r="AH58" s="86"/>
    </row>
    <row r="59" spans="1:34" x14ac:dyDescent="0.2">
      <c r="A59" s="89"/>
      <c r="B59" s="74" t="s">
        <v>10</v>
      </c>
      <c r="C59" s="89"/>
      <c r="E59" s="89"/>
      <c r="F59" s="74" t="s">
        <v>92</v>
      </c>
      <c r="J59" s="172">
        <f t="shared" si="6"/>
        <v>0</v>
      </c>
      <c r="L59" s="213">
        <v>0</v>
      </c>
      <c r="M59" s="124">
        <v>0</v>
      </c>
      <c r="N59" s="213"/>
      <c r="O59" s="213"/>
      <c r="P59" s="124">
        <v>0</v>
      </c>
      <c r="Q59" s="213"/>
      <c r="R59" s="171"/>
      <c r="S59" s="213">
        <v>0</v>
      </c>
      <c r="U59" s="171" t="s">
        <v>393</v>
      </c>
      <c r="V59" s="86"/>
      <c r="X59" s="86"/>
      <c r="Z59" s="86"/>
      <c r="AB59" s="86"/>
      <c r="AD59" s="86"/>
      <c r="AF59" s="86"/>
      <c r="AH59" s="86"/>
    </row>
    <row r="60" spans="1:34" x14ac:dyDescent="0.2">
      <c r="A60" s="89"/>
      <c r="C60" s="89"/>
      <c r="E60" s="89"/>
      <c r="J60" s="96"/>
      <c r="L60" s="86"/>
      <c r="M60" s="86"/>
      <c r="N60" s="86"/>
      <c r="O60" s="86"/>
      <c r="P60" s="86"/>
      <c r="Q60" s="86"/>
      <c r="R60" s="171"/>
      <c r="S60" s="86"/>
      <c r="U60" s="171"/>
      <c r="V60" s="86"/>
      <c r="X60" s="86"/>
      <c r="Z60" s="86"/>
      <c r="AB60" s="86"/>
      <c r="AD60" s="86"/>
      <c r="AF60" s="86"/>
      <c r="AH60" s="86"/>
    </row>
    <row r="61" spans="1:34" x14ac:dyDescent="0.2">
      <c r="A61" s="89"/>
      <c r="B61" s="75" t="s">
        <v>11</v>
      </c>
      <c r="C61" s="89"/>
      <c r="D61" s="75"/>
      <c r="E61" s="89"/>
      <c r="J61" s="96"/>
      <c r="L61" s="86"/>
      <c r="M61" s="86"/>
      <c r="N61" s="86"/>
      <c r="O61" s="86"/>
      <c r="P61" s="86"/>
      <c r="Q61" s="86"/>
      <c r="R61" s="171"/>
      <c r="S61" s="86"/>
      <c r="U61" s="171"/>
      <c r="V61" s="86"/>
      <c r="X61" s="86"/>
      <c r="Z61" s="86"/>
      <c r="AB61" s="86"/>
      <c r="AD61" s="86"/>
      <c r="AF61" s="86"/>
      <c r="AH61" s="86"/>
    </row>
    <row r="62" spans="1:34" x14ac:dyDescent="0.2">
      <c r="A62" s="89"/>
      <c r="B62" s="74" t="s">
        <v>12</v>
      </c>
      <c r="C62" s="89"/>
      <c r="E62" s="89"/>
      <c r="F62" s="74" t="s">
        <v>92</v>
      </c>
      <c r="J62" s="172">
        <f t="shared" ref="J62:J64" si="7">SUM(L62:Q62,S62)</f>
        <v>872302246.0238775</v>
      </c>
      <c r="L62" s="213">
        <v>4202205</v>
      </c>
      <c r="M62" s="124">
        <v>267432956.79028395</v>
      </c>
      <c r="N62" s="213">
        <v>372191717.66949511</v>
      </c>
      <c r="O62" s="213">
        <v>2359139.54</v>
      </c>
      <c r="P62" s="124">
        <v>190708154.63341552</v>
      </c>
      <c r="Q62" s="213">
        <v>12274085.21644024</v>
      </c>
      <c r="R62" s="171"/>
      <c r="S62" s="213">
        <v>23133987.174242813</v>
      </c>
      <c r="U62" s="171" t="s">
        <v>394</v>
      </c>
      <c r="V62" s="86"/>
      <c r="X62" s="86"/>
      <c r="Z62" s="86"/>
      <c r="AB62" s="86"/>
      <c r="AD62" s="86"/>
      <c r="AF62" s="86"/>
      <c r="AH62" s="86"/>
    </row>
    <row r="63" spans="1:34" s="171" customFormat="1" x14ac:dyDescent="0.2">
      <c r="A63" s="102"/>
      <c r="B63" s="171" t="s">
        <v>430</v>
      </c>
      <c r="C63" s="102"/>
      <c r="E63" s="102"/>
      <c r="F63" s="171" t="s">
        <v>92</v>
      </c>
      <c r="J63" s="172">
        <f t="shared" si="7"/>
        <v>722432.49268975644</v>
      </c>
      <c r="L63" s="213">
        <v>2801</v>
      </c>
      <c r="M63" s="124">
        <v>339063.09570543154</v>
      </c>
      <c r="N63" s="213">
        <v>217602.36175613769</v>
      </c>
      <c r="O63" s="213">
        <v>2435.81</v>
      </c>
      <c r="P63" s="124">
        <v>133823.74468704136</v>
      </c>
      <c r="Q63" s="213">
        <v>10269.370541145794</v>
      </c>
      <c r="S63" s="213">
        <v>16437.11</v>
      </c>
      <c r="U63" s="185" t="s">
        <v>584</v>
      </c>
      <c r="V63" s="86"/>
      <c r="X63" s="86"/>
      <c r="Z63" s="86"/>
      <c r="AB63" s="86"/>
      <c r="AD63" s="86"/>
      <c r="AF63" s="86"/>
      <c r="AH63" s="86"/>
    </row>
    <row r="64" spans="1:34" x14ac:dyDescent="0.2">
      <c r="A64" s="89"/>
      <c r="B64" s="74" t="s">
        <v>13</v>
      </c>
      <c r="C64" s="89"/>
      <c r="E64" s="89"/>
      <c r="F64" s="74" t="s">
        <v>92</v>
      </c>
      <c r="J64" s="172">
        <f t="shared" si="7"/>
        <v>2272284.3200000003</v>
      </c>
      <c r="L64" s="213">
        <v>14438</v>
      </c>
      <c r="M64" s="124">
        <v>714565</v>
      </c>
      <c r="N64" s="213">
        <v>764690</v>
      </c>
      <c r="O64" s="213">
        <v>245732.32</v>
      </c>
      <c r="P64" s="124">
        <v>518965</v>
      </c>
      <c r="Q64" s="213">
        <v>13894</v>
      </c>
      <c r="R64" s="171"/>
      <c r="S64" s="213">
        <v>0</v>
      </c>
      <c r="U64" s="171" t="s">
        <v>395</v>
      </c>
      <c r="V64" s="86"/>
      <c r="X64" s="86"/>
      <c r="Z64" s="86"/>
      <c r="AB64" s="86"/>
      <c r="AD64" s="86"/>
      <c r="AF64" s="86"/>
      <c r="AH64" s="86"/>
    </row>
    <row r="65" spans="1:34" x14ac:dyDescent="0.2">
      <c r="A65" s="89"/>
      <c r="C65" s="89"/>
      <c r="E65" s="89"/>
      <c r="J65" s="96"/>
      <c r="L65" s="86"/>
      <c r="M65" s="86"/>
      <c r="N65" s="86"/>
      <c r="O65" s="86"/>
      <c r="P65" s="86"/>
      <c r="Q65" s="86"/>
      <c r="R65" s="171"/>
      <c r="S65" s="86"/>
      <c r="U65" s="171"/>
      <c r="V65" s="86"/>
      <c r="X65" s="86"/>
      <c r="Z65" s="86"/>
      <c r="AB65" s="86"/>
      <c r="AD65" s="86"/>
      <c r="AF65" s="86"/>
      <c r="AH65" s="86"/>
    </row>
    <row r="66" spans="1:34" x14ac:dyDescent="0.2">
      <c r="A66" s="89"/>
      <c r="B66" s="75" t="s">
        <v>14</v>
      </c>
      <c r="C66" s="89"/>
      <c r="D66" s="75"/>
      <c r="E66" s="89"/>
      <c r="J66" s="96"/>
      <c r="L66" s="86"/>
      <c r="M66" s="86"/>
      <c r="N66" s="86"/>
      <c r="O66" s="86"/>
      <c r="P66" s="86"/>
      <c r="Q66" s="86"/>
      <c r="R66" s="171"/>
      <c r="S66" s="86"/>
      <c r="U66" s="171"/>
      <c r="V66" s="86"/>
      <c r="X66" s="86"/>
      <c r="Z66" s="86"/>
      <c r="AB66" s="86"/>
      <c r="AD66" s="86"/>
      <c r="AF66" s="86"/>
      <c r="AH66" s="86"/>
    </row>
    <row r="67" spans="1:34" x14ac:dyDescent="0.2">
      <c r="A67" s="89"/>
      <c r="B67" s="74" t="s">
        <v>15</v>
      </c>
      <c r="C67" s="89"/>
      <c r="D67" s="79"/>
      <c r="E67" s="89"/>
      <c r="F67" s="74" t="s">
        <v>92</v>
      </c>
      <c r="J67" s="172">
        <f t="shared" ref="J67:J70" si="8">SUM(L67:Q67,S67)</f>
        <v>4388498.7026855098</v>
      </c>
      <c r="L67" s="213">
        <v>29654</v>
      </c>
      <c r="M67" s="124">
        <v>1829553.1999519246</v>
      </c>
      <c r="N67" s="213">
        <v>1785889.9304917511</v>
      </c>
      <c r="O67" s="213"/>
      <c r="P67" s="124">
        <v>706623.71224183415</v>
      </c>
      <c r="Q67" s="213">
        <v>36777.86</v>
      </c>
      <c r="R67" s="171"/>
      <c r="S67" s="213">
        <v>0</v>
      </c>
      <c r="U67" s="171" t="s">
        <v>396</v>
      </c>
      <c r="V67" s="86"/>
      <c r="X67" s="86"/>
      <c r="Z67" s="86"/>
      <c r="AB67" s="86"/>
      <c r="AD67" s="86"/>
      <c r="AF67" s="86"/>
      <c r="AH67" s="86"/>
    </row>
    <row r="68" spans="1:34" x14ac:dyDescent="0.2">
      <c r="A68" s="89"/>
      <c r="B68" s="74" t="s">
        <v>16</v>
      </c>
      <c r="C68" s="89"/>
      <c r="E68" s="89"/>
      <c r="F68" s="74" t="s">
        <v>92</v>
      </c>
      <c r="J68" s="172">
        <f t="shared" si="8"/>
        <v>1408833.080737653</v>
      </c>
      <c r="L68" s="213">
        <v>0</v>
      </c>
      <c r="M68" s="124">
        <v>567701.33443915145</v>
      </c>
      <c r="N68" s="213"/>
      <c r="O68" s="213">
        <v>9090.0499999999993</v>
      </c>
      <c r="P68" s="124">
        <v>824032.4962985015</v>
      </c>
      <c r="Q68" s="213">
        <v>8009.2</v>
      </c>
      <c r="R68" s="171"/>
      <c r="S68" s="213">
        <v>0</v>
      </c>
      <c r="U68" s="171" t="s">
        <v>397</v>
      </c>
      <c r="V68" s="86"/>
      <c r="X68" s="86"/>
      <c r="Z68" s="86"/>
      <c r="AB68" s="86"/>
      <c r="AD68" s="86"/>
      <c r="AF68" s="86"/>
      <c r="AH68" s="86"/>
    </row>
    <row r="69" spans="1:34" x14ac:dyDescent="0.2">
      <c r="A69" s="89"/>
      <c r="B69" s="74" t="s">
        <v>17</v>
      </c>
      <c r="C69" s="89"/>
      <c r="E69" s="89"/>
      <c r="F69" s="74" t="s">
        <v>92</v>
      </c>
      <c r="J69" s="172">
        <f t="shared" si="8"/>
        <v>1481359.1957578589</v>
      </c>
      <c r="L69" s="213">
        <v>1533.55</v>
      </c>
      <c r="M69" s="124">
        <v>280807.74798973382</v>
      </c>
      <c r="N69" s="213">
        <v>439003.60563018941</v>
      </c>
      <c r="O69" s="213">
        <v>12773.32</v>
      </c>
      <c r="P69" s="124">
        <v>612104.66451891151</v>
      </c>
      <c r="Q69" s="213">
        <v>102145.39256367998</v>
      </c>
      <c r="R69" s="171"/>
      <c r="S69" s="213">
        <v>32990.915055344463</v>
      </c>
      <c r="U69" s="171" t="s">
        <v>398</v>
      </c>
      <c r="V69" s="86"/>
      <c r="X69" s="86"/>
      <c r="Z69" s="86"/>
      <c r="AB69" s="86"/>
      <c r="AD69" s="86"/>
      <c r="AF69" s="86"/>
      <c r="AH69" s="86"/>
    </row>
    <row r="70" spans="1:34" x14ac:dyDescent="0.2">
      <c r="A70" s="89"/>
      <c r="B70" s="74" t="s">
        <v>18</v>
      </c>
      <c r="C70" s="89"/>
      <c r="E70" s="89"/>
      <c r="F70" s="74" t="s">
        <v>92</v>
      </c>
      <c r="J70" s="172">
        <f t="shared" si="8"/>
        <v>28518141.509624943</v>
      </c>
      <c r="L70" s="213">
        <v>0</v>
      </c>
      <c r="M70" s="124">
        <v>2380388.2914062822</v>
      </c>
      <c r="N70" s="213">
        <v>22658494.101700045</v>
      </c>
      <c r="O70" s="213">
        <v>12983.58</v>
      </c>
      <c r="P70" s="124">
        <v>1704551.8765186192</v>
      </c>
      <c r="Q70" s="213">
        <v>32130.000000000004</v>
      </c>
      <c r="R70" s="171"/>
      <c r="S70" s="213">
        <v>1729593.66</v>
      </c>
      <c r="U70" s="171" t="s">
        <v>399</v>
      </c>
      <c r="V70" s="86"/>
      <c r="X70" s="86"/>
      <c r="Z70" s="86"/>
      <c r="AB70" s="86"/>
      <c r="AD70" s="86"/>
      <c r="AF70" s="86"/>
      <c r="AH70" s="86"/>
    </row>
    <row r="71" spans="1:34" x14ac:dyDescent="0.2">
      <c r="L71" s="96"/>
      <c r="M71" s="86"/>
      <c r="N71" s="86"/>
      <c r="O71" s="86"/>
      <c r="P71" s="86"/>
      <c r="Q71" s="86"/>
      <c r="S71" s="96"/>
      <c r="U71" s="86"/>
      <c r="V71" s="86"/>
      <c r="W71" s="86"/>
      <c r="X71" s="86"/>
    </row>
    <row r="72" spans="1:34" s="47" customFormat="1" x14ac:dyDescent="0.2">
      <c r="B72" s="47" t="s">
        <v>118</v>
      </c>
    </row>
    <row r="74" spans="1:34" x14ac:dyDescent="0.2">
      <c r="B74" s="75" t="s">
        <v>238</v>
      </c>
    </row>
    <row r="75" spans="1:34" x14ac:dyDescent="0.2">
      <c r="A75" s="89"/>
      <c r="B75" s="75" t="s">
        <v>6</v>
      </c>
      <c r="C75" s="89"/>
      <c r="D75" s="75"/>
      <c r="E75" s="89"/>
    </row>
    <row r="76" spans="1:34" x14ac:dyDescent="0.2">
      <c r="A76" s="89"/>
      <c r="B76" s="74" t="s">
        <v>7</v>
      </c>
      <c r="C76" s="89"/>
      <c r="E76" s="89"/>
      <c r="F76" s="74" t="s">
        <v>97</v>
      </c>
      <c r="J76" s="172">
        <f t="shared" ref="J76:J79" si="9">SUM(L76:Q76,S76)</f>
        <v>494844741.74999994</v>
      </c>
      <c r="L76" s="213">
        <v>0</v>
      </c>
      <c r="M76" s="213">
        <v>185367881.91999999</v>
      </c>
      <c r="N76" s="213">
        <v>175318026.47999999</v>
      </c>
      <c r="O76" s="213"/>
      <c r="P76" s="213">
        <v>110754495.11999999</v>
      </c>
      <c r="Q76" s="213">
        <v>11015037.459999999</v>
      </c>
      <c r="R76" s="171"/>
      <c r="S76" s="213">
        <v>12389300.77</v>
      </c>
      <c r="U76" s="171" t="s">
        <v>275</v>
      </c>
      <c r="V76" s="86"/>
      <c r="X76" s="86"/>
      <c r="Z76" s="86"/>
      <c r="AB76" s="86"/>
      <c r="AD76" s="86"/>
      <c r="AF76" s="86"/>
      <c r="AH76" s="86"/>
    </row>
    <row r="77" spans="1:34" x14ac:dyDescent="0.2">
      <c r="A77" s="89"/>
      <c r="B77" s="74" t="s">
        <v>8</v>
      </c>
      <c r="C77" s="89"/>
      <c r="E77" s="89"/>
      <c r="F77" s="74" t="s">
        <v>97</v>
      </c>
      <c r="J77" s="172">
        <f t="shared" si="9"/>
        <v>9953512.3379720375</v>
      </c>
      <c r="L77" s="213">
        <v>3382920</v>
      </c>
      <c r="M77" s="213">
        <v>137712.92963203668</v>
      </c>
      <c r="N77" s="213">
        <v>1335603.0800000003</v>
      </c>
      <c r="O77" s="213">
        <v>2126441.4700000002</v>
      </c>
      <c r="P77" s="213">
        <v>2687274.2512000003</v>
      </c>
      <c r="Q77" s="213">
        <v>283560.60713999998</v>
      </c>
      <c r="R77" s="171"/>
      <c r="S77" s="213"/>
      <c r="U77" s="171" t="s">
        <v>276</v>
      </c>
      <c r="V77" s="86"/>
      <c r="X77" s="86"/>
      <c r="Z77" s="86"/>
      <c r="AB77" s="86"/>
      <c r="AD77" s="86"/>
      <c r="AF77" s="86"/>
      <c r="AH77" s="86"/>
    </row>
    <row r="78" spans="1:34" x14ac:dyDescent="0.2">
      <c r="A78" s="89"/>
      <c r="B78" s="74" t="s">
        <v>9</v>
      </c>
      <c r="C78" s="89"/>
      <c r="E78" s="89"/>
      <c r="F78" s="74" t="s">
        <v>97</v>
      </c>
      <c r="J78" s="172">
        <f t="shared" si="9"/>
        <v>148706345.05000001</v>
      </c>
      <c r="L78" s="213">
        <v>588055</v>
      </c>
      <c r="M78" s="213">
        <v>42463735.730000027</v>
      </c>
      <c r="N78" s="213">
        <v>48626062.43</v>
      </c>
      <c r="O78" s="213">
        <v>444975.13</v>
      </c>
      <c r="P78" s="213">
        <v>49260035</v>
      </c>
      <c r="Q78" s="213">
        <v>2525432.9699999997</v>
      </c>
      <c r="R78" s="171"/>
      <c r="S78" s="213">
        <v>4798048.79</v>
      </c>
      <c r="U78" s="171" t="s">
        <v>277</v>
      </c>
      <c r="V78" s="86"/>
      <c r="X78" s="86"/>
      <c r="Z78" s="86"/>
      <c r="AB78" s="86"/>
      <c r="AD78" s="86"/>
      <c r="AF78" s="86"/>
      <c r="AH78" s="86"/>
    </row>
    <row r="79" spans="1:34" x14ac:dyDescent="0.2">
      <c r="A79" s="89"/>
      <c r="B79" s="74" t="s">
        <v>10</v>
      </c>
      <c r="C79" s="89"/>
      <c r="E79" s="89"/>
      <c r="F79" s="74" t="s">
        <v>97</v>
      </c>
      <c r="J79" s="172">
        <f t="shared" si="9"/>
        <v>0</v>
      </c>
      <c r="L79" s="213">
        <v>0</v>
      </c>
      <c r="M79" s="213"/>
      <c r="N79" s="213"/>
      <c r="O79" s="213"/>
      <c r="P79" s="213"/>
      <c r="Q79" s="213"/>
      <c r="R79" s="171"/>
      <c r="S79" s="213"/>
      <c r="U79" s="171" t="s">
        <v>278</v>
      </c>
      <c r="V79" s="86"/>
      <c r="X79" s="86"/>
      <c r="Z79" s="86"/>
      <c r="AB79" s="86"/>
      <c r="AD79" s="86"/>
      <c r="AF79" s="86"/>
      <c r="AH79" s="86"/>
    </row>
    <row r="80" spans="1:34" x14ac:dyDescent="0.2">
      <c r="A80" s="89"/>
      <c r="C80" s="89"/>
      <c r="E80" s="89"/>
      <c r="J80" s="96"/>
      <c r="L80" s="86"/>
      <c r="M80" s="86"/>
      <c r="N80" s="86"/>
      <c r="O80" s="86"/>
      <c r="P80" s="86"/>
      <c r="Q80" s="86"/>
      <c r="R80" s="171"/>
      <c r="S80" s="86"/>
      <c r="U80" s="171"/>
      <c r="V80" s="86"/>
      <c r="X80" s="86"/>
      <c r="Z80" s="86"/>
      <c r="AB80" s="86"/>
      <c r="AD80" s="86"/>
      <c r="AF80" s="86"/>
      <c r="AH80" s="86"/>
    </row>
    <row r="81" spans="1:34" x14ac:dyDescent="0.2">
      <c r="A81" s="89"/>
      <c r="B81" s="75" t="s">
        <v>11</v>
      </c>
      <c r="C81" s="89"/>
      <c r="D81" s="75"/>
      <c r="E81" s="89"/>
      <c r="J81" s="96"/>
      <c r="L81" s="86"/>
      <c r="M81" s="86"/>
      <c r="N81" s="86"/>
      <c r="O81" s="86"/>
      <c r="P81" s="86"/>
      <c r="Q81" s="86"/>
      <c r="R81" s="171"/>
      <c r="S81" s="86"/>
      <c r="U81" s="171"/>
      <c r="V81" s="86"/>
      <c r="X81" s="86"/>
      <c r="Z81" s="86"/>
      <c r="AB81" s="86"/>
      <c r="AD81" s="86"/>
      <c r="AF81" s="86"/>
      <c r="AH81" s="86"/>
    </row>
    <row r="82" spans="1:34" x14ac:dyDescent="0.2">
      <c r="A82" s="89"/>
      <c r="B82" s="74" t="s">
        <v>12</v>
      </c>
      <c r="C82" s="89"/>
      <c r="E82" s="89"/>
      <c r="F82" s="74" t="s">
        <v>97</v>
      </c>
      <c r="J82" s="172">
        <f t="shared" ref="J82:J84" si="10">SUM(L82:Q82,S82)</f>
        <v>933278771.05561292</v>
      </c>
      <c r="L82" s="213">
        <v>4062592</v>
      </c>
      <c r="M82" s="213">
        <v>284325332.32041901</v>
      </c>
      <c r="N82" s="213">
        <v>396617832.17100042</v>
      </c>
      <c r="O82" s="213">
        <v>2299592.1</v>
      </c>
      <c r="P82" s="213">
        <v>205049631.88627434</v>
      </c>
      <c r="Q82" s="213">
        <v>14871288.76323238</v>
      </c>
      <c r="R82" s="171"/>
      <c r="S82" s="213">
        <v>26052501.814686745</v>
      </c>
      <c r="U82" s="171" t="s">
        <v>279</v>
      </c>
      <c r="V82" s="86"/>
      <c r="X82" s="86"/>
      <c r="Z82" s="86"/>
      <c r="AB82" s="86"/>
      <c r="AD82" s="86"/>
      <c r="AF82" s="86"/>
      <c r="AH82" s="86"/>
    </row>
    <row r="83" spans="1:34" s="171" customFormat="1" x14ac:dyDescent="0.2">
      <c r="A83" s="102"/>
      <c r="B83" s="171" t="s">
        <v>430</v>
      </c>
      <c r="C83" s="102"/>
      <c r="E83" s="102"/>
      <c r="F83" s="171" t="s">
        <v>97</v>
      </c>
      <c r="J83" s="172">
        <f t="shared" si="10"/>
        <v>628882.43223935831</v>
      </c>
      <c r="L83" s="213">
        <v>2955</v>
      </c>
      <c r="M83" s="213">
        <v>281685.75862509327</v>
      </c>
      <c r="N83" s="213">
        <v>200126.18302752002</v>
      </c>
      <c r="O83" s="213">
        <v>2372.3000000000002</v>
      </c>
      <c r="P83" s="213">
        <v>117287.8240665827</v>
      </c>
      <c r="Q83" s="213">
        <v>9806.9365201622459</v>
      </c>
      <c r="S83" s="213">
        <v>14648.43</v>
      </c>
      <c r="U83" s="171" t="s">
        <v>585</v>
      </c>
      <c r="V83" s="86"/>
      <c r="X83" s="86"/>
      <c r="Z83" s="86"/>
      <c r="AB83" s="86"/>
      <c r="AD83" s="86"/>
      <c r="AF83" s="86"/>
      <c r="AH83" s="86"/>
    </row>
    <row r="84" spans="1:34" x14ac:dyDescent="0.2">
      <c r="A84" s="89"/>
      <c r="B84" s="74" t="s">
        <v>13</v>
      </c>
      <c r="C84" s="89"/>
      <c r="E84" s="89"/>
      <c r="F84" s="74" t="s">
        <v>97</v>
      </c>
      <c r="J84" s="172">
        <f t="shared" si="10"/>
        <v>2185426.34</v>
      </c>
      <c r="L84" s="213">
        <v>12938</v>
      </c>
      <c r="M84" s="213">
        <v>640326</v>
      </c>
      <c r="N84" s="213">
        <v>685244</v>
      </c>
      <c r="O84" s="213">
        <v>369420.34</v>
      </c>
      <c r="P84" s="213">
        <v>465048</v>
      </c>
      <c r="Q84" s="213">
        <v>12450</v>
      </c>
      <c r="R84" s="171"/>
      <c r="S84" s="213"/>
      <c r="U84" s="171" t="s">
        <v>280</v>
      </c>
      <c r="V84" s="86"/>
      <c r="X84" s="86"/>
      <c r="Z84" s="86"/>
      <c r="AB84" s="86"/>
      <c r="AD84" s="86"/>
      <c r="AF84" s="86"/>
      <c r="AH84" s="86"/>
    </row>
    <row r="85" spans="1:34" x14ac:dyDescent="0.2">
      <c r="A85" s="89"/>
      <c r="C85" s="89"/>
      <c r="E85" s="89"/>
      <c r="J85" s="96"/>
      <c r="L85" s="86"/>
      <c r="M85" s="86"/>
      <c r="N85" s="86"/>
      <c r="O85" s="86"/>
      <c r="P85" s="86"/>
      <c r="Q85" s="86"/>
      <c r="R85" s="171"/>
      <c r="S85" s="86"/>
      <c r="U85" s="171"/>
      <c r="V85" s="86"/>
      <c r="X85" s="86"/>
      <c r="Z85" s="86"/>
      <c r="AB85" s="86"/>
      <c r="AD85" s="86"/>
      <c r="AF85" s="86"/>
      <c r="AH85" s="86"/>
    </row>
    <row r="86" spans="1:34" x14ac:dyDescent="0.2">
      <c r="A86" s="89"/>
      <c r="B86" s="75" t="s">
        <v>14</v>
      </c>
      <c r="C86" s="89"/>
      <c r="D86" s="75"/>
      <c r="E86" s="89"/>
      <c r="J86" s="96"/>
      <c r="L86" s="86"/>
      <c r="M86" s="86"/>
      <c r="N86" s="86"/>
      <c r="O86" s="86"/>
      <c r="P86" s="86"/>
      <c r="Q86" s="86"/>
      <c r="R86" s="171"/>
      <c r="S86" s="86"/>
      <c r="U86" s="171"/>
      <c r="V86" s="86"/>
      <c r="X86" s="86"/>
      <c r="Z86" s="86"/>
      <c r="AB86" s="86"/>
      <c r="AD86" s="86"/>
      <c r="AF86" s="86"/>
      <c r="AH86" s="86"/>
    </row>
    <row r="87" spans="1:34" x14ac:dyDescent="0.2">
      <c r="A87" s="89"/>
      <c r="B87" s="74" t="s">
        <v>15</v>
      </c>
      <c r="C87" s="89"/>
      <c r="D87" s="79"/>
      <c r="E87" s="89"/>
      <c r="F87" s="74" t="s">
        <v>97</v>
      </c>
      <c r="J87" s="172">
        <f t="shared" ref="J87:J90" si="11">SUM(L87:Q87,S87)</f>
        <v>3231969.2641435238</v>
      </c>
      <c r="L87" s="213">
        <v>33478</v>
      </c>
      <c r="M87" s="213">
        <v>953197.20758007152</v>
      </c>
      <c r="N87" s="213">
        <v>1430946.0454982321</v>
      </c>
      <c r="O87" s="213"/>
      <c r="P87" s="213">
        <v>615103.03106522013</v>
      </c>
      <c r="Q87" s="213">
        <v>1668.48</v>
      </c>
      <c r="R87" s="171"/>
      <c r="S87" s="213">
        <v>197576.50000000009</v>
      </c>
      <c r="U87" s="171" t="s">
        <v>281</v>
      </c>
      <c r="V87" s="86"/>
      <c r="X87" s="86"/>
      <c r="Z87" s="86"/>
      <c r="AB87" s="86"/>
      <c r="AD87" s="86"/>
      <c r="AF87" s="86"/>
      <c r="AH87" s="86"/>
    </row>
    <row r="88" spans="1:34" x14ac:dyDescent="0.2">
      <c r="A88" s="89"/>
      <c r="B88" s="74" t="s">
        <v>16</v>
      </c>
      <c r="C88" s="89"/>
      <c r="E88" s="89"/>
      <c r="F88" s="74" t="s">
        <v>97</v>
      </c>
      <c r="J88" s="172">
        <f t="shared" si="11"/>
        <v>1199079.8667932926</v>
      </c>
      <c r="L88" s="213">
        <v>764</v>
      </c>
      <c r="M88" s="213">
        <v>931960.34052747954</v>
      </c>
      <c r="N88" s="213">
        <v>0</v>
      </c>
      <c r="O88" s="213">
        <v>5755.5</v>
      </c>
      <c r="P88" s="213">
        <v>255997.96626581301</v>
      </c>
      <c r="Q88" s="213">
        <v>4602.0600000000004</v>
      </c>
      <c r="R88" s="171"/>
      <c r="S88" s="213"/>
      <c r="U88" s="171" t="s">
        <v>282</v>
      </c>
      <c r="V88" s="86"/>
      <c r="X88" s="86"/>
      <c r="Z88" s="86"/>
      <c r="AB88" s="86"/>
      <c r="AD88" s="86"/>
      <c r="AF88" s="86"/>
      <c r="AH88" s="86"/>
    </row>
    <row r="89" spans="1:34" x14ac:dyDescent="0.2">
      <c r="A89" s="89"/>
      <c r="B89" s="74" t="s">
        <v>17</v>
      </c>
      <c r="C89" s="89"/>
      <c r="E89" s="89"/>
      <c r="F89" s="74" t="s">
        <v>97</v>
      </c>
      <c r="J89" s="172">
        <f t="shared" si="11"/>
        <v>2651137.5444939951</v>
      </c>
      <c r="L89" s="213">
        <v>45</v>
      </c>
      <c r="M89" s="213">
        <v>1645382.7816785693</v>
      </c>
      <c r="N89" s="213">
        <v>385330.27653545077</v>
      </c>
      <c r="O89" s="213">
        <v>1445.14</v>
      </c>
      <c r="P89" s="213">
        <v>365459.69477568194</v>
      </c>
      <c r="Q89" s="213">
        <v>93518.120000000024</v>
      </c>
      <c r="R89" s="171"/>
      <c r="S89" s="213">
        <v>159956.53150429329</v>
      </c>
      <c r="U89" s="171" t="s">
        <v>283</v>
      </c>
      <c r="V89" s="86"/>
      <c r="X89" s="86"/>
      <c r="Z89" s="86"/>
      <c r="AB89" s="86"/>
      <c r="AD89" s="86"/>
      <c r="AF89" s="86"/>
      <c r="AH89" s="86"/>
    </row>
    <row r="90" spans="1:34" x14ac:dyDescent="0.2">
      <c r="A90" s="89"/>
      <c r="B90" s="74" t="s">
        <v>18</v>
      </c>
      <c r="C90" s="89"/>
      <c r="E90" s="89"/>
      <c r="F90" s="74" t="s">
        <v>97</v>
      </c>
      <c r="J90" s="172">
        <f t="shared" si="11"/>
        <v>19213466.972672377</v>
      </c>
      <c r="L90" s="213">
        <v>0</v>
      </c>
      <c r="M90" s="213">
        <v>2145781.5254116664</v>
      </c>
      <c r="N90" s="213">
        <v>15306329.393099736</v>
      </c>
      <c r="O90" s="213">
        <v>9116.77</v>
      </c>
      <c r="P90" s="213">
        <v>1246239.2841609742</v>
      </c>
      <c r="Q90" s="213">
        <v>0</v>
      </c>
      <c r="R90" s="171"/>
      <c r="S90" s="213">
        <v>506000</v>
      </c>
      <c r="U90" s="171" t="s">
        <v>284</v>
      </c>
      <c r="V90" s="86"/>
      <c r="X90" s="86"/>
      <c r="Z90" s="86"/>
      <c r="AB90" s="86"/>
      <c r="AD90" s="86"/>
      <c r="AF90" s="86"/>
      <c r="AH90" s="86"/>
    </row>
    <row r="92" spans="1:34" s="47" customFormat="1" x14ac:dyDescent="0.2">
      <c r="B92" s="47" t="s">
        <v>119</v>
      </c>
    </row>
    <row r="94" spans="1:34" x14ac:dyDescent="0.2">
      <c r="B94" s="75" t="s">
        <v>238</v>
      </c>
    </row>
    <row r="95" spans="1:34" x14ac:dyDescent="0.2">
      <c r="A95" s="89"/>
      <c r="B95" s="75" t="s">
        <v>6</v>
      </c>
      <c r="C95" s="89"/>
      <c r="D95" s="75"/>
      <c r="E95" s="89"/>
    </row>
    <row r="96" spans="1:34" x14ac:dyDescent="0.2">
      <c r="A96" s="89"/>
      <c r="B96" s="74" t="s">
        <v>7</v>
      </c>
      <c r="C96" s="89"/>
      <c r="E96" s="89"/>
      <c r="F96" s="74" t="s">
        <v>106</v>
      </c>
      <c r="J96" s="172">
        <f t="shared" ref="J96:J99" si="12">SUM(L96:Q96,S96)</f>
        <v>499474660.78420085</v>
      </c>
      <c r="L96" s="213">
        <v>0</v>
      </c>
      <c r="M96" s="213">
        <v>184852300.02000001</v>
      </c>
      <c r="N96" s="213">
        <v>178686025.66</v>
      </c>
      <c r="O96" s="213"/>
      <c r="P96" s="213">
        <v>112692097.59420086</v>
      </c>
      <c r="Q96" s="213">
        <v>10813594.76</v>
      </c>
      <c r="R96" s="171"/>
      <c r="S96" s="213">
        <v>12430642.750000002</v>
      </c>
      <c r="U96" s="171" t="s">
        <v>285</v>
      </c>
      <c r="V96" s="86"/>
      <c r="X96" s="86"/>
      <c r="Z96" s="86"/>
      <c r="AB96" s="86"/>
      <c r="AD96" s="86"/>
      <c r="AF96" s="86"/>
      <c r="AH96" s="86"/>
    </row>
    <row r="97" spans="1:34" x14ac:dyDescent="0.2">
      <c r="A97" s="89"/>
      <c r="B97" s="74" t="s">
        <v>8</v>
      </c>
      <c r="C97" s="89"/>
      <c r="E97" s="89"/>
      <c r="F97" s="74" t="s">
        <v>106</v>
      </c>
      <c r="J97" s="172">
        <f t="shared" si="12"/>
        <v>9832581.9408000018</v>
      </c>
      <c r="L97" s="213">
        <v>3453224</v>
      </c>
      <c r="M97" s="213">
        <v>156753.23199999999</v>
      </c>
      <c r="N97" s="213">
        <v>1401377.91</v>
      </c>
      <c r="O97" s="213">
        <v>2215766.8200000003</v>
      </c>
      <c r="P97" s="213">
        <v>2313946.0800000015</v>
      </c>
      <c r="Q97" s="213">
        <v>291513.89879999997</v>
      </c>
      <c r="R97" s="171"/>
      <c r="S97" s="213"/>
      <c r="U97" s="171" t="s">
        <v>286</v>
      </c>
      <c r="V97" s="86"/>
      <c r="X97" s="86"/>
      <c r="Z97" s="86"/>
      <c r="AB97" s="86"/>
      <c r="AD97" s="86"/>
      <c r="AF97" s="86"/>
      <c r="AH97" s="86"/>
    </row>
    <row r="98" spans="1:34" x14ac:dyDescent="0.2">
      <c r="A98" s="89"/>
      <c r="B98" s="74" t="s">
        <v>9</v>
      </c>
      <c r="C98" s="89"/>
      <c r="E98" s="89"/>
      <c r="F98" s="74" t="s">
        <v>106</v>
      </c>
      <c r="J98" s="172">
        <f t="shared" si="12"/>
        <v>150169067.86000001</v>
      </c>
      <c r="L98" s="213">
        <v>558177</v>
      </c>
      <c r="M98" s="213">
        <v>46401288.650000013</v>
      </c>
      <c r="N98" s="213">
        <v>52239500.5</v>
      </c>
      <c r="O98" s="213">
        <v>576726.4</v>
      </c>
      <c r="P98" s="213">
        <v>42038983.850000001</v>
      </c>
      <c r="Q98" s="213">
        <v>3339095.6799999997</v>
      </c>
      <c r="R98" s="171"/>
      <c r="S98" s="213">
        <v>5015295.7799999984</v>
      </c>
      <c r="U98" s="171" t="s">
        <v>287</v>
      </c>
      <c r="V98" s="86"/>
      <c r="X98" s="86"/>
      <c r="Z98" s="86"/>
      <c r="AB98" s="86"/>
      <c r="AD98" s="86"/>
      <c r="AF98" s="86"/>
      <c r="AH98" s="86"/>
    </row>
    <row r="99" spans="1:34" x14ac:dyDescent="0.2">
      <c r="A99" s="89"/>
      <c r="B99" s="74" t="s">
        <v>10</v>
      </c>
      <c r="C99" s="89"/>
      <c r="E99" s="89"/>
      <c r="F99" s="74" t="s">
        <v>106</v>
      </c>
      <c r="J99" s="172">
        <f t="shared" si="12"/>
        <v>0</v>
      </c>
      <c r="L99" s="213">
        <v>0</v>
      </c>
      <c r="M99" s="213"/>
      <c r="N99" s="213"/>
      <c r="O99" s="213"/>
      <c r="P99" s="213"/>
      <c r="Q99" s="213"/>
      <c r="R99" s="171"/>
      <c r="S99" s="213"/>
      <c r="U99" s="171" t="s">
        <v>288</v>
      </c>
      <c r="V99" s="86"/>
      <c r="X99" s="86"/>
      <c r="Z99" s="86"/>
      <c r="AB99" s="86"/>
      <c r="AD99" s="86"/>
      <c r="AF99" s="86"/>
      <c r="AH99" s="86"/>
    </row>
    <row r="100" spans="1:34" x14ac:dyDescent="0.2">
      <c r="A100" s="89"/>
      <c r="C100" s="89"/>
      <c r="E100" s="89"/>
      <c r="J100" s="96"/>
      <c r="L100" s="86"/>
      <c r="M100" s="86"/>
      <c r="N100" s="86"/>
      <c r="O100" s="86"/>
      <c r="P100" s="86"/>
      <c r="Q100" s="86"/>
      <c r="R100" s="171"/>
      <c r="S100" s="86"/>
      <c r="U100" s="171"/>
      <c r="V100" s="86"/>
      <c r="X100" s="86"/>
      <c r="Z100" s="86"/>
      <c r="AB100" s="86"/>
      <c r="AD100" s="86"/>
      <c r="AF100" s="86"/>
      <c r="AH100" s="86"/>
    </row>
    <row r="101" spans="1:34" x14ac:dyDescent="0.2">
      <c r="A101" s="89"/>
      <c r="B101" s="75" t="s">
        <v>11</v>
      </c>
      <c r="C101" s="89"/>
      <c r="D101" s="75"/>
      <c r="E101" s="89"/>
      <c r="J101" s="96"/>
      <c r="L101" s="86"/>
      <c r="M101" s="86"/>
      <c r="N101" s="86"/>
      <c r="O101" s="86"/>
      <c r="P101" s="86"/>
      <c r="Q101" s="86"/>
      <c r="R101" s="171"/>
      <c r="S101" s="86"/>
      <c r="U101" s="171"/>
      <c r="V101" s="86"/>
      <c r="X101" s="86"/>
      <c r="Z101" s="86"/>
      <c r="AB101" s="86"/>
      <c r="AD101" s="86"/>
      <c r="AF101" s="86"/>
      <c r="AH101" s="86"/>
    </row>
    <row r="102" spans="1:34" x14ac:dyDescent="0.2">
      <c r="A102" s="89"/>
      <c r="B102" s="74" t="s">
        <v>12</v>
      </c>
      <c r="C102" s="89"/>
      <c r="E102" s="89"/>
      <c r="F102" s="74" t="s">
        <v>106</v>
      </c>
      <c r="J102" s="172">
        <f t="shared" ref="J102:J104" si="13">SUM(L102:Q102,S102)</f>
        <v>1017046100.3131756</v>
      </c>
      <c r="L102" s="213">
        <v>4638618</v>
      </c>
      <c r="M102" s="213">
        <v>315362527.62408</v>
      </c>
      <c r="N102" s="213">
        <v>422850203.28600472</v>
      </c>
      <c r="O102" s="213">
        <v>5504722.5899999999</v>
      </c>
      <c r="P102" s="213">
        <v>226079018.1277937</v>
      </c>
      <c r="Q102" s="213">
        <v>13695498.440475913</v>
      </c>
      <c r="R102" s="171"/>
      <c r="S102" s="213">
        <v>28915512.244821154</v>
      </c>
      <c r="U102" s="171" t="s">
        <v>289</v>
      </c>
      <c r="V102" s="86"/>
      <c r="X102" s="86"/>
      <c r="Z102" s="86"/>
      <c r="AB102" s="86"/>
      <c r="AD102" s="86"/>
      <c r="AF102" s="86"/>
      <c r="AH102" s="86"/>
    </row>
    <row r="103" spans="1:34" s="171" customFormat="1" x14ac:dyDescent="0.2">
      <c r="A103" s="102"/>
      <c r="B103" s="171" t="s">
        <v>430</v>
      </c>
      <c r="C103" s="102"/>
      <c r="E103" s="102"/>
      <c r="F103" s="171" t="s">
        <v>106</v>
      </c>
      <c r="J103" s="172">
        <f t="shared" si="13"/>
        <v>707274.29168920848</v>
      </c>
      <c r="L103" s="213">
        <v>3905</v>
      </c>
      <c r="M103" s="213">
        <v>223153.71070777759</v>
      </c>
      <c r="N103" s="213">
        <v>293463.99658065982</v>
      </c>
      <c r="O103" s="213">
        <v>2942.49</v>
      </c>
      <c r="P103" s="213">
        <v>151190.08978971475</v>
      </c>
      <c r="Q103" s="213">
        <v>12753.444611056206</v>
      </c>
      <c r="S103" s="213">
        <v>19865.560000000001</v>
      </c>
      <c r="U103" s="171" t="s">
        <v>586</v>
      </c>
      <c r="V103" s="86"/>
      <c r="X103" s="86"/>
      <c r="Z103" s="86"/>
      <c r="AB103" s="86"/>
      <c r="AD103" s="86"/>
      <c r="AF103" s="86"/>
      <c r="AH103" s="86"/>
    </row>
    <row r="104" spans="1:34" x14ac:dyDescent="0.2">
      <c r="A104" s="89"/>
      <c r="B104" s="74" t="s">
        <v>13</v>
      </c>
      <c r="C104" s="89"/>
      <c r="E104" s="89"/>
      <c r="F104" s="74" t="s">
        <v>106</v>
      </c>
      <c r="J104" s="172">
        <f t="shared" si="13"/>
        <v>4181555.11</v>
      </c>
      <c r="L104" s="213">
        <v>25134</v>
      </c>
      <c r="M104" s="213">
        <v>1272153</v>
      </c>
      <c r="N104" s="213">
        <v>1432623</v>
      </c>
      <c r="O104" s="213">
        <v>474330.11</v>
      </c>
      <c r="P104" s="213">
        <v>950248</v>
      </c>
      <c r="Q104" s="213">
        <v>27067</v>
      </c>
      <c r="R104" s="171"/>
      <c r="S104" s="213"/>
      <c r="U104" s="171" t="s">
        <v>290</v>
      </c>
      <c r="V104" s="86"/>
      <c r="X104" s="86"/>
      <c r="Z104" s="86"/>
      <c r="AB104" s="86"/>
      <c r="AD104" s="86"/>
      <c r="AF104" s="86"/>
      <c r="AH104" s="86"/>
    </row>
    <row r="105" spans="1:34" x14ac:dyDescent="0.2">
      <c r="A105" s="89"/>
      <c r="C105" s="89"/>
      <c r="E105" s="89"/>
      <c r="J105" s="96"/>
      <c r="L105" s="86"/>
      <c r="M105" s="86"/>
      <c r="N105" s="86"/>
      <c r="O105" s="86"/>
      <c r="P105" s="86"/>
      <c r="Q105" s="86"/>
      <c r="R105" s="171"/>
      <c r="S105" s="86"/>
      <c r="U105" s="171"/>
      <c r="V105" s="86"/>
      <c r="X105" s="86"/>
      <c r="Z105" s="86"/>
      <c r="AB105" s="86"/>
      <c r="AD105" s="86"/>
      <c r="AF105" s="86"/>
      <c r="AH105" s="86"/>
    </row>
    <row r="106" spans="1:34" x14ac:dyDescent="0.2">
      <c r="A106" s="89"/>
      <c r="B106" s="75" t="s">
        <v>14</v>
      </c>
      <c r="C106" s="89"/>
      <c r="D106" s="75"/>
      <c r="E106" s="89"/>
      <c r="J106" s="96"/>
      <c r="L106" s="86"/>
      <c r="M106" s="86"/>
      <c r="N106" s="86"/>
      <c r="O106" s="86"/>
      <c r="P106" s="86"/>
      <c r="Q106" s="86"/>
      <c r="R106" s="171"/>
      <c r="S106" s="86"/>
      <c r="U106" s="171"/>
      <c r="V106" s="86"/>
      <c r="X106" s="86"/>
      <c r="Z106" s="86"/>
      <c r="AB106" s="86"/>
      <c r="AD106" s="86"/>
      <c r="AF106" s="86"/>
      <c r="AH106" s="86"/>
    </row>
    <row r="107" spans="1:34" x14ac:dyDescent="0.2">
      <c r="A107" s="89"/>
      <c r="B107" s="74" t="s">
        <v>15</v>
      </c>
      <c r="C107" s="89"/>
      <c r="D107" s="79"/>
      <c r="E107" s="89"/>
      <c r="F107" s="74" t="s">
        <v>106</v>
      </c>
      <c r="J107" s="172">
        <f t="shared" ref="J107:J110" si="14">SUM(L107:Q107,S107)</f>
        <v>3847110.7571973638</v>
      </c>
      <c r="L107" s="213">
        <v>18831</v>
      </c>
      <c r="M107" s="213">
        <v>611084.28146774904</v>
      </c>
      <c r="N107" s="213">
        <v>1978031.6932122561</v>
      </c>
      <c r="O107" s="213">
        <v>11740.6</v>
      </c>
      <c r="P107" s="213">
        <v>1121219.9925173584</v>
      </c>
      <c r="Q107" s="213"/>
      <c r="R107" s="171"/>
      <c r="S107" s="213">
        <v>106203.19</v>
      </c>
      <c r="U107" s="171" t="s">
        <v>291</v>
      </c>
      <c r="V107" s="86"/>
      <c r="X107" s="86"/>
      <c r="Z107" s="86"/>
      <c r="AB107" s="86"/>
      <c r="AD107" s="86"/>
      <c r="AF107" s="86"/>
      <c r="AH107" s="86"/>
    </row>
    <row r="108" spans="1:34" x14ac:dyDescent="0.2">
      <c r="A108" s="89"/>
      <c r="B108" s="74" t="s">
        <v>16</v>
      </c>
      <c r="C108" s="89"/>
      <c r="E108" s="89"/>
      <c r="F108" s="74" t="s">
        <v>106</v>
      </c>
      <c r="J108" s="172">
        <f t="shared" si="14"/>
        <v>876189.78162516619</v>
      </c>
      <c r="L108" s="213">
        <v>3847</v>
      </c>
      <c r="M108" s="213">
        <v>296686.8502849103</v>
      </c>
      <c r="N108" s="213"/>
      <c r="O108" s="213">
        <v>5147.3599999999997</v>
      </c>
      <c r="P108" s="213">
        <v>570373.5713402559</v>
      </c>
      <c r="Q108" s="213">
        <v>135</v>
      </c>
      <c r="R108" s="171"/>
      <c r="S108" s="213"/>
      <c r="U108" s="171" t="s">
        <v>292</v>
      </c>
      <c r="V108" s="86"/>
      <c r="X108" s="86"/>
      <c r="Z108" s="86"/>
      <c r="AB108" s="86"/>
      <c r="AD108" s="86"/>
      <c r="AF108" s="86"/>
      <c r="AH108" s="86"/>
    </row>
    <row r="109" spans="1:34" x14ac:dyDescent="0.2">
      <c r="A109" s="89"/>
      <c r="B109" s="74" t="s">
        <v>17</v>
      </c>
      <c r="C109" s="89"/>
      <c r="E109" s="89"/>
      <c r="F109" s="74" t="s">
        <v>106</v>
      </c>
      <c r="J109" s="172">
        <f t="shared" si="14"/>
        <v>1514799.940786154</v>
      </c>
      <c r="L109" s="213">
        <v>5476</v>
      </c>
      <c r="M109" s="213">
        <v>285163.83439323021</v>
      </c>
      <c r="N109" s="213">
        <v>472463.81097387662</v>
      </c>
      <c r="O109" s="213">
        <v>1776.98</v>
      </c>
      <c r="P109" s="213">
        <v>720702.18185445922</v>
      </c>
      <c r="Q109" s="213">
        <v>9344.9708874546795</v>
      </c>
      <c r="R109" s="171"/>
      <c r="S109" s="213">
        <v>19872.162677133201</v>
      </c>
      <c r="U109" s="171" t="s">
        <v>293</v>
      </c>
      <c r="V109" s="86"/>
      <c r="X109" s="86"/>
      <c r="Z109" s="86"/>
      <c r="AB109" s="86"/>
      <c r="AD109" s="86"/>
      <c r="AF109" s="86"/>
      <c r="AH109" s="86"/>
    </row>
    <row r="110" spans="1:34" x14ac:dyDescent="0.2">
      <c r="A110" s="89"/>
      <c r="B110" s="74" t="s">
        <v>18</v>
      </c>
      <c r="C110" s="89"/>
      <c r="E110" s="89"/>
      <c r="F110" s="74" t="s">
        <v>106</v>
      </c>
      <c r="J110" s="172">
        <f t="shared" si="14"/>
        <v>24796914.972233601</v>
      </c>
      <c r="L110" s="213">
        <v>0</v>
      </c>
      <c r="M110" s="213">
        <v>2299243.0382776298</v>
      </c>
      <c r="N110" s="213">
        <v>21025255.931916226</v>
      </c>
      <c r="O110" s="213">
        <v>11141.23</v>
      </c>
      <c r="P110" s="213">
        <v>645274.27203974617</v>
      </c>
      <c r="Q110" s="213">
        <v>13000.5</v>
      </c>
      <c r="R110" s="171"/>
      <c r="S110" s="213">
        <v>803000</v>
      </c>
      <c r="U110" s="171" t="s">
        <v>294</v>
      </c>
      <c r="V110" s="86"/>
      <c r="X110" s="86"/>
      <c r="Z110" s="86"/>
      <c r="AB110" s="86"/>
      <c r="AD110" s="86"/>
      <c r="AF110" s="86"/>
      <c r="AH110" s="86"/>
    </row>
    <row r="112" spans="1:34" s="47" customFormat="1" x14ac:dyDescent="0.2">
      <c r="B112" s="47" t="s">
        <v>120</v>
      </c>
    </row>
    <row r="114" spans="1:34" x14ac:dyDescent="0.2">
      <c r="B114" s="75" t="s">
        <v>238</v>
      </c>
    </row>
    <row r="115" spans="1:34" x14ac:dyDescent="0.2">
      <c r="A115" s="89"/>
      <c r="B115" s="75" t="s">
        <v>6</v>
      </c>
      <c r="C115" s="89"/>
      <c r="D115" s="75"/>
      <c r="E115" s="89"/>
    </row>
    <row r="116" spans="1:34" x14ac:dyDescent="0.2">
      <c r="A116" s="89"/>
      <c r="B116" s="74" t="s">
        <v>7</v>
      </c>
      <c r="C116" s="89"/>
      <c r="E116" s="89"/>
      <c r="F116" s="74" t="s">
        <v>113</v>
      </c>
      <c r="I116" s="79"/>
      <c r="J116" s="198">
        <f t="shared" ref="J116:J119" si="15">SUM(L116:Q116,S116)</f>
        <v>668687979.60228491</v>
      </c>
      <c r="K116" s="79"/>
      <c r="L116" s="213">
        <v>0</v>
      </c>
      <c r="M116" s="243">
        <v>248461562.47228497</v>
      </c>
      <c r="N116" s="213">
        <v>241221441.29000002</v>
      </c>
      <c r="O116" s="213">
        <v>0</v>
      </c>
      <c r="P116" s="243">
        <v>148890130.38999999</v>
      </c>
      <c r="Q116" s="213">
        <v>13952560.029999999</v>
      </c>
      <c r="R116" s="79"/>
      <c r="S116" s="213">
        <v>16162285.420000006</v>
      </c>
      <c r="U116" s="171" t="s">
        <v>295</v>
      </c>
      <c r="V116" s="86"/>
      <c r="X116" s="86"/>
      <c r="Z116" s="86"/>
      <c r="AB116" s="86"/>
      <c r="AD116" s="86"/>
      <c r="AF116" s="86"/>
      <c r="AH116" s="86"/>
    </row>
    <row r="117" spans="1:34" x14ac:dyDescent="0.2">
      <c r="A117" s="89"/>
      <c r="B117" s="74" t="s">
        <v>8</v>
      </c>
      <c r="C117" s="89"/>
      <c r="E117" s="89"/>
      <c r="F117" s="74" t="s">
        <v>113</v>
      </c>
      <c r="I117" s="79"/>
      <c r="J117" s="198">
        <f t="shared" si="15"/>
        <v>9461730.3294889592</v>
      </c>
      <c r="K117" s="79"/>
      <c r="L117" s="213">
        <v>3319302</v>
      </c>
      <c r="M117" s="243">
        <v>156069.12040000001</v>
      </c>
      <c r="N117" s="213">
        <v>1082254.3999999999</v>
      </c>
      <c r="O117" s="213">
        <v>2257368.81</v>
      </c>
      <c r="P117" s="243">
        <v>2369957.0836</v>
      </c>
      <c r="Q117" s="213">
        <v>276778.91548895999</v>
      </c>
      <c r="R117" s="79"/>
      <c r="S117" s="213">
        <v>0</v>
      </c>
      <c r="U117" s="171" t="s">
        <v>296</v>
      </c>
      <c r="V117" s="86"/>
      <c r="X117" s="86"/>
      <c r="Z117" s="86"/>
      <c r="AB117" s="86"/>
      <c r="AD117" s="86"/>
      <c r="AF117" s="86"/>
      <c r="AH117" s="86"/>
    </row>
    <row r="118" spans="1:34" x14ac:dyDescent="0.2">
      <c r="A118" s="89"/>
      <c r="B118" s="74" t="s">
        <v>9</v>
      </c>
      <c r="C118" s="89"/>
      <c r="E118" s="89"/>
      <c r="F118" s="74" t="s">
        <v>113</v>
      </c>
      <c r="I118" s="79"/>
      <c r="J118" s="198">
        <f t="shared" si="15"/>
        <v>155101659.56</v>
      </c>
      <c r="K118" s="79"/>
      <c r="L118" s="213">
        <v>698048</v>
      </c>
      <c r="M118" s="243">
        <v>59348486.020000003</v>
      </c>
      <c r="N118" s="213">
        <v>60659150.109999999</v>
      </c>
      <c r="O118" s="213">
        <v>432112.73</v>
      </c>
      <c r="P118" s="243">
        <v>26766575.719999999</v>
      </c>
      <c r="Q118" s="213">
        <v>2803642.0799999996</v>
      </c>
      <c r="R118" s="79"/>
      <c r="S118" s="213">
        <v>4393644.8999999994</v>
      </c>
      <c r="U118" s="171" t="s">
        <v>297</v>
      </c>
      <c r="V118" s="86"/>
      <c r="X118" s="86"/>
      <c r="Z118" s="86"/>
      <c r="AB118" s="86"/>
      <c r="AD118" s="86"/>
      <c r="AF118" s="86"/>
      <c r="AH118" s="86"/>
    </row>
    <row r="119" spans="1:34" x14ac:dyDescent="0.2">
      <c r="A119" s="89"/>
      <c r="B119" s="74" t="s">
        <v>10</v>
      </c>
      <c r="C119" s="89"/>
      <c r="E119" s="89"/>
      <c r="F119" s="74" t="s">
        <v>113</v>
      </c>
      <c r="I119" s="79"/>
      <c r="J119" s="198">
        <f t="shared" si="15"/>
        <v>0</v>
      </c>
      <c r="K119" s="79"/>
      <c r="L119" s="213">
        <v>0</v>
      </c>
      <c r="M119" s="243">
        <v>0</v>
      </c>
      <c r="N119" s="213">
        <v>0</v>
      </c>
      <c r="O119" s="213">
        <v>0</v>
      </c>
      <c r="P119" s="243">
        <v>0</v>
      </c>
      <c r="Q119" s="213">
        <v>0</v>
      </c>
      <c r="R119" s="79"/>
      <c r="S119" s="213">
        <v>0</v>
      </c>
      <c r="U119" s="171" t="s">
        <v>298</v>
      </c>
      <c r="V119" s="86"/>
      <c r="X119" s="86"/>
      <c r="Z119" s="86"/>
      <c r="AB119" s="86"/>
      <c r="AD119" s="86"/>
      <c r="AF119" s="86"/>
      <c r="AH119" s="86"/>
    </row>
    <row r="120" spans="1:34" x14ac:dyDescent="0.2">
      <c r="A120" s="89"/>
      <c r="C120" s="89"/>
      <c r="E120" s="89"/>
      <c r="I120" s="79"/>
      <c r="J120" s="202"/>
      <c r="K120" s="79"/>
      <c r="L120" s="86"/>
      <c r="M120" s="86"/>
      <c r="N120" s="86"/>
      <c r="O120" s="86"/>
      <c r="P120" s="86"/>
      <c r="Q120" s="86"/>
      <c r="R120" s="79"/>
      <c r="S120" s="86"/>
      <c r="U120" s="171"/>
      <c r="V120" s="86"/>
      <c r="X120" s="86"/>
      <c r="Z120" s="86"/>
      <c r="AB120" s="86"/>
      <c r="AD120" s="86"/>
      <c r="AF120" s="86"/>
      <c r="AH120" s="86"/>
    </row>
    <row r="121" spans="1:34" x14ac:dyDescent="0.2">
      <c r="A121" s="89"/>
      <c r="B121" s="75" t="s">
        <v>11</v>
      </c>
      <c r="C121" s="89"/>
      <c r="D121" s="75"/>
      <c r="E121" s="89"/>
      <c r="I121" s="79"/>
      <c r="J121" s="202"/>
      <c r="K121" s="79"/>
      <c r="L121" s="86"/>
      <c r="M121" s="86"/>
      <c r="N121" s="86"/>
      <c r="O121" s="86"/>
      <c r="P121" s="86"/>
      <c r="Q121" s="86"/>
      <c r="R121" s="79"/>
      <c r="S121" s="86"/>
      <c r="U121" s="171"/>
      <c r="V121" s="86"/>
      <c r="X121" s="86"/>
      <c r="Z121" s="86"/>
      <c r="AB121" s="86"/>
      <c r="AD121" s="86"/>
      <c r="AF121" s="86"/>
      <c r="AH121" s="86"/>
    </row>
    <row r="122" spans="1:34" x14ac:dyDescent="0.2">
      <c r="A122" s="89"/>
      <c r="B122" s="74" t="s">
        <v>12</v>
      </c>
      <c r="C122" s="89"/>
      <c r="E122" s="89"/>
      <c r="F122" s="74" t="s">
        <v>113</v>
      </c>
      <c r="I122" s="79"/>
      <c r="J122" s="198">
        <f t="shared" ref="J122:J124" si="16">SUM(L122:Q122,S122)</f>
        <v>1099649292.6217837</v>
      </c>
      <c r="K122" s="79"/>
      <c r="L122" s="213">
        <v>5832567</v>
      </c>
      <c r="M122" s="243">
        <v>352309338.14509702</v>
      </c>
      <c r="N122" s="213">
        <v>451969858.48885739</v>
      </c>
      <c r="O122" s="213">
        <v>4096798.79</v>
      </c>
      <c r="P122" s="243">
        <v>239695388.32633948</v>
      </c>
      <c r="Q122" s="213">
        <v>14944585.896108922</v>
      </c>
      <c r="R122" s="79"/>
      <c r="S122" s="213">
        <v>30800755.975380983</v>
      </c>
      <c r="U122" s="171" t="s">
        <v>299</v>
      </c>
      <c r="V122" s="86"/>
      <c r="X122" s="86"/>
      <c r="Z122" s="86"/>
      <c r="AB122" s="86"/>
      <c r="AD122" s="86"/>
      <c r="AF122" s="86"/>
      <c r="AH122" s="86"/>
    </row>
    <row r="123" spans="1:34" s="171" customFormat="1" x14ac:dyDescent="0.2">
      <c r="A123" s="102"/>
      <c r="B123" s="171" t="s">
        <v>430</v>
      </c>
      <c r="C123" s="102"/>
      <c r="E123" s="102"/>
      <c r="F123" s="171" t="s">
        <v>113</v>
      </c>
      <c r="I123" s="79"/>
      <c r="J123" s="198">
        <f t="shared" si="16"/>
        <v>1104995.7848515217</v>
      </c>
      <c r="K123" s="79"/>
      <c r="L123" s="213">
        <v>4931</v>
      </c>
      <c r="M123" s="243">
        <v>453440.41626742348</v>
      </c>
      <c r="N123" s="213">
        <v>377681.38418154651</v>
      </c>
      <c r="O123" s="213">
        <v>3626.78</v>
      </c>
      <c r="P123" s="243">
        <v>220697.88393371747</v>
      </c>
      <c r="Q123" s="213">
        <v>16365.120468834499</v>
      </c>
      <c r="R123" s="79"/>
      <c r="S123" s="213">
        <v>28253.200000000001</v>
      </c>
      <c r="U123" s="171" t="s">
        <v>587</v>
      </c>
      <c r="V123" s="86"/>
      <c r="X123" s="86"/>
      <c r="Z123" s="86"/>
      <c r="AB123" s="86"/>
      <c r="AD123" s="86"/>
      <c r="AF123" s="86"/>
      <c r="AH123" s="86"/>
    </row>
    <row r="124" spans="1:34" x14ac:dyDescent="0.2">
      <c r="A124" s="89"/>
      <c r="B124" s="74" t="s">
        <v>13</v>
      </c>
      <c r="C124" s="89"/>
      <c r="E124" s="89"/>
      <c r="F124" s="74" t="s">
        <v>113</v>
      </c>
      <c r="I124" s="79"/>
      <c r="J124" s="198">
        <f t="shared" si="16"/>
        <v>4120350.7</v>
      </c>
      <c r="K124" s="79"/>
      <c r="L124" s="213">
        <v>24595</v>
      </c>
      <c r="M124" s="243">
        <v>1244906</v>
      </c>
      <c r="N124" s="213">
        <v>1401938</v>
      </c>
      <c r="O124" s="213">
        <v>492529.7</v>
      </c>
      <c r="P124" s="243">
        <v>929895</v>
      </c>
      <c r="Q124" s="213">
        <v>26487</v>
      </c>
      <c r="R124" s="79"/>
      <c r="S124" s="213">
        <v>0</v>
      </c>
      <c r="U124" s="171" t="s">
        <v>300</v>
      </c>
      <c r="V124" s="86"/>
      <c r="X124" s="86"/>
      <c r="Z124" s="86"/>
      <c r="AB124" s="86"/>
      <c r="AD124" s="86"/>
      <c r="AF124" s="86"/>
      <c r="AH124" s="86"/>
    </row>
    <row r="125" spans="1:34" x14ac:dyDescent="0.2">
      <c r="A125" s="89"/>
      <c r="C125" s="89"/>
      <c r="E125" s="89"/>
      <c r="I125" s="79"/>
      <c r="J125" s="202"/>
      <c r="K125" s="79"/>
      <c r="L125" s="86"/>
      <c r="M125" s="86"/>
      <c r="N125" s="86"/>
      <c r="O125" s="86"/>
      <c r="P125" s="86"/>
      <c r="Q125" s="86"/>
      <c r="R125" s="79"/>
      <c r="S125" s="86"/>
      <c r="U125" s="171"/>
      <c r="V125" s="86"/>
      <c r="X125" s="86"/>
      <c r="Z125" s="86"/>
      <c r="AB125" s="86"/>
      <c r="AD125" s="86"/>
      <c r="AF125" s="86"/>
      <c r="AH125" s="86"/>
    </row>
    <row r="126" spans="1:34" x14ac:dyDescent="0.2">
      <c r="A126" s="89"/>
      <c r="B126" s="75" t="s">
        <v>14</v>
      </c>
      <c r="C126" s="89"/>
      <c r="D126" s="75"/>
      <c r="E126" s="89"/>
      <c r="I126" s="79"/>
      <c r="J126" s="202"/>
      <c r="K126" s="79"/>
      <c r="L126" s="86"/>
      <c r="M126" s="86"/>
      <c r="N126" s="86"/>
      <c r="O126" s="86"/>
      <c r="P126" s="86"/>
      <c r="Q126" s="86"/>
      <c r="R126" s="79"/>
      <c r="S126" s="86"/>
      <c r="U126" s="171"/>
      <c r="V126" s="86"/>
      <c r="X126" s="86"/>
      <c r="Z126" s="86"/>
      <c r="AB126" s="86"/>
      <c r="AD126" s="86"/>
      <c r="AF126" s="86"/>
      <c r="AH126" s="86"/>
    </row>
    <row r="127" spans="1:34" x14ac:dyDescent="0.2">
      <c r="A127" s="89"/>
      <c r="B127" s="74" t="s">
        <v>15</v>
      </c>
      <c r="C127" s="89"/>
      <c r="D127" s="79"/>
      <c r="E127" s="89"/>
      <c r="F127" s="74" t="s">
        <v>113</v>
      </c>
      <c r="I127" s="79"/>
      <c r="J127" s="198">
        <f t="shared" ref="J127:J130" si="17">SUM(L127:Q127,S127)</f>
        <v>2375764.3548311829</v>
      </c>
      <c r="K127" s="79"/>
      <c r="L127" s="213">
        <v>15665</v>
      </c>
      <c r="M127" s="243">
        <v>510929.81146439636</v>
      </c>
      <c r="N127" s="213">
        <v>1510526.2607223389</v>
      </c>
      <c r="O127" s="213">
        <v>20624.22</v>
      </c>
      <c r="P127" s="243">
        <v>299070.4126444477</v>
      </c>
      <c r="Q127" s="213">
        <v>75</v>
      </c>
      <c r="R127" s="79"/>
      <c r="S127" s="213">
        <v>18873.650000000001</v>
      </c>
      <c r="U127" s="171" t="s">
        <v>301</v>
      </c>
      <c r="V127" s="86"/>
      <c r="X127" s="86"/>
      <c r="Z127" s="86"/>
      <c r="AB127" s="86"/>
      <c r="AD127" s="86"/>
      <c r="AF127" s="86"/>
      <c r="AH127" s="86"/>
    </row>
    <row r="128" spans="1:34" x14ac:dyDescent="0.2">
      <c r="A128" s="89"/>
      <c r="B128" s="74" t="s">
        <v>16</v>
      </c>
      <c r="C128" s="89"/>
      <c r="E128" s="89"/>
      <c r="F128" s="74" t="s">
        <v>113</v>
      </c>
      <c r="I128" s="79"/>
      <c r="J128" s="198">
        <f t="shared" si="17"/>
        <v>416494.34692316508</v>
      </c>
      <c r="K128" s="79"/>
      <c r="L128" s="213">
        <v>889</v>
      </c>
      <c r="M128" s="243">
        <v>77754.376996859792</v>
      </c>
      <c r="N128" s="213">
        <v>0</v>
      </c>
      <c r="O128" s="213">
        <v>6642.5</v>
      </c>
      <c r="P128" s="243">
        <v>285133.45992630528</v>
      </c>
      <c r="Q128" s="213">
        <v>46075.01</v>
      </c>
      <c r="R128" s="79"/>
      <c r="S128" s="213">
        <v>0</v>
      </c>
      <c r="U128" s="171" t="s">
        <v>302</v>
      </c>
      <c r="V128" s="86"/>
      <c r="X128" s="86"/>
      <c r="Z128" s="86"/>
      <c r="AB128" s="86"/>
      <c r="AD128" s="86"/>
      <c r="AF128" s="86"/>
      <c r="AH128" s="86"/>
    </row>
    <row r="129" spans="1:34" x14ac:dyDescent="0.2">
      <c r="A129" s="89"/>
      <c r="B129" s="74" t="s">
        <v>17</v>
      </c>
      <c r="C129" s="89"/>
      <c r="E129" s="89"/>
      <c r="F129" s="74" t="s">
        <v>113</v>
      </c>
      <c r="I129" s="79"/>
      <c r="J129" s="198">
        <f t="shared" si="17"/>
        <v>1204404.8304110526</v>
      </c>
      <c r="K129" s="79"/>
      <c r="L129" s="213">
        <v>7061</v>
      </c>
      <c r="M129" s="243">
        <v>251455.70554135545</v>
      </c>
      <c r="N129" s="213">
        <v>486846.29014649033</v>
      </c>
      <c r="O129" s="213">
        <v>3492.28</v>
      </c>
      <c r="P129" s="243">
        <v>422616.79433364916</v>
      </c>
      <c r="Q129" s="213">
        <v>3669.0116957581686</v>
      </c>
      <c r="R129" s="79"/>
      <c r="S129" s="213">
        <v>29263.748693799349</v>
      </c>
      <c r="U129" s="171" t="s">
        <v>303</v>
      </c>
      <c r="V129" s="86"/>
      <c r="X129" s="86"/>
      <c r="Z129" s="86"/>
      <c r="AB129" s="86"/>
      <c r="AD129" s="86"/>
      <c r="AF129" s="86"/>
      <c r="AH129" s="86"/>
    </row>
    <row r="130" spans="1:34" x14ac:dyDescent="0.2">
      <c r="A130" s="89"/>
      <c r="B130" s="74" t="s">
        <v>18</v>
      </c>
      <c r="C130" s="89"/>
      <c r="E130" s="89"/>
      <c r="F130" s="74" t="s">
        <v>113</v>
      </c>
      <c r="I130" s="79"/>
      <c r="J130" s="198">
        <f t="shared" si="17"/>
        <v>18505396.806453541</v>
      </c>
      <c r="K130" s="79"/>
      <c r="L130" s="213">
        <v>0</v>
      </c>
      <c r="M130" s="243">
        <v>1487835.211569943</v>
      </c>
      <c r="N130" s="213">
        <v>15863052.839556817</v>
      </c>
      <c r="O130" s="213">
        <v>0</v>
      </c>
      <c r="P130" s="243">
        <v>580508.75532678096</v>
      </c>
      <c r="Q130" s="213">
        <v>0</v>
      </c>
      <c r="R130" s="79"/>
      <c r="S130" s="213">
        <v>574000</v>
      </c>
      <c r="U130" s="171" t="s">
        <v>304</v>
      </c>
      <c r="V130" s="86"/>
      <c r="X130" s="86"/>
      <c r="Z130" s="86"/>
      <c r="AB130" s="86"/>
      <c r="AD130" s="86"/>
      <c r="AF130" s="86"/>
      <c r="AH130" s="86"/>
    </row>
    <row r="131" spans="1:34" x14ac:dyDescent="0.2">
      <c r="N131" s="240"/>
    </row>
  </sheetData>
  <mergeCells count="2">
    <mergeCell ref="B8:F8"/>
    <mergeCell ref="B5:F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V141"/>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75" x14ac:dyDescent="0.2"/>
  <cols>
    <col min="1" max="1" width="2.7109375" style="171" customWidth="1"/>
    <col min="2" max="2" width="43" style="171" customWidth="1"/>
    <col min="3" max="3" width="2.7109375" style="171" customWidth="1"/>
    <col min="4" max="4" width="13.7109375" style="171" customWidth="1"/>
    <col min="5" max="5" width="2.7109375" style="171" customWidth="1"/>
    <col min="6" max="6" width="13.7109375" style="171" customWidth="1"/>
    <col min="7" max="7" width="2.7109375" style="171" customWidth="1"/>
    <col min="8" max="8" width="13.7109375" style="171" customWidth="1"/>
    <col min="9" max="9" width="2.7109375" style="171" customWidth="1"/>
    <col min="10" max="10" width="13.7109375" style="171" customWidth="1"/>
    <col min="11" max="11" width="2.7109375" style="171" customWidth="1"/>
    <col min="12" max="17" width="13.7109375" style="171" customWidth="1"/>
    <col min="18" max="18" width="2.7109375" style="171" customWidth="1"/>
    <col min="19" max="19" width="13.7109375" style="171" customWidth="1"/>
    <col min="20" max="20" width="2.7109375" style="171" customWidth="1"/>
    <col min="21" max="21" width="72.85546875" style="171" customWidth="1"/>
    <col min="22" max="22" width="19.42578125" style="171" customWidth="1"/>
    <col min="23" max="23" width="15" style="171" customWidth="1"/>
    <col min="24" max="24" width="19" style="171" customWidth="1"/>
    <col min="25" max="25" width="20.7109375" style="171" customWidth="1"/>
    <col min="26" max="26" width="4.85546875" style="171" customWidth="1"/>
    <col min="27" max="16384" width="9.140625" style="171"/>
  </cols>
  <sheetData>
    <row r="1" spans="1:22" x14ac:dyDescent="0.2">
      <c r="A1" s="21"/>
      <c r="B1" s="21"/>
      <c r="C1" s="21"/>
      <c r="D1" s="21"/>
      <c r="E1" s="21"/>
      <c r="F1" s="21"/>
      <c r="G1" s="21"/>
      <c r="H1" s="21"/>
      <c r="I1" s="21"/>
      <c r="J1" s="21"/>
      <c r="K1" s="21"/>
      <c r="L1" s="21"/>
      <c r="M1" s="21"/>
      <c r="N1" s="21"/>
      <c r="O1" s="21"/>
      <c r="P1" s="21"/>
      <c r="Q1" s="21"/>
      <c r="R1" s="21"/>
      <c r="S1" s="21"/>
      <c r="T1" s="21"/>
    </row>
    <row r="2" spans="1:22" s="45" customFormat="1" ht="18" x14ac:dyDescent="0.2">
      <c r="B2" s="45" t="s">
        <v>574</v>
      </c>
    </row>
    <row r="3" spans="1:22" x14ac:dyDescent="0.2">
      <c r="A3" s="21"/>
      <c r="B3" s="21"/>
      <c r="C3" s="21"/>
      <c r="D3" s="21"/>
      <c r="E3" s="21"/>
      <c r="F3" s="21"/>
      <c r="G3" s="21"/>
      <c r="H3" s="21"/>
      <c r="I3" s="21"/>
      <c r="J3" s="21"/>
      <c r="K3" s="21"/>
      <c r="L3" s="21"/>
      <c r="M3" s="21"/>
      <c r="N3" s="21"/>
      <c r="O3" s="21"/>
      <c r="P3" s="21"/>
      <c r="Q3" s="21"/>
      <c r="R3" s="21"/>
      <c r="S3" s="21"/>
      <c r="T3" s="21"/>
    </row>
    <row r="4" spans="1:22" ht="14.25" x14ac:dyDescent="0.2">
      <c r="A4" s="21"/>
      <c r="B4" s="42" t="s">
        <v>79</v>
      </c>
      <c r="C4" s="21"/>
      <c r="D4" s="21"/>
      <c r="E4" s="21"/>
      <c r="F4" s="21"/>
      <c r="G4" s="21"/>
      <c r="H4" s="21"/>
      <c r="I4" s="73"/>
      <c r="J4" s="21"/>
      <c r="K4" s="73"/>
      <c r="L4" s="73"/>
      <c r="M4" s="21"/>
      <c r="N4" s="21"/>
      <c r="O4" s="21"/>
      <c r="P4" s="21"/>
      <c r="Q4" s="21"/>
      <c r="R4" s="73"/>
      <c r="S4" s="21"/>
      <c r="T4" s="73"/>
    </row>
    <row r="5" spans="1:22" ht="38.25" customHeight="1" x14ac:dyDescent="0.2">
      <c r="A5" s="21"/>
      <c r="B5" s="253" t="s">
        <v>589</v>
      </c>
      <c r="C5" s="253"/>
      <c r="D5" s="253"/>
      <c r="E5" s="253"/>
      <c r="F5" s="253"/>
      <c r="G5" s="21"/>
      <c r="H5" s="21"/>
      <c r="I5" s="21"/>
      <c r="J5" s="21"/>
      <c r="K5" s="21"/>
      <c r="L5" s="21"/>
      <c r="M5" s="21"/>
      <c r="N5" s="21"/>
      <c r="O5" s="21"/>
      <c r="P5" s="21"/>
      <c r="Q5" s="21"/>
      <c r="R5" s="21"/>
      <c r="S5" s="21"/>
      <c r="T5" s="21"/>
    </row>
    <row r="6" spans="1:22" x14ac:dyDescent="0.2">
      <c r="A6" s="21"/>
      <c r="B6" s="21"/>
      <c r="C6" s="21"/>
      <c r="D6" s="21"/>
      <c r="E6" s="21"/>
      <c r="F6" s="21"/>
      <c r="G6" s="21"/>
      <c r="H6" s="21"/>
      <c r="I6" s="21"/>
      <c r="J6" s="21"/>
      <c r="K6" s="21"/>
      <c r="L6" s="21"/>
      <c r="M6" s="21"/>
      <c r="N6" s="21"/>
      <c r="O6" s="21"/>
      <c r="P6" s="21"/>
      <c r="Q6" s="21"/>
      <c r="R6" s="21"/>
      <c r="S6" s="21"/>
      <c r="T6" s="21"/>
    </row>
    <row r="7" spans="1:22" ht="14.25" x14ac:dyDescent="0.2">
      <c r="B7" s="236" t="s">
        <v>80</v>
      </c>
      <c r="D7" s="180"/>
      <c r="F7" s="180"/>
      <c r="G7" s="180"/>
      <c r="H7" s="180"/>
      <c r="I7" s="180"/>
      <c r="J7" s="180"/>
      <c r="K7" s="180"/>
      <c r="L7" s="180"/>
      <c r="M7" s="180"/>
      <c r="N7" s="180"/>
      <c r="O7" s="180"/>
      <c r="P7" s="180"/>
      <c r="Q7" s="180"/>
      <c r="R7" s="180"/>
      <c r="S7" s="180"/>
      <c r="T7" s="180"/>
    </row>
    <row r="8" spans="1:22" ht="74.25" customHeight="1" x14ac:dyDescent="0.2">
      <c r="B8" s="253" t="s">
        <v>593</v>
      </c>
      <c r="C8" s="253"/>
      <c r="D8" s="253"/>
      <c r="E8" s="253"/>
      <c r="F8" s="253"/>
      <c r="G8" s="180"/>
      <c r="H8" s="180"/>
      <c r="I8" s="180"/>
      <c r="J8" s="180"/>
      <c r="K8" s="180"/>
      <c r="L8" s="26"/>
      <c r="M8" s="180"/>
      <c r="N8" s="180"/>
      <c r="O8" s="180"/>
      <c r="P8" s="180"/>
      <c r="Q8" s="180"/>
      <c r="R8" s="180"/>
      <c r="S8" s="180"/>
      <c r="T8" s="180"/>
    </row>
    <row r="10" spans="1:22" s="47" customFormat="1" x14ac:dyDescent="0.2">
      <c r="B10" s="47" t="s">
        <v>81</v>
      </c>
      <c r="D10" s="47" t="s">
        <v>66</v>
      </c>
      <c r="F10" s="47" t="s">
        <v>0</v>
      </c>
      <c r="H10" s="47" t="s">
        <v>439</v>
      </c>
      <c r="J10" s="47" t="s">
        <v>440</v>
      </c>
      <c r="L10" s="47" t="s">
        <v>82</v>
      </c>
      <c r="M10" s="47" t="s">
        <v>1</v>
      </c>
      <c r="N10" s="47" t="s">
        <v>2</v>
      </c>
      <c r="O10" s="47" t="s">
        <v>3</v>
      </c>
      <c r="P10" s="47" t="s">
        <v>4</v>
      </c>
      <c r="Q10" s="47" t="s">
        <v>5</v>
      </c>
      <c r="S10" s="47" t="s">
        <v>35</v>
      </c>
      <c r="U10" s="47" t="s">
        <v>67</v>
      </c>
      <c r="V10" s="47" t="s">
        <v>271</v>
      </c>
    </row>
    <row r="12" spans="1:22" s="211" customFormat="1" x14ac:dyDescent="0.2">
      <c r="B12" s="211" t="s">
        <v>452</v>
      </c>
    </row>
    <row r="13" spans="1:22" s="17" customFormat="1" x14ac:dyDescent="0.2"/>
    <row r="14" spans="1:22" s="17" customFormat="1" x14ac:dyDescent="0.2">
      <c r="B14" s="212" t="s">
        <v>453</v>
      </c>
      <c r="F14" s="17" t="s">
        <v>454</v>
      </c>
      <c r="H14" s="213">
        <v>22.271913830961925</v>
      </c>
      <c r="J14" s="251"/>
      <c r="K14" s="109"/>
      <c r="L14" s="215"/>
      <c r="M14" s="215"/>
      <c r="N14" s="215"/>
      <c r="O14" s="215"/>
      <c r="P14" s="215"/>
      <c r="Q14" s="215"/>
      <c r="U14" s="17" t="s">
        <v>657</v>
      </c>
    </row>
    <row r="15" spans="1:22" s="17" customFormat="1" x14ac:dyDescent="0.2">
      <c r="B15" s="212" t="s">
        <v>456</v>
      </c>
      <c r="F15" s="17" t="s">
        <v>454</v>
      </c>
      <c r="H15" s="213">
        <v>40.09423271955238</v>
      </c>
      <c r="J15" s="214"/>
      <c r="K15" s="109"/>
      <c r="L15" s="215"/>
      <c r="M15" s="215"/>
      <c r="N15" s="215"/>
      <c r="O15" s="215"/>
      <c r="P15" s="215"/>
      <c r="Q15" s="215"/>
      <c r="U15" s="17" t="s">
        <v>658</v>
      </c>
    </row>
    <row r="16" spans="1:22" s="17" customFormat="1" x14ac:dyDescent="0.2"/>
    <row r="17" spans="2:21" s="216" customFormat="1" x14ac:dyDescent="0.2">
      <c r="B17" s="216" t="s">
        <v>457</v>
      </c>
    </row>
    <row r="18" spans="2:21" s="217" customFormat="1" x14ac:dyDescent="0.2"/>
    <row r="19" spans="2:21" s="17" customFormat="1" x14ac:dyDescent="0.2">
      <c r="B19" s="155" t="s">
        <v>487</v>
      </c>
    </row>
    <row r="20" spans="2:21" s="17" customFormat="1" x14ac:dyDescent="0.2">
      <c r="B20" s="17" t="s">
        <v>459</v>
      </c>
      <c r="F20" s="17" t="s">
        <v>454</v>
      </c>
      <c r="L20" s="218"/>
      <c r="M20" s="213">
        <v>0.99999679460467872</v>
      </c>
      <c r="N20" s="213">
        <v>1</v>
      </c>
      <c r="O20" s="218"/>
      <c r="P20" s="218"/>
      <c r="Q20" s="218"/>
      <c r="S20" s="218"/>
      <c r="U20" s="17" t="s">
        <v>516</v>
      </c>
    </row>
    <row r="21" spans="2:21" s="17" customFormat="1" x14ac:dyDescent="0.2">
      <c r="B21" s="17" t="s">
        <v>460</v>
      </c>
      <c r="F21" s="17" t="s">
        <v>454</v>
      </c>
      <c r="L21" s="218"/>
      <c r="M21" s="213">
        <v>190000</v>
      </c>
      <c r="N21" s="213">
        <v>861148</v>
      </c>
      <c r="O21" s="218"/>
      <c r="P21" s="218"/>
      <c r="Q21" s="218"/>
      <c r="S21" s="218"/>
    </row>
    <row r="22" spans="2:21" s="17" customFormat="1" x14ac:dyDescent="0.2">
      <c r="B22" s="17" t="s">
        <v>461</v>
      </c>
      <c r="F22" s="17" t="s">
        <v>454</v>
      </c>
      <c r="L22" s="218"/>
      <c r="M22" s="213">
        <v>1772104</v>
      </c>
      <c r="N22" s="213">
        <v>8313296</v>
      </c>
      <c r="O22" s="218"/>
      <c r="P22" s="218"/>
      <c r="Q22" s="218"/>
      <c r="S22" s="218"/>
    </row>
    <row r="23" spans="2:21" s="17" customFormat="1" x14ac:dyDescent="0.2"/>
    <row r="24" spans="2:21" s="17" customFormat="1" x14ac:dyDescent="0.2">
      <c r="B24" s="155" t="s">
        <v>488</v>
      </c>
    </row>
    <row r="25" spans="2:21" s="17" customFormat="1" x14ac:dyDescent="0.2">
      <c r="B25" s="17" t="s">
        <v>459</v>
      </c>
      <c r="F25" s="17" t="s">
        <v>454</v>
      </c>
      <c r="L25" s="218"/>
      <c r="M25" s="213">
        <v>3</v>
      </c>
      <c r="N25" s="213">
        <v>4</v>
      </c>
      <c r="O25" s="218"/>
      <c r="P25" s="213">
        <v>3</v>
      </c>
      <c r="Q25" s="213">
        <v>1</v>
      </c>
      <c r="S25" s="213">
        <v>1</v>
      </c>
    </row>
    <row r="26" spans="2:21" s="17" customFormat="1" x14ac:dyDescent="0.2">
      <c r="B26" s="17" t="s">
        <v>460</v>
      </c>
      <c r="F26" s="17" t="s">
        <v>454</v>
      </c>
      <c r="L26" s="218"/>
      <c r="M26" s="213">
        <v>4964400</v>
      </c>
      <c r="N26" s="213">
        <v>4564324</v>
      </c>
      <c r="O26" s="218"/>
      <c r="P26" s="213">
        <v>3108810</v>
      </c>
      <c r="Q26" s="213">
        <v>346812</v>
      </c>
      <c r="S26" s="213">
        <v>331097.65999999997</v>
      </c>
    </row>
    <row r="27" spans="2:21" s="17" customFormat="1" x14ac:dyDescent="0.2">
      <c r="B27" s="17" t="s">
        <v>461</v>
      </c>
      <c r="F27" s="17" t="s">
        <v>454</v>
      </c>
      <c r="L27" s="218"/>
      <c r="M27" s="213">
        <v>53050088</v>
      </c>
      <c r="N27" s="213">
        <v>47817264</v>
      </c>
      <c r="O27" s="218"/>
      <c r="P27" s="213">
        <v>33064248</v>
      </c>
      <c r="Q27" s="213">
        <v>2864304</v>
      </c>
      <c r="S27" s="213">
        <v>3347829.6603412381</v>
      </c>
    </row>
    <row r="28" spans="2:21" s="17" customFormat="1" x14ac:dyDescent="0.2">
      <c r="B28" s="17" t="s">
        <v>463</v>
      </c>
      <c r="F28" s="17" t="s">
        <v>454</v>
      </c>
      <c r="L28" s="218"/>
      <c r="M28" s="218"/>
      <c r="N28" s="213">
        <v>1</v>
      </c>
      <c r="O28" s="218"/>
      <c r="P28" s="218"/>
      <c r="Q28" s="218"/>
      <c r="S28" s="218"/>
    </row>
    <row r="29" spans="2:21" s="17" customFormat="1" x14ac:dyDescent="0.2">
      <c r="B29" s="17" t="s">
        <v>464</v>
      </c>
      <c r="F29" s="17" t="s">
        <v>454</v>
      </c>
      <c r="L29" s="218"/>
      <c r="M29" s="218"/>
      <c r="N29" s="213">
        <v>40112</v>
      </c>
      <c r="O29" s="218"/>
      <c r="P29" s="218"/>
      <c r="Q29" s="218"/>
      <c r="S29" s="218"/>
    </row>
    <row r="30" spans="2:21" s="17" customFormat="1" x14ac:dyDescent="0.2">
      <c r="B30" s="246" t="s">
        <v>654</v>
      </c>
      <c r="F30" s="17" t="s">
        <v>454</v>
      </c>
      <c r="L30" s="218"/>
      <c r="M30" s="218"/>
      <c r="N30" s="213">
        <v>52380</v>
      </c>
      <c r="O30" s="218"/>
      <c r="P30" s="218"/>
      <c r="Q30" s="218"/>
      <c r="S30" s="218"/>
    </row>
    <row r="31" spans="2:21" s="109" customFormat="1" x14ac:dyDescent="0.2">
      <c r="L31" s="219"/>
      <c r="M31" s="219"/>
      <c r="N31" s="215"/>
      <c r="O31" s="219"/>
      <c r="P31" s="219"/>
      <c r="Q31" s="219"/>
      <c r="S31" s="219"/>
    </row>
    <row r="32" spans="2:21" s="17" customFormat="1" x14ac:dyDescent="0.2">
      <c r="B32" s="155" t="s">
        <v>458</v>
      </c>
    </row>
    <row r="33" spans="2:21" s="17" customFormat="1" x14ac:dyDescent="0.2">
      <c r="B33" s="17" t="s">
        <v>459</v>
      </c>
      <c r="F33" s="17" t="s">
        <v>454</v>
      </c>
      <c r="L33" s="218"/>
      <c r="M33" s="213">
        <v>0.99999679460467872</v>
      </c>
      <c r="N33" s="213">
        <v>1</v>
      </c>
      <c r="O33" s="218"/>
      <c r="P33" s="218"/>
      <c r="Q33" s="218"/>
      <c r="S33" s="218"/>
      <c r="U33" s="17" t="s">
        <v>517</v>
      </c>
    </row>
    <row r="34" spans="2:21" s="17" customFormat="1" x14ac:dyDescent="0.2">
      <c r="B34" s="17" t="s">
        <v>460</v>
      </c>
      <c r="F34" s="17" t="s">
        <v>454</v>
      </c>
      <c r="L34" s="218"/>
      <c r="M34" s="213">
        <v>166472</v>
      </c>
      <c r="N34" s="213">
        <v>859800</v>
      </c>
      <c r="O34" s="218"/>
      <c r="P34" s="218"/>
      <c r="Q34" s="218"/>
      <c r="S34" s="218"/>
    </row>
    <row r="35" spans="2:21" s="17" customFormat="1" x14ac:dyDescent="0.2">
      <c r="B35" s="17" t="s">
        <v>461</v>
      </c>
      <c r="F35" s="17" t="s">
        <v>454</v>
      </c>
      <c r="L35" s="218"/>
      <c r="M35" s="213">
        <v>1618908</v>
      </c>
      <c r="N35" s="213">
        <v>7564352</v>
      </c>
      <c r="O35" s="218"/>
      <c r="P35" s="218"/>
      <c r="Q35" s="218"/>
      <c r="S35" s="218"/>
    </row>
    <row r="36" spans="2:21" s="17" customFormat="1" x14ac:dyDescent="0.2"/>
    <row r="37" spans="2:21" s="17" customFormat="1" x14ac:dyDescent="0.2">
      <c r="B37" s="155" t="s">
        <v>462</v>
      </c>
    </row>
    <row r="38" spans="2:21" s="17" customFormat="1" x14ac:dyDescent="0.2">
      <c r="B38" s="17" t="s">
        <v>459</v>
      </c>
      <c r="F38" s="17" t="s">
        <v>454</v>
      </c>
      <c r="L38" s="218"/>
      <c r="M38" s="213">
        <v>3</v>
      </c>
      <c r="N38" s="213">
        <v>4</v>
      </c>
      <c r="O38" s="218"/>
      <c r="P38" s="213">
        <v>3</v>
      </c>
      <c r="Q38" s="213">
        <v>1</v>
      </c>
      <c r="S38" s="213">
        <v>1</v>
      </c>
    </row>
    <row r="39" spans="2:21" s="17" customFormat="1" x14ac:dyDescent="0.2">
      <c r="B39" s="17" t="s">
        <v>460</v>
      </c>
      <c r="F39" s="17" t="s">
        <v>454</v>
      </c>
      <c r="L39" s="218"/>
      <c r="M39" s="213">
        <v>4878204</v>
      </c>
      <c r="N39" s="213">
        <v>4534776</v>
      </c>
      <c r="O39" s="218"/>
      <c r="P39" s="213">
        <v>3129344</v>
      </c>
      <c r="Q39" s="213">
        <v>341320</v>
      </c>
      <c r="S39" s="213">
        <v>337516</v>
      </c>
    </row>
    <row r="40" spans="2:21" s="17" customFormat="1" x14ac:dyDescent="0.2">
      <c r="B40" s="17" t="s">
        <v>461</v>
      </c>
      <c r="F40" s="17" t="s">
        <v>454</v>
      </c>
      <c r="L40" s="218"/>
      <c r="M40" s="213">
        <v>52119968</v>
      </c>
      <c r="N40" s="213">
        <v>47694892</v>
      </c>
      <c r="O40" s="218"/>
      <c r="P40" s="213">
        <v>33228148</v>
      </c>
      <c r="Q40" s="213">
        <v>2730752</v>
      </c>
      <c r="S40" s="213">
        <v>3311720</v>
      </c>
    </row>
    <row r="41" spans="2:21" s="17" customFormat="1" x14ac:dyDescent="0.2">
      <c r="B41" s="17" t="s">
        <v>463</v>
      </c>
      <c r="F41" s="17" t="s">
        <v>454</v>
      </c>
      <c r="L41" s="218"/>
      <c r="M41" s="218"/>
      <c r="N41" s="213">
        <v>1</v>
      </c>
      <c r="O41" s="218"/>
      <c r="P41" s="218"/>
      <c r="Q41" s="218"/>
      <c r="S41" s="218"/>
    </row>
    <row r="42" spans="2:21" s="17" customFormat="1" x14ac:dyDescent="0.2">
      <c r="B42" s="17" t="s">
        <v>464</v>
      </c>
      <c r="F42" s="17" t="s">
        <v>454</v>
      </c>
      <c r="L42" s="218"/>
      <c r="M42" s="218"/>
      <c r="N42" s="213">
        <v>99936</v>
      </c>
      <c r="O42" s="218"/>
      <c r="P42" s="218"/>
      <c r="Q42" s="218"/>
      <c r="S42" s="218"/>
    </row>
    <row r="43" spans="2:21" s="17" customFormat="1" x14ac:dyDescent="0.2">
      <c r="B43" s="246" t="s">
        <v>654</v>
      </c>
      <c r="F43" s="17" t="s">
        <v>454</v>
      </c>
      <c r="L43" s="218"/>
      <c r="M43" s="218"/>
      <c r="N43" s="213">
        <v>145376</v>
      </c>
      <c r="O43" s="218"/>
      <c r="P43" s="218"/>
      <c r="Q43" s="218"/>
      <c r="S43" s="218"/>
    </row>
    <row r="44" spans="2:21" s="109" customFormat="1" x14ac:dyDescent="0.2">
      <c r="L44" s="219"/>
      <c r="M44" s="219"/>
      <c r="N44" s="215"/>
      <c r="O44" s="219"/>
      <c r="P44" s="219"/>
      <c r="Q44" s="219"/>
      <c r="S44" s="219"/>
    </row>
    <row r="45" spans="2:21" s="17" customFormat="1" x14ac:dyDescent="0.2">
      <c r="B45" s="155" t="s">
        <v>489</v>
      </c>
    </row>
    <row r="46" spans="2:21" s="17" customFormat="1" x14ac:dyDescent="0.2">
      <c r="B46" s="17" t="s">
        <v>459</v>
      </c>
      <c r="F46" s="17" t="s">
        <v>454</v>
      </c>
      <c r="L46" s="218"/>
      <c r="M46" s="243">
        <v>1.0000352593485358</v>
      </c>
      <c r="N46" s="213">
        <v>1</v>
      </c>
      <c r="O46" s="221"/>
      <c r="P46" s="221"/>
      <c r="Q46" s="221"/>
      <c r="S46" s="221"/>
      <c r="U46" s="17" t="s">
        <v>518</v>
      </c>
    </row>
    <row r="47" spans="2:21" s="17" customFormat="1" x14ac:dyDescent="0.2">
      <c r="B47" s="17" t="s">
        <v>460</v>
      </c>
      <c r="F47" s="17" t="s">
        <v>454</v>
      </c>
      <c r="L47" s="218"/>
      <c r="M47" s="243">
        <v>146544</v>
      </c>
      <c r="N47" s="213">
        <v>752548.00902934535</v>
      </c>
      <c r="O47" s="221"/>
      <c r="P47" s="221"/>
      <c r="Q47" s="221"/>
      <c r="S47" s="221"/>
    </row>
    <row r="48" spans="2:21" s="17" customFormat="1" x14ac:dyDescent="0.2">
      <c r="B48" s="17" t="s">
        <v>461</v>
      </c>
      <c r="F48" s="17" t="s">
        <v>454</v>
      </c>
      <c r="L48" s="218"/>
      <c r="M48" s="243">
        <v>1510324</v>
      </c>
      <c r="N48" s="213">
        <v>6701843.4074074067</v>
      </c>
      <c r="O48" s="221"/>
      <c r="P48" s="221"/>
      <c r="Q48" s="221"/>
      <c r="S48" s="221"/>
    </row>
    <row r="49" spans="2:21" s="17" customFormat="1" x14ac:dyDescent="0.2">
      <c r="M49" s="151"/>
      <c r="N49" s="151"/>
      <c r="O49" s="151"/>
      <c r="P49" s="151"/>
      <c r="Q49" s="151"/>
      <c r="S49" s="151"/>
    </row>
    <row r="50" spans="2:21" s="17" customFormat="1" x14ac:dyDescent="0.2">
      <c r="B50" s="155" t="s">
        <v>490</v>
      </c>
      <c r="M50" s="151"/>
      <c r="N50" s="151"/>
      <c r="O50" s="151"/>
      <c r="P50" s="151"/>
      <c r="Q50" s="151"/>
      <c r="S50" s="151"/>
    </row>
    <row r="51" spans="2:21" s="17" customFormat="1" x14ac:dyDescent="0.2">
      <c r="B51" s="17" t="s">
        <v>459</v>
      </c>
      <c r="F51" s="17" t="s">
        <v>454</v>
      </c>
      <c r="L51" s="218"/>
      <c r="M51" s="243">
        <v>3</v>
      </c>
      <c r="N51" s="213">
        <v>4</v>
      </c>
      <c r="O51" s="221"/>
      <c r="P51" s="243">
        <v>3</v>
      </c>
      <c r="Q51" s="213">
        <v>1</v>
      </c>
      <c r="S51" s="213">
        <v>1</v>
      </c>
    </row>
    <row r="52" spans="2:21" s="17" customFormat="1" x14ac:dyDescent="0.2">
      <c r="B52" s="17" t="s">
        <v>460</v>
      </c>
      <c r="F52" s="17" t="s">
        <v>454</v>
      </c>
      <c r="L52" s="218"/>
      <c r="M52" s="243">
        <v>4970304</v>
      </c>
      <c r="N52" s="213">
        <v>4573828.0139949117</v>
      </c>
      <c r="O52" s="221"/>
      <c r="P52" s="243">
        <v>3082212</v>
      </c>
      <c r="Q52" s="213">
        <v>325932</v>
      </c>
      <c r="S52" s="213">
        <v>330864</v>
      </c>
    </row>
    <row r="53" spans="2:21" s="17" customFormat="1" x14ac:dyDescent="0.2">
      <c r="B53" s="17" t="s">
        <v>461</v>
      </c>
      <c r="F53" s="17" t="s">
        <v>454</v>
      </c>
      <c r="L53" s="218"/>
      <c r="M53" s="243">
        <v>50070472</v>
      </c>
      <c r="N53" s="213">
        <v>45756359.462882094</v>
      </c>
      <c r="O53" s="221"/>
      <c r="P53" s="243">
        <v>31494240</v>
      </c>
      <c r="Q53" s="213">
        <v>2528020</v>
      </c>
      <c r="S53" s="213">
        <v>3213291.4756958336</v>
      </c>
    </row>
    <row r="54" spans="2:21" s="17" customFormat="1" x14ac:dyDescent="0.2">
      <c r="B54" s="17" t="s">
        <v>463</v>
      </c>
      <c r="F54" s="17" t="s">
        <v>454</v>
      </c>
      <c r="L54" s="218"/>
      <c r="M54" s="221"/>
      <c r="N54" s="213">
        <v>1</v>
      </c>
      <c r="O54" s="221"/>
      <c r="P54" s="221"/>
      <c r="Q54" s="221"/>
      <c r="S54" s="221"/>
    </row>
    <row r="55" spans="2:21" s="17" customFormat="1" x14ac:dyDescent="0.2">
      <c r="B55" s="17" t="s">
        <v>464</v>
      </c>
      <c r="F55" s="17" t="s">
        <v>454</v>
      </c>
      <c r="L55" s="218"/>
      <c r="M55" s="221"/>
      <c r="N55" s="213">
        <v>57019.916501743493</v>
      </c>
      <c r="O55" s="221"/>
      <c r="P55" s="221"/>
      <c r="Q55" s="221"/>
      <c r="S55" s="221"/>
    </row>
    <row r="56" spans="2:21" s="17" customFormat="1" x14ac:dyDescent="0.2">
      <c r="B56" s="246" t="s">
        <v>654</v>
      </c>
      <c r="F56" s="17" t="s">
        <v>454</v>
      </c>
      <c r="L56" s="218"/>
      <c r="M56" s="218"/>
      <c r="N56" s="213">
        <v>57020</v>
      </c>
      <c r="O56" s="218"/>
      <c r="P56" s="218"/>
      <c r="Q56" s="218"/>
      <c r="S56" s="218"/>
    </row>
    <row r="57" spans="2:21" s="109" customFormat="1" x14ac:dyDescent="0.2">
      <c r="L57" s="219"/>
      <c r="M57" s="219"/>
      <c r="N57" s="215"/>
      <c r="O57" s="219"/>
      <c r="P57" s="219"/>
      <c r="Q57" s="219"/>
    </row>
    <row r="58" spans="2:21" s="211" customFormat="1" x14ac:dyDescent="0.2">
      <c r="B58" s="211" t="s">
        <v>466</v>
      </c>
    </row>
    <row r="59" spans="2:21" s="17" customFormat="1" x14ac:dyDescent="0.2"/>
    <row r="60" spans="2:21" s="17" customFormat="1" x14ac:dyDescent="0.2">
      <c r="B60" s="155" t="s">
        <v>491</v>
      </c>
      <c r="H60" s="223"/>
    </row>
    <row r="61" spans="2:21" s="17" customFormat="1" x14ac:dyDescent="0.2">
      <c r="B61" s="17" t="s">
        <v>459</v>
      </c>
      <c r="F61" s="17" t="s">
        <v>97</v>
      </c>
      <c r="H61" s="222">
        <v>12478.96</v>
      </c>
      <c r="U61" s="17" t="s">
        <v>500</v>
      </c>
    </row>
    <row r="62" spans="2:21" s="17" customFormat="1" x14ac:dyDescent="0.2">
      <c r="B62" s="17" t="s">
        <v>460</v>
      </c>
      <c r="F62" s="17" t="s">
        <v>97</v>
      </c>
      <c r="H62" s="222">
        <v>6.87</v>
      </c>
      <c r="U62" s="17" t="s">
        <v>501</v>
      </c>
    </row>
    <row r="63" spans="2:21" s="17" customFormat="1" x14ac:dyDescent="0.2">
      <c r="B63" s="17" t="s">
        <v>461</v>
      </c>
      <c r="F63" s="17" t="s">
        <v>97</v>
      </c>
      <c r="H63" s="222">
        <v>0.7</v>
      </c>
      <c r="U63" s="17" t="s">
        <v>502</v>
      </c>
    </row>
    <row r="64" spans="2:21" s="17" customFormat="1" x14ac:dyDescent="0.2">
      <c r="H64" s="223"/>
    </row>
    <row r="65" spans="2:21" s="17" customFormat="1" x14ac:dyDescent="0.2">
      <c r="B65" s="155" t="s">
        <v>492</v>
      </c>
      <c r="H65" s="223"/>
    </row>
    <row r="66" spans="2:21" s="17" customFormat="1" x14ac:dyDescent="0.2">
      <c r="B66" s="17" t="s">
        <v>459</v>
      </c>
      <c r="F66" s="17" t="s">
        <v>97</v>
      </c>
      <c r="H66" s="222">
        <v>2760</v>
      </c>
      <c r="U66" s="17" t="s">
        <v>503</v>
      </c>
    </row>
    <row r="67" spans="2:21" s="17" customFormat="1" x14ac:dyDescent="0.2">
      <c r="B67" s="17" t="s">
        <v>460</v>
      </c>
      <c r="F67" s="17" t="s">
        <v>97</v>
      </c>
      <c r="H67" s="222">
        <v>17</v>
      </c>
      <c r="U67" s="17" t="s">
        <v>504</v>
      </c>
    </row>
    <row r="68" spans="2:21" s="17" customFormat="1" x14ac:dyDescent="0.2">
      <c r="B68" s="17" t="s">
        <v>461</v>
      </c>
      <c r="F68" s="17" t="s">
        <v>97</v>
      </c>
      <c r="H68" s="222">
        <v>1.63</v>
      </c>
      <c r="U68" s="17" t="s">
        <v>505</v>
      </c>
    </row>
    <row r="69" spans="2:21" s="17" customFormat="1" x14ac:dyDescent="0.2">
      <c r="B69" s="17" t="s">
        <v>463</v>
      </c>
      <c r="F69" s="17" t="s">
        <v>97</v>
      </c>
      <c r="H69" s="222">
        <v>2760</v>
      </c>
      <c r="U69" s="17" t="s">
        <v>503</v>
      </c>
    </row>
    <row r="70" spans="2:21" s="17" customFormat="1" x14ac:dyDescent="0.2">
      <c r="B70" s="17" t="s">
        <v>464</v>
      </c>
      <c r="F70" s="17" t="s">
        <v>97</v>
      </c>
      <c r="H70" s="222">
        <v>8.51</v>
      </c>
      <c r="U70" s="17" t="s">
        <v>506</v>
      </c>
    </row>
    <row r="71" spans="2:21" s="17" customFormat="1" x14ac:dyDescent="0.2">
      <c r="B71" s="17" t="s">
        <v>465</v>
      </c>
      <c r="F71" s="17" t="s">
        <v>97</v>
      </c>
      <c r="H71" s="222">
        <v>0.56000000000000005</v>
      </c>
      <c r="U71" s="17" t="s">
        <v>507</v>
      </c>
    </row>
    <row r="72" spans="2:21" x14ac:dyDescent="0.2">
      <c r="H72" s="224"/>
    </row>
    <row r="73" spans="2:21" s="17" customFormat="1" x14ac:dyDescent="0.2">
      <c r="B73" s="155" t="s">
        <v>467</v>
      </c>
      <c r="H73" s="223"/>
    </row>
    <row r="74" spans="2:21" s="17" customFormat="1" x14ac:dyDescent="0.2">
      <c r="B74" s="17" t="s">
        <v>459</v>
      </c>
      <c r="F74" s="17" t="s">
        <v>106</v>
      </c>
      <c r="H74" s="222">
        <v>12478.96</v>
      </c>
      <c r="U74" s="17" t="s">
        <v>468</v>
      </c>
    </row>
    <row r="75" spans="2:21" s="17" customFormat="1" x14ac:dyDescent="0.2">
      <c r="B75" s="17" t="s">
        <v>460</v>
      </c>
      <c r="F75" s="17" t="s">
        <v>106</v>
      </c>
      <c r="H75" s="222">
        <v>8.61</v>
      </c>
      <c r="U75" s="17" t="s">
        <v>469</v>
      </c>
    </row>
    <row r="76" spans="2:21" s="17" customFormat="1" x14ac:dyDescent="0.2">
      <c r="B76" s="17" t="s">
        <v>461</v>
      </c>
      <c r="F76" s="17" t="s">
        <v>106</v>
      </c>
      <c r="H76" s="222">
        <v>0.87</v>
      </c>
      <c r="U76" s="17" t="s">
        <v>470</v>
      </c>
    </row>
    <row r="77" spans="2:21" s="17" customFormat="1" x14ac:dyDescent="0.2">
      <c r="H77" s="223"/>
    </row>
    <row r="78" spans="2:21" s="17" customFormat="1" x14ac:dyDescent="0.2">
      <c r="B78" s="155" t="s">
        <v>471</v>
      </c>
      <c r="H78" s="223"/>
    </row>
    <row r="79" spans="2:21" s="17" customFormat="1" x14ac:dyDescent="0.2">
      <c r="B79" s="17" t="s">
        <v>459</v>
      </c>
      <c r="F79" s="17" t="s">
        <v>106</v>
      </c>
      <c r="H79" s="222">
        <v>2760</v>
      </c>
      <c r="U79" s="17" t="s">
        <v>472</v>
      </c>
    </row>
    <row r="80" spans="2:21" s="17" customFormat="1" x14ac:dyDescent="0.2">
      <c r="B80" s="17" t="s">
        <v>460</v>
      </c>
      <c r="F80" s="17" t="s">
        <v>106</v>
      </c>
      <c r="H80" s="222">
        <v>17.100000000000001</v>
      </c>
      <c r="U80" s="17" t="s">
        <v>473</v>
      </c>
    </row>
    <row r="81" spans="2:21" s="17" customFormat="1" x14ac:dyDescent="0.2">
      <c r="B81" s="17" t="s">
        <v>461</v>
      </c>
      <c r="F81" s="17" t="s">
        <v>106</v>
      </c>
      <c r="H81" s="222">
        <v>1.66</v>
      </c>
      <c r="U81" s="17" t="s">
        <v>474</v>
      </c>
    </row>
    <row r="82" spans="2:21" s="17" customFormat="1" x14ac:dyDescent="0.2">
      <c r="B82" s="17" t="s">
        <v>463</v>
      </c>
      <c r="F82" s="17" t="s">
        <v>106</v>
      </c>
      <c r="H82" s="222">
        <v>2760</v>
      </c>
      <c r="U82" s="17" t="s">
        <v>472</v>
      </c>
    </row>
    <row r="83" spans="2:21" s="17" customFormat="1" x14ac:dyDescent="0.2">
      <c r="B83" s="17" t="s">
        <v>464</v>
      </c>
      <c r="F83" s="17" t="s">
        <v>106</v>
      </c>
      <c r="H83" s="222">
        <v>8.5500000000000007</v>
      </c>
      <c r="U83" s="17" t="s">
        <v>475</v>
      </c>
    </row>
    <row r="84" spans="2:21" s="17" customFormat="1" x14ac:dyDescent="0.2">
      <c r="B84" s="17" t="s">
        <v>465</v>
      </c>
      <c r="F84" s="17" t="s">
        <v>106</v>
      </c>
      <c r="H84" s="222">
        <v>0.57999999999999996</v>
      </c>
      <c r="U84" s="17" t="s">
        <v>476</v>
      </c>
    </row>
    <row r="85" spans="2:21" x14ac:dyDescent="0.2">
      <c r="H85" s="224"/>
    </row>
    <row r="86" spans="2:21" s="17" customFormat="1" x14ac:dyDescent="0.2">
      <c r="B86" s="155" t="s">
        <v>495</v>
      </c>
      <c r="H86" s="223"/>
    </row>
    <row r="87" spans="2:21" s="17" customFormat="1" x14ac:dyDescent="0.2">
      <c r="B87" s="17" t="s">
        <v>459</v>
      </c>
      <c r="F87" s="17" t="s">
        <v>113</v>
      </c>
      <c r="H87" s="222">
        <v>12478.96</v>
      </c>
      <c r="U87" s="17" t="s">
        <v>508</v>
      </c>
    </row>
    <row r="88" spans="2:21" s="17" customFormat="1" x14ac:dyDescent="0.2">
      <c r="B88" s="17" t="s">
        <v>460</v>
      </c>
      <c r="F88" s="17" t="s">
        <v>113</v>
      </c>
      <c r="H88" s="222">
        <v>13.29</v>
      </c>
      <c r="U88" s="17" t="s">
        <v>509</v>
      </c>
    </row>
    <row r="89" spans="2:21" s="17" customFormat="1" x14ac:dyDescent="0.2">
      <c r="B89" s="17" t="s">
        <v>461</v>
      </c>
      <c r="F89" s="17" t="s">
        <v>113</v>
      </c>
      <c r="H89" s="222">
        <v>1.35</v>
      </c>
      <c r="U89" s="17" t="s">
        <v>510</v>
      </c>
    </row>
    <row r="90" spans="2:21" s="17" customFormat="1" x14ac:dyDescent="0.2">
      <c r="H90" s="223"/>
    </row>
    <row r="91" spans="2:21" s="17" customFormat="1" x14ac:dyDescent="0.2">
      <c r="B91" s="155" t="s">
        <v>496</v>
      </c>
      <c r="H91" s="223"/>
    </row>
    <row r="92" spans="2:21" s="17" customFormat="1" x14ac:dyDescent="0.2">
      <c r="B92" s="17" t="s">
        <v>459</v>
      </c>
      <c r="F92" s="17" t="s">
        <v>113</v>
      </c>
      <c r="H92" s="222">
        <v>2760</v>
      </c>
      <c r="U92" s="17" t="s">
        <v>511</v>
      </c>
    </row>
    <row r="93" spans="2:21" s="17" customFormat="1" x14ac:dyDescent="0.2">
      <c r="B93" s="17" t="s">
        <v>460</v>
      </c>
      <c r="F93" s="17" t="s">
        <v>113</v>
      </c>
      <c r="H93" s="222">
        <v>23.58</v>
      </c>
      <c r="U93" s="17" t="s">
        <v>512</v>
      </c>
    </row>
    <row r="94" spans="2:21" s="17" customFormat="1" x14ac:dyDescent="0.2">
      <c r="B94" s="17" t="s">
        <v>461</v>
      </c>
      <c r="F94" s="17" t="s">
        <v>113</v>
      </c>
      <c r="H94" s="222">
        <v>2.29</v>
      </c>
      <c r="U94" s="17" t="s">
        <v>513</v>
      </c>
    </row>
    <row r="95" spans="2:21" s="17" customFormat="1" x14ac:dyDescent="0.2">
      <c r="B95" s="17" t="s">
        <v>463</v>
      </c>
      <c r="F95" s="17" t="s">
        <v>113</v>
      </c>
      <c r="H95" s="222">
        <v>2760</v>
      </c>
      <c r="U95" s="17" t="s">
        <v>511</v>
      </c>
    </row>
    <row r="96" spans="2:21" s="17" customFormat="1" x14ac:dyDescent="0.2">
      <c r="B96" s="17" t="s">
        <v>464</v>
      </c>
      <c r="F96" s="17" t="s">
        <v>113</v>
      </c>
      <c r="H96" s="222">
        <v>11.79</v>
      </c>
      <c r="U96" s="17" t="s">
        <v>514</v>
      </c>
    </row>
    <row r="97" spans="2:21" s="17" customFormat="1" x14ac:dyDescent="0.2">
      <c r="B97" s="17" t="s">
        <v>465</v>
      </c>
      <c r="F97" s="17" t="s">
        <v>113</v>
      </c>
      <c r="H97" s="222">
        <v>0.79</v>
      </c>
      <c r="U97" s="17" t="s">
        <v>515</v>
      </c>
    </row>
    <row r="99" spans="2:21" s="211" customFormat="1" x14ac:dyDescent="0.2">
      <c r="B99" s="211" t="s">
        <v>499</v>
      </c>
    </row>
    <row r="100" spans="2:21" s="17" customFormat="1" x14ac:dyDescent="0.2"/>
    <row r="101" spans="2:21" s="17" customFormat="1" x14ac:dyDescent="0.2">
      <c r="B101" s="155" t="s">
        <v>493</v>
      </c>
    </row>
    <row r="102" spans="2:21" s="17" customFormat="1" x14ac:dyDescent="0.2">
      <c r="B102" s="17" t="s">
        <v>459</v>
      </c>
      <c r="F102" s="17" t="s">
        <v>97</v>
      </c>
      <c r="H102" s="222">
        <v>12478.96</v>
      </c>
      <c r="U102" s="17" t="s">
        <v>551</v>
      </c>
    </row>
    <row r="103" spans="2:21" s="17" customFormat="1" x14ac:dyDescent="0.2">
      <c r="B103" s="17" t="s">
        <v>460</v>
      </c>
      <c r="F103" s="17" t="s">
        <v>97</v>
      </c>
      <c r="H103" s="222">
        <v>4.0199999999999996</v>
      </c>
      <c r="U103" s="17" t="s">
        <v>552</v>
      </c>
    </row>
    <row r="104" spans="2:21" s="17" customFormat="1" x14ac:dyDescent="0.2">
      <c r="B104" s="17" t="s">
        <v>461</v>
      </c>
      <c r="F104" s="17" t="s">
        <v>97</v>
      </c>
      <c r="H104" s="222">
        <v>0.41</v>
      </c>
      <c r="U104" s="17" t="s">
        <v>553</v>
      </c>
    </row>
    <row r="105" spans="2:21" s="17" customFormat="1" x14ac:dyDescent="0.2">
      <c r="H105" s="223"/>
    </row>
    <row r="106" spans="2:21" s="17" customFormat="1" x14ac:dyDescent="0.2">
      <c r="B106" s="155" t="s">
        <v>494</v>
      </c>
      <c r="H106" s="223"/>
    </row>
    <row r="107" spans="2:21" s="17" customFormat="1" x14ac:dyDescent="0.2">
      <c r="B107" s="17" t="s">
        <v>459</v>
      </c>
      <c r="F107" s="17" t="s">
        <v>97</v>
      </c>
      <c r="H107" s="222">
        <v>2760</v>
      </c>
      <c r="U107" s="17" t="s">
        <v>554</v>
      </c>
    </row>
    <row r="108" spans="2:21" s="17" customFormat="1" x14ac:dyDescent="0.2">
      <c r="B108" s="17" t="s">
        <v>460</v>
      </c>
      <c r="F108" s="17" t="s">
        <v>97</v>
      </c>
      <c r="H108" s="222">
        <v>14.3</v>
      </c>
      <c r="U108" s="17" t="s">
        <v>555</v>
      </c>
    </row>
    <row r="109" spans="2:21" s="17" customFormat="1" x14ac:dyDescent="0.2">
      <c r="B109" s="17" t="s">
        <v>461</v>
      </c>
      <c r="F109" s="17" t="s">
        <v>97</v>
      </c>
      <c r="H109" s="222">
        <v>1.37</v>
      </c>
      <c r="U109" s="17" t="s">
        <v>556</v>
      </c>
    </row>
    <row r="110" spans="2:21" s="17" customFormat="1" x14ac:dyDescent="0.2">
      <c r="B110" s="17" t="s">
        <v>463</v>
      </c>
      <c r="F110" s="17" t="s">
        <v>97</v>
      </c>
      <c r="H110" s="222">
        <v>2760</v>
      </c>
      <c r="U110" s="17" t="s">
        <v>557</v>
      </c>
    </row>
    <row r="111" spans="2:21" s="17" customFormat="1" x14ac:dyDescent="0.2">
      <c r="B111" s="17" t="s">
        <v>464</v>
      </c>
      <c r="F111" s="17" t="s">
        <v>97</v>
      </c>
      <c r="H111" s="222">
        <v>7.15</v>
      </c>
      <c r="U111" s="17" t="s">
        <v>558</v>
      </c>
    </row>
    <row r="112" spans="2:21" s="17" customFormat="1" x14ac:dyDescent="0.2">
      <c r="B112" s="17" t="s">
        <v>465</v>
      </c>
      <c r="F112" s="17" t="s">
        <v>97</v>
      </c>
      <c r="H112" s="222">
        <v>0.47</v>
      </c>
      <c r="U112" s="17" t="s">
        <v>559</v>
      </c>
    </row>
    <row r="113" spans="2:21" s="17" customFormat="1" x14ac:dyDescent="0.2">
      <c r="H113" s="223"/>
    </row>
    <row r="114" spans="2:21" s="17" customFormat="1" x14ac:dyDescent="0.2">
      <c r="B114" s="155" t="s">
        <v>477</v>
      </c>
      <c r="H114" s="223"/>
    </row>
    <row r="115" spans="2:21" s="17" customFormat="1" x14ac:dyDescent="0.2">
      <c r="B115" s="17" t="s">
        <v>459</v>
      </c>
      <c r="F115" s="17" t="s">
        <v>106</v>
      </c>
      <c r="H115" s="222">
        <v>12478.96</v>
      </c>
      <c r="U115" s="17" t="s">
        <v>478</v>
      </c>
    </row>
    <row r="116" spans="2:21" s="17" customFormat="1" x14ac:dyDescent="0.2">
      <c r="B116" s="17" t="s">
        <v>460</v>
      </c>
      <c r="F116" s="17" t="s">
        <v>106</v>
      </c>
      <c r="H116" s="222">
        <v>5.91</v>
      </c>
      <c r="U116" s="17" t="s">
        <v>479</v>
      </c>
    </row>
    <row r="117" spans="2:21" s="17" customFormat="1" x14ac:dyDescent="0.2">
      <c r="B117" s="17" t="s">
        <v>461</v>
      </c>
      <c r="F117" s="17" t="s">
        <v>106</v>
      </c>
      <c r="H117" s="222">
        <v>0.6</v>
      </c>
      <c r="U117" s="17" t="s">
        <v>480</v>
      </c>
    </row>
    <row r="118" spans="2:21" s="17" customFormat="1" x14ac:dyDescent="0.2">
      <c r="H118" s="223"/>
    </row>
    <row r="119" spans="2:21" s="17" customFormat="1" x14ac:dyDescent="0.2">
      <c r="B119" s="155" t="s">
        <v>481</v>
      </c>
      <c r="H119" s="223"/>
    </row>
    <row r="120" spans="2:21" s="17" customFormat="1" x14ac:dyDescent="0.2">
      <c r="B120" s="17" t="s">
        <v>459</v>
      </c>
      <c r="F120" s="17" t="s">
        <v>106</v>
      </c>
      <c r="H120" s="222">
        <v>2760</v>
      </c>
      <c r="U120" s="17" t="s">
        <v>482</v>
      </c>
    </row>
    <row r="121" spans="2:21" s="17" customFormat="1" x14ac:dyDescent="0.2">
      <c r="B121" s="17" t="s">
        <v>460</v>
      </c>
      <c r="F121" s="17" t="s">
        <v>106</v>
      </c>
      <c r="H121" s="222">
        <v>14.61</v>
      </c>
      <c r="U121" s="17" t="s">
        <v>483</v>
      </c>
    </row>
    <row r="122" spans="2:21" s="17" customFormat="1" x14ac:dyDescent="0.2">
      <c r="B122" s="17" t="s">
        <v>461</v>
      </c>
      <c r="F122" s="17" t="s">
        <v>106</v>
      </c>
      <c r="H122" s="222">
        <v>1.42</v>
      </c>
      <c r="U122" s="17" t="s">
        <v>484</v>
      </c>
    </row>
    <row r="123" spans="2:21" s="17" customFormat="1" x14ac:dyDescent="0.2">
      <c r="B123" s="17" t="s">
        <v>463</v>
      </c>
      <c r="F123" s="17" t="s">
        <v>106</v>
      </c>
      <c r="H123" s="222">
        <v>2760</v>
      </c>
      <c r="U123" s="17" t="s">
        <v>482</v>
      </c>
    </row>
    <row r="124" spans="2:21" s="17" customFormat="1" x14ac:dyDescent="0.2">
      <c r="B124" s="17" t="s">
        <v>464</v>
      </c>
      <c r="F124" s="17" t="s">
        <v>106</v>
      </c>
      <c r="H124" s="222">
        <v>7.3</v>
      </c>
      <c r="U124" s="17" t="s">
        <v>485</v>
      </c>
    </row>
    <row r="125" spans="2:21" s="17" customFormat="1" x14ac:dyDescent="0.2">
      <c r="B125" s="17" t="s">
        <v>465</v>
      </c>
      <c r="F125" s="17" t="s">
        <v>106</v>
      </c>
      <c r="H125" s="222">
        <v>0.49</v>
      </c>
      <c r="U125" s="17" t="s">
        <v>486</v>
      </c>
    </row>
    <row r="126" spans="2:21" s="17" customFormat="1" x14ac:dyDescent="0.2">
      <c r="H126" s="223"/>
    </row>
    <row r="127" spans="2:21" s="17" customFormat="1" x14ac:dyDescent="0.2">
      <c r="B127" s="155" t="s">
        <v>497</v>
      </c>
      <c r="H127" s="223"/>
    </row>
    <row r="128" spans="2:21" s="17" customFormat="1" x14ac:dyDescent="0.2">
      <c r="B128" s="17" t="s">
        <v>459</v>
      </c>
      <c r="F128" s="17" t="s">
        <v>113</v>
      </c>
      <c r="H128" s="222">
        <v>12478.96</v>
      </c>
      <c r="U128" s="17" t="s">
        <v>519</v>
      </c>
    </row>
    <row r="129" spans="2:21" s="17" customFormat="1" x14ac:dyDescent="0.2">
      <c r="B129" s="17" t="s">
        <v>460</v>
      </c>
      <c r="F129" s="17" t="s">
        <v>113</v>
      </c>
      <c r="H129" s="222">
        <v>5.47</v>
      </c>
      <c r="U129" s="17" t="s">
        <v>520</v>
      </c>
    </row>
    <row r="130" spans="2:21" s="17" customFormat="1" x14ac:dyDescent="0.2">
      <c r="B130" s="17" t="s">
        <v>461</v>
      </c>
      <c r="F130" s="17" t="s">
        <v>113</v>
      </c>
      <c r="H130" s="222">
        <v>0.55000000000000004</v>
      </c>
      <c r="U130" s="17" t="s">
        <v>521</v>
      </c>
    </row>
    <row r="131" spans="2:21" s="17" customFormat="1" x14ac:dyDescent="0.2">
      <c r="H131" s="223"/>
    </row>
    <row r="132" spans="2:21" s="17" customFormat="1" x14ac:dyDescent="0.2">
      <c r="B132" s="155" t="s">
        <v>498</v>
      </c>
      <c r="H132" s="223"/>
    </row>
    <row r="133" spans="2:21" s="17" customFormat="1" x14ac:dyDescent="0.2">
      <c r="B133" s="17" t="s">
        <v>459</v>
      </c>
      <c r="F133" s="17" t="s">
        <v>113</v>
      </c>
      <c r="H133" s="222">
        <v>2760</v>
      </c>
      <c r="U133" s="17" t="s">
        <v>522</v>
      </c>
    </row>
    <row r="134" spans="2:21" s="17" customFormat="1" x14ac:dyDescent="0.2">
      <c r="B134" s="17" t="s">
        <v>460</v>
      </c>
      <c r="F134" s="17" t="s">
        <v>113</v>
      </c>
      <c r="H134" s="222">
        <v>16.329999999999998</v>
      </c>
      <c r="U134" s="17" t="s">
        <v>523</v>
      </c>
    </row>
    <row r="135" spans="2:21" s="17" customFormat="1" x14ac:dyDescent="0.2">
      <c r="B135" s="17" t="s">
        <v>461</v>
      </c>
      <c r="F135" s="17" t="s">
        <v>113</v>
      </c>
      <c r="H135" s="222">
        <v>1.59</v>
      </c>
      <c r="U135" s="17" t="s">
        <v>524</v>
      </c>
    </row>
    <row r="136" spans="2:21" s="17" customFormat="1" x14ac:dyDescent="0.2">
      <c r="B136" s="17" t="s">
        <v>463</v>
      </c>
      <c r="F136" s="17" t="s">
        <v>113</v>
      </c>
      <c r="H136" s="222">
        <v>2760</v>
      </c>
      <c r="U136" s="17" t="s">
        <v>522</v>
      </c>
    </row>
    <row r="137" spans="2:21" s="17" customFormat="1" x14ac:dyDescent="0.2">
      <c r="B137" s="17" t="s">
        <v>464</v>
      </c>
      <c r="F137" s="17" t="s">
        <v>113</v>
      </c>
      <c r="H137" s="222">
        <v>8.17</v>
      </c>
      <c r="U137" s="17" t="s">
        <v>525</v>
      </c>
    </row>
    <row r="138" spans="2:21" s="17" customFormat="1" x14ac:dyDescent="0.2">
      <c r="B138" s="17" t="s">
        <v>465</v>
      </c>
      <c r="F138" s="17" t="s">
        <v>113</v>
      </c>
      <c r="H138" s="222">
        <v>0.55000000000000004</v>
      </c>
      <c r="U138" s="17" t="s">
        <v>526</v>
      </c>
    </row>
    <row r="139" spans="2:21" x14ac:dyDescent="0.2">
      <c r="H139" s="224"/>
    </row>
    <row r="140" spans="2:21" x14ac:dyDescent="0.2">
      <c r="H140" s="224"/>
    </row>
    <row r="141" spans="2:21" x14ac:dyDescent="0.2">
      <c r="H141" s="224"/>
    </row>
  </sheetData>
  <mergeCells count="2">
    <mergeCell ref="B5:F5"/>
    <mergeCell ref="B8:F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tabColor rgb="FFCCFFCC"/>
  </sheetPr>
  <dimension ref="A1:AA241"/>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4.25" x14ac:dyDescent="0.2"/>
  <cols>
    <col min="1" max="1" width="2.140625" style="91" customWidth="1"/>
    <col min="2" max="2" width="43" style="91" customWidth="1"/>
    <col min="3" max="3" width="2.7109375" style="91" customWidth="1"/>
    <col min="4" max="4" width="13.7109375" style="91" customWidth="1"/>
    <col min="5" max="5" width="2.7109375" style="91" customWidth="1"/>
    <col min="6" max="6" width="13.7109375" style="91" customWidth="1"/>
    <col min="7" max="7" width="2.7109375" style="180" customWidth="1"/>
    <col min="8" max="8" width="13.7109375" style="180" customWidth="1"/>
    <col min="9" max="9" width="2.7109375" style="91" customWidth="1"/>
    <col min="10" max="10" width="13.7109375" style="91" customWidth="1"/>
    <col min="11" max="11" width="3.7109375" style="91" customWidth="1"/>
    <col min="12" max="17" width="13.7109375" style="91" customWidth="1"/>
    <col min="18" max="18" width="2.7109375" style="91" customWidth="1"/>
    <col min="19" max="19" width="13.7109375" style="91" customWidth="1"/>
    <col min="20" max="20" width="2.7109375" style="91" customWidth="1"/>
    <col min="21" max="22" width="13.7109375" style="180" customWidth="1"/>
    <col min="23" max="23" width="2.7109375" style="180" customWidth="1"/>
    <col min="24" max="24" width="49.7109375" style="91" customWidth="1"/>
    <col min="25" max="25" width="2.7109375" style="91" customWidth="1"/>
    <col min="26" max="26" width="7.85546875" style="91" customWidth="1"/>
    <col min="27" max="16384" width="9.140625" style="91"/>
  </cols>
  <sheetData>
    <row r="1" spans="1:26" s="74" customFormat="1" ht="12.75" x14ac:dyDescent="0.2">
      <c r="A1" s="21"/>
      <c r="B1" s="21"/>
      <c r="C1" s="21"/>
      <c r="D1" s="21"/>
      <c r="E1" s="21"/>
      <c r="F1" s="21"/>
      <c r="G1" s="21"/>
      <c r="H1" s="21"/>
      <c r="I1" s="21"/>
      <c r="J1" s="21"/>
      <c r="K1" s="21"/>
      <c r="L1" s="21"/>
      <c r="M1" s="21"/>
      <c r="N1" s="21"/>
      <c r="O1" s="21"/>
      <c r="P1" s="21"/>
      <c r="Q1" s="21"/>
      <c r="R1" s="21"/>
      <c r="S1" s="21"/>
      <c r="T1" s="21"/>
      <c r="U1" s="21"/>
      <c r="V1" s="21"/>
      <c r="W1" s="21"/>
    </row>
    <row r="2" spans="1:26" s="45" customFormat="1" ht="18" x14ac:dyDescent="0.2">
      <c r="B2" s="45" t="s">
        <v>594</v>
      </c>
    </row>
    <row r="3" spans="1:26" s="74" customFormat="1" ht="12.75" x14ac:dyDescent="0.2">
      <c r="A3" s="21"/>
      <c r="B3" s="21"/>
      <c r="C3" s="21"/>
      <c r="D3" s="21"/>
      <c r="E3" s="21"/>
      <c r="F3" s="21"/>
      <c r="G3" s="21"/>
      <c r="H3" s="21"/>
      <c r="I3" s="21"/>
      <c r="J3" s="21"/>
      <c r="K3" s="21"/>
      <c r="L3" s="21"/>
      <c r="M3" s="21"/>
      <c r="N3" s="21"/>
      <c r="O3" s="21"/>
      <c r="P3" s="21"/>
      <c r="Q3" s="21"/>
      <c r="R3" s="21"/>
      <c r="S3" s="21"/>
      <c r="T3" s="21"/>
      <c r="U3" s="21"/>
      <c r="V3" s="21"/>
      <c r="W3" s="21"/>
    </row>
    <row r="4" spans="1:26" s="74" customFormat="1" x14ac:dyDescent="0.2">
      <c r="A4" s="21"/>
      <c r="B4" s="42" t="s">
        <v>79</v>
      </c>
      <c r="C4" s="21"/>
      <c r="D4" s="21"/>
      <c r="E4" s="21"/>
      <c r="F4" s="21"/>
      <c r="G4" s="21"/>
      <c r="H4" s="21"/>
      <c r="I4" s="21"/>
      <c r="J4" s="21"/>
      <c r="K4" s="73"/>
      <c r="L4" s="73"/>
      <c r="M4" s="21"/>
      <c r="N4" s="21"/>
      <c r="O4" s="21"/>
      <c r="P4" s="21"/>
      <c r="Q4" s="21"/>
      <c r="R4" s="21"/>
      <c r="S4" s="21"/>
      <c r="T4" s="21"/>
      <c r="U4" s="21"/>
      <c r="V4" s="21"/>
      <c r="W4" s="21"/>
    </row>
    <row r="5" spans="1:26" s="74" customFormat="1" ht="25.5" customHeight="1" x14ac:dyDescent="0.2">
      <c r="A5" s="21"/>
      <c r="B5" s="253" t="s">
        <v>595</v>
      </c>
      <c r="C5" s="253"/>
      <c r="D5" s="253"/>
      <c r="E5" s="253"/>
      <c r="F5" s="253"/>
      <c r="G5" s="21"/>
      <c r="H5" s="21"/>
      <c r="I5" s="21"/>
      <c r="J5" s="21"/>
      <c r="K5" s="21"/>
      <c r="L5" s="21"/>
      <c r="M5" s="21"/>
      <c r="N5" s="21"/>
      <c r="O5" s="21"/>
      <c r="P5" s="21"/>
      <c r="Q5" s="21"/>
      <c r="R5" s="21"/>
      <c r="S5" s="21"/>
      <c r="T5" s="21"/>
      <c r="U5" s="21"/>
      <c r="V5" s="21"/>
      <c r="W5" s="21"/>
    </row>
    <row r="6" spans="1:26" s="74" customFormat="1" ht="12.75" x14ac:dyDescent="0.2">
      <c r="A6" s="21"/>
      <c r="B6" s="21"/>
      <c r="C6" s="21"/>
      <c r="D6" s="21"/>
      <c r="E6" s="21"/>
      <c r="F6" s="21"/>
      <c r="G6" s="21"/>
      <c r="H6" s="21"/>
      <c r="I6" s="21"/>
      <c r="J6" s="21"/>
      <c r="K6" s="21"/>
      <c r="L6" s="21"/>
      <c r="M6" s="21"/>
      <c r="N6" s="21"/>
      <c r="O6" s="21"/>
      <c r="P6" s="21"/>
      <c r="Q6" s="21"/>
      <c r="R6" s="21"/>
      <c r="S6" s="21"/>
      <c r="T6" s="21"/>
      <c r="U6" s="21"/>
      <c r="V6" s="21"/>
      <c r="W6" s="21"/>
    </row>
    <row r="7" spans="1:26" s="74" customFormat="1" x14ac:dyDescent="0.2">
      <c r="B7" s="48" t="s">
        <v>80</v>
      </c>
      <c r="D7" s="91"/>
      <c r="F7" s="91"/>
      <c r="G7" s="180"/>
      <c r="H7" s="180"/>
      <c r="I7" s="91"/>
      <c r="J7" s="91"/>
      <c r="K7" s="91"/>
      <c r="L7" s="91"/>
      <c r="M7" s="91"/>
      <c r="N7" s="91"/>
      <c r="O7" s="91"/>
      <c r="P7" s="91"/>
      <c r="Q7" s="91"/>
      <c r="S7" s="91"/>
      <c r="U7" s="180"/>
      <c r="V7" s="180"/>
      <c r="W7" s="171"/>
    </row>
    <row r="8" spans="1:26" s="74" customFormat="1" ht="51" customHeight="1" x14ac:dyDescent="0.2">
      <c r="B8" s="253" t="s">
        <v>581</v>
      </c>
      <c r="C8" s="253"/>
      <c r="D8" s="253"/>
      <c r="E8" s="253"/>
      <c r="F8" s="253"/>
      <c r="G8" s="180"/>
      <c r="H8" s="180"/>
      <c r="I8" s="91"/>
      <c r="J8" s="91"/>
      <c r="K8" s="91"/>
      <c r="L8" s="26"/>
      <c r="M8" s="91"/>
      <c r="N8" s="91"/>
      <c r="O8" s="91"/>
      <c r="P8" s="91"/>
      <c r="Q8" s="91"/>
      <c r="S8" s="91"/>
      <c r="U8" s="180"/>
      <c r="V8" s="180"/>
      <c r="W8" s="171"/>
    </row>
    <row r="9" spans="1:26" s="74" customFormat="1" ht="12.75" x14ac:dyDescent="0.2">
      <c r="G9" s="171"/>
      <c r="H9" s="171"/>
      <c r="U9" s="171"/>
      <c r="V9" s="171"/>
      <c r="W9" s="171"/>
    </row>
    <row r="10" spans="1:26" s="47" customFormat="1" ht="12.75" x14ac:dyDescent="0.2">
      <c r="B10" s="47" t="s">
        <v>81</v>
      </c>
      <c r="D10" s="47" t="s">
        <v>66</v>
      </c>
      <c r="F10" s="47" t="s">
        <v>0</v>
      </c>
      <c r="H10" s="47" t="s">
        <v>439</v>
      </c>
      <c r="J10" s="47" t="s">
        <v>440</v>
      </c>
      <c r="L10" s="47" t="s">
        <v>82</v>
      </c>
      <c r="M10" s="47" t="s">
        <v>1</v>
      </c>
      <c r="N10" s="47" t="s">
        <v>2</v>
      </c>
      <c r="O10" s="47" t="s">
        <v>3</v>
      </c>
      <c r="P10" s="47" t="s">
        <v>4</v>
      </c>
      <c r="Q10" s="47" t="s">
        <v>5</v>
      </c>
      <c r="S10" s="47" t="s">
        <v>35</v>
      </c>
      <c r="U10" s="47" t="s">
        <v>560</v>
      </c>
      <c r="V10" s="47" t="s">
        <v>652</v>
      </c>
      <c r="X10" s="47" t="s">
        <v>67</v>
      </c>
      <c r="Z10" s="47" t="s">
        <v>271</v>
      </c>
    </row>
    <row r="12" spans="1:26" s="47" customFormat="1" x14ac:dyDescent="0.2">
      <c r="B12" s="47" t="s">
        <v>43</v>
      </c>
    </row>
    <row r="13" spans="1:26" s="80" customFormat="1" ht="12.75" x14ac:dyDescent="0.2"/>
    <row r="14" spans="1:26" s="80" customFormat="1" ht="12.75" x14ac:dyDescent="0.2">
      <c r="B14" s="84" t="s">
        <v>75</v>
      </c>
    </row>
    <row r="15" spans="1:26" s="80" customFormat="1" ht="12.75" x14ac:dyDescent="0.2">
      <c r="B15" s="85" t="s">
        <v>38</v>
      </c>
      <c r="F15" s="90" t="s">
        <v>20</v>
      </c>
      <c r="H15" s="103"/>
      <c r="J15" s="172">
        <f>SUM(L15:S15)</f>
        <v>12517427.885460485</v>
      </c>
      <c r="K15" s="77"/>
      <c r="L15" s="213"/>
      <c r="M15" s="124">
        <v>2302841.2636363637</v>
      </c>
      <c r="N15" s="124">
        <v>3803718.7609150317</v>
      </c>
      <c r="O15" s="213"/>
      <c r="P15" s="124">
        <v>5321431.6500000004</v>
      </c>
      <c r="Q15" s="213">
        <v>6848.76</v>
      </c>
      <c r="R15" s="171"/>
      <c r="S15" s="213">
        <v>1082587.4509090891</v>
      </c>
      <c r="U15" s="124">
        <v>2302841.2636363637</v>
      </c>
      <c r="V15" s="213"/>
      <c r="X15" s="171" t="s">
        <v>243</v>
      </c>
    </row>
    <row r="16" spans="1:26" s="80" customFormat="1" ht="12.75" x14ac:dyDescent="0.2">
      <c r="B16" s="85" t="s">
        <v>25</v>
      </c>
      <c r="F16" s="90" t="s">
        <v>20</v>
      </c>
      <c r="H16" s="103"/>
      <c r="J16" s="172">
        <f>SUM(L16:S16)</f>
        <v>2367143.5885749464</v>
      </c>
      <c r="K16" s="77"/>
      <c r="L16" s="213">
        <v>24778.683669978891</v>
      </c>
      <c r="M16" s="124">
        <v>1381612.5507937646</v>
      </c>
      <c r="N16" s="124">
        <v>161640.20999999996</v>
      </c>
      <c r="O16" s="213">
        <v>21240</v>
      </c>
      <c r="P16" s="124">
        <v>694064.53411120293</v>
      </c>
      <c r="Q16" s="213">
        <v>18067.629999999994</v>
      </c>
      <c r="R16" s="171"/>
      <c r="S16" s="213">
        <v>65739.98</v>
      </c>
      <c r="U16" s="124">
        <v>1381612.5507937646</v>
      </c>
      <c r="V16" s="213">
        <v>21240</v>
      </c>
      <c r="X16" s="171" t="s">
        <v>245</v>
      </c>
    </row>
    <row r="17" spans="1:27" s="74" customFormat="1" ht="12.75" x14ac:dyDescent="0.2">
      <c r="A17" s="89"/>
      <c r="B17" s="84"/>
      <c r="C17" s="85"/>
      <c r="D17" s="85"/>
      <c r="E17" s="85"/>
      <c r="F17" s="90"/>
      <c r="G17" s="101"/>
      <c r="H17" s="103"/>
      <c r="I17" s="85"/>
      <c r="L17" s="171"/>
      <c r="M17" s="171"/>
      <c r="N17" s="171"/>
      <c r="O17" s="171"/>
      <c r="P17" s="171"/>
      <c r="R17" s="85"/>
      <c r="S17" s="171"/>
      <c r="T17" s="85"/>
      <c r="U17" s="171"/>
      <c r="V17" s="171"/>
      <c r="W17" s="101"/>
      <c r="X17" s="80"/>
    </row>
    <row r="18" spans="1:27" s="74" customFormat="1" ht="12.75" x14ac:dyDescent="0.2">
      <c r="A18" s="89"/>
      <c r="B18" s="84" t="s">
        <v>74</v>
      </c>
      <c r="C18" s="85"/>
      <c r="D18" s="85"/>
      <c r="E18" s="85"/>
      <c r="F18" s="90"/>
      <c r="G18" s="101"/>
      <c r="H18" s="103"/>
      <c r="I18" s="85"/>
      <c r="L18" s="171"/>
      <c r="M18" s="171"/>
      <c r="N18" s="171"/>
      <c r="O18" s="171"/>
      <c r="P18" s="171"/>
      <c r="S18" s="171"/>
      <c r="T18" s="85"/>
      <c r="U18" s="171"/>
      <c r="V18" s="171"/>
      <c r="W18" s="101"/>
      <c r="X18" s="80"/>
      <c r="AA18" s="88"/>
    </row>
    <row r="19" spans="1:27" s="74" customFormat="1" ht="12.75" x14ac:dyDescent="0.2">
      <c r="A19" s="89"/>
      <c r="B19" s="85" t="s">
        <v>36</v>
      </c>
      <c r="C19" s="85"/>
      <c r="D19" s="85"/>
      <c r="E19" s="85"/>
      <c r="F19" s="90" t="s">
        <v>20</v>
      </c>
      <c r="G19" s="101"/>
      <c r="H19" s="103"/>
      <c r="I19" s="85"/>
      <c r="J19" s="172">
        <f t="shared" ref="J19:J31" si="0">SUM(L19:S19)</f>
        <v>9878508.7399999984</v>
      </c>
      <c r="K19" s="77"/>
      <c r="L19" s="213"/>
      <c r="M19" s="124">
        <v>2562287.8328900007</v>
      </c>
      <c r="N19" s="124">
        <v>5602391.6099999985</v>
      </c>
      <c r="O19" s="213"/>
      <c r="P19" s="124">
        <v>1713829.2971099995</v>
      </c>
      <c r="Q19" s="213"/>
      <c r="R19" s="171"/>
      <c r="S19" s="213"/>
      <c r="T19" s="85"/>
      <c r="U19" s="124">
        <v>2562287.8328900007</v>
      </c>
      <c r="V19" s="213"/>
      <c r="W19" s="101"/>
      <c r="X19" s="171" t="s">
        <v>241</v>
      </c>
      <c r="AA19" s="88"/>
    </row>
    <row r="20" spans="1:27" s="74" customFormat="1" ht="12.75" x14ac:dyDescent="0.2">
      <c r="A20" s="89"/>
      <c r="B20" s="85" t="s">
        <v>37</v>
      </c>
      <c r="C20" s="85"/>
      <c r="D20" s="85"/>
      <c r="E20" s="85"/>
      <c r="F20" s="90" t="s">
        <v>20</v>
      </c>
      <c r="G20" s="101"/>
      <c r="H20" s="103"/>
      <c r="I20" s="85"/>
      <c r="J20" s="172">
        <f t="shared" si="0"/>
        <v>27096359.867252167</v>
      </c>
      <c r="K20" s="77"/>
      <c r="L20" s="213">
        <v>31882.650717975954</v>
      </c>
      <c r="M20" s="124">
        <v>11802147.403109998</v>
      </c>
      <c r="N20" s="124">
        <v>11159801.140000001</v>
      </c>
      <c r="O20" s="213">
        <v>44757.5</v>
      </c>
      <c r="P20" s="124">
        <v>2862792.9768899996</v>
      </c>
      <c r="Q20" s="213">
        <v>651797.14653419843</v>
      </c>
      <c r="R20" s="171"/>
      <c r="S20" s="213">
        <v>543181.05000000005</v>
      </c>
      <c r="T20" s="85"/>
      <c r="U20" s="124">
        <v>11802147.403109998</v>
      </c>
      <c r="V20" s="213">
        <v>44757.5</v>
      </c>
      <c r="W20" s="101"/>
      <c r="X20" s="171" t="s">
        <v>242</v>
      </c>
      <c r="AA20" s="88"/>
    </row>
    <row r="21" spans="1:27" s="74" customFormat="1" ht="12.75" x14ac:dyDescent="0.2">
      <c r="A21" s="89"/>
      <c r="B21" s="85" t="s">
        <v>38</v>
      </c>
      <c r="C21" s="85"/>
      <c r="D21" s="85"/>
      <c r="E21" s="85"/>
      <c r="F21" s="90" t="s">
        <v>20</v>
      </c>
      <c r="G21" s="101"/>
      <c r="H21" s="103"/>
      <c r="I21" s="85"/>
      <c r="J21" s="172">
        <f t="shared" si="0"/>
        <v>3453186.0680384301</v>
      </c>
      <c r="K21" s="77"/>
      <c r="L21" s="213"/>
      <c r="M21" s="124">
        <v>-374810.06727272726</v>
      </c>
      <c r="N21" s="124">
        <v>1900618.167180527</v>
      </c>
      <c r="O21" s="213"/>
      <c r="P21" s="124">
        <v>1720529.2081306307</v>
      </c>
      <c r="Q21" s="213">
        <v>6848.76</v>
      </c>
      <c r="R21" s="171"/>
      <c r="S21" s="213">
        <v>200000</v>
      </c>
      <c r="T21" s="85"/>
      <c r="U21" s="124">
        <v>-374810.06727272726</v>
      </c>
      <c r="V21" s="213"/>
      <c r="W21" s="101"/>
      <c r="X21" s="171" t="s">
        <v>243</v>
      </c>
    </row>
    <row r="22" spans="1:27" s="74" customFormat="1" ht="12.75" x14ac:dyDescent="0.2">
      <c r="A22" s="89"/>
      <c r="B22" s="85" t="s">
        <v>39</v>
      </c>
      <c r="C22" s="85"/>
      <c r="D22" s="85"/>
      <c r="E22" s="85"/>
      <c r="F22" s="90" t="s">
        <v>20</v>
      </c>
      <c r="G22" s="101"/>
      <c r="H22" s="103"/>
      <c r="I22" s="85"/>
      <c r="J22" s="172">
        <f t="shared" si="0"/>
        <v>4068104.0622889041</v>
      </c>
      <c r="K22" s="77"/>
      <c r="L22" s="213"/>
      <c r="M22" s="124">
        <v>2522775.1299999994</v>
      </c>
      <c r="N22" s="124">
        <v>1507199.8</v>
      </c>
      <c r="O22" s="213"/>
      <c r="P22" s="124">
        <v>0</v>
      </c>
      <c r="Q22" s="213">
        <v>38129.132288904504</v>
      </c>
      <c r="R22" s="171"/>
      <c r="S22" s="213"/>
      <c r="T22" s="85"/>
      <c r="U22" s="124">
        <v>2522775.1299999994</v>
      </c>
      <c r="V22" s="213"/>
      <c r="W22" s="101"/>
      <c r="X22" s="171" t="s">
        <v>244</v>
      </c>
    </row>
    <row r="23" spans="1:27" s="74" customFormat="1" ht="12.75" x14ac:dyDescent="0.2">
      <c r="A23" s="89"/>
      <c r="B23" s="85" t="s">
        <v>25</v>
      </c>
      <c r="C23" s="85"/>
      <c r="D23" s="85"/>
      <c r="E23" s="85"/>
      <c r="F23" s="90" t="s">
        <v>20</v>
      </c>
      <c r="G23" s="101"/>
      <c r="H23" s="103"/>
      <c r="I23" s="85"/>
      <c r="J23" s="172">
        <f t="shared" si="0"/>
        <v>2419046.1049049674</v>
      </c>
      <c r="K23" s="77"/>
      <c r="L23" s="213">
        <v>76681.200000000026</v>
      </c>
      <c r="M23" s="124">
        <v>1381612.5507937646</v>
      </c>
      <c r="N23" s="124">
        <v>161640.20999999996</v>
      </c>
      <c r="O23" s="213">
        <v>21240</v>
      </c>
      <c r="P23" s="124">
        <v>694064.53411120293</v>
      </c>
      <c r="Q23" s="213">
        <v>18067.629999999994</v>
      </c>
      <c r="R23" s="171"/>
      <c r="S23" s="213">
        <v>65739.98</v>
      </c>
      <c r="T23" s="85"/>
      <c r="U23" s="124">
        <v>1381612.5507937646</v>
      </c>
      <c r="V23" s="213">
        <v>21240</v>
      </c>
      <c r="W23" s="101"/>
      <c r="X23" s="171" t="s">
        <v>245</v>
      </c>
    </row>
    <row r="24" spans="1:27" s="74" customFormat="1" ht="12.75" x14ac:dyDescent="0.2">
      <c r="A24" s="89"/>
      <c r="B24" s="85" t="s">
        <v>40</v>
      </c>
      <c r="C24" s="85"/>
      <c r="D24" s="85"/>
      <c r="E24" s="85"/>
      <c r="F24" s="90" t="s">
        <v>20</v>
      </c>
      <c r="G24" s="101"/>
      <c r="H24" s="103"/>
      <c r="I24" s="85"/>
      <c r="J24" s="172">
        <f t="shared" si="0"/>
        <v>388017.1</v>
      </c>
      <c r="K24" s="77"/>
      <c r="L24" s="213"/>
      <c r="M24" s="124">
        <v>2917.1</v>
      </c>
      <c r="N24" s="124">
        <v>385100</v>
      </c>
      <c r="O24" s="213"/>
      <c r="P24" s="124">
        <v>0</v>
      </c>
      <c r="Q24" s="213"/>
      <c r="R24" s="171"/>
      <c r="S24" s="213"/>
      <c r="T24" s="85"/>
      <c r="U24" s="124">
        <v>2917.1</v>
      </c>
      <c r="V24" s="213"/>
      <c r="W24" s="101"/>
      <c r="X24" s="171" t="s">
        <v>246</v>
      </c>
    </row>
    <row r="25" spans="1:27" s="74" customFormat="1" ht="12.75" x14ac:dyDescent="0.2">
      <c r="A25" s="89"/>
      <c r="B25" s="85" t="s">
        <v>30</v>
      </c>
      <c r="C25" s="85"/>
      <c r="D25" s="85"/>
      <c r="E25" s="85"/>
      <c r="F25" s="90" t="s">
        <v>20</v>
      </c>
      <c r="G25" s="101"/>
      <c r="H25" s="103"/>
      <c r="I25" s="85"/>
      <c r="J25" s="172">
        <f t="shared" si="0"/>
        <v>747767.27</v>
      </c>
      <c r="K25" s="77"/>
      <c r="L25" s="213"/>
      <c r="M25" s="124">
        <v>4520.97451</v>
      </c>
      <c r="N25" s="124">
        <v>0</v>
      </c>
      <c r="O25" s="213"/>
      <c r="P25" s="124">
        <v>343246.29549000005</v>
      </c>
      <c r="Q25" s="213"/>
      <c r="R25" s="171"/>
      <c r="S25" s="213">
        <v>400000</v>
      </c>
      <c r="T25" s="85"/>
      <c r="U25" s="124">
        <v>4520.97451</v>
      </c>
      <c r="V25" s="213"/>
      <c r="W25" s="101"/>
      <c r="X25" s="171" t="s">
        <v>247</v>
      </c>
      <c r="Z25" s="103" t="s">
        <v>441</v>
      </c>
    </row>
    <row r="26" spans="1:27" s="74" customFormat="1" ht="12.75" x14ac:dyDescent="0.2">
      <c r="A26" s="89"/>
      <c r="B26" s="85" t="s">
        <v>31</v>
      </c>
      <c r="C26" s="85"/>
      <c r="D26" s="85"/>
      <c r="E26" s="85"/>
      <c r="F26" s="90" t="s">
        <v>20</v>
      </c>
      <c r="G26" s="101"/>
      <c r="H26" s="103"/>
      <c r="I26" s="85"/>
      <c r="J26" s="172">
        <f t="shared" si="0"/>
        <v>475989.77344360156</v>
      </c>
      <c r="K26" s="77"/>
      <c r="L26" s="213"/>
      <c r="M26" s="124">
        <v>6187.8670547668198</v>
      </c>
      <c r="N26" s="124">
        <v>0</v>
      </c>
      <c r="O26" s="213"/>
      <c r="P26" s="124">
        <v>469801.90638883476</v>
      </c>
      <c r="Q26" s="213"/>
      <c r="R26" s="171"/>
      <c r="S26" s="213"/>
      <c r="T26" s="85"/>
      <c r="U26" s="124">
        <v>6187.8670547668198</v>
      </c>
      <c r="V26" s="213"/>
      <c r="W26" s="101"/>
      <c r="X26" s="171" t="s">
        <v>248</v>
      </c>
      <c r="Z26" s="103" t="s">
        <v>442</v>
      </c>
    </row>
    <row r="27" spans="1:27" s="74" customFormat="1" ht="12.75" x14ac:dyDescent="0.2">
      <c r="A27" s="89"/>
      <c r="B27" s="85" t="s">
        <v>32</v>
      </c>
      <c r="C27" s="85"/>
      <c r="D27" s="85"/>
      <c r="E27" s="85"/>
      <c r="F27" s="90" t="s">
        <v>20</v>
      </c>
      <c r="G27" s="101"/>
      <c r="H27" s="103"/>
      <c r="I27" s="85"/>
      <c r="J27" s="172">
        <f t="shared" si="0"/>
        <v>2877058.1440973096</v>
      </c>
      <c r="K27" s="77"/>
      <c r="L27" s="213"/>
      <c r="M27" s="124">
        <v>37401.755873265021</v>
      </c>
      <c r="N27" s="124">
        <v>0</v>
      </c>
      <c r="O27" s="213"/>
      <c r="P27" s="124">
        <v>2839656.3882240443</v>
      </c>
      <c r="Q27" s="213"/>
      <c r="R27" s="171"/>
      <c r="S27" s="213"/>
      <c r="T27" s="85"/>
      <c r="U27" s="124">
        <v>37401.755873265021</v>
      </c>
      <c r="V27" s="213"/>
      <c r="W27" s="101"/>
      <c r="X27" s="171" t="s">
        <v>249</v>
      </c>
      <c r="Z27" s="103" t="s">
        <v>443</v>
      </c>
    </row>
    <row r="28" spans="1:27" s="74" customFormat="1" ht="12.75" x14ac:dyDescent="0.2">
      <c r="A28" s="89"/>
      <c r="B28" s="85" t="s">
        <v>33</v>
      </c>
      <c r="C28" s="85"/>
      <c r="D28" s="85"/>
      <c r="E28" s="85"/>
      <c r="F28" s="90" t="s">
        <v>20</v>
      </c>
      <c r="G28" s="101"/>
      <c r="H28" s="103"/>
      <c r="I28" s="85"/>
      <c r="J28" s="172">
        <f t="shared" si="0"/>
        <v>20746781.200326569</v>
      </c>
      <c r="K28" s="77"/>
      <c r="L28" s="213"/>
      <c r="M28" s="124">
        <v>20746781.200326569</v>
      </c>
      <c r="N28" s="124">
        <v>0</v>
      </c>
      <c r="O28" s="213"/>
      <c r="P28" s="124">
        <v>0</v>
      </c>
      <c r="Q28" s="213"/>
      <c r="R28" s="171"/>
      <c r="S28" s="213"/>
      <c r="T28" s="85"/>
      <c r="U28" s="124">
        <v>20746781.200326569</v>
      </c>
      <c r="V28" s="213"/>
      <c r="W28" s="101"/>
      <c r="X28" s="171" t="s">
        <v>250</v>
      </c>
      <c r="Z28" s="74" t="s">
        <v>444</v>
      </c>
    </row>
    <row r="29" spans="1:27" s="74" customFormat="1" ht="12.75" x14ac:dyDescent="0.2">
      <c r="A29" s="89"/>
      <c r="B29" s="85" t="s">
        <v>34</v>
      </c>
      <c r="C29" s="85"/>
      <c r="D29" s="85"/>
      <c r="E29" s="85"/>
      <c r="F29" s="90" t="s">
        <v>20</v>
      </c>
      <c r="G29" s="101"/>
      <c r="H29" s="103"/>
      <c r="I29" s="85"/>
      <c r="J29" s="172">
        <f t="shared" si="0"/>
        <v>0</v>
      </c>
      <c r="K29" s="77"/>
      <c r="L29" s="213"/>
      <c r="M29" s="124">
        <v>0</v>
      </c>
      <c r="N29" s="124">
        <v>0</v>
      </c>
      <c r="O29" s="213"/>
      <c r="P29" s="124">
        <v>0</v>
      </c>
      <c r="Q29" s="213"/>
      <c r="R29" s="171"/>
      <c r="S29" s="213"/>
      <c r="T29" s="85"/>
      <c r="U29" s="124">
        <v>0</v>
      </c>
      <c r="V29" s="213"/>
      <c r="W29" s="101"/>
      <c r="X29" s="171" t="s">
        <v>251</v>
      </c>
    </row>
    <row r="30" spans="1:27" s="87" customFormat="1" ht="12.75" x14ac:dyDescent="0.2">
      <c r="B30" s="184"/>
      <c r="C30" s="184"/>
      <c r="D30" s="184"/>
      <c r="E30" s="184"/>
      <c r="F30" s="103"/>
      <c r="G30" s="184"/>
      <c r="H30" s="103"/>
      <c r="I30" s="184"/>
      <c r="J30" s="78"/>
      <c r="K30" s="78"/>
      <c r="L30" s="78"/>
      <c r="M30" s="78"/>
      <c r="N30" s="78"/>
      <c r="O30" s="78"/>
      <c r="P30" s="78"/>
      <c r="Q30" s="78"/>
      <c r="R30" s="184"/>
      <c r="S30" s="78"/>
      <c r="T30" s="184"/>
      <c r="U30" s="78"/>
      <c r="V30" s="78"/>
      <c r="W30" s="184"/>
    </row>
    <row r="31" spans="1:27" s="74" customFormat="1" ht="12.75" x14ac:dyDescent="0.2">
      <c r="A31" s="89"/>
      <c r="B31" s="74" t="s">
        <v>26</v>
      </c>
      <c r="C31" s="85"/>
      <c r="D31" s="85"/>
      <c r="E31" s="85"/>
      <c r="F31" s="74" t="s">
        <v>20</v>
      </c>
      <c r="G31" s="101"/>
      <c r="H31" s="171"/>
      <c r="I31" s="85"/>
      <c r="J31" s="172">
        <f t="shared" si="0"/>
        <v>72150818.330351964</v>
      </c>
      <c r="L31" s="229">
        <f>SUM(L19:L29)</f>
        <v>108563.85071797598</v>
      </c>
      <c r="M31" s="172">
        <f>SUM(M19:M29)</f>
        <v>38691821.747285634</v>
      </c>
      <c r="N31" s="172">
        <f t="shared" ref="N31:Q31" si="1">SUM(N19:N29)</f>
        <v>20716750.927180529</v>
      </c>
      <c r="O31" s="229">
        <f t="shared" si="1"/>
        <v>65997.5</v>
      </c>
      <c r="P31" s="172">
        <f t="shared" si="1"/>
        <v>10643920.606344713</v>
      </c>
      <c r="Q31" s="229">
        <f t="shared" si="1"/>
        <v>714842.66882310295</v>
      </c>
      <c r="R31" s="85"/>
      <c r="S31" s="229">
        <f>SUM(S19:S29)</f>
        <v>1208921.03</v>
      </c>
      <c r="T31" s="85"/>
      <c r="U31" s="172">
        <f>SUM(U19:U29)</f>
        <v>38691821.747285634</v>
      </c>
      <c r="V31" s="229">
        <f t="shared" ref="V31" si="2">SUM(V19:V29)</f>
        <v>65997.5</v>
      </c>
      <c r="W31" s="101"/>
      <c r="X31" s="87"/>
    </row>
    <row r="32" spans="1:27" s="74" customFormat="1" ht="12.75" x14ac:dyDescent="0.2">
      <c r="A32" s="89"/>
      <c r="C32" s="85"/>
      <c r="D32" s="85"/>
      <c r="E32" s="85"/>
      <c r="G32" s="101"/>
      <c r="H32" s="171"/>
      <c r="I32" s="85"/>
      <c r="L32" s="171"/>
      <c r="O32" s="171"/>
      <c r="P32" s="171"/>
      <c r="R32" s="85"/>
      <c r="S32" s="171"/>
      <c r="T32" s="85"/>
      <c r="U32" s="171"/>
      <c r="V32" s="171"/>
      <c r="W32" s="101"/>
      <c r="X32" s="87"/>
    </row>
    <row r="33" spans="1:26" s="74" customFormat="1" ht="12.75" x14ac:dyDescent="0.2">
      <c r="A33" s="89"/>
      <c r="B33" s="84" t="s">
        <v>76</v>
      </c>
      <c r="C33" s="85"/>
      <c r="D33" s="85"/>
      <c r="E33" s="85"/>
      <c r="F33" s="90"/>
      <c r="G33" s="101"/>
      <c r="H33" s="103"/>
      <c r="I33" s="85"/>
      <c r="L33" s="171"/>
      <c r="O33" s="171"/>
      <c r="P33" s="171"/>
      <c r="R33" s="85"/>
      <c r="S33" s="171"/>
      <c r="T33" s="85"/>
      <c r="U33" s="171"/>
      <c r="V33" s="171"/>
      <c r="W33" s="101"/>
      <c r="X33" s="78"/>
    </row>
    <row r="34" spans="1:26" s="74" customFormat="1" ht="12.75" x14ac:dyDescent="0.2">
      <c r="A34" s="89"/>
      <c r="B34" s="85" t="s">
        <v>22</v>
      </c>
      <c r="C34" s="85"/>
      <c r="D34" s="85"/>
      <c r="E34" s="85"/>
      <c r="F34" s="90" t="s">
        <v>20</v>
      </c>
      <c r="G34" s="101"/>
      <c r="H34" s="103"/>
      <c r="I34" s="85"/>
      <c r="J34" s="172">
        <f t="shared" ref="J34:J42" si="3">SUM(L34:S34)</f>
        <v>7199760.1410000008</v>
      </c>
      <c r="L34" s="213">
        <v>49854.700000000004</v>
      </c>
      <c r="M34" s="124">
        <v>3646386.9371400001</v>
      </c>
      <c r="N34" s="124">
        <v>1082847.56</v>
      </c>
      <c r="O34" s="213">
        <v>19329.93</v>
      </c>
      <c r="P34" s="124">
        <v>2226819.8328600004</v>
      </c>
      <c r="Q34" s="213">
        <v>8746.9599999999991</v>
      </c>
      <c r="R34" s="171"/>
      <c r="S34" s="213">
        <v>165774.22099999999</v>
      </c>
      <c r="T34" s="85"/>
      <c r="U34" s="124">
        <v>3646386.9371400001</v>
      </c>
      <c r="V34" s="213">
        <v>19329.93</v>
      </c>
      <c r="W34" s="101"/>
      <c r="X34" s="171" t="s">
        <v>261</v>
      </c>
    </row>
    <row r="35" spans="1:26" s="74" customFormat="1" ht="12" customHeight="1" x14ac:dyDescent="0.2">
      <c r="A35" s="89"/>
      <c r="B35" s="85" t="s">
        <v>23</v>
      </c>
      <c r="C35" s="85"/>
      <c r="D35" s="85"/>
      <c r="E35" s="85"/>
      <c r="F35" s="90" t="s">
        <v>20</v>
      </c>
      <c r="G35" s="101"/>
      <c r="H35" s="103"/>
      <c r="I35" s="85"/>
      <c r="J35" s="172">
        <f t="shared" si="3"/>
        <v>2994679.4779570326</v>
      </c>
      <c r="K35" s="77"/>
      <c r="L35" s="213">
        <v>40627.070000000007</v>
      </c>
      <c r="M35" s="124">
        <v>1177294.5501711483</v>
      </c>
      <c r="N35" s="124">
        <v>214000.08555588452</v>
      </c>
      <c r="O35" s="213"/>
      <c r="P35" s="124">
        <v>1550992.8132300002</v>
      </c>
      <c r="Q35" s="213">
        <v>3040</v>
      </c>
      <c r="R35" s="171"/>
      <c r="S35" s="213">
        <v>8724.9590000000007</v>
      </c>
      <c r="T35" s="85"/>
      <c r="U35" s="124">
        <v>1177294.5501711483</v>
      </c>
      <c r="V35" s="213"/>
      <c r="W35" s="101"/>
      <c r="X35" s="171" t="s">
        <v>262</v>
      </c>
    </row>
    <row r="36" spans="1:26" s="74" customFormat="1" ht="12.75" x14ac:dyDescent="0.2">
      <c r="A36" s="89"/>
      <c r="B36" s="85" t="s">
        <v>28</v>
      </c>
      <c r="C36" s="85"/>
      <c r="D36" s="85"/>
      <c r="E36" s="85"/>
      <c r="F36" s="90" t="s">
        <v>20</v>
      </c>
      <c r="G36" s="101"/>
      <c r="H36" s="103"/>
      <c r="I36" s="85"/>
      <c r="J36" s="172">
        <f t="shared" si="3"/>
        <v>8700213.4485382531</v>
      </c>
      <c r="K36" s="77"/>
      <c r="L36" s="213">
        <v>23488.66</v>
      </c>
      <c r="M36" s="124">
        <v>3796333.4412199999</v>
      </c>
      <c r="N36" s="124">
        <v>2490048.2799999998</v>
      </c>
      <c r="O36" s="213">
        <v>33984.379999999997</v>
      </c>
      <c r="P36" s="124">
        <v>2113348.5487800012</v>
      </c>
      <c r="Q36" s="213">
        <v>31182.52</v>
      </c>
      <c r="R36" s="171"/>
      <c r="S36" s="213">
        <v>211827.61853825234</v>
      </c>
      <c r="T36" s="85"/>
      <c r="U36" s="124">
        <v>3796333.4412199999</v>
      </c>
      <c r="V36" s="213">
        <v>33984.379999999997</v>
      </c>
      <c r="W36" s="101"/>
      <c r="X36" s="171" t="s">
        <v>263</v>
      </c>
    </row>
    <row r="37" spans="1:26" s="74" customFormat="1" ht="12.75" x14ac:dyDescent="0.2">
      <c r="A37" s="89"/>
      <c r="B37" s="85" t="s">
        <v>29</v>
      </c>
      <c r="C37" s="85"/>
      <c r="D37" s="85"/>
      <c r="E37" s="85"/>
      <c r="F37" s="90" t="s">
        <v>20</v>
      </c>
      <c r="G37" s="101"/>
      <c r="H37" s="103"/>
      <c r="I37" s="85"/>
      <c r="J37" s="172">
        <f t="shared" si="3"/>
        <v>1610004.7152832486</v>
      </c>
      <c r="K37" s="77"/>
      <c r="L37" s="213"/>
      <c r="M37" s="124">
        <v>19145.110144589937</v>
      </c>
      <c r="N37" s="124">
        <v>126493.73993017653</v>
      </c>
      <c r="O37" s="213">
        <v>8094.38</v>
      </c>
      <c r="P37" s="124">
        <v>1453555.6702084821</v>
      </c>
      <c r="Q37" s="213">
        <v>2715.8150000000001</v>
      </c>
      <c r="R37" s="171"/>
      <c r="S37" s="213">
        <v>0</v>
      </c>
      <c r="T37" s="85"/>
      <c r="U37" s="124">
        <v>19145.110144589937</v>
      </c>
      <c r="V37" s="213">
        <v>8094.38</v>
      </c>
      <c r="W37" s="101"/>
      <c r="X37" s="171" t="s">
        <v>264</v>
      </c>
    </row>
    <row r="38" spans="1:26" s="74" customFormat="1" ht="12.75" x14ac:dyDescent="0.2">
      <c r="A38" s="89"/>
      <c r="B38" s="85" t="s">
        <v>30</v>
      </c>
      <c r="C38" s="85"/>
      <c r="D38" s="85"/>
      <c r="E38" s="85"/>
      <c r="F38" s="90" t="s">
        <v>20</v>
      </c>
      <c r="G38" s="101"/>
      <c r="H38" s="103"/>
      <c r="I38" s="85"/>
      <c r="J38" s="172">
        <f t="shared" si="3"/>
        <v>95287.689999999988</v>
      </c>
      <c r="K38" s="77"/>
      <c r="L38" s="213"/>
      <c r="M38" s="124">
        <v>0</v>
      </c>
      <c r="N38" s="124">
        <v>125269.63999999998</v>
      </c>
      <c r="O38" s="213">
        <v>1222.57</v>
      </c>
      <c r="P38" s="124">
        <v>0</v>
      </c>
      <c r="Q38" s="213">
        <v>-31204.52</v>
      </c>
      <c r="R38" s="171"/>
      <c r="S38" s="213"/>
      <c r="T38" s="85"/>
      <c r="U38" s="124">
        <v>0</v>
      </c>
      <c r="V38" s="213">
        <v>1222.57</v>
      </c>
      <c r="W38" s="101"/>
      <c r="X38" s="171" t="s">
        <v>265</v>
      </c>
      <c r="Z38" s="185" t="s">
        <v>613</v>
      </c>
    </row>
    <row r="39" spans="1:26" s="74" customFormat="1" ht="12.75" x14ac:dyDescent="0.2">
      <c r="A39" s="89"/>
      <c r="B39" s="85" t="s">
        <v>31</v>
      </c>
      <c r="C39" s="85"/>
      <c r="D39" s="85"/>
      <c r="E39" s="85"/>
      <c r="F39" s="90" t="s">
        <v>20</v>
      </c>
      <c r="G39" s="101"/>
      <c r="H39" s="103"/>
      <c r="I39" s="85"/>
      <c r="J39" s="172">
        <f t="shared" si="3"/>
        <v>2318121.757803279</v>
      </c>
      <c r="K39" s="77"/>
      <c r="L39" s="213"/>
      <c r="M39" s="124">
        <v>0</v>
      </c>
      <c r="N39" s="124">
        <v>2318121.757803279</v>
      </c>
      <c r="O39" s="213"/>
      <c r="P39" s="124">
        <v>0</v>
      </c>
      <c r="Q39" s="213"/>
      <c r="R39" s="171"/>
      <c r="S39" s="213"/>
      <c r="T39" s="85"/>
      <c r="U39" s="124">
        <v>0</v>
      </c>
      <c r="V39" s="213"/>
      <c r="W39" s="101"/>
      <c r="X39" s="171" t="s">
        <v>266</v>
      </c>
      <c r="Z39" s="74" t="s">
        <v>445</v>
      </c>
    </row>
    <row r="40" spans="1:26" s="74" customFormat="1" ht="12.75" x14ac:dyDescent="0.2">
      <c r="A40" s="89"/>
      <c r="B40" s="85" t="s">
        <v>32</v>
      </c>
      <c r="C40" s="85"/>
      <c r="D40" s="85"/>
      <c r="E40" s="85"/>
      <c r="F40" s="90" t="s">
        <v>20</v>
      </c>
      <c r="G40" s="101"/>
      <c r="H40" s="103"/>
      <c r="I40" s="85"/>
      <c r="J40" s="172">
        <f t="shared" si="3"/>
        <v>6237.16</v>
      </c>
      <c r="K40" s="77"/>
      <c r="L40" s="213"/>
      <c r="M40" s="124">
        <v>0</v>
      </c>
      <c r="N40" s="124">
        <v>6237.16</v>
      </c>
      <c r="O40" s="213"/>
      <c r="P40" s="124">
        <v>0</v>
      </c>
      <c r="Q40" s="213"/>
      <c r="R40" s="171"/>
      <c r="S40" s="213"/>
      <c r="T40" s="85"/>
      <c r="U40" s="124">
        <v>0</v>
      </c>
      <c r="V40" s="213"/>
      <c r="W40" s="101"/>
      <c r="X40" s="171" t="s">
        <v>267</v>
      </c>
      <c r="Z40" s="74" t="s">
        <v>446</v>
      </c>
    </row>
    <row r="41" spans="1:26" s="74" customFormat="1" ht="12.75" x14ac:dyDescent="0.2">
      <c r="A41" s="89"/>
      <c r="B41" s="85" t="s">
        <v>33</v>
      </c>
      <c r="C41" s="85"/>
      <c r="D41" s="85"/>
      <c r="E41" s="85"/>
      <c r="F41" s="90" t="s">
        <v>20</v>
      </c>
      <c r="G41" s="101"/>
      <c r="H41" s="103"/>
      <c r="I41" s="85"/>
      <c r="J41" s="172">
        <f t="shared" si="3"/>
        <v>-638382.73</v>
      </c>
      <c r="K41" s="77"/>
      <c r="L41" s="213"/>
      <c r="M41" s="124">
        <v>0</v>
      </c>
      <c r="N41" s="124">
        <v>-638382.73</v>
      </c>
      <c r="O41" s="213"/>
      <c r="P41" s="124">
        <v>0</v>
      </c>
      <c r="Q41" s="213"/>
      <c r="R41" s="171"/>
      <c r="S41" s="213"/>
      <c r="T41" s="85"/>
      <c r="U41" s="124">
        <v>0</v>
      </c>
      <c r="V41" s="213"/>
      <c r="W41" s="101"/>
      <c r="X41" s="171" t="s">
        <v>268</v>
      </c>
      <c r="Z41" s="74" t="s">
        <v>447</v>
      </c>
    </row>
    <row r="42" spans="1:26" s="74" customFormat="1" ht="12.75" x14ac:dyDescent="0.2">
      <c r="A42" s="89"/>
      <c r="B42" s="85" t="s">
        <v>34</v>
      </c>
      <c r="C42" s="85"/>
      <c r="D42" s="85"/>
      <c r="E42" s="85"/>
      <c r="F42" s="90" t="s">
        <v>20</v>
      </c>
      <c r="G42" s="101"/>
      <c r="H42" s="103"/>
      <c r="I42" s="85"/>
      <c r="J42" s="172">
        <f t="shared" si="3"/>
        <v>0</v>
      </c>
      <c r="K42" s="77"/>
      <c r="L42" s="213"/>
      <c r="M42" s="124">
        <v>0</v>
      </c>
      <c r="N42" s="124">
        <v>0</v>
      </c>
      <c r="O42" s="213"/>
      <c r="P42" s="124">
        <v>0</v>
      </c>
      <c r="Q42" s="213"/>
      <c r="R42" s="171"/>
      <c r="S42" s="213"/>
      <c r="T42" s="85"/>
      <c r="U42" s="124">
        <v>0</v>
      </c>
      <c r="V42" s="213"/>
      <c r="W42" s="101"/>
      <c r="X42" s="171" t="s">
        <v>269</v>
      </c>
    </row>
    <row r="43" spans="1:26" s="74" customFormat="1" ht="12.75" x14ac:dyDescent="0.2">
      <c r="A43" s="89"/>
      <c r="B43" s="85"/>
      <c r="F43" s="90"/>
      <c r="G43" s="171"/>
      <c r="H43" s="103"/>
      <c r="L43" s="171"/>
      <c r="M43" s="171"/>
      <c r="N43" s="171"/>
      <c r="O43" s="171"/>
      <c r="P43" s="171"/>
      <c r="S43" s="171"/>
      <c r="U43" s="171"/>
      <c r="V43" s="171"/>
      <c r="W43" s="171"/>
      <c r="X43" s="87"/>
    </row>
    <row r="44" spans="1:26" s="74" customFormat="1" ht="12.75" x14ac:dyDescent="0.2">
      <c r="A44" s="89"/>
      <c r="B44" s="84" t="s">
        <v>70</v>
      </c>
      <c r="C44" s="85"/>
      <c r="D44" s="85"/>
      <c r="E44" s="85"/>
      <c r="F44" s="90"/>
      <c r="G44" s="101"/>
      <c r="H44" s="103"/>
      <c r="I44" s="85"/>
      <c r="L44" s="171"/>
      <c r="M44" s="171"/>
      <c r="N44" s="171"/>
      <c r="O44" s="171"/>
      <c r="P44" s="171"/>
      <c r="R44" s="85"/>
      <c r="S44" s="171"/>
      <c r="T44" s="85"/>
      <c r="U44" s="171"/>
      <c r="V44" s="171"/>
      <c r="W44" s="101"/>
      <c r="X44" s="87"/>
    </row>
    <row r="45" spans="1:26" s="74" customFormat="1" ht="12.75" x14ac:dyDescent="0.2">
      <c r="A45" s="89"/>
      <c r="B45" s="85" t="s">
        <v>71</v>
      </c>
      <c r="C45" s="85"/>
      <c r="D45" s="85"/>
      <c r="E45" s="85"/>
      <c r="F45" s="90" t="s">
        <v>20</v>
      </c>
      <c r="G45" s="101"/>
      <c r="H45" s="103"/>
      <c r="I45" s="85"/>
      <c r="J45" s="172">
        <f t="shared" ref="J45" si="4">SUM(L45:S45)</f>
        <v>897716.79999999946</v>
      </c>
      <c r="K45" s="77"/>
      <c r="L45" s="213">
        <v>5311.96</v>
      </c>
      <c r="M45" s="124">
        <v>388528.40203999949</v>
      </c>
      <c r="N45" s="124">
        <v>249285.12999999983</v>
      </c>
      <c r="O45" s="213">
        <v>1241.1600000000001</v>
      </c>
      <c r="P45" s="124">
        <v>253350.14796000006</v>
      </c>
      <c r="Q45" s="213"/>
      <c r="R45" s="171"/>
      <c r="S45" s="213"/>
      <c r="T45" s="85"/>
      <c r="U45" s="124">
        <v>388528.40203999949</v>
      </c>
      <c r="V45" s="213">
        <v>1241.1600000000001</v>
      </c>
      <c r="W45" s="101"/>
      <c r="X45" s="171" t="s">
        <v>270</v>
      </c>
    </row>
    <row r="46" spans="1:26" s="74" customFormat="1" ht="12.75" x14ac:dyDescent="0.2">
      <c r="A46" s="89"/>
      <c r="C46" s="85"/>
      <c r="D46" s="85"/>
      <c r="E46" s="85"/>
      <c r="F46" s="90"/>
      <c r="G46" s="101"/>
      <c r="H46" s="103"/>
      <c r="I46" s="85"/>
      <c r="L46" s="171"/>
      <c r="M46" s="171"/>
      <c r="N46" s="171"/>
      <c r="O46" s="171"/>
      <c r="P46" s="171"/>
      <c r="R46" s="85"/>
      <c r="S46" s="171"/>
      <c r="T46" s="85"/>
      <c r="U46" s="171"/>
      <c r="V46" s="171"/>
      <c r="W46" s="101"/>
      <c r="X46" s="78"/>
    </row>
    <row r="47" spans="1:26" s="74" customFormat="1" ht="12.75" x14ac:dyDescent="0.2">
      <c r="A47" s="89"/>
      <c r="B47" s="84" t="s">
        <v>41</v>
      </c>
      <c r="C47" s="85"/>
      <c r="D47" s="85"/>
      <c r="E47" s="85"/>
      <c r="F47" s="90"/>
      <c r="G47" s="101"/>
      <c r="H47" s="103"/>
      <c r="I47" s="85"/>
      <c r="L47" s="171"/>
      <c r="M47" s="171"/>
      <c r="N47" s="171"/>
      <c r="O47" s="171"/>
      <c r="P47" s="171"/>
      <c r="R47" s="85"/>
      <c r="S47" s="171"/>
      <c r="T47" s="85"/>
      <c r="U47" s="171"/>
      <c r="V47" s="171"/>
      <c r="W47" s="101"/>
      <c r="X47" s="78"/>
    </row>
    <row r="48" spans="1:26" s="74" customFormat="1" ht="12.75" x14ac:dyDescent="0.2">
      <c r="A48" s="89"/>
      <c r="B48" s="85" t="s">
        <v>42</v>
      </c>
      <c r="C48" s="85"/>
      <c r="D48" s="85"/>
      <c r="E48" s="85"/>
      <c r="F48" s="90" t="s">
        <v>20</v>
      </c>
      <c r="G48" s="101"/>
      <c r="H48" s="103"/>
      <c r="I48" s="85"/>
      <c r="J48" s="172">
        <f t="shared" ref="J48" si="5">SUM(L48:S48)</f>
        <v>630.70000000000005</v>
      </c>
      <c r="K48" s="77"/>
      <c r="L48" s="213"/>
      <c r="M48" s="124">
        <v>0</v>
      </c>
      <c r="N48" s="124">
        <v>0</v>
      </c>
      <c r="O48" s="213">
        <v>630.70000000000005</v>
      </c>
      <c r="P48" s="124">
        <v>0</v>
      </c>
      <c r="Q48" s="213"/>
      <c r="R48" s="171"/>
      <c r="S48" s="213"/>
      <c r="T48" s="85"/>
      <c r="U48" s="124">
        <v>0</v>
      </c>
      <c r="V48" s="213">
        <v>630.70000000000005</v>
      </c>
      <c r="W48" s="101"/>
      <c r="X48" s="78"/>
    </row>
    <row r="49" spans="1:27" s="74" customFormat="1" ht="12.75" x14ac:dyDescent="0.2">
      <c r="A49" s="89"/>
      <c r="C49" s="85"/>
      <c r="D49" s="85"/>
      <c r="E49" s="85"/>
      <c r="F49" s="90"/>
      <c r="G49" s="101"/>
      <c r="H49" s="103"/>
      <c r="I49" s="85"/>
      <c r="J49" s="85"/>
      <c r="P49" s="171"/>
      <c r="R49" s="85"/>
      <c r="T49" s="85"/>
      <c r="U49" s="171"/>
      <c r="V49" s="171"/>
      <c r="W49" s="101"/>
      <c r="X49" s="78"/>
    </row>
    <row r="50" spans="1:27" s="47" customFormat="1" ht="12.75" x14ac:dyDescent="0.2">
      <c r="B50" s="47" t="s">
        <v>121</v>
      </c>
    </row>
    <row r="51" spans="1:27" s="80" customFormat="1" ht="12.75" x14ac:dyDescent="0.2"/>
    <row r="52" spans="1:27" s="80" customFormat="1" ht="12.75" x14ac:dyDescent="0.2">
      <c r="B52" s="84" t="s">
        <v>75</v>
      </c>
    </row>
    <row r="53" spans="1:27" s="80" customFormat="1" ht="12.75" x14ac:dyDescent="0.2">
      <c r="B53" s="85" t="s">
        <v>38</v>
      </c>
      <c r="F53" s="90" t="s">
        <v>87</v>
      </c>
      <c r="H53" s="103"/>
      <c r="J53" s="172">
        <f>SUM(L53:S53)</f>
        <v>12601190.357499994</v>
      </c>
      <c r="K53" s="77"/>
      <c r="L53" s="213"/>
      <c r="M53" s="124">
        <v>3271317.7199999993</v>
      </c>
      <c r="N53" s="213">
        <v>2865161.4725000001</v>
      </c>
      <c r="O53" s="213"/>
      <c r="P53" s="124">
        <v>5380860.3899999987</v>
      </c>
      <c r="Q53" s="213">
        <v>8541.840000000002</v>
      </c>
      <c r="R53" s="171"/>
      <c r="S53" s="213">
        <v>1075308.9349999959</v>
      </c>
      <c r="U53" s="124">
        <v>3271317.7199999993</v>
      </c>
      <c r="V53" s="213"/>
      <c r="X53" s="171" t="s">
        <v>403</v>
      </c>
    </row>
    <row r="54" spans="1:27" s="80" customFormat="1" ht="12.75" x14ac:dyDescent="0.2">
      <c r="B54" s="85" t="s">
        <v>25</v>
      </c>
      <c r="F54" s="90" t="s">
        <v>87</v>
      </c>
      <c r="H54" s="103"/>
      <c r="J54" s="172">
        <f>SUM(L54:S54)</f>
        <v>2263331.6377502577</v>
      </c>
      <c r="K54" s="77"/>
      <c r="L54" s="213">
        <v>15670.98</v>
      </c>
      <c r="M54" s="124">
        <v>1363980.6050503599</v>
      </c>
      <c r="N54" s="213">
        <v>137883.01999999996</v>
      </c>
      <c r="O54" s="213">
        <v>17170.05</v>
      </c>
      <c r="P54" s="124">
        <v>635611.80269989814</v>
      </c>
      <c r="Q54" s="213">
        <v>18740.920000000013</v>
      </c>
      <c r="R54" s="171"/>
      <c r="S54" s="213">
        <v>74274.259999999995</v>
      </c>
      <c r="U54" s="124">
        <v>1363980.6050503599</v>
      </c>
      <c r="V54" s="213">
        <v>17170.05</v>
      </c>
      <c r="X54" s="171" t="s">
        <v>405</v>
      </c>
    </row>
    <row r="55" spans="1:27" s="74" customFormat="1" ht="12.75" x14ac:dyDescent="0.2">
      <c r="A55" s="89"/>
      <c r="B55" s="84"/>
      <c r="C55" s="85"/>
      <c r="D55" s="85"/>
      <c r="E55" s="85"/>
      <c r="F55" s="90"/>
      <c r="G55" s="101"/>
      <c r="H55" s="103"/>
      <c r="I55" s="85"/>
      <c r="J55" s="171"/>
      <c r="L55" s="171"/>
      <c r="M55" s="171"/>
      <c r="N55" s="171"/>
      <c r="O55" s="171"/>
      <c r="P55" s="171"/>
      <c r="Q55" s="171"/>
      <c r="R55" s="85"/>
      <c r="S55" s="171"/>
      <c r="T55" s="85"/>
      <c r="U55" s="171"/>
      <c r="V55" s="171"/>
      <c r="W55" s="101"/>
      <c r="X55" s="80"/>
    </row>
    <row r="56" spans="1:27" s="74" customFormat="1" ht="12.75" x14ac:dyDescent="0.2">
      <c r="A56" s="89"/>
      <c r="B56" s="84" t="s">
        <v>74</v>
      </c>
      <c r="C56" s="85"/>
      <c r="D56" s="85"/>
      <c r="E56" s="85"/>
      <c r="F56" s="90"/>
      <c r="G56" s="101"/>
      <c r="H56" s="103"/>
      <c r="I56" s="85"/>
      <c r="J56" s="171"/>
      <c r="L56" s="171"/>
      <c r="M56" s="171"/>
      <c r="N56" s="171"/>
      <c r="O56" s="171"/>
      <c r="P56" s="171"/>
      <c r="Q56" s="171"/>
      <c r="S56" s="171"/>
      <c r="T56" s="85"/>
      <c r="U56" s="171"/>
      <c r="V56" s="171"/>
      <c r="W56" s="101"/>
      <c r="X56" s="80"/>
      <c r="AA56" s="88"/>
    </row>
    <row r="57" spans="1:27" s="74" customFormat="1" ht="12.75" x14ac:dyDescent="0.2">
      <c r="A57" s="89"/>
      <c r="B57" s="85" t="s">
        <v>36</v>
      </c>
      <c r="C57" s="85"/>
      <c r="D57" s="85"/>
      <c r="E57" s="85"/>
      <c r="F57" s="90" t="s">
        <v>87</v>
      </c>
      <c r="G57" s="101"/>
      <c r="H57" s="103"/>
      <c r="I57" s="85"/>
      <c r="J57" s="172">
        <f t="shared" ref="J57:J69" si="6">SUM(L57:S57)</f>
        <v>7726405.8800000027</v>
      </c>
      <c r="K57" s="77"/>
      <c r="L57" s="213"/>
      <c r="M57" s="124">
        <v>1975404.1778916486</v>
      </c>
      <c r="N57" s="213">
        <v>4261399.26</v>
      </c>
      <c r="O57" s="213"/>
      <c r="P57" s="124">
        <v>1489602.4421083541</v>
      </c>
      <c r="Q57" s="213"/>
      <c r="R57" s="171"/>
      <c r="S57" s="213"/>
      <c r="T57" s="85"/>
      <c r="U57" s="124">
        <v>1975404.1778916486</v>
      </c>
      <c r="V57" s="213"/>
      <c r="W57" s="101"/>
      <c r="X57" s="171" t="s">
        <v>401</v>
      </c>
      <c r="AA57" s="88"/>
    </row>
    <row r="58" spans="1:27" s="74" customFormat="1" ht="12.75" x14ac:dyDescent="0.2">
      <c r="A58" s="89"/>
      <c r="B58" s="85" t="s">
        <v>37</v>
      </c>
      <c r="C58" s="85"/>
      <c r="D58" s="85"/>
      <c r="E58" s="85"/>
      <c r="F58" s="90" t="s">
        <v>87</v>
      </c>
      <c r="G58" s="101"/>
      <c r="H58" s="103"/>
      <c r="I58" s="85"/>
      <c r="J58" s="172">
        <f t="shared" si="6"/>
        <v>29554164.277251292</v>
      </c>
      <c r="K58" s="77"/>
      <c r="L58" s="213">
        <v>33198.177540000004</v>
      </c>
      <c r="M58" s="124">
        <v>12897341.564100975</v>
      </c>
      <c r="N58" s="213">
        <v>13693141.620000001</v>
      </c>
      <c r="O58" s="213">
        <v>40515.5</v>
      </c>
      <c r="P58" s="124">
        <v>1993630.6258990257</v>
      </c>
      <c r="Q58" s="213">
        <v>383428.52971128933</v>
      </c>
      <c r="R58" s="171"/>
      <c r="S58" s="213">
        <v>512908.26</v>
      </c>
      <c r="T58" s="85"/>
      <c r="U58" s="124">
        <v>12897341.564100975</v>
      </c>
      <c r="V58" s="213">
        <v>40515.5</v>
      </c>
      <c r="W58" s="101"/>
      <c r="X58" s="171" t="s">
        <v>402</v>
      </c>
      <c r="AA58" s="88"/>
    </row>
    <row r="59" spans="1:27" s="74" customFormat="1" ht="12.75" x14ac:dyDescent="0.2">
      <c r="A59" s="89"/>
      <c r="B59" s="85" t="s">
        <v>38</v>
      </c>
      <c r="C59" s="85"/>
      <c r="D59" s="85"/>
      <c r="E59" s="85"/>
      <c r="F59" s="90" t="s">
        <v>87</v>
      </c>
      <c r="G59" s="101"/>
      <c r="H59" s="103"/>
      <c r="I59" s="85"/>
      <c r="J59" s="172">
        <f t="shared" si="6"/>
        <v>3317823.803205627</v>
      </c>
      <c r="K59" s="77"/>
      <c r="L59" s="213"/>
      <c r="M59" s="124">
        <v>654263.54399999999</v>
      </c>
      <c r="N59" s="213">
        <v>889188.04571562761</v>
      </c>
      <c r="O59" s="213"/>
      <c r="P59" s="124">
        <v>1565830.3734899994</v>
      </c>
      <c r="Q59" s="213">
        <v>8541.840000000002</v>
      </c>
      <c r="R59" s="171"/>
      <c r="S59" s="213">
        <v>200000</v>
      </c>
      <c r="T59" s="85"/>
      <c r="U59" s="124">
        <v>654263.54399999999</v>
      </c>
      <c r="V59" s="213"/>
      <c r="W59" s="101"/>
      <c r="X59" s="171" t="s">
        <v>403</v>
      </c>
    </row>
    <row r="60" spans="1:27" s="74" customFormat="1" ht="12.75" x14ac:dyDescent="0.2">
      <c r="A60" s="89"/>
      <c r="B60" s="85" t="s">
        <v>39</v>
      </c>
      <c r="C60" s="85"/>
      <c r="D60" s="85"/>
      <c r="E60" s="85"/>
      <c r="F60" s="90" t="s">
        <v>87</v>
      </c>
      <c r="G60" s="101"/>
      <c r="H60" s="103"/>
      <c r="I60" s="85"/>
      <c r="J60" s="172">
        <f t="shared" si="6"/>
        <v>4238946.4522885745</v>
      </c>
      <c r="K60" s="77"/>
      <c r="L60" s="213">
        <v>7179.3449005301418</v>
      </c>
      <c r="M60" s="124">
        <v>3006119.2199999997</v>
      </c>
      <c r="N60" s="213">
        <v>1147051.9500000002</v>
      </c>
      <c r="O60" s="213"/>
      <c r="P60" s="124">
        <v>0</v>
      </c>
      <c r="Q60" s="213">
        <v>78595.937388044593</v>
      </c>
      <c r="R60" s="171"/>
      <c r="S60" s="213"/>
      <c r="T60" s="85"/>
      <c r="U60" s="124">
        <v>3006119.2199999997</v>
      </c>
      <c r="V60" s="213"/>
      <c r="W60" s="101"/>
      <c r="X60" s="171" t="s">
        <v>404</v>
      </c>
    </row>
    <row r="61" spans="1:27" s="74" customFormat="1" ht="12.75" x14ac:dyDescent="0.2">
      <c r="A61" s="89"/>
      <c r="B61" s="85" t="s">
        <v>25</v>
      </c>
      <c r="C61" s="85"/>
      <c r="D61" s="85"/>
      <c r="E61" s="85"/>
      <c r="F61" s="90" t="s">
        <v>87</v>
      </c>
      <c r="G61" s="101"/>
      <c r="H61" s="103"/>
      <c r="I61" s="85"/>
      <c r="J61" s="172">
        <f t="shared" si="6"/>
        <v>2317517.7777502574</v>
      </c>
      <c r="K61" s="77"/>
      <c r="L61" s="213">
        <v>69857.119999999981</v>
      </c>
      <c r="M61" s="124">
        <v>1363980.6050503599</v>
      </c>
      <c r="N61" s="213">
        <v>137883.01999999996</v>
      </c>
      <c r="O61" s="213">
        <v>17170.05</v>
      </c>
      <c r="P61" s="124">
        <v>635611.80269989814</v>
      </c>
      <c r="Q61" s="213">
        <v>18740.920000000013</v>
      </c>
      <c r="R61" s="171"/>
      <c r="S61" s="213">
        <v>74274.259999999995</v>
      </c>
      <c r="T61" s="85"/>
      <c r="U61" s="124">
        <v>1363980.6050503599</v>
      </c>
      <c r="V61" s="213">
        <v>17170.05</v>
      </c>
      <c r="W61" s="101"/>
      <c r="X61" s="171" t="s">
        <v>405</v>
      </c>
    </row>
    <row r="62" spans="1:27" s="74" customFormat="1" ht="12.75" x14ac:dyDescent="0.2">
      <c r="A62" s="89"/>
      <c r="B62" s="85" t="s">
        <v>40</v>
      </c>
      <c r="C62" s="85"/>
      <c r="D62" s="85"/>
      <c r="E62" s="85"/>
      <c r="F62" s="90" t="s">
        <v>87</v>
      </c>
      <c r="G62" s="101"/>
      <c r="H62" s="103"/>
      <c r="I62" s="85"/>
      <c r="J62" s="172">
        <f t="shared" si="6"/>
        <v>567842.79</v>
      </c>
      <c r="K62" s="77"/>
      <c r="L62" s="213"/>
      <c r="M62" s="124">
        <v>0</v>
      </c>
      <c r="N62" s="213">
        <v>567842.79</v>
      </c>
      <c r="O62" s="213"/>
      <c r="P62" s="124">
        <v>0</v>
      </c>
      <c r="Q62" s="213"/>
      <c r="R62" s="171"/>
      <c r="S62" s="213"/>
      <c r="T62" s="85"/>
      <c r="U62" s="124">
        <v>0</v>
      </c>
      <c r="V62" s="213"/>
      <c r="W62" s="101"/>
      <c r="X62" s="171" t="s">
        <v>406</v>
      </c>
    </row>
    <row r="63" spans="1:27" s="74" customFormat="1" ht="12.75" x14ac:dyDescent="0.2">
      <c r="A63" s="89"/>
      <c r="B63" s="85" t="s">
        <v>30</v>
      </c>
      <c r="C63" s="85"/>
      <c r="D63" s="85"/>
      <c r="E63" s="85"/>
      <c r="F63" s="90" t="s">
        <v>87</v>
      </c>
      <c r="G63" s="101"/>
      <c r="H63" s="103"/>
      <c r="I63" s="85"/>
      <c r="J63" s="172">
        <f t="shared" si="6"/>
        <v>27338284.186759569</v>
      </c>
      <c r="K63" s="77"/>
      <c r="L63" s="213"/>
      <c r="M63" s="124">
        <v>24699990.367889527</v>
      </c>
      <c r="N63" s="213">
        <v>0</v>
      </c>
      <c r="O63" s="213"/>
      <c r="P63" s="124">
        <v>2638293.8188700425</v>
      </c>
      <c r="Q63" s="213"/>
      <c r="R63" s="171"/>
      <c r="S63" s="213">
        <v>0</v>
      </c>
      <c r="T63" s="85"/>
      <c r="U63" s="124">
        <v>24699990.367889527</v>
      </c>
      <c r="V63" s="213"/>
      <c r="W63" s="101"/>
      <c r="X63" s="171" t="s">
        <v>407</v>
      </c>
      <c r="Z63" s="103" t="s">
        <v>448</v>
      </c>
    </row>
    <row r="64" spans="1:27" s="74" customFormat="1" ht="12.75" x14ac:dyDescent="0.2">
      <c r="A64" s="89"/>
      <c r="B64" s="85" t="s">
        <v>31</v>
      </c>
      <c r="C64" s="85"/>
      <c r="D64" s="85"/>
      <c r="E64" s="85"/>
      <c r="F64" s="90" t="s">
        <v>87</v>
      </c>
      <c r="G64" s="101"/>
      <c r="H64" s="103"/>
      <c r="I64" s="85"/>
      <c r="J64" s="172">
        <f t="shared" si="6"/>
        <v>5061096.6851525065</v>
      </c>
      <c r="K64" s="77"/>
      <c r="L64" s="213"/>
      <c r="M64" s="124">
        <v>116179.65816783726</v>
      </c>
      <c r="N64" s="213"/>
      <c r="O64" s="213"/>
      <c r="P64" s="124">
        <v>4944917.0269846693</v>
      </c>
      <c r="Q64" s="213"/>
      <c r="R64" s="171"/>
      <c r="S64" s="213"/>
      <c r="T64" s="85"/>
      <c r="U64" s="124">
        <v>116179.65816783726</v>
      </c>
      <c r="V64" s="213"/>
      <c r="W64" s="101"/>
      <c r="X64" s="171" t="s">
        <v>408</v>
      </c>
      <c r="Z64" s="171" t="s">
        <v>443</v>
      </c>
    </row>
    <row r="65" spans="1:26" s="74" customFormat="1" ht="12.75" x14ac:dyDescent="0.2">
      <c r="A65" s="89"/>
      <c r="B65" s="85" t="s">
        <v>32</v>
      </c>
      <c r="C65" s="85"/>
      <c r="D65" s="85"/>
      <c r="E65" s="85"/>
      <c r="F65" s="90" t="s">
        <v>87</v>
      </c>
      <c r="G65" s="101"/>
      <c r="H65" s="103"/>
      <c r="I65" s="85"/>
      <c r="J65" s="172">
        <f t="shared" si="6"/>
        <v>1904931.0279999999</v>
      </c>
      <c r="K65" s="77"/>
      <c r="L65" s="213"/>
      <c r="M65" s="124">
        <v>25061.237887147621</v>
      </c>
      <c r="N65" s="213"/>
      <c r="O65" s="213"/>
      <c r="P65" s="124">
        <v>1879869.7901128524</v>
      </c>
      <c r="Q65" s="213"/>
      <c r="R65" s="171"/>
      <c r="S65" s="213"/>
      <c r="T65" s="85"/>
      <c r="U65" s="124">
        <v>25061.237887147621</v>
      </c>
      <c r="V65" s="213"/>
      <c r="W65" s="101"/>
      <c r="X65" s="171" t="s">
        <v>409</v>
      </c>
      <c r="Z65" s="171" t="s">
        <v>449</v>
      </c>
    </row>
    <row r="66" spans="1:26" s="74" customFormat="1" ht="12.75" x14ac:dyDescent="0.2">
      <c r="A66" s="89"/>
      <c r="B66" s="85" t="s">
        <v>33</v>
      </c>
      <c r="C66" s="85"/>
      <c r="D66" s="85"/>
      <c r="E66" s="85"/>
      <c r="F66" s="90" t="s">
        <v>87</v>
      </c>
      <c r="G66" s="101"/>
      <c r="H66" s="103"/>
      <c r="I66" s="85"/>
      <c r="J66" s="172">
        <f t="shared" si="6"/>
        <v>1673132.65</v>
      </c>
      <c r="K66" s="77"/>
      <c r="L66" s="213"/>
      <c r="M66" s="124">
        <v>0</v>
      </c>
      <c r="N66" s="213"/>
      <c r="O66" s="213"/>
      <c r="P66" s="124">
        <v>1673132.65</v>
      </c>
      <c r="Q66" s="213"/>
      <c r="R66" s="171"/>
      <c r="S66" s="213"/>
      <c r="T66" s="85"/>
      <c r="U66" s="124">
        <v>0</v>
      </c>
      <c r="V66" s="213"/>
      <c r="W66" s="101"/>
      <c r="X66" s="171" t="s">
        <v>410</v>
      </c>
      <c r="Z66" s="171" t="s">
        <v>450</v>
      </c>
    </row>
    <row r="67" spans="1:26" s="74" customFormat="1" ht="12.75" x14ac:dyDescent="0.2">
      <c r="A67" s="89"/>
      <c r="B67" s="85" t="s">
        <v>34</v>
      </c>
      <c r="C67" s="85"/>
      <c r="D67" s="85"/>
      <c r="E67" s="85"/>
      <c r="F67" s="90" t="s">
        <v>87</v>
      </c>
      <c r="G67" s="101"/>
      <c r="H67" s="103"/>
      <c r="I67" s="85"/>
      <c r="J67" s="172">
        <f t="shared" si="6"/>
        <v>0</v>
      </c>
      <c r="K67" s="77"/>
      <c r="L67" s="213"/>
      <c r="M67" s="124">
        <v>0</v>
      </c>
      <c r="N67" s="213"/>
      <c r="O67" s="213"/>
      <c r="P67" s="124">
        <v>0</v>
      </c>
      <c r="Q67" s="213"/>
      <c r="R67" s="171"/>
      <c r="S67" s="213"/>
      <c r="T67" s="85"/>
      <c r="U67" s="124">
        <v>0</v>
      </c>
      <c r="V67" s="213"/>
      <c r="W67" s="101"/>
      <c r="X67" s="171" t="s">
        <v>411</v>
      </c>
    </row>
    <row r="68" spans="1:26" s="87" customFormat="1" ht="12.75" x14ac:dyDescent="0.2">
      <c r="B68" s="184"/>
      <c r="C68" s="184"/>
      <c r="D68" s="184"/>
      <c r="E68" s="184"/>
      <c r="F68" s="103"/>
      <c r="G68" s="184"/>
      <c r="H68" s="103"/>
      <c r="I68" s="184"/>
      <c r="J68" s="78"/>
      <c r="K68" s="78"/>
      <c r="L68" s="78"/>
      <c r="M68" s="78"/>
      <c r="N68" s="78"/>
      <c r="O68" s="78"/>
      <c r="P68" s="78"/>
      <c r="Q68" s="78"/>
      <c r="R68" s="184"/>
      <c r="S68" s="78"/>
      <c r="T68" s="184"/>
      <c r="U68" s="78"/>
      <c r="V68" s="78"/>
      <c r="W68" s="184"/>
    </row>
    <row r="69" spans="1:26" s="74" customFormat="1" ht="12.75" x14ac:dyDescent="0.2">
      <c r="A69" s="89"/>
      <c r="B69" s="74" t="s">
        <v>26</v>
      </c>
      <c r="C69" s="85"/>
      <c r="D69" s="85"/>
      <c r="E69" s="85"/>
      <c r="F69" s="74" t="s">
        <v>87</v>
      </c>
      <c r="G69" s="101"/>
      <c r="H69" s="171"/>
      <c r="I69" s="85"/>
      <c r="J69" s="172">
        <f t="shared" si="6"/>
        <v>83700145.530407816</v>
      </c>
      <c r="L69" s="229">
        <f>SUM(L57:L67)</f>
        <v>110234.64244053012</v>
      </c>
      <c r="M69" s="172">
        <f t="shared" ref="M69:Q69" si="7">SUM(M57:M67)</f>
        <v>44738340.374987498</v>
      </c>
      <c r="N69" s="229">
        <f t="shared" si="7"/>
        <v>20696506.685715627</v>
      </c>
      <c r="O69" s="229">
        <f t="shared" si="7"/>
        <v>57685.55</v>
      </c>
      <c r="P69" s="172">
        <f t="shared" si="7"/>
        <v>16820888.530164842</v>
      </c>
      <c r="Q69" s="229">
        <f t="shared" si="7"/>
        <v>489307.22709933401</v>
      </c>
      <c r="R69" s="85"/>
      <c r="S69" s="229">
        <f t="shared" ref="S69" si="8">SUM(S57:S67)</f>
        <v>787182.52</v>
      </c>
      <c r="T69" s="85"/>
      <c r="U69" s="172">
        <f t="shared" ref="U69:V69" si="9">SUM(U57:U67)</f>
        <v>44738340.374987498</v>
      </c>
      <c r="V69" s="229">
        <f t="shared" si="9"/>
        <v>57685.55</v>
      </c>
      <c r="W69" s="101"/>
      <c r="X69" s="87"/>
    </row>
    <row r="70" spans="1:26" s="74" customFormat="1" ht="12.75" x14ac:dyDescent="0.2">
      <c r="A70" s="89"/>
      <c r="C70" s="85"/>
      <c r="D70" s="85"/>
      <c r="E70" s="85"/>
      <c r="G70" s="101"/>
      <c r="H70" s="171"/>
      <c r="I70" s="85"/>
      <c r="J70" s="171"/>
      <c r="L70" s="171"/>
      <c r="M70" s="171"/>
      <c r="N70" s="171"/>
      <c r="O70" s="171"/>
      <c r="P70" s="171"/>
      <c r="Q70" s="171"/>
      <c r="R70" s="85"/>
      <c r="S70" s="171"/>
      <c r="T70" s="85"/>
      <c r="U70" s="171"/>
      <c r="V70" s="171"/>
      <c r="W70" s="101"/>
      <c r="X70" s="87"/>
    </row>
    <row r="71" spans="1:26" s="74" customFormat="1" ht="12.75" x14ac:dyDescent="0.2">
      <c r="A71" s="89"/>
      <c r="B71" s="84" t="s">
        <v>76</v>
      </c>
      <c r="C71" s="85"/>
      <c r="D71" s="85"/>
      <c r="E71" s="85"/>
      <c r="F71" s="90"/>
      <c r="G71" s="101"/>
      <c r="H71" s="103"/>
      <c r="I71" s="85"/>
      <c r="J71" s="171"/>
      <c r="L71" s="171"/>
      <c r="M71" s="171"/>
      <c r="N71" s="171"/>
      <c r="O71" s="171"/>
      <c r="P71" s="171"/>
      <c r="Q71" s="171"/>
      <c r="R71" s="85"/>
      <c r="S71" s="171"/>
      <c r="T71" s="85"/>
      <c r="U71" s="171"/>
      <c r="V71" s="171"/>
      <c r="W71" s="101"/>
      <c r="X71" s="78"/>
    </row>
    <row r="72" spans="1:26" s="74" customFormat="1" ht="12.75" x14ac:dyDescent="0.2">
      <c r="A72" s="89"/>
      <c r="B72" s="85" t="s">
        <v>22</v>
      </c>
      <c r="C72" s="85"/>
      <c r="D72" s="85"/>
      <c r="E72" s="85"/>
      <c r="F72" s="90" t="s">
        <v>87</v>
      </c>
      <c r="G72" s="101"/>
      <c r="H72" s="103"/>
      <c r="I72" s="85"/>
      <c r="J72" s="172">
        <f t="shared" ref="J72:J80" si="10">SUM(L72:S72)</f>
        <v>6742145.5246468252</v>
      </c>
      <c r="L72" s="213">
        <v>85005.47</v>
      </c>
      <c r="M72" s="124">
        <v>3515885.3301046486</v>
      </c>
      <c r="N72" s="213">
        <v>1259431.0666468248</v>
      </c>
      <c r="O72" s="213">
        <v>178641.38</v>
      </c>
      <c r="P72" s="124">
        <v>1561961.4198953519</v>
      </c>
      <c r="Q72" s="213">
        <v>30735.819999999992</v>
      </c>
      <c r="R72" s="171"/>
      <c r="S72" s="213">
        <v>110485.03799999999</v>
      </c>
      <c r="T72" s="85"/>
      <c r="U72" s="124">
        <v>3515885.3301046486</v>
      </c>
      <c r="V72" s="213">
        <v>178641.38</v>
      </c>
      <c r="W72" s="101"/>
      <c r="X72" s="171" t="s">
        <v>412</v>
      </c>
    </row>
    <row r="73" spans="1:26" s="74" customFormat="1" ht="12.75" x14ac:dyDescent="0.2">
      <c r="A73" s="89"/>
      <c r="B73" s="85" t="s">
        <v>23</v>
      </c>
      <c r="C73" s="85"/>
      <c r="D73" s="85"/>
      <c r="E73" s="85"/>
      <c r="F73" s="90" t="s">
        <v>87</v>
      </c>
      <c r="G73" s="101"/>
      <c r="H73" s="103"/>
      <c r="I73" s="85"/>
      <c r="J73" s="172">
        <f t="shared" si="10"/>
        <v>2600003.6803633091</v>
      </c>
      <c r="K73" s="77"/>
      <c r="L73" s="213">
        <v>52618.45</v>
      </c>
      <c r="M73" s="124">
        <v>1090573.5074342871</v>
      </c>
      <c r="N73" s="213">
        <v>200168.68254495965</v>
      </c>
      <c r="O73" s="213"/>
      <c r="P73" s="124">
        <v>1236189.0383840622</v>
      </c>
      <c r="Q73" s="213">
        <v>14639</v>
      </c>
      <c r="R73" s="171"/>
      <c r="S73" s="213">
        <v>5815.0020000000004</v>
      </c>
      <c r="T73" s="85"/>
      <c r="U73" s="124">
        <v>1090573.5074342871</v>
      </c>
      <c r="V73" s="213"/>
      <c r="W73" s="101"/>
      <c r="X73" s="171" t="s">
        <v>413</v>
      </c>
    </row>
    <row r="74" spans="1:26" s="74" customFormat="1" ht="12.75" x14ac:dyDescent="0.2">
      <c r="A74" s="89"/>
      <c r="B74" s="85" t="s">
        <v>28</v>
      </c>
      <c r="C74" s="85"/>
      <c r="D74" s="85"/>
      <c r="E74" s="85"/>
      <c r="F74" s="90" t="s">
        <v>87</v>
      </c>
      <c r="G74" s="101"/>
      <c r="H74" s="103"/>
      <c r="I74" s="85"/>
      <c r="J74" s="172">
        <f t="shared" si="10"/>
        <v>10304288.392309558</v>
      </c>
      <c r="K74" s="77"/>
      <c r="L74" s="213">
        <v>14631.829999999993</v>
      </c>
      <c r="M74" s="124">
        <v>4089261.485407481</v>
      </c>
      <c r="N74" s="213">
        <v>3073171.7500000005</v>
      </c>
      <c r="O74" s="213">
        <v>31131.88</v>
      </c>
      <c r="P74" s="124">
        <v>2566507.4561885083</v>
      </c>
      <c r="Q74" s="213">
        <v>295942.80999999994</v>
      </c>
      <c r="R74" s="171"/>
      <c r="S74" s="213">
        <v>233641.18071356785</v>
      </c>
      <c r="T74" s="85"/>
      <c r="U74" s="124">
        <v>4089261.485407481</v>
      </c>
      <c r="V74" s="213">
        <v>31131.88</v>
      </c>
      <c r="W74" s="101"/>
      <c r="X74" s="171" t="s">
        <v>414</v>
      </c>
    </row>
    <row r="75" spans="1:26" s="74" customFormat="1" ht="12.75" x14ac:dyDescent="0.2">
      <c r="A75" s="89"/>
      <c r="B75" s="85" t="s">
        <v>29</v>
      </c>
      <c r="C75" s="85"/>
      <c r="D75" s="85"/>
      <c r="E75" s="85"/>
      <c r="F75" s="90" t="s">
        <v>87</v>
      </c>
      <c r="G75" s="101"/>
      <c r="H75" s="103"/>
      <c r="I75" s="85"/>
      <c r="J75" s="172">
        <f t="shared" si="10"/>
        <v>2394033.6202950627</v>
      </c>
      <c r="K75" s="77"/>
      <c r="L75" s="213"/>
      <c r="M75" s="124">
        <v>16933.380995878004</v>
      </c>
      <c r="N75" s="213">
        <v>1086476.3874550404</v>
      </c>
      <c r="O75" s="213">
        <v>6248.77</v>
      </c>
      <c r="P75" s="124">
        <v>1281981.3368441442</v>
      </c>
      <c r="Q75" s="213">
        <v>2393.7449999999999</v>
      </c>
      <c r="R75" s="171"/>
      <c r="S75" s="213">
        <v>0</v>
      </c>
      <c r="T75" s="85"/>
      <c r="U75" s="124">
        <v>16933.380995878004</v>
      </c>
      <c r="V75" s="213">
        <v>6248.77</v>
      </c>
      <c r="W75" s="101"/>
      <c r="X75" s="171" t="s">
        <v>415</v>
      </c>
    </row>
    <row r="76" spans="1:26" s="74" customFormat="1" ht="12.75" x14ac:dyDescent="0.2">
      <c r="A76" s="89"/>
      <c r="B76" s="85" t="s">
        <v>30</v>
      </c>
      <c r="C76" s="85"/>
      <c r="D76" s="85"/>
      <c r="E76" s="85"/>
      <c r="F76" s="90" t="s">
        <v>87</v>
      </c>
      <c r="G76" s="101"/>
      <c r="H76" s="103"/>
      <c r="I76" s="85"/>
      <c r="J76" s="172">
        <f t="shared" si="10"/>
        <v>472545.23</v>
      </c>
      <c r="K76" s="77"/>
      <c r="L76" s="213"/>
      <c r="M76" s="124">
        <v>0</v>
      </c>
      <c r="N76" s="213">
        <v>473009.75</v>
      </c>
      <c r="O76" s="213">
        <v>-464.52</v>
      </c>
      <c r="P76" s="124">
        <v>0</v>
      </c>
      <c r="Q76" s="213"/>
      <c r="R76" s="171"/>
      <c r="S76" s="213"/>
      <c r="T76" s="85"/>
      <c r="U76" s="124">
        <v>0</v>
      </c>
      <c r="V76" s="213">
        <v>-464.52</v>
      </c>
      <c r="W76" s="101"/>
      <c r="X76" s="171" t="s">
        <v>416</v>
      </c>
      <c r="Z76" s="185" t="s">
        <v>614</v>
      </c>
    </row>
    <row r="77" spans="1:26" s="74" customFormat="1" ht="12.75" x14ac:dyDescent="0.2">
      <c r="A77" s="89"/>
      <c r="B77" s="85" t="s">
        <v>31</v>
      </c>
      <c r="C77" s="85"/>
      <c r="D77" s="85"/>
      <c r="E77" s="85"/>
      <c r="F77" s="90" t="s">
        <v>87</v>
      </c>
      <c r="G77" s="101"/>
      <c r="H77" s="103"/>
      <c r="I77" s="85"/>
      <c r="J77" s="172">
        <f t="shared" si="10"/>
        <v>1785525.5900000078</v>
      </c>
      <c r="K77" s="77"/>
      <c r="L77" s="213"/>
      <c r="M77" s="124">
        <v>0</v>
      </c>
      <c r="N77" s="213">
        <v>1706960.8200000077</v>
      </c>
      <c r="O77" s="213">
        <v>78564.77</v>
      </c>
      <c r="P77" s="124">
        <v>0</v>
      </c>
      <c r="Q77" s="213"/>
      <c r="R77" s="171"/>
      <c r="S77" s="213"/>
      <c r="T77" s="85"/>
      <c r="U77" s="124">
        <v>0</v>
      </c>
      <c r="V77" s="213">
        <v>78564.77</v>
      </c>
      <c r="W77" s="101"/>
      <c r="X77" s="171" t="s">
        <v>417</v>
      </c>
      <c r="Z77" s="185" t="s">
        <v>615</v>
      </c>
    </row>
    <row r="78" spans="1:26" s="74" customFormat="1" ht="12.75" x14ac:dyDescent="0.2">
      <c r="A78" s="89"/>
      <c r="B78" s="85" t="s">
        <v>32</v>
      </c>
      <c r="C78" s="85"/>
      <c r="D78" s="85"/>
      <c r="E78" s="85"/>
      <c r="F78" s="90" t="s">
        <v>87</v>
      </c>
      <c r="G78" s="101"/>
      <c r="H78" s="103"/>
      <c r="I78" s="85"/>
      <c r="J78" s="172">
        <f t="shared" si="10"/>
        <v>79089.62</v>
      </c>
      <c r="K78" s="77"/>
      <c r="L78" s="213"/>
      <c r="M78" s="124">
        <v>0</v>
      </c>
      <c r="N78" s="213">
        <v>79089.62</v>
      </c>
      <c r="O78" s="213"/>
      <c r="P78" s="124">
        <v>0</v>
      </c>
      <c r="Q78" s="213"/>
      <c r="R78" s="171"/>
      <c r="S78" s="213"/>
      <c r="T78" s="85"/>
      <c r="U78" s="124">
        <v>0</v>
      </c>
      <c r="V78" s="213"/>
      <c r="W78" s="101"/>
      <c r="X78" s="171" t="s">
        <v>418</v>
      </c>
      <c r="Z78" s="74" t="s">
        <v>446</v>
      </c>
    </row>
    <row r="79" spans="1:26" s="74" customFormat="1" ht="12.75" x14ac:dyDescent="0.2">
      <c r="A79" s="89"/>
      <c r="B79" s="85" t="s">
        <v>33</v>
      </c>
      <c r="C79" s="85"/>
      <c r="D79" s="85"/>
      <c r="E79" s="85"/>
      <c r="F79" s="90" t="s">
        <v>87</v>
      </c>
      <c r="G79" s="101"/>
      <c r="H79" s="103"/>
      <c r="I79" s="85"/>
      <c r="J79" s="172">
        <f t="shared" si="10"/>
        <v>1500000</v>
      </c>
      <c r="K79" s="77"/>
      <c r="L79" s="213"/>
      <c r="M79" s="124">
        <v>0</v>
      </c>
      <c r="N79" s="213">
        <v>1500000</v>
      </c>
      <c r="O79" s="213"/>
      <c r="P79" s="124">
        <v>0</v>
      </c>
      <c r="Q79" s="213"/>
      <c r="R79" s="171"/>
      <c r="S79" s="213"/>
      <c r="T79" s="85"/>
      <c r="U79" s="124">
        <v>0</v>
      </c>
      <c r="V79" s="213"/>
      <c r="W79" s="101"/>
      <c r="X79" s="171" t="s">
        <v>419</v>
      </c>
      <c r="Z79" s="74" t="s">
        <v>451</v>
      </c>
    </row>
    <row r="80" spans="1:26" s="74" customFormat="1" ht="12.75" x14ac:dyDescent="0.2">
      <c r="A80" s="89"/>
      <c r="B80" s="85" t="s">
        <v>34</v>
      </c>
      <c r="C80" s="85"/>
      <c r="D80" s="85"/>
      <c r="E80" s="85"/>
      <c r="F80" s="90" t="s">
        <v>87</v>
      </c>
      <c r="G80" s="101"/>
      <c r="H80" s="103"/>
      <c r="I80" s="85"/>
      <c r="J80" s="172">
        <f t="shared" si="10"/>
        <v>0</v>
      </c>
      <c r="K80" s="77"/>
      <c r="L80" s="213"/>
      <c r="M80" s="124">
        <v>0</v>
      </c>
      <c r="N80" s="213"/>
      <c r="O80" s="213"/>
      <c r="P80" s="124">
        <v>0</v>
      </c>
      <c r="Q80" s="213"/>
      <c r="R80" s="171"/>
      <c r="S80" s="213"/>
      <c r="T80" s="85"/>
      <c r="U80" s="124">
        <v>0</v>
      </c>
      <c r="V80" s="213"/>
      <c r="W80" s="101"/>
      <c r="X80" s="171" t="s">
        <v>420</v>
      </c>
    </row>
    <row r="81" spans="1:27" s="74" customFormat="1" ht="12.75" x14ac:dyDescent="0.2">
      <c r="A81" s="89"/>
      <c r="B81" s="85"/>
      <c r="F81" s="90"/>
      <c r="G81" s="171"/>
      <c r="H81" s="103"/>
      <c r="J81" s="171"/>
      <c r="L81" s="171"/>
      <c r="M81" s="171"/>
      <c r="N81" s="171"/>
      <c r="O81" s="171"/>
      <c r="P81" s="171"/>
      <c r="Q81" s="171"/>
      <c r="S81" s="171"/>
      <c r="U81" s="171"/>
      <c r="V81" s="171"/>
      <c r="W81" s="171"/>
      <c r="X81" s="87"/>
    </row>
    <row r="82" spans="1:27" s="74" customFormat="1" ht="12.75" x14ac:dyDescent="0.2">
      <c r="A82" s="89"/>
      <c r="B82" s="84" t="s">
        <v>70</v>
      </c>
      <c r="C82" s="85"/>
      <c r="D82" s="85"/>
      <c r="E82" s="85"/>
      <c r="F82" s="90"/>
      <c r="G82" s="101"/>
      <c r="H82" s="103"/>
      <c r="I82" s="85"/>
      <c r="J82" s="171"/>
      <c r="L82" s="171"/>
      <c r="M82" s="171"/>
      <c r="N82" s="171"/>
      <c r="O82" s="171"/>
      <c r="P82" s="171"/>
      <c r="Q82" s="171"/>
      <c r="R82" s="85"/>
      <c r="S82" s="171"/>
      <c r="T82" s="85"/>
      <c r="U82" s="171"/>
      <c r="V82" s="171"/>
      <c r="W82" s="101"/>
      <c r="X82" s="87"/>
    </row>
    <row r="83" spans="1:27" s="74" customFormat="1" ht="12.75" x14ac:dyDescent="0.2">
      <c r="A83" s="89"/>
      <c r="B83" s="85" t="s">
        <v>71</v>
      </c>
      <c r="C83" s="85"/>
      <c r="D83" s="85"/>
      <c r="E83" s="85"/>
      <c r="F83" s="90" t="s">
        <v>87</v>
      </c>
      <c r="G83" s="101"/>
      <c r="H83" s="103"/>
      <c r="I83" s="85"/>
      <c r="J83" s="172">
        <f t="shared" ref="J83" si="11">SUM(L83:S83)</f>
        <v>1442278.9461521921</v>
      </c>
      <c r="K83" s="77"/>
      <c r="L83" s="213">
        <v>11520.67</v>
      </c>
      <c r="M83" s="124">
        <v>448237.2367503533</v>
      </c>
      <c r="N83" s="213">
        <v>201349.56615219335</v>
      </c>
      <c r="O83" s="213">
        <v>1161.96</v>
      </c>
      <c r="P83" s="124">
        <v>780009.51324964548</v>
      </c>
      <c r="Q83" s="213"/>
      <c r="R83" s="171"/>
      <c r="S83" s="213"/>
      <c r="T83" s="85"/>
      <c r="U83" s="124">
        <v>448237.2367503533</v>
      </c>
      <c r="V83" s="213">
        <v>1161.96</v>
      </c>
      <c r="W83" s="101"/>
      <c r="X83" s="171" t="s">
        <v>400</v>
      </c>
    </row>
    <row r="84" spans="1:27" s="74" customFormat="1" ht="12.75" x14ac:dyDescent="0.2">
      <c r="A84" s="89"/>
      <c r="C84" s="85"/>
      <c r="D84" s="85"/>
      <c r="E84" s="85"/>
      <c r="F84" s="90"/>
      <c r="G84" s="101"/>
      <c r="H84" s="103"/>
      <c r="I84" s="85"/>
      <c r="J84" s="171"/>
      <c r="L84" s="171"/>
      <c r="M84" s="171"/>
      <c r="N84" s="171"/>
      <c r="O84" s="171"/>
      <c r="P84" s="171"/>
      <c r="Q84" s="171"/>
      <c r="R84" s="85"/>
      <c r="S84" s="171"/>
      <c r="T84" s="85"/>
      <c r="U84" s="171"/>
      <c r="V84" s="171"/>
      <c r="W84" s="101"/>
      <c r="X84" s="78"/>
    </row>
    <row r="85" spans="1:27" s="74" customFormat="1" ht="12.75" x14ac:dyDescent="0.2">
      <c r="A85" s="89"/>
      <c r="B85" s="84" t="s">
        <v>41</v>
      </c>
      <c r="C85" s="85"/>
      <c r="D85" s="85"/>
      <c r="E85" s="85"/>
      <c r="F85" s="90"/>
      <c r="G85" s="101"/>
      <c r="H85" s="103"/>
      <c r="I85" s="85"/>
      <c r="J85" s="171"/>
      <c r="L85" s="171"/>
      <c r="M85" s="171"/>
      <c r="N85" s="171"/>
      <c r="O85" s="171"/>
      <c r="P85" s="171"/>
      <c r="Q85" s="171"/>
      <c r="R85" s="85"/>
      <c r="S85" s="171"/>
      <c r="T85" s="85"/>
      <c r="U85" s="171"/>
      <c r="V85" s="171"/>
      <c r="W85" s="101"/>
      <c r="X85" s="78"/>
    </row>
    <row r="86" spans="1:27" s="74" customFormat="1" ht="12.75" x14ac:dyDescent="0.2">
      <c r="A86" s="89"/>
      <c r="B86" s="85" t="s">
        <v>42</v>
      </c>
      <c r="C86" s="85"/>
      <c r="D86" s="85"/>
      <c r="E86" s="85"/>
      <c r="F86" s="90" t="s">
        <v>87</v>
      </c>
      <c r="G86" s="101"/>
      <c r="H86" s="103"/>
      <c r="I86" s="85"/>
      <c r="J86" s="172">
        <f t="shared" ref="J86" si="12">SUM(L86:S86)</f>
        <v>0</v>
      </c>
      <c r="K86" s="77"/>
      <c r="L86" s="213"/>
      <c r="M86" s="124">
        <v>0</v>
      </c>
      <c r="N86" s="213">
        <v>0</v>
      </c>
      <c r="O86" s="213"/>
      <c r="P86" s="124">
        <v>0</v>
      </c>
      <c r="Q86" s="213"/>
      <c r="R86" s="171"/>
      <c r="S86" s="213"/>
      <c r="T86" s="85"/>
      <c r="U86" s="124">
        <v>0</v>
      </c>
      <c r="V86" s="213"/>
      <c r="W86" s="101"/>
      <c r="X86" s="78"/>
    </row>
    <row r="87" spans="1:27" s="74" customFormat="1" ht="12.75" x14ac:dyDescent="0.2">
      <c r="A87" s="89"/>
      <c r="C87" s="85"/>
      <c r="D87" s="85"/>
      <c r="E87" s="85"/>
      <c r="F87" s="90"/>
      <c r="G87" s="101"/>
      <c r="H87" s="103"/>
      <c r="I87" s="85"/>
      <c r="J87" s="85"/>
      <c r="P87" s="171"/>
      <c r="R87" s="85"/>
      <c r="T87" s="85"/>
      <c r="U87" s="171"/>
      <c r="V87" s="171"/>
      <c r="W87" s="101"/>
      <c r="X87" s="78"/>
    </row>
    <row r="88" spans="1:27" s="47" customFormat="1" ht="12.75" x14ac:dyDescent="0.2">
      <c r="B88" s="47" t="s">
        <v>122</v>
      </c>
    </row>
    <row r="89" spans="1:27" s="80" customFormat="1" ht="12.75" x14ac:dyDescent="0.2"/>
    <row r="90" spans="1:27" s="80" customFormat="1" ht="12.75" x14ac:dyDescent="0.2">
      <c r="B90" s="84" t="s">
        <v>75</v>
      </c>
    </row>
    <row r="91" spans="1:27" s="80" customFormat="1" ht="12.75" x14ac:dyDescent="0.2">
      <c r="B91" s="85" t="s">
        <v>38</v>
      </c>
      <c r="F91" s="90" t="s">
        <v>92</v>
      </c>
      <c r="H91" s="103"/>
      <c r="J91" s="172">
        <f>SUM(L91:S91)</f>
        <v>12633312.557518186</v>
      </c>
      <c r="K91" s="77"/>
      <c r="L91" s="213"/>
      <c r="M91" s="124">
        <v>3348083.101818182</v>
      </c>
      <c r="N91" s="213">
        <v>3010271.8856999995</v>
      </c>
      <c r="O91" s="213"/>
      <c r="P91" s="124">
        <v>5175435.330000001</v>
      </c>
      <c r="Q91" s="213">
        <v>10683.720000000001</v>
      </c>
      <c r="R91" s="171"/>
      <c r="S91" s="213">
        <v>1088838.5200000035</v>
      </c>
      <c r="U91" s="124">
        <v>3348083.101818182</v>
      </c>
      <c r="V91" s="213"/>
      <c r="X91" s="171" t="s">
        <v>307</v>
      </c>
    </row>
    <row r="92" spans="1:27" s="80" customFormat="1" ht="12.75" x14ac:dyDescent="0.2">
      <c r="B92" s="85" t="s">
        <v>25</v>
      </c>
      <c r="F92" s="90" t="s">
        <v>92</v>
      </c>
      <c r="H92" s="103"/>
      <c r="J92" s="172">
        <f>SUM(L92:S92)</f>
        <v>1673515.1944164941</v>
      </c>
      <c r="K92" s="77"/>
      <c r="L92" s="213">
        <v>10392.315000000001</v>
      </c>
      <c r="M92" s="124">
        <v>1127658.705373656</v>
      </c>
      <c r="N92" s="213">
        <v>98175.61</v>
      </c>
      <c r="O92" s="213">
        <v>15082.7</v>
      </c>
      <c r="P92" s="124">
        <v>357588.51404283801</v>
      </c>
      <c r="Q92" s="213">
        <v>21494.35</v>
      </c>
      <c r="R92" s="171"/>
      <c r="S92" s="213">
        <v>43123</v>
      </c>
      <c r="U92" s="124">
        <v>1127658.705373656</v>
      </c>
      <c r="V92" s="213">
        <v>15082.7</v>
      </c>
      <c r="X92" s="171" t="s">
        <v>309</v>
      </c>
    </row>
    <row r="93" spans="1:27" s="74" customFormat="1" ht="12.75" x14ac:dyDescent="0.2">
      <c r="A93" s="89"/>
      <c r="B93" s="84"/>
      <c r="C93" s="85"/>
      <c r="D93" s="85"/>
      <c r="E93" s="85"/>
      <c r="F93" s="90"/>
      <c r="G93" s="101"/>
      <c r="H93" s="103"/>
      <c r="I93" s="85"/>
      <c r="J93" s="171"/>
      <c r="L93" s="171"/>
      <c r="M93" s="171"/>
      <c r="N93" s="171"/>
      <c r="O93" s="171"/>
      <c r="P93" s="171"/>
      <c r="Q93" s="171"/>
      <c r="R93" s="101"/>
      <c r="S93" s="171"/>
      <c r="T93" s="101"/>
      <c r="U93" s="171"/>
      <c r="V93" s="171"/>
      <c r="W93" s="101"/>
      <c r="X93" s="80"/>
    </row>
    <row r="94" spans="1:27" s="74" customFormat="1" ht="12.75" x14ac:dyDescent="0.2">
      <c r="A94" s="89"/>
      <c r="B94" s="84" t="s">
        <v>74</v>
      </c>
      <c r="C94" s="85"/>
      <c r="D94" s="85"/>
      <c r="E94" s="85"/>
      <c r="F94" s="90"/>
      <c r="G94" s="101"/>
      <c r="H94" s="103"/>
      <c r="I94" s="85"/>
      <c r="J94" s="171"/>
      <c r="L94" s="171"/>
      <c r="M94" s="171"/>
      <c r="N94" s="171"/>
      <c r="O94" s="171"/>
      <c r="P94" s="171"/>
      <c r="Q94" s="171"/>
      <c r="R94" s="171"/>
      <c r="S94" s="171"/>
      <c r="T94" s="101"/>
      <c r="U94" s="171"/>
      <c r="V94" s="171"/>
      <c r="W94" s="101"/>
      <c r="X94" s="80"/>
      <c r="AA94" s="88"/>
    </row>
    <row r="95" spans="1:27" s="74" customFormat="1" ht="12.75" x14ac:dyDescent="0.2">
      <c r="A95" s="89"/>
      <c r="B95" s="85" t="s">
        <v>36</v>
      </c>
      <c r="C95" s="85"/>
      <c r="D95" s="85"/>
      <c r="E95" s="85"/>
      <c r="F95" s="90" t="s">
        <v>92</v>
      </c>
      <c r="G95" s="101"/>
      <c r="H95" s="103"/>
      <c r="I95" s="85"/>
      <c r="J95" s="172">
        <f t="shared" ref="J95:J107" si="13">SUM(L95:S95)</f>
        <v>6948000.5100000016</v>
      </c>
      <c r="K95" s="77"/>
      <c r="L95" s="213"/>
      <c r="M95" s="124">
        <v>2943512.8893963252</v>
      </c>
      <c r="N95" s="213">
        <v>3250705.7</v>
      </c>
      <c r="O95" s="213"/>
      <c r="P95" s="124">
        <v>753781.92060367542</v>
      </c>
      <c r="Q95" s="213"/>
      <c r="R95" s="171"/>
      <c r="S95" s="213">
        <v>0</v>
      </c>
      <c r="T95" s="101"/>
      <c r="U95" s="124">
        <v>2943512.8893963252</v>
      </c>
      <c r="V95" s="213"/>
      <c r="W95" s="101"/>
      <c r="X95" s="171" t="s">
        <v>305</v>
      </c>
      <c r="AA95" s="88"/>
    </row>
    <row r="96" spans="1:27" s="74" customFormat="1" ht="12.75" x14ac:dyDescent="0.2">
      <c r="A96" s="89"/>
      <c r="B96" s="85" t="s">
        <v>37</v>
      </c>
      <c r="C96" s="85"/>
      <c r="D96" s="85"/>
      <c r="E96" s="85"/>
      <c r="F96" s="90" t="s">
        <v>92</v>
      </c>
      <c r="G96" s="101"/>
      <c r="H96" s="103"/>
      <c r="I96" s="85"/>
      <c r="J96" s="172">
        <f t="shared" si="13"/>
        <v>31329834.985440675</v>
      </c>
      <c r="K96" s="77"/>
      <c r="L96" s="213">
        <v>47394.062760000001</v>
      </c>
      <c r="M96" s="124">
        <v>12749103.50035516</v>
      </c>
      <c r="N96" s="213">
        <v>15398999.289999999</v>
      </c>
      <c r="O96" s="213">
        <v>22031</v>
      </c>
      <c r="P96" s="124">
        <v>1786081.3196448425</v>
      </c>
      <c r="Q96" s="213">
        <v>916295.10268067406</v>
      </c>
      <c r="R96" s="171"/>
      <c r="S96" s="213">
        <v>409930.70999999996</v>
      </c>
      <c r="T96" s="101"/>
      <c r="U96" s="124">
        <v>12749103.50035516</v>
      </c>
      <c r="V96" s="213">
        <v>22031</v>
      </c>
      <c r="W96" s="101"/>
      <c r="X96" s="171" t="s">
        <v>306</v>
      </c>
      <c r="AA96" s="88"/>
    </row>
    <row r="97" spans="1:24" s="74" customFormat="1" ht="12.75" x14ac:dyDescent="0.2">
      <c r="A97" s="89"/>
      <c r="B97" s="85" t="s">
        <v>38</v>
      </c>
      <c r="C97" s="85"/>
      <c r="D97" s="85"/>
      <c r="E97" s="85"/>
      <c r="F97" s="90" t="s">
        <v>92</v>
      </c>
      <c r="G97" s="101"/>
      <c r="H97" s="103"/>
      <c r="I97" s="85"/>
      <c r="J97" s="172">
        <f t="shared" si="13"/>
        <v>3610425.1827898095</v>
      </c>
      <c r="K97" s="77"/>
      <c r="L97" s="213"/>
      <c r="M97" s="124">
        <v>669616.62036363641</v>
      </c>
      <c r="N97" s="213">
        <v>934222.30935517233</v>
      </c>
      <c r="O97" s="213"/>
      <c r="P97" s="124">
        <v>1545902.5330710004</v>
      </c>
      <c r="Q97" s="213">
        <v>10683.720000000001</v>
      </c>
      <c r="R97" s="171"/>
      <c r="S97" s="213">
        <v>450000</v>
      </c>
      <c r="T97" s="101"/>
      <c r="U97" s="124">
        <v>669616.62036363641</v>
      </c>
      <c r="V97" s="213"/>
      <c r="W97" s="101"/>
      <c r="X97" s="171" t="s">
        <v>307</v>
      </c>
    </row>
    <row r="98" spans="1:24" s="74" customFormat="1" ht="12.75" x14ac:dyDescent="0.2">
      <c r="A98" s="89"/>
      <c r="B98" s="85" t="s">
        <v>39</v>
      </c>
      <c r="C98" s="85"/>
      <c r="D98" s="85"/>
      <c r="E98" s="85"/>
      <c r="F98" s="90" t="s">
        <v>92</v>
      </c>
      <c r="G98" s="101"/>
      <c r="H98" s="103"/>
      <c r="I98" s="85"/>
      <c r="J98" s="172">
        <f t="shared" si="13"/>
        <v>5084717.2734759012</v>
      </c>
      <c r="K98" s="77"/>
      <c r="L98" s="213">
        <v>12946.9</v>
      </c>
      <c r="M98" s="124">
        <v>3559504.2700000005</v>
      </c>
      <c r="N98" s="213">
        <v>1356232.8199999998</v>
      </c>
      <c r="O98" s="213"/>
      <c r="P98" s="124">
        <v>0</v>
      </c>
      <c r="Q98" s="213">
        <v>156033.28347590074</v>
      </c>
      <c r="R98" s="171"/>
      <c r="S98" s="213">
        <v>0</v>
      </c>
      <c r="T98" s="101"/>
      <c r="U98" s="124">
        <v>3559504.2700000005</v>
      </c>
      <c r="V98" s="213"/>
      <c r="W98" s="101"/>
      <c r="X98" s="171" t="s">
        <v>308</v>
      </c>
    </row>
    <row r="99" spans="1:24" s="74" customFormat="1" ht="12.75" x14ac:dyDescent="0.2">
      <c r="A99" s="89"/>
      <c r="B99" s="85" t="s">
        <v>25</v>
      </c>
      <c r="C99" s="85"/>
      <c r="D99" s="85"/>
      <c r="E99" s="85"/>
      <c r="F99" s="90" t="s">
        <v>92</v>
      </c>
      <c r="G99" s="101"/>
      <c r="H99" s="103"/>
      <c r="I99" s="85"/>
      <c r="J99" s="172">
        <f t="shared" si="13"/>
        <v>1716203.5394164941</v>
      </c>
      <c r="K99" s="77"/>
      <c r="L99" s="213">
        <v>53080.66</v>
      </c>
      <c r="M99" s="124">
        <v>1127658.705373656</v>
      </c>
      <c r="N99" s="213">
        <v>98175.61</v>
      </c>
      <c r="O99" s="213">
        <v>15082.7</v>
      </c>
      <c r="P99" s="124">
        <v>357588.51404283801</v>
      </c>
      <c r="Q99" s="213">
        <v>21494.35</v>
      </c>
      <c r="R99" s="171"/>
      <c r="S99" s="213">
        <v>43123</v>
      </c>
      <c r="T99" s="101"/>
      <c r="U99" s="124">
        <v>1127658.705373656</v>
      </c>
      <c r="V99" s="213">
        <v>15082.7</v>
      </c>
      <c r="W99" s="101"/>
      <c r="X99" s="171" t="s">
        <v>309</v>
      </c>
    </row>
    <row r="100" spans="1:24" s="74" customFormat="1" ht="12.75" x14ac:dyDescent="0.2">
      <c r="A100" s="89"/>
      <c r="B100" s="85" t="s">
        <v>40</v>
      </c>
      <c r="C100" s="85"/>
      <c r="D100" s="85"/>
      <c r="E100" s="85"/>
      <c r="F100" s="90" t="s">
        <v>92</v>
      </c>
      <c r="G100" s="101"/>
      <c r="H100" s="103"/>
      <c r="I100" s="85"/>
      <c r="J100" s="172">
        <f t="shared" si="13"/>
        <v>861672.77</v>
      </c>
      <c r="K100" s="77"/>
      <c r="L100" s="213"/>
      <c r="M100" s="124">
        <v>3484.5030840677086</v>
      </c>
      <c r="N100" s="213">
        <v>326439.77</v>
      </c>
      <c r="O100" s="213"/>
      <c r="P100" s="124">
        <v>531748.49691593228</v>
      </c>
      <c r="Q100" s="213"/>
      <c r="R100" s="171"/>
      <c r="S100" s="213">
        <v>0</v>
      </c>
      <c r="T100" s="101"/>
      <c r="U100" s="124">
        <v>3484.5030840677086</v>
      </c>
      <c r="V100" s="213"/>
      <c r="W100" s="101"/>
      <c r="X100" s="171" t="s">
        <v>310</v>
      </c>
    </row>
    <row r="101" spans="1:24" s="74" customFormat="1" ht="12.75" x14ac:dyDescent="0.2">
      <c r="A101" s="89"/>
      <c r="B101" s="85" t="s">
        <v>30</v>
      </c>
      <c r="C101" s="85"/>
      <c r="D101" s="85"/>
      <c r="E101" s="85"/>
      <c r="F101" s="90" t="s">
        <v>92</v>
      </c>
      <c r="G101" s="101"/>
      <c r="H101" s="103"/>
      <c r="I101" s="85"/>
      <c r="J101" s="172">
        <f t="shared" si="13"/>
        <v>11712478.063935498</v>
      </c>
      <c r="K101" s="77"/>
      <c r="L101" s="213"/>
      <c r="M101" s="124">
        <v>8270540.2636066107</v>
      </c>
      <c r="N101" s="213">
        <v>82471.77</v>
      </c>
      <c r="O101" s="213"/>
      <c r="P101" s="124">
        <v>3359466.030328888</v>
      </c>
      <c r="Q101" s="213"/>
      <c r="R101" s="171"/>
      <c r="S101" s="213">
        <v>0</v>
      </c>
      <c r="T101" s="101"/>
      <c r="U101" s="124">
        <v>8270540.2636066107</v>
      </c>
      <c r="V101" s="213"/>
      <c r="W101" s="101"/>
      <c r="X101" s="171" t="s">
        <v>311</v>
      </c>
    </row>
    <row r="102" spans="1:24" s="74" customFormat="1" ht="12.75" x14ac:dyDescent="0.2">
      <c r="A102" s="89"/>
      <c r="B102" s="85" t="s">
        <v>31</v>
      </c>
      <c r="C102" s="85"/>
      <c r="D102" s="85"/>
      <c r="E102" s="85"/>
      <c r="F102" s="90" t="s">
        <v>92</v>
      </c>
      <c r="G102" s="101"/>
      <c r="H102" s="103"/>
      <c r="I102" s="85"/>
      <c r="J102" s="172">
        <f t="shared" si="13"/>
        <v>2906536.594</v>
      </c>
      <c r="K102" s="77"/>
      <c r="L102" s="213"/>
      <c r="M102" s="124">
        <v>16973.945673377573</v>
      </c>
      <c r="N102" s="213"/>
      <c r="O102" s="213"/>
      <c r="P102" s="124">
        <v>2889562.6483266223</v>
      </c>
      <c r="Q102" s="213"/>
      <c r="R102" s="171"/>
      <c r="S102" s="213">
        <v>0</v>
      </c>
      <c r="T102" s="101"/>
      <c r="U102" s="124">
        <v>16973.945673377573</v>
      </c>
      <c r="V102" s="213"/>
      <c r="W102" s="101"/>
      <c r="X102" s="171" t="s">
        <v>312</v>
      </c>
    </row>
    <row r="103" spans="1:24" s="74" customFormat="1" ht="12.75" x14ac:dyDescent="0.2">
      <c r="A103" s="89"/>
      <c r="B103" s="85" t="s">
        <v>32</v>
      </c>
      <c r="C103" s="85"/>
      <c r="D103" s="85"/>
      <c r="E103" s="85"/>
      <c r="F103" s="90" t="s">
        <v>92</v>
      </c>
      <c r="G103" s="101"/>
      <c r="H103" s="103"/>
      <c r="I103" s="85"/>
      <c r="J103" s="172">
        <f t="shared" si="13"/>
        <v>772934.36909485538</v>
      </c>
      <c r="K103" s="77"/>
      <c r="L103" s="213"/>
      <c r="M103" s="124">
        <v>45870.802067919452</v>
      </c>
      <c r="N103" s="213"/>
      <c r="O103" s="213"/>
      <c r="P103" s="124">
        <v>727063.56702693598</v>
      </c>
      <c r="Q103" s="213"/>
      <c r="R103" s="171"/>
      <c r="S103" s="213">
        <v>0</v>
      </c>
      <c r="T103" s="101"/>
      <c r="U103" s="124">
        <v>45870.802067919452</v>
      </c>
      <c r="V103" s="213"/>
      <c r="W103" s="101"/>
      <c r="X103" s="171" t="s">
        <v>313</v>
      </c>
    </row>
    <row r="104" spans="1:24" s="74" customFormat="1" ht="12.75" x14ac:dyDescent="0.2">
      <c r="A104" s="89"/>
      <c r="B104" s="85" t="s">
        <v>33</v>
      </c>
      <c r="C104" s="85"/>
      <c r="D104" s="85"/>
      <c r="E104" s="85"/>
      <c r="F104" s="90" t="s">
        <v>92</v>
      </c>
      <c r="G104" s="101"/>
      <c r="H104" s="103"/>
      <c r="I104" s="85"/>
      <c r="J104" s="172">
        <f t="shared" si="13"/>
        <v>755802.5199999999</v>
      </c>
      <c r="K104" s="77"/>
      <c r="L104" s="213"/>
      <c r="M104" s="124">
        <v>0</v>
      </c>
      <c r="N104" s="213"/>
      <c r="O104" s="213"/>
      <c r="P104" s="124">
        <v>755802.5199999999</v>
      </c>
      <c r="Q104" s="213"/>
      <c r="R104" s="171"/>
      <c r="S104" s="213">
        <v>0</v>
      </c>
      <c r="T104" s="101"/>
      <c r="U104" s="124">
        <v>0</v>
      </c>
      <c r="V104" s="213"/>
      <c r="W104" s="101"/>
      <c r="X104" s="171" t="s">
        <v>314</v>
      </c>
    </row>
    <row r="105" spans="1:24" s="74" customFormat="1" ht="12.75" x14ac:dyDescent="0.2">
      <c r="A105" s="89"/>
      <c r="B105" s="85" t="s">
        <v>34</v>
      </c>
      <c r="C105" s="85"/>
      <c r="D105" s="85"/>
      <c r="E105" s="85"/>
      <c r="F105" s="90" t="s">
        <v>92</v>
      </c>
      <c r="G105" s="101"/>
      <c r="H105" s="103"/>
      <c r="I105" s="85"/>
      <c r="J105" s="172">
        <f t="shared" si="13"/>
        <v>0</v>
      </c>
      <c r="K105" s="77"/>
      <c r="L105" s="213"/>
      <c r="M105" s="124">
        <v>0</v>
      </c>
      <c r="N105" s="213"/>
      <c r="O105" s="213"/>
      <c r="P105" s="124">
        <v>0</v>
      </c>
      <c r="Q105" s="213"/>
      <c r="R105" s="171"/>
      <c r="S105" s="213">
        <v>0</v>
      </c>
      <c r="T105" s="101"/>
      <c r="U105" s="124">
        <v>0</v>
      </c>
      <c r="V105" s="213"/>
      <c r="W105" s="101"/>
      <c r="X105" s="171" t="s">
        <v>315</v>
      </c>
    </row>
    <row r="106" spans="1:24" s="87" customFormat="1" ht="12.75" x14ac:dyDescent="0.2">
      <c r="B106" s="184"/>
      <c r="C106" s="184"/>
      <c r="D106" s="184"/>
      <c r="E106" s="184"/>
      <c r="F106" s="103"/>
      <c r="G106" s="184"/>
      <c r="H106" s="103"/>
      <c r="I106" s="184"/>
      <c r="J106" s="78"/>
      <c r="K106" s="78"/>
      <c r="L106" s="78"/>
      <c r="M106" s="78"/>
      <c r="N106" s="78"/>
      <c r="O106" s="78"/>
      <c r="P106" s="78"/>
      <c r="Q106" s="78"/>
      <c r="R106" s="184"/>
      <c r="S106" s="78"/>
      <c r="T106" s="184"/>
      <c r="U106" s="78"/>
      <c r="V106" s="78"/>
      <c r="W106" s="184"/>
    </row>
    <row r="107" spans="1:24" s="74" customFormat="1" ht="12.75" x14ac:dyDescent="0.2">
      <c r="A107" s="89"/>
      <c r="B107" s="74" t="s">
        <v>26</v>
      </c>
      <c r="C107" s="85"/>
      <c r="D107" s="85"/>
      <c r="E107" s="85"/>
      <c r="F107" s="74" t="s">
        <v>92</v>
      </c>
      <c r="G107" s="101"/>
      <c r="H107" s="171"/>
      <c r="I107" s="85"/>
      <c r="J107" s="172">
        <f t="shared" si="13"/>
        <v>65698605.808153234</v>
      </c>
      <c r="L107" s="229">
        <f>SUM(L95:L105)</f>
        <v>113421.62276</v>
      </c>
      <c r="M107" s="172">
        <f t="shared" ref="M107:Q107" si="14">SUM(M95:M105)</f>
        <v>29386265.499920752</v>
      </c>
      <c r="N107" s="229">
        <f t="shared" si="14"/>
        <v>21447247.26935517</v>
      </c>
      <c r="O107" s="229">
        <f t="shared" si="14"/>
        <v>37113.699999999997</v>
      </c>
      <c r="P107" s="172">
        <f t="shared" si="14"/>
        <v>12706997.549960734</v>
      </c>
      <c r="Q107" s="229">
        <f t="shared" si="14"/>
        <v>1104506.4561565749</v>
      </c>
      <c r="R107" s="101"/>
      <c r="S107" s="229">
        <f t="shared" ref="S107" si="15">SUM(S95:S105)</f>
        <v>903053.71</v>
      </c>
      <c r="T107" s="101"/>
      <c r="U107" s="172">
        <f t="shared" ref="U107:V107" si="16">SUM(U95:U105)</f>
        <v>29386265.499920752</v>
      </c>
      <c r="V107" s="229">
        <f t="shared" si="16"/>
        <v>37113.699999999997</v>
      </c>
      <c r="W107" s="101"/>
      <c r="X107" s="87"/>
    </row>
    <row r="108" spans="1:24" s="74" customFormat="1" ht="12.75" x14ac:dyDescent="0.2">
      <c r="A108" s="89"/>
      <c r="C108" s="85"/>
      <c r="D108" s="85"/>
      <c r="E108" s="85"/>
      <c r="G108" s="101"/>
      <c r="H108" s="171"/>
      <c r="I108" s="85"/>
      <c r="J108" s="171"/>
      <c r="L108" s="171"/>
      <c r="M108" s="171"/>
      <c r="N108" s="171"/>
      <c r="O108" s="171"/>
      <c r="P108" s="171"/>
      <c r="Q108" s="171"/>
      <c r="R108" s="101"/>
      <c r="S108" s="171"/>
      <c r="T108" s="101"/>
      <c r="U108" s="171"/>
      <c r="V108" s="171"/>
      <c r="W108" s="101"/>
      <c r="X108" s="87"/>
    </row>
    <row r="109" spans="1:24" s="74" customFormat="1" ht="12.75" x14ac:dyDescent="0.2">
      <c r="A109" s="89"/>
      <c r="B109" s="84" t="s">
        <v>76</v>
      </c>
      <c r="C109" s="85"/>
      <c r="D109" s="85"/>
      <c r="E109" s="85"/>
      <c r="F109" s="90"/>
      <c r="G109" s="101"/>
      <c r="H109" s="103"/>
      <c r="I109" s="85"/>
      <c r="J109" s="171"/>
      <c r="L109" s="171"/>
      <c r="M109" s="171"/>
      <c r="N109" s="171"/>
      <c r="O109" s="171"/>
      <c r="P109" s="171"/>
      <c r="Q109" s="171"/>
      <c r="R109" s="101"/>
      <c r="S109" s="171"/>
      <c r="T109" s="101"/>
      <c r="U109" s="171"/>
      <c r="V109" s="171"/>
      <c r="W109" s="101"/>
      <c r="X109" s="78"/>
    </row>
    <row r="110" spans="1:24" s="74" customFormat="1" ht="12.75" x14ac:dyDescent="0.2">
      <c r="A110" s="89"/>
      <c r="B110" s="85" t="s">
        <v>22</v>
      </c>
      <c r="C110" s="85"/>
      <c r="D110" s="85"/>
      <c r="E110" s="85"/>
      <c r="F110" s="90" t="s">
        <v>92</v>
      </c>
      <c r="G110" s="101"/>
      <c r="H110" s="103"/>
      <c r="I110" s="85"/>
      <c r="J110" s="172">
        <f t="shared" ref="J110:J118" si="17">SUM(L110:S110)</f>
        <v>5600278.8992811264</v>
      </c>
      <c r="L110" s="213">
        <v>57426.17</v>
      </c>
      <c r="M110" s="124">
        <v>2463706.0749094123</v>
      </c>
      <c r="N110" s="213">
        <v>989416.29048112663</v>
      </c>
      <c r="O110" s="213">
        <v>68207.460000000006</v>
      </c>
      <c r="P110" s="124">
        <v>1849704.0750905869</v>
      </c>
      <c r="Q110" s="213">
        <v>3091.7417999999998</v>
      </c>
      <c r="R110" s="171"/>
      <c r="S110" s="213">
        <v>168727.08699999997</v>
      </c>
      <c r="T110" s="101"/>
      <c r="U110" s="124">
        <v>2463706.0749094123</v>
      </c>
      <c r="V110" s="213">
        <v>68207.460000000006</v>
      </c>
      <c r="W110" s="101"/>
      <c r="X110" s="171" t="s">
        <v>316</v>
      </c>
    </row>
    <row r="111" spans="1:24" s="74" customFormat="1" ht="12.75" x14ac:dyDescent="0.2">
      <c r="A111" s="89"/>
      <c r="B111" s="85" t="s">
        <v>23</v>
      </c>
      <c r="C111" s="85"/>
      <c r="D111" s="85"/>
      <c r="E111" s="85"/>
      <c r="F111" s="90" t="s">
        <v>92</v>
      </c>
      <c r="G111" s="101"/>
      <c r="H111" s="103"/>
      <c r="I111" s="85"/>
      <c r="J111" s="172">
        <f t="shared" si="17"/>
        <v>2216521.0343486858</v>
      </c>
      <c r="K111" s="77"/>
      <c r="L111" s="213">
        <v>53190.27</v>
      </c>
      <c r="M111" s="124">
        <v>859103.85411462013</v>
      </c>
      <c r="N111" s="213">
        <v>227800.41999834534</v>
      </c>
      <c r="O111" s="213"/>
      <c r="P111" s="124">
        <v>1066023.3190357203</v>
      </c>
      <c r="Q111" s="213">
        <v>1522.7982</v>
      </c>
      <c r="R111" s="171"/>
      <c r="S111" s="213">
        <v>8880.3729999999996</v>
      </c>
      <c r="T111" s="101"/>
      <c r="U111" s="124">
        <v>859103.85411462013</v>
      </c>
      <c r="V111" s="213"/>
      <c r="W111" s="101"/>
      <c r="X111" s="171" t="s">
        <v>317</v>
      </c>
    </row>
    <row r="112" spans="1:24" s="74" customFormat="1" ht="12.75" x14ac:dyDescent="0.2">
      <c r="A112" s="89"/>
      <c r="B112" s="85" t="s">
        <v>28</v>
      </c>
      <c r="C112" s="85"/>
      <c r="D112" s="85"/>
      <c r="E112" s="85"/>
      <c r="F112" s="90" t="s">
        <v>92</v>
      </c>
      <c r="G112" s="101"/>
      <c r="H112" s="103"/>
      <c r="I112" s="85"/>
      <c r="J112" s="172">
        <f t="shared" si="17"/>
        <v>9901022.7290653307</v>
      </c>
      <c r="K112" s="77"/>
      <c r="L112" s="213">
        <v>64606.817283486933</v>
      </c>
      <c r="M112" s="124">
        <v>3216620.6471263897</v>
      </c>
      <c r="N112" s="213">
        <v>3373177.1799999997</v>
      </c>
      <c r="O112" s="213">
        <v>43263.93</v>
      </c>
      <c r="P112" s="124">
        <v>2711647.4387880769</v>
      </c>
      <c r="Q112" s="213">
        <v>168335.85</v>
      </c>
      <c r="R112" s="171"/>
      <c r="S112" s="213">
        <v>323370.86586737889</v>
      </c>
      <c r="T112" s="101"/>
      <c r="U112" s="124">
        <v>3216620.6471263897</v>
      </c>
      <c r="V112" s="213">
        <v>43263.93</v>
      </c>
      <c r="W112" s="101"/>
      <c r="X112" s="171" t="s">
        <v>318</v>
      </c>
    </row>
    <row r="113" spans="1:26" s="74" customFormat="1" ht="12.75" x14ac:dyDescent="0.2">
      <c r="A113" s="89"/>
      <c r="B113" s="85" t="s">
        <v>29</v>
      </c>
      <c r="C113" s="85"/>
      <c r="D113" s="85"/>
      <c r="E113" s="85"/>
      <c r="F113" s="90" t="s">
        <v>92</v>
      </c>
      <c r="G113" s="101"/>
      <c r="H113" s="103"/>
      <c r="I113" s="85"/>
      <c r="J113" s="172">
        <f t="shared" si="17"/>
        <v>2305656.0754346014</v>
      </c>
      <c r="K113" s="77"/>
      <c r="L113" s="213"/>
      <c r="M113" s="124">
        <v>6190.256942142043</v>
      </c>
      <c r="N113" s="213">
        <v>1345555.8548300527</v>
      </c>
      <c r="O113" s="213">
        <v>8496.08</v>
      </c>
      <c r="P113" s="124">
        <v>944656.8836624067</v>
      </c>
      <c r="Q113" s="213">
        <v>757</v>
      </c>
      <c r="R113" s="171"/>
      <c r="S113" s="213">
        <v>0</v>
      </c>
      <c r="T113" s="101"/>
      <c r="U113" s="124">
        <v>6190.256942142043</v>
      </c>
      <c r="V113" s="213">
        <v>8496.08</v>
      </c>
      <c r="W113" s="101"/>
      <c r="X113" s="171" t="s">
        <v>319</v>
      </c>
    </row>
    <row r="114" spans="1:26" s="74" customFormat="1" ht="12.75" x14ac:dyDescent="0.2">
      <c r="A114" s="89"/>
      <c r="B114" s="85" t="s">
        <v>30</v>
      </c>
      <c r="C114" s="85"/>
      <c r="D114" s="85"/>
      <c r="E114" s="85"/>
      <c r="F114" s="90" t="s">
        <v>92</v>
      </c>
      <c r="G114" s="101"/>
      <c r="H114" s="103"/>
      <c r="I114" s="85"/>
      <c r="J114" s="172">
        <f t="shared" si="17"/>
        <v>716939.9</v>
      </c>
      <c r="K114" s="77"/>
      <c r="L114" s="213"/>
      <c r="M114" s="124">
        <v>0</v>
      </c>
      <c r="N114" s="213">
        <v>716844.75</v>
      </c>
      <c r="O114" s="213">
        <v>95.15</v>
      </c>
      <c r="P114" s="124">
        <v>0</v>
      </c>
      <c r="Q114" s="213"/>
      <c r="R114" s="171"/>
      <c r="S114" s="213">
        <v>0</v>
      </c>
      <c r="T114" s="101"/>
      <c r="U114" s="124">
        <v>0</v>
      </c>
      <c r="V114" s="213">
        <v>95.15</v>
      </c>
      <c r="W114" s="101"/>
      <c r="X114" s="171" t="s">
        <v>320</v>
      </c>
      <c r="Z114" s="185" t="s">
        <v>617</v>
      </c>
    </row>
    <row r="115" spans="1:26" s="74" customFormat="1" ht="12.75" x14ac:dyDescent="0.2">
      <c r="A115" s="89"/>
      <c r="B115" s="85" t="s">
        <v>31</v>
      </c>
      <c r="C115" s="85"/>
      <c r="D115" s="85"/>
      <c r="E115" s="85"/>
      <c r="F115" s="90" t="s">
        <v>92</v>
      </c>
      <c r="G115" s="101"/>
      <c r="H115" s="103"/>
      <c r="I115" s="85"/>
      <c r="J115" s="172">
        <f t="shared" si="17"/>
        <v>2817883.3299999982</v>
      </c>
      <c r="K115" s="77"/>
      <c r="L115" s="213"/>
      <c r="M115" s="124">
        <v>0</v>
      </c>
      <c r="N115" s="213">
        <v>2867460.2499999981</v>
      </c>
      <c r="O115" s="213">
        <v>-49576.92</v>
      </c>
      <c r="P115" s="124">
        <v>0</v>
      </c>
      <c r="Q115" s="213"/>
      <c r="R115" s="171"/>
      <c r="S115" s="213">
        <v>0</v>
      </c>
      <c r="T115" s="101"/>
      <c r="U115" s="124">
        <v>0</v>
      </c>
      <c r="V115" s="213">
        <v>-49576.92</v>
      </c>
      <c r="W115" s="101"/>
      <c r="X115" s="171" t="s">
        <v>321</v>
      </c>
      <c r="Z115" s="185" t="s">
        <v>616</v>
      </c>
    </row>
    <row r="116" spans="1:26" s="74" customFormat="1" ht="12.75" x14ac:dyDescent="0.2">
      <c r="A116" s="89"/>
      <c r="B116" s="85" t="s">
        <v>32</v>
      </c>
      <c r="C116" s="85"/>
      <c r="D116" s="85"/>
      <c r="E116" s="85"/>
      <c r="F116" s="90" t="s">
        <v>92</v>
      </c>
      <c r="G116" s="101"/>
      <c r="H116" s="103"/>
      <c r="I116" s="85"/>
      <c r="J116" s="172">
        <f t="shared" si="17"/>
        <v>255280.44999999998</v>
      </c>
      <c r="K116" s="77"/>
      <c r="L116" s="213"/>
      <c r="M116" s="124">
        <v>0</v>
      </c>
      <c r="N116" s="213">
        <v>255280.44999999998</v>
      </c>
      <c r="O116" s="213"/>
      <c r="P116" s="124">
        <v>0</v>
      </c>
      <c r="Q116" s="213"/>
      <c r="R116" s="171"/>
      <c r="S116" s="213">
        <v>0</v>
      </c>
      <c r="T116" s="101"/>
      <c r="U116" s="124">
        <v>0</v>
      </c>
      <c r="V116" s="213"/>
      <c r="W116" s="101"/>
      <c r="X116" s="171" t="s">
        <v>322</v>
      </c>
      <c r="Z116" s="74" t="s">
        <v>446</v>
      </c>
    </row>
    <row r="117" spans="1:26" s="74" customFormat="1" ht="12.75" x14ac:dyDescent="0.2">
      <c r="A117" s="89"/>
      <c r="B117" s="85" t="s">
        <v>33</v>
      </c>
      <c r="C117" s="85"/>
      <c r="D117" s="85"/>
      <c r="E117" s="85"/>
      <c r="F117" s="90" t="s">
        <v>92</v>
      </c>
      <c r="G117" s="101"/>
      <c r="H117" s="103"/>
      <c r="I117" s="85"/>
      <c r="J117" s="172">
        <f t="shared" si="17"/>
        <v>2036354</v>
      </c>
      <c r="K117" s="77"/>
      <c r="L117" s="213"/>
      <c r="M117" s="124">
        <v>0</v>
      </c>
      <c r="N117" s="213">
        <v>2036354</v>
      </c>
      <c r="O117" s="213"/>
      <c r="P117" s="124">
        <v>0</v>
      </c>
      <c r="Q117" s="213"/>
      <c r="R117" s="171"/>
      <c r="S117" s="213">
        <v>0</v>
      </c>
      <c r="T117" s="101"/>
      <c r="U117" s="124">
        <v>0</v>
      </c>
      <c r="V117" s="213"/>
      <c r="W117" s="101"/>
      <c r="X117" s="171" t="s">
        <v>323</v>
      </c>
      <c r="Z117" s="74" t="s">
        <v>451</v>
      </c>
    </row>
    <row r="118" spans="1:26" s="74" customFormat="1" ht="12.75" x14ac:dyDescent="0.2">
      <c r="A118" s="89"/>
      <c r="B118" s="85" t="s">
        <v>34</v>
      </c>
      <c r="C118" s="85"/>
      <c r="D118" s="85"/>
      <c r="E118" s="85"/>
      <c r="F118" s="90" t="s">
        <v>92</v>
      </c>
      <c r="G118" s="101"/>
      <c r="H118" s="103"/>
      <c r="I118" s="85"/>
      <c r="J118" s="172">
        <f t="shared" si="17"/>
        <v>0</v>
      </c>
      <c r="K118" s="77"/>
      <c r="L118" s="213"/>
      <c r="M118" s="124">
        <v>0</v>
      </c>
      <c r="N118" s="213"/>
      <c r="O118" s="213"/>
      <c r="P118" s="124">
        <v>0</v>
      </c>
      <c r="Q118" s="213"/>
      <c r="R118" s="171"/>
      <c r="S118" s="213">
        <v>0</v>
      </c>
      <c r="T118" s="101"/>
      <c r="U118" s="124">
        <v>0</v>
      </c>
      <c r="V118" s="213"/>
      <c r="W118" s="101"/>
      <c r="X118" s="171" t="s">
        <v>324</v>
      </c>
    </row>
    <row r="119" spans="1:26" s="74" customFormat="1" ht="12.75" x14ac:dyDescent="0.2">
      <c r="A119" s="89"/>
      <c r="B119" s="85"/>
      <c r="F119" s="90"/>
      <c r="G119" s="171"/>
      <c r="H119" s="103"/>
      <c r="J119" s="171"/>
      <c r="L119" s="171"/>
      <c r="M119" s="171"/>
      <c r="N119" s="171"/>
      <c r="O119" s="171"/>
      <c r="P119" s="171"/>
      <c r="Q119" s="171"/>
      <c r="R119" s="171"/>
      <c r="S119" s="171"/>
      <c r="T119" s="171"/>
      <c r="U119" s="171"/>
      <c r="V119" s="171"/>
      <c r="W119" s="171"/>
      <c r="X119" s="87"/>
    </row>
    <row r="120" spans="1:26" s="74" customFormat="1" ht="12.75" x14ac:dyDescent="0.2">
      <c r="A120" s="89"/>
      <c r="B120" s="84" t="s">
        <v>70</v>
      </c>
      <c r="C120" s="85"/>
      <c r="D120" s="85"/>
      <c r="E120" s="85"/>
      <c r="F120" s="90"/>
      <c r="G120" s="101"/>
      <c r="H120" s="103"/>
      <c r="I120" s="85"/>
      <c r="J120" s="171"/>
      <c r="L120" s="171"/>
      <c r="M120" s="171"/>
      <c r="N120" s="171"/>
      <c r="O120" s="171"/>
      <c r="P120" s="171"/>
      <c r="Q120" s="171"/>
      <c r="R120" s="101"/>
      <c r="S120" s="171"/>
      <c r="T120" s="101"/>
      <c r="U120" s="171"/>
      <c r="V120" s="171"/>
      <c r="W120" s="101"/>
      <c r="X120" s="87"/>
    </row>
    <row r="121" spans="1:26" s="74" customFormat="1" ht="12.75" x14ac:dyDescent="0.2">
      <c r="A121" s="89"/>
      <c r="B121" s="85" t="s">
        <v>71</v>
      </c>
      <c r="C121" s="85"/>
      <c r="D121" s="85"/>
      <c r="E121" s="85"/>
      <c r="F121" s="90" t="s">
        <v>92</v>
      </c>
      <c r="G121" s="101"/>
      <c r="H121" s="103"/>
      <c r="I121" s="85"/>
      <c r="J121" s="172">
        <f t="shared" ref="J121" si="18">SUM(L121:S121)</f>
        <v>1534884.6682204283</v>
      </c>
      <c r="K121" s="77"/>
      <c r="L121" s="213">
        <v>7924.53</v>
      </c>
      <c r="M121" s="124">
        <v>397798.79953972681</v>
      </c>
      <c r="N121" s="213">
        <v>229346.79822042782</v>
      </c>
      <c r="O121" s="213">
        <v>390.56</v>
      </c>
      <c r="P121" s="124">
        <v>899423.98046027368</v>
      </c>
      <c r="Q121" s="213"/>
      <c r="R121" s="171"/>
      <c r="S121" s="213">
        <v>0</v>
      </c>
      <c r="T121" s="101"/>
      <c r="U121" s="124">
        <v>397798.79953972681</v>
      </c>
      <c r="V121" s="213">
        <v>390.56</v>
      </c>
      <c r="W121" s="101"/>
      <c r="X121" s="171" t="s">
        <v>325</v>
      </c>
    </row>
    <row r="122" spans="1:26" s="74" customFormat="1" ht="12.75" x14ac:dyDescent="0.2">
      <c r="A122" s="89"/>
      <c r="C122" s="85"/>
      <c r="D122" s="85"/>
      <c r="E122" s="85"/>
      <c r="F122" s="90"/>
      <c r="G122" s="101"/>
      <c r="H122" s="103"/>
      <c r="I122" s="85"/>
      <c r="J122" s="171"/>
      <c r="L122" s="171"/>
      <c r="M122" s="171"/>
      <c r="N122" s="171"/>
      <c r="O122" s="171"/>
      <c r="P122" s="171"/>
      <c r="Q122" s="171"/>
      <c r="R122" s="101"/>
      <c r="S122" s="171"/>
      <c r="T122" s="101"/>
      <c r="U122" s="171"/>
      <c r="V122" s="171"/>
      <c r="W122" s="101"/>
      <c r="X122" s="78"/>
    </row>
    <row r="123" spans="1:26" s="74" customFormat="1" ht="12.75" x14ac:dyDescent="0.2">
      <c r="A123" s="89"/>
      <c r="B123" s="84" t="s">
        <v>41</v>
      </c>
      <c r="C123" s="85"/>
      <c r="D123" s="85"/>
      <c r="E123" s="85"/>
      <c r="F123" s="90"/>
      <c r="G123" s="101"/>
      <c r="H123" s="103"/>
      <c r="I123" s="85"/>
      <c r="J123" s="171"/>
      <c r="L123" s="171"/>
      <c r="M123" s="171"/>
      <c r="N123" s="171"/>
      <c r="O123" s="171"/>
      <c r="P123" s="171"/>
      <c r="Q123" s="171"/>
      <c r="R123" s="101"/>
      <c r="S123" s="171"/>
      <c r="T123" s="101"/>
      <c r="U123" s="171"/>
      <c r="V123" s="171"/>
      <c r="W123" s="101"/>
      <c r="X123" s="78"/>
    </row>
    <row r="124" spans="1:26" s="74" customFormat="1" ht="12.75" x14ac:dyDescent="0.2">
      <c r="A124" s="89"/>
      <c r="B124" s="85" t="s">
        <v>42</v>
      </c>
      <c r="C124" s="85"/>
      <c r="D124" s="85"/>
      <c r="E124" s="85"/>
      <c r="F124" s="90" t="s">
        <v>92</v>
      </c>
      <c r="G124" s="101"/>
      <c r="H124" s="103"/>
      <c r="I124" s="85"/>
      <c r="J124" s="172">
        <f t="shared" ref="J124" si="19">SUM(L124:S124)</f>
        <v>10453.379999999999</v>
      </c>
      <c r="K124" s="77"/>
      <c r="L124" s="213"/>
      <c r="M124" s="124">
        <v>0</v>
      </c>
      <c r="N124" s="213">
        <v>0</v>
      </c>
      <c r="O124" s="213">
        <v>10453.379999999999</v>
      </c>
      <c r="P124" s="124">
        <v>0</v>
      </c>
      <c r="Q124" s="213"/>
      <c r="R124" s="171"/>
      <c r="S124" s="213"/>
      <c r="T124" s="101"/>
      <c r="U124" s="124">
        <v>0</v>
      </c>
      <c r="V124" s="213">
        <v>10453.379999999999</v>
      </c>
      <c r="W124" s="101"/>
      <c r="X124" s="78"/>
    </row>
    <row r="125" spans="1:26" s="74" customFormat="1" ht="12.75" x14ac:dyDescent="0.2">
      <c r="A125" s="89"/>
      <c r="C125" s="85"/>
      <c r="D125" s="85"/>
      <c r="E125" s="85"/>
      <c r="F125" s="90"/>
      <c r="G125" s="101"/>
      <c r="H125" s="103"/>
      <c r="I125" s="85"/>
      <c r="J125" s="85"/>
      <c r="P125" s="171"/>
      <c r="R125" s="85"/>
      <c r="T125" s="85"/>
      <c r="U125" s="171"/>
      <c r="V125" s="171"/>
      <c r="W125" s="101"/>
      <c r="X125" s="78"/>
    </row>
    <row r="126" spans="1:26" s="47" customFormat="1" ht="12.75" x14ac:dyDescent="0.2">
      <c r="B126" s="47" t="s">
        <v>123</v>
      </c>
    </row>
    <row r="127" spans="1:26" s="80" customFormat="1" ht="12.75" x14ac:dyDescent="0.2"/>
    <row r="128" spans="1:26" s="80" customFormat="1" ht="12.75" x14ac:dyDescent="0.2">
      <c r="B128" s="84" t="s">
        <v>75</v>
      </c>
    </row>
    <row r="129" spans="1:27" s="80" customFormat="1" ht="12.75" x14ac:dyDescent="0.2">
      <c r="B129" s="85" t="s">
        <v>38</v>
      </c>
      <c r="F129" s="90" t="s">
        <v>97</v>
      </c>
      <c r="H129" s="103"/>
      <c r="J129" s="172">
        <f>SUM(L129:S129)</f>
        <v>12410754.951348918</v>
      </c>
      <c r="K129" s="77"/>
      <c r="L129" s="213"/>
      <c r="M129" s="213">
        <v>3783004.9818181819</v>
      </c>
      <c r="N129" s="213">
        <v>3211455</v>
      </c>
      <c r="O129" s="213"/>
      <c r="P129" s="213">
        <v>4243706.0361600732</v>
      </c>
      <c r="Q129" s="213">
        <v>9532.91</v>
      </c>
      <c r="R129" s="171"/>
      <c r="S129" s="213">
        <v>1163056.0233706627</v>
      </c>
      <c r="U129" s="213">
        <v>3783004.98</v>
      </c>
      <c r="V129" s="213"/>
      <c r="X129" s="171" t="s">
        <v>328</v>
      </c>
    </row>
    <row r="130" spans="1:27" s="80" customFormat="1" ht="12.75" x14ac:dyDescent="0.2">
      <c r="B130" s="85" t="s">
        <v>25</v>
      </c>
      <c r="F130" s="90" t="s">
        <v>97</v>
      </c>
      <c r="H130" s="103"/>
      <c r="J130" s="172">
        <f>SUM(L130:S130)</f>
        <v>1638272.2245158593</v>
      </c>
      <c r="K130" s="77"/>
      <c r="L130" s="213">
        <v>6999</v>
      </c>
      <c r="M130" s="213">
        <v>1046582.3193058445</v>
      </c>
      <c r="N130" s="213">
        <v>111345.06000000003</v>
      </c>
      <c r="O130" s="213">
        <v>16363.249999999996</v>
      </c>
      <c r="P130" s="213">
        <v>406647.00521001464</v>
      </c>
      <c r="Q130" s="213">
        <v>10802.590000000007</v>
      </c>
      <c r="R130" s="171"/>
      <c r="S130" s="213">
        <v>39533</v>
      </c>
      <c r="U130" s="213">
        <v>1046582.32</v>
      </c>
      <c r="V130" s="213">
        <v>16363.249999999996</v>
      </c>
      <c r="X130" s="171" t="s">
        <v>330</v>
      </c>
    </row>
    <row r="131" spans="1:27" s="74" customFormat="1" ht="12.75" x14ac:dyDescent="0.2">
      <c r="A131" s="89"/>
      <c r="B131" s="84"/>
      <c r="C131" s="85"/>
      <c r="D131" s="85"/>
      <c r="E131" s="85"/>
      <c r="F131" s="90"/>
      <c r="G131" s="101"/>
      <c r="H131" s="103"/>
      <c r="I131" s="85"/>
      <c r="J131" s="171"/>
      <c r="L131" s="171"/>
      <c r="M131" s="171"/>
      <c r="N131" s="171"/>
      <c r="O131" s="171"/>
      <c r="P131" s="171"/>
      <c r="Q131" s="171"/>
      <c r="R131" s="101"/>
      <c r="S131" s="171"/>
      <c r="T131" s="85"/>
      <c r="U131" s="171"/>
      <c r="V131" s="171"/>
      <c r="W131" s="101"/>
      <c r="X131" s="80"/>
    </row>
    <row r="132" spans="1:27" s="74" customFormat="1" ht="12.75" x14ac:dyDescent="0.2">
      <c r="A132" s="89"/>
      <c r="B132" s="84" t="s">
        <v>74</v>
      </c>
      <c r="C132" s="85"/>
      <c r="D132" s="85"/>
      <c r="E132" s="85"/>
      <c r="F132" s="90"/>
      <c r="G132" s="101"/>
      <c r="H132" s="103"/>
      <c r="I132" s="85"/>
      <c r="J132" s="171"/>
      <c r="L132" s="171"/>
      <c r="M132" s="171"/>
      <c r="N132" s="171"/>
      <c r="O132" s="171"/>
      <c r="P132" s="171"/>
      <c r="Q132" s="171"/>
      <c r="R132" s="171"/>
      <c r="S132" s="171"/>
      <c r="T132" s="85"/>
      <c r="U132" s="171"/>
      <c r="V132" s="171"/>
      <c r="W132" s="101"/>
      <c r="X132" s="80"/>
      <c r="AA132" s="88"/>
    </row>
    <row r="133" spans="1:27" s="74" customFormat="1" ht="12.75" x14ac:dyDescent="0.2">
      <c r="A133" s="89"/>
      <c r="B133" s="85" t="s">
        <v>36</v>
      </c>
      <c r="C133" s="85"/>
      <c r="D133" s="85"/>
      <c r="E133" s="85"/>
      <c r="F133" s="90" t="s">
        <v>97</v>
      </c>
      <c r="G133" s="101"/>
      <c r="H133" s="103"/>
      <c r="I133" s="85"/>
      <c r="J133" s="172">
        <f t="shared" ref="J133:J145" si="20">SUM(L133:S133)</f>
        <v>5710480.4500000002</v>
      </c>
      <c r="K133" s="77"/>
      <c r="L133" s="213">
        <v>6537</v>
      </c>
      <c r="M133" s="213">
        <v>2528422.46</v>
      </c>
      <c r="N133" s="213">
        <v>2847093.25</v>
      </c>
      <c r="O133" s="213"/>
      <c r="P133" s="213">
        <v>328427.74000000028</v>
      </c>
      <c r="Q133" s="213"/>
      <c r="R133" s="171"/>
      <c r="S133" s="213"/>
      <c r="T133" s="85"/>
      <c r="U133" s="213">
        <v>2528422.46</v>
      </c>
      <c r="V133" s="213"/>
      <c r="W133" s="101"/>
      <c r="X133" s="171" t="s">
        <v>326</v>
      </c>
      <c r="AA133" s="88"/>
    </row>
    <row r="134" spans="1:27" s="74" customFormat="1" ht="12.75" x14ac:dyDescent="0.2">
      <c r="A134" s="89"/>
      <c r="B134" s="85" t="s">
        <v>37</v>
      </c>
      <c r="C134" s="85"/>
      <c r="D134" s="85"/>
      <c r="E134" s="85"/>
      <c r="F134" s="90" t="s">
        <v>97</v>
      </c>
      <c r="G134" s="101"/>
      <c r="H134" s="103"/>
      <c r="I134" s="85"/>
      <c r="J134" s="172">
        <f t="shared" si="20"/>
        <v>37028103.008635104</v>
      </c>
      <c r="K134" s="77"/>
      <c r="L134" s="213">
        <v>45047</v>
      </c>
      <c r="M134" s="213">
        <v>13568552.770000001</v>
      </c>
      <c r="N134" s="213">
        <v>16602817.359999998</v>
      </c>
      <c r="O134" s="213">
        <v>35837.5</v>
      </c>
      <c r="P134" s="213">
        <v>3758638.5399999996</v>
      </c>
      <c r="Q134" s="213">
        <v>2607892.5886351052</v>
      </c>
      <c r="R134" s="171"/>
      <c r="S134" s="213">
        <v>409317.25</v>
      </c>
      <c r="T134" s="85"/>
      <c r="U134" s="213">
        <v>13568552.770000001</v>
      </c>
      <c r="V134" s="213">
        <v>35837.5</v>
      </c>
      <c r="W134" s="101"/>
      <c r="X134" s="171" t="s">
        <v>327</v>
      </c>
      <c r="AA134" s="88"/>
    </row>
    <row r="135" spans="1:27" s="74" customFormat="1" ht="12.75" x14ac:dyDescent="0.2">
      <c r="A135" s="89"/>
      <c r="B135" s="85" t="s">
        <v>38</v>
      </c>
      <c r="C135" s="85"/>
      <c r="D135" s="85"/>
      <c r="E135" s="85"/>
      <c r="F135" s="90" t="s">
        <v>97</v>
      </c>
      <c r="G135" s="101"/>
      <c r="H135" s="103"/>
      <c r="I135" s="85"/>
      <c r="J135" s="172">
        <f t="shared" si="20"/>
        <v>3733724.3376423875</v>
      </c>
      <c r="K135" s="77"/>
      <c r="L135" s="213"/>
      <c r="M135" s="213">
        <v>756600.99636363646</v>
      </c>
      <c r="N135" s="213">
        <v>996658.44827586215</v>
      </c>
      <c r="O135" s="213"/>
      <c r="P135" s="213">
        <v>1480931.983002889</v>
      </c>
      <c r="Q135" s="213">
        <v>9532.91</v>
      </c>
      <c r="R135" s="171"/>
      <c r="S135" s="213">
        <v>490000</v>
      </c>
      <c r="T135" s="85"/>
      <c r="U135" s="213">
        <v>756600.99636363646</v>
      </c>
      <c r="V135" s="213"/>
      <c r="W135" s="101"/>
      <c r="X135" s="171" t="s">
        <v>328</v>
      </c>
    </row>
    <row r="136" spans="1:27" s="74" customFormat="1" ht="12.75" x14ac:dyDescent="0.2">
      <c r="A136" s="89"/>
      <c r="B136" s="85" t="s">
        <v>39</v>
      </c>
      <c r="C136" s="85"/>
      <c r="D136" s="85"/>
      <c r="E136" s="85"/>
      <c r="F136" s="90" t="s">
        <v>97</v>
      </c>
      <c r="G136" s="101"/>
      <c r="H136" s="103"/>
      <c r="I136" s="85"/>
      <c r="J136" s="172">
        <f t="shared" si="20"/>
        <v>9747521.049999997</v>
      </c>
      <c r="K136" s="77"/>
      <c r="L136" s="213">
        <v>9509</v>
      </c>
      <c r="M136" s="213">
        <v>3832351.8100000005</v>
      </c>
      <c r="N136" s="213">
        <v>2858035.0199999996</v>
      </c>
      <c r="O136" s="213"/>
      <c r="P136" s="213">
        <v>2629024.6199999969</v>
      </c>
      <c r="Q136" s="213">
        <v>418600.59999999992</v>
      </c>
      <c r="R136" s="171"/>
      <c r="S136" s="213"/>
      <c r="T136" s="85"/>
      <c r="U136" s="213">
        <v>3832351.8100000005</v>
      </c>
      <c r="V136" s="213"/>
      <c r="W136" s="101"/>
      <c r="X136" s="171" t="s">
        <v>329</v>
      </c>
    </row>
    <row r="137" spans="1:27" s="74" customFormat="1" ht="12.75" x14ac:dyDescent="0.2">
      <c r="A137" s="89"/>
      <c r="B137" s="85" t="s">
        <v>25</v>
      </c>
      <c r="C137" s="85"/>
      <c r="D137" s="85"/>
      <c r="E137" s="85"/>
      <c r="F137" s="90" t="s">
        <v>97</v>
      </c>
      <c r="G137" s="101"/>
      <c r="H137" s="103"/>
      <c r="I137" s="85"/>
      <c r="J137" s="172">
        <f t="shared" si="20"/>
        <v>1674658.2245158593</v>
      </c>
      <c r="K137" s="77"/>
      <c r="L137" s="213">
        <v>43385</v>
      </c>
      <c r="M137" s="213">
        <v>1046582.3193058445</v>
      </c>
      <c r="N137" s="213">
        <v>111345.06000000003</v>
      </c>
      <c r="O137" s="213">
        <v>16363.249999999996</v>
      </c>
      <c r="P137" s="213">
        <v>406647.00521001464</v>
      </c>
      <c r="Q137" s="213">
        <v>10802.590000000007</v>
      </c>
      <c r="R137" s="171"/>
      <c r="S137" s="213">
        <v>39533</v>
      </c>
      <c r="T137" s="85"/>
      <c r="U137" s="213">
        <v>1046582.3193058445</v>
      </c>
      <c r="V137" s="213">
        <v>16363.249999999996</v>
      </c>
      <c r="W137" s="101"/>
      <c r="X137" s="171" t="s">
        <v>330</v>
      </c>
    </row>
    <row r="138" spans="1:27" s="74" customFormat="1" ht="12.75" x14ac:dyDescent="0.2">
      <c r="A138" s="89"/>
      <c r="B138" s="85" t="s">
        <v>40</v>
      </c>
      <c r="C138" s="85"/>
      <c r="D138" s="85"/>
      <c r="E138" s="85"/>
      <c r="F138" s="90" t="s">
        <v>97</v>
      </c>
      <c r="G138" s="101"/>
      <c r="H138" s="103"/>
      <c r="I138" s="85"/>
      <c r="J138" s="172">
        <f t="shared" si="20"/>
        <v>861958.11</v>
      </c>
      <c r="K138" s="77"/>
      <c r="L138" s="213"/>
      <c r="M138" s="213">
        <v>0</v>
      </c>
      <c r="N138" s="213"/>
      <c r="O138" s="213"/>
      <c r="P138" s="213">
        <v>861958.11</v>
      </c>
      <c r="Q138" s="213"/>
      <c r="R138" s="171"/>
      <c r="S138" s="213"/>
      <c r="T138" s="85"/>
      <c r="U138" s="213">
        <v>0</v>
      </c>
      <c r="V138" s="213"/>
      <c r="W138" s="101"/>
      <c r="X138" s="171" t="s">
        <v>331</v>
      </c>
    </row>
    <row r="139" spans="1:27" s="74" customFormat="1" ht="12.75" x14ac:dyDescent="0.2">
      <c r="A139" s="89"/>
      <c r="B139" s="85" t="s">
        <v>30</v>
      </c>
      <c r="C139" s="85"/>
      <c r="D139" s="85"/>
      <c r="E139" s="85"/>
      <c r="F139" s="90" t="s">
        <v>97</v>
      </c>
      <c r="G139" s="101"/>
      <c r="H139" s="103"/>
      <c r="I139" s="85"/>
      <c r="J139" s="172">
        <f t="shared" si="20"/>
        <v>7996621.1209693085</v>
      </c>
      <c r="K139" s="77"/>
      <c r="L139" s="213"/>
      <c r="M139" s="213">
        <v>1379922.3418245723</v>
      </c>
      <c r="N139" s="213"/>
      <c r="O139" s="213"/>
      <c r="P139" s="213">
        <v>6074740.3791447366</v>
      </c>
      <c r="Q139" s="213"/>
      <c r="R139" s="171"/>
      <c r="S139" s="213">
        <v>541958.39999999991</v>
      </c>
      <c r="T139" s="85"/>
      <c r="U139" s="213">
        <v>1379922.3418245723</v>
      </c>
      <c r="V139" s="213"/>
      <c r="W139" s="101"/>
      <c r="X139" s="171" t="s">
        <v>332</v>
      </c>
      <c r="Z139" s="185" t="s">
        <v>625</v>
      </c>
    </row>
    <row r="140" spans="1:27" s="74" customFormat="1" ht="12.75" x14ac:dyDescent="0.2">
      <c r="A140" s="89"/>
      <c r="B140" s="85" t="s">
        <v>31</v>
      </c>
      <c r="C140" s="85"/>
      <c r="D140" s="85"/>
      <c r="E140" s="85"/>
      <c r="F140" s="90" t="s">
        <v>97</v>
      </c>
      <c r="G140" s="101"/>
      <c r="H140" s="103"/>
      <c r="I140" s="85"/>
      <c r="J140" s="172">
        <f t="shared" si="20"/>
        <v>1320174.1550459194</v>
      </c>
      <c r="K140" s="77"/>
      <c r="L140" s="213"/>
      <c r="M140" s="213">
        <v>0</v>
      </c>
      <c r="N140" s="213"/>
      <c r="O140" s="213"/>
      <c r="P140" s="213">
        <v>1243752.1550459194</v>
      </c>
      <c r="Q140" s="213"/>
      <c r="R140" s="171"/>
      <c r="S140" s="213">
        <v>76422</v>
      </c>
      <c r="T140" s="85"/>
      <c r="U140" s="213">
        <v>0</v>
      </c>
      <c r="V140" s="213"/>
      <c r="W140" s="101"/>
      <c r="X140" s="171" t="s">
        <v>333</v>
      </c>
      <c r="Z140" s="74" t="s">
        <v>443</v>
      </c>
    </row>
    <row r="141" spans="1:27" s="74" customFormat="1" ht="12.75" x14ac:dyDescent="0.2">
      <c r="A141" s="89"/>
      <c r="B141" s="85" t="s">
        <v>32</v>
      </c>
      <c r="C141" s="85"/>
      <c r="D141" s="85"/>
      <c r="E141" s="85"/>
      <c r="F141" s="90" t="s">
        <v>97</v>
      </c>
      <c r="G141" s="101"/>
      <c r="H141" s="103"/>
      <c r="I141" s="85"/>
      <c r="J141" s="172">
        <f t="shared" si="20"/>
        <v>1367345.4240000001</v>
      </c>
      <c r="K141" s="77"/>
      <c r="L141" s="213"/>
      <c r="M141" s="213">
        <v>0</v>
      </c>
      <c r="N141" s="213"/>
      <c r="O141" s="213"/>
      <c r="P141" s="213">
        <v>1367345.4240000001</v>
      </c>
      <c r="Q141" s="213"/>
      <c r="R141" s="171"/>
      <c r="S141" s="213"/>
      <c r="T141" s="85"/>
      <c r="U141" s="213">
        <v>0</v>
      </c>
      <c r="V141" s="213"/>
      <c r="W141" s="101"/>
      <c r="X141" s="171" t="s">
        <v>334</v>
      </c>
      <c r="Z141" s="74" t="s">
        <v>623</v>
      </c>
    </row>
    <row r="142" spans="1:27" s="74" customFormat="1" ht="12.75" x14ac:dyDescent="0.2">
      <c r="A142" s="89"/>
      <c r="B142" s="85" t="s">
        <v>33</v>
      </c>
      <c r="C142" s="85"/>
      <c r="D142" s="85"/>
      <c r="E142" s="85"/>
      <c r="F142" s="90" t="s">
        <v>97</v>
      </c>
      <c r="G142" s="101"/>
      <c r="H142" s="103"/>
      <c r="I142" s="85"/>
      <c r="J142" s="172">
        <f t="shared" si="20"/>
        <v>659753.46</v>
      </c>
      <c r="K142" s="77"/>
      <c r="L142" s="213"/>
      <c r="M142" s="213">
        <v>0</v>
      </c>
      <c r="N142" s="213"/>
      <c r="O142" s="213"/>
      <c r="P142" s="213">
        <v>659753.46</v>
      </c>
      <c r="Q142" s="213"/>
      <c r="R142" s="171"/>
      <c r="S142" s="213"/>
      <c r="T142" s="85"/>
      <c r="U142" s="213">
        <v>0</v>
      </c>
      <c r="V142" s="213"/>
      <c r="W142" s="101"/>
      <c r="X142" s="171" t="s">
        <v>335</v>
      </c>
      <c r="Z142" s="74" t="s">
        <v>624</v>
      </c>
    </row>
    <row r="143" spans="1:27" s="74" customFormat="1" ht="12.75" x14ac:dyDescent="0.2">
      <c r="A143" s="89"/>
      <c r="B143" s="85" t="s">
        <v>34</v>
      </c>
      <c r="C143" s="85"/>
      <c r="D143" s="85"/>
      <c r="E143" s="85"/>
      <c r="F143" s="90" t="s">
        <v>97</v>
      </c>
      <c r="G143" s="101"/>
      <c r="H143" s="103"/>
      <c r="I143" s="85"/>
      <c r="J143" s="172">
        <f t="shared" si="20"/>
        <v>3974705.121695471</v>
      </c>
      <c r="K143" s="77"/>
      <c r="L143" s="213"/>
      <c r="M143" s="213">
        <v>3974705.121695471</v>
      </c>
      <c r="N143" s="213"/>
      <c r="O143" s="213"/>
      <c r="P143" s="213"/>
      <c r="Q143" s="213"/>
      <c r="R143" s="171"/>
      <c r="S143" s="213"/>
      <c r="T143" s="85"/>
      <c r="U143" s="213">
        <v>3974705.121695471</v>
      </c>
      <c r="V143" s="213"/>
      <c r="W143" s="101"/>
      <c r="X143" s="171" t="s">
        <v>336</v>
      </c>
      <c r="Z143" s="74" t="s">
        <v>622</v>
      </c>
    </row>
    <row r="144" spans="1:27" s="87" customFormat="1" ht="12.75" x14ac:dyDescent="0.2">
      <c r="B144" s="184"/>
      <c r="C144" s="184"/>
      <c r="D144" s="184"/>
      <c r="E144" s="184"/>
      <c r="F144" s="103"/>
      <c r="G144" s="184"/>
      <c r="H144" s="103"/>
      <c r="I144" s="184"/>
      <c r="J144" s="78"/>
      <c r="K144" s="78"/>
      <c r="L144" s="78"/>
      <c r="M144" s="78"/>
      <c r="N144" s="78"/>
      <c r="O144" s="78"/>
      <c r="P144" s="78"/>
      <c r="Q144" s="78"/>
      <c r="R144" s="184"/>
      <c r="S144" s="78"/>
      <c r="T144" s="184"/>
      <c r="U144" s="78"/>
      <c r="V144" s="78"/>
      <c r="W144" s="184"/>
    </row>
    <row r="145" spans="1:26" s="74" customFormat="1" ht="12.75" x14ac:dyDescent="0.2">
      <c r="A145" s="89"/>
      <c r="B145" s="74" t="s">
        <v>26</v>
      </c>
      <c r="C145" s="85"/>
      <c r="D145" s="85"/>
      <c r="E145" s="85"/>
      <c r="F145" s="103" t="s">
        <v>97</v>
      </c>
      <c r="G145" s="101"/>
      <c r="H145" s="103"/>
      <c r="I145" s="85"/>
      <c r="J145" s="172">
        <f t="shared" si="20"/>
        <v>74075044.462504059</v>
      </c>
      <c r="L145" s="229">
        <f>SUM(L133:L143)</f>
        <v>104478</v>
      </c>
      <c r="M145" s="229">
        <f t="shared" ref="M145:Q145" si="21">SUM(M133:M143)</f>
        <v>27087137.819189526</v>
      </c>
      <c r="N145" s="229">
        <f t="shared" si="21"/>
        <v>23415949.138275858</v>
      </c>
      <c r="O145" s="229">
        <f t="shared" si="21"/>
        <v>52200.75</v>
      </c>
      <c r="P145" s="229">
        <f t="shared" si="21"/>
        <v>18811219.416403554</v>
      </c>
      <c r="Q145" s="229">
        <f t="shared" si="21"/>
        <v>3046828.6886351053</v>
      </c>
      <c r="R145" s="101"/>
      <c r="S145" s="229">
        <f t="shared" ref="S145" si="22">SUM(S133:S143)</f>
        <v>1557230.65</v>
      </c>
      <c r="T145" s="85"/>
      <c r="U145" s="229">
        <f t="shared" ref="U145:V145" si="23">SUM(U133:U143)</f>
        <v>27087137.819189526</v>
      </c>
      <c r="V145" s="229">
        <f t="shared" si="23"/>
        <v>52200.75</v>
      </c>
      <c r="W145" s="101"/>
      <c r="X145" s="87"/>
    </row>
    <row r="146" spans="1:26" s="74" customFormat="1" ht="12.75" x14ac:dyDescent="0.2">
      <c r="A146" s="89"/>
      <c r="C146" s="85"/>
      <c r="D146" s="85"/>
      <c r="E146" s="85"/>
      <c r="G146" s="101"/>
      <c r="H146" s="171"/>
      <c r="I146" s="85"/>
      <c r="J146" s="171"/>
      <c r="L146" s="171"/>
      <c r="M146" s="171"/>
      <c r="N146" s="171"/>
      <c r="O146" s="171"/>
      <c r="P146" s="171"/>
      <c r="Q146" s="171"/>
      <c r="R146" s="101"/>
      <c r="S146" s="171"/>
      <c r="T146" s="85"/>
      <c r="U146" s="171"/>
      <c r="V146" s="171"/>
      <c r="W146" s="101"/>
      <c r="X146" s="87"/>
    </row>
    <row r="147" spans="1:26" s="74" customFormat="1" ht="12.75" x14ac:dyDescent="0.2">
      <c r="A147" s="89"/>
      <c r="B147" s="84" t="s">
        <v>76</v>
      </c>
      <c r="C147" s="85"/>
      <c r="D147" s="85"/>
      <c r="E147" s="85"/>
      <c r="F147" s="90"/>
      <c r="G147" s="101"/>
      <c r="H147" s="103"/>
      <c r="I147" s="85"/>
      <c r="J147" s="171"/>
      <c r="L147" s="171"/>
      <c r="M147" s="171"/>
      <c r="N147" s="171"/>
      <c r="O147" s="171"/>
      <c r="P147" s="171"/>
      <c r="Q147" s="171"/>
      <c r="R147" s="101"/>
      <c r="S147" s="171"/>
      <c r="T147" s="85"/>
      <c r="U147" s="171"/>
      <c r="V147" s="171"/>
      <c r="W147" s="101"/>
      <c r="X147" s="78"/>
    </row>
    <row r="148" spans="1:26" s="74" customFormat="1" ht="12.75" x14ac:dyDescent="0.2">
      <c r="A148" s="89"/>
      <c r="B148" s="85" t="s">
        <v>22</v>
      </c>
      <c r="C148" s="85"/>
      <c r="D148" s="85"/>
      <c r="E148" s="85"/>
      <c r="F148" s="90" t="s">
        <v>97</v>
      </c>
      <c r="G148" s="101"/>
      <c r="H148" s="103"/>
      <c r="I148" s="85"/>
      <c r="J148" s="172">
        <f t="shared" ref="J148:J156" si="24">SUM(L148:S148)</f>
        <v>4797540.8173015555</v>
      </c>
      <c r="L148" s="213">
        <v>61428</v>
      </c>
      <c r="M148" s="213">
        <v>2189457.7999999998</v>
      </c>
      <c r="N148" s="213">
        <v>1168017.4888015536</v>
      </c>
      <c r="O148" s="213">
        <v>30295.24</v>
      </c>
      <c r="P148" s="213">
        <v>1239205.6900000011</v>
      </c>
      <c r="Q148" s="213">
        <v>0</v>
      </c>
      <c r="R148" s="171"/>
      <c r="S148" s="213">
        <v>109136.59849999995</v>
      </c>
      <c r="T148" s="85"/>
      <c r="U148" s="213">
        <v>2189457.7999999998</v>
      </c>
      <c r="V148" s="213">
        <v>30295.24</v>
      </c>
      <c r="W148" s="101"/>
      <c r="X148" s="171" t="s">
        <v>337</v>
      </c>
    </row>
    <row r="149" spans="1:26" s="74" customFormat="1" ht="12.75" x14ac:dyDescent="0.2">
      <c r="A149" s="89"/>
      <c r="B149" s="85" t="s">
        <v>23</v>
      </c>
      <c r="C149" s="85"/>
      <c r="D149" s="85"/>
      <c r="E149" s="85"/>
      <c r="F149" s="90" t="s">
        <v>97</v>
      </c>
      <c r="G149" s="101"/>
      <c r="H149" s="103"/>
      <c r="I149" s="85"/>
      <c r="J149" s="172">
        <f t="shared" si="24"/>
        <v>2015939.9885311772</v>
      </c>
      <c r="K149" s="77"/>
      <c r="L149" s="213">
        <v>37812</v>
      </c>
      <c r="M149" s="213">
        <v>664383.1463579227</v>
      </c>
      <c r="N149" s="213">
        <v>517010.24067325774</v>
      </c>
      <c r="O149" s="213"/>
      <c r="P149" s="213">
        <v>790990.56999999681</v>
      </c>
      <c r="Q149" s="213">
        <v>0</v>
      </c>
      <c r="R149" s="171"/>
      <c r="S149" s="213">
        <v>5744.0314999999973</v>
      </c>
      <c r="T149" s="85"/>
      <c r="U149" s="213">
        <v>664383.1463579227</v>
      </c>
      <c r="V149" s="213"/>
      <c r="W149" s="101"/>
      <c r="X149" s="171" t="s">
        <v>338</v>
      </c>
    </row>
    <row r="150" spans="1:26" s="74" customFormat="1" ht="12.75" x14ac:dyDescent="0.2">
      <c r="A150" s="89"/>
      <c r="B150" s="85" t="s">
        <v>28</v>
      </c>
      <c r="C150" s="85"/>
      <c r="D150" s="85"/>
      <c r="E150" s="85"/>
      <c r="F150" s="90" t="s">
        <v>97</v>
      </c>
      <c r="G150" s="101"/>
      <c r="H150" s="103"/>
      <c r="I150" s="85"/>
      <c r="J150" s="172">
        <f t="shared" si="24"/>
        <v>10546478.473107865</v>
      </c>
      <c r="K150" s="77"/>
      <c r="L150" s="213">
        <v>86920</v>
      </c>
      <c r="M150" s="213">
        <v>3247979.7199999997</v>
      </c>
      <c r="N150" s="213">
        <v>3810927.5700000003</v>
      </c>
      <c r="O150" s="213">
        <v>89195.68</v>
      </c>
      <c r="P150" s="213">
        <v>2979672.59</v>
      </c>
      <c r="Q150" s="213">
        <v>49347.210000000006</v>
      </c>
      <c r="R150" s="171"/>
      <c r="S150" s="213">
        <v>282435.70310786483</v>
      </c>
      <c r="T150" s="85"/>
      <c r="U150" s="213">
        <v>3247979.7199999997</v>
      </c>
      <c r="V150" s="213">
        <v>89195.68</v>
      </c>
      <c r="W150" s="101"/>
      <c r="X150" s="171" t="s">
        <v>339</v>
      </c>
    </row>
    <row r="151" spans="1:26" s="74" customFormat="1" ht="12.75" x14ac:dyDescent="0.2">
      <c r="A151" s="89"/>
      <c r="B151" s="85" t="s">
        <v>29</v>
      </c>
      <c r="C151" s="85"/>
      <c r="D151" s="85"/>
      <c r="E151" s="85"/>
      <c r="F151" s="90" t="s">
        <v>97</v>
      </c>
      <c r="G151" s="101"/>
      <c r="H151" s="103"/>
      <c r="I151" s="85"/>
      <c r="J151" s="172">
        <f t="shared" si="24"/>
        <v>3188069.1272704941</v>
      </c>
      <c r="K151" s="77"/>
      <c r="L151" s="213"/>
      <c r="M151" s="213"/>
      <c r="N151" s="213">
        <v>2228486.0499999998</v>
      </c>
      <c r="O151" s="213">
        <v>8408.52</v>
      </c>
      <c r="P151" s="213">
        <v>949430.04727049463</v>
      </c>
      <c r="Q151" s="213">
        <v>1744.51</v>
      </c>
      <c r="R151" s="171"/>
      <c r="S151" s="213"/>
      <c r="T151" s="85"/>
      <c r="U151" s="213"/>
      <c r="V151" s="213">
        <v>8408.52</v>
      </c>
      <c r="W151" s="101"/>
      <c r="X151" s="171" t="s">
        <v>340</v>
      </c>
    </row>
    <row r="152" spans="1:26" s="74" customFormat="1" ht="12.75" x14ac:dyDescent="0.2">
      <c r="A152" s="89"/>
      <c r="B152" s="85" t="s">
        <v>30</v>
      </c>
      <c r="C152" s="85"/>
      <c r="D152" s="85"/>
      <c r="E152" s="85"/>
      <c r="F152" s="90" t="s">
        <v>97</v>
      </c>
      <c r="G152" s="101"/>
      <c r="H152" s="103"/>
      <c r="I152" s="85"/>
      <c r="J152" s="172">
        <f t="shared" si="24"/>
        <v>307480.3842329816</v>
      </c>
      <c r="K152" s="77"/>
      <c r="L152" s="213"/>
      <c r="M152" s="213"/>
      <c r="N152" s="213">
        <v>306231.36423298158</v>
      </c>
      <c r="O152" s="213">
        <v>1249.0200000000036</v>
      </c>
      <c r="P152" s="213">
        <v>0</v>
      </c>
      <c r="Q152" s="213"/>
      <c r="R152" s="171"/>
      <c r="S152" s="213"/>
      <c r="T152" s="85"/>
      <c r="U152" s="213"/>
      <c r="V152" s="213">
        <v>1249.0200000000036</v>
      </c>
      <c r="W152" s="101"/>
      <c r="X152" s="171" t="s">
        <v>341</v>
      </c>
      <c r="Z152" s="185" t="s">
        <v>618</v>
      </c>
    </row>
    <row r="153" spans="1:26" s="74" customFormat="1" ht="12.75" x14ac:dyDescent="0.2">
      <c r="A153" s="89"/>
      <c r="B153" s="85" t="s">
        <v>31</v>
      </c>
      <c r="C153" s="85"/>
      <c r="D153" s="85"/>
      <c r="E153" s="85"/>
      <c r="F153" s="90" t="s">
        <v>97</v>
      </c>
      <c r="G153" s="101"/>
      <c r="H153" s="103"/>
      <c r="I153" s="85"/>
      <c r="J153" s="172">
        <f t="shared" si="24"/>
        <v>309600.32576701813</v>
      </c>
      <c r="K153" s="77"/>
      <c r="L153" s="213"/>
      <c r="M153" s="213"/>
      <c r="N153" s="213">
        <v>355934.60576701816</v>
      </c>
      <c r="O153" s="213">
        <v>-46334.28</v>
      </c>
      <c r="P153" s="213"/>
      <c r="Q153" s="213"/>
      <c r="R153" s="171"/>
      <c r="S153" s="213"/>
      <c r="T153" s="85"/>
      <c r="U153" s="213"/>
      <c r="V153" s="213">
        <v>-46334.28</v>
      </c>
      <c r="W153" s="101"/>
      <c r="X153" s="171" t="s">
        <v>342</v>
      </c>
      <c r="Z153" s="185" t="s">
        <v>619</v>
      </c>
    </row>
    <row r="154" spans="1:26" s="74" customFormat="1" ht="12.75" x14ac:dyDescent="0.2">
      <c r="A154" s="89"/>
      <c r="B154" s="85" t="s">
        <v>32</v>
      </c>
      <c r="C154" s="85"/>
      <c r="D154" s="85"/>
      <c r="E154" s="85"/>
      <c r="F154" s="90" t="s">
        <v>97</v>
      </c>
      <c r="G154" s="101"/>
      <c r="H154" s="103"/>
      <c r="I154" s="85"/>
      <c r="J154" s="172">
        <f t="shared" si="24"/>
        <v>2425671.3200000003</v>
      </c>
      <c r="K154" s="77"/>
      <c r="L154" s="213"/>
      <c r="M154" s="213"/>
      <c r="N154" s="213">
        <v>2425671.3200000003</v>
      </c>
      <c r="O154" s="213"/>
      <c r="P154" s="213"/>
      <c r="Q154" s="213"/>
      <c r="R154" s="171"/>
      <c r="S154" s="213"/>
      <c r="T154" s="85"/>
      <c r="U154" s="213"/>
      <c r="V154" s="213"/>
      <c r="W154" s="101"/>
      <c r="X154" s="171" t="s">
        <v>343</v>
      </c>
      <c r="Z154" s="74" t="s">
        <v>445</v>
      </c>
    </row>
    <row r="155" spans="1:26" s="74" customFormat="1" ht="12.75" x14ac:dyDescent="0.2">
      <c r="A155" s="89"/>
      <c r="B155" s="85" t="s">
        <v>33</v>
      </c>
      <c r="C155" s="85"/>
      <c r="D155" s="85"/>
      <c r="E155" s="85"/>
      <c r="F155" s="90" t="s">
        <v>97</v>
      </c>
      <c r="G155" s="101"/>
      <c r="H155" s="103"/>
      <c r="I155" s="85"/>
      <c r="J155" s="172">
        <f t="shared" si="24"/>
        <v>170853.94999999998</v>
      </c>
      <c r="K155" s="77"/>
      <c r="L155" s="213"/>
      <c r="M155" s="213"/>
      <c r="N155" s="213">
        <v>170853.94999999998</v>
      </c>
      <c r="O155" s="213"/>
      <c r="P155" s="213"/>
      <c r="Q155" s="213"/>
      <c r="R155" s="171"/>
      <c r="S155" s="213"/>
      <c r="T155" s="85"/>
      <c r="U155" s="213"/>
      <c r="V155" s="213"/>
      <c r="W155" s="101"/>
      <c r="X155" s="171" t="s">
        <v>344</v>
      </c>
      <c r="Z155" s="74" t="s">
        <v>446</v>
      </c>
    </row>
    <row r="156" spans="1:26" s="74" customFormat="1" ht="12.75" x14ac:dyDescent="0.2">
      <c r="A156" s="89"/>
      <c r="B156" s="85" t="s">
        <v>34</v>
      </c>
      <c r="C156" s="85"/>
      <c r="D156" s="85"/>
      <c r="E156" s="85"/>
      <c r="F156" s="90" t="s">
        <v>97</v>
      </c>
      <c r="G156" s="101"/>
      <c r="H156" s="103"/>
      <c r="I156" s="85"/>
      <c r="J156" s="172">
        <f t="shared" si="24"/>
        <v>2149235.41</v>
      </c>
      <c r="K156" s="77"/>
      <c r="L156" s="213"/>
      <c r="M156" s="213"/>
      <c r="N156" s="213">
        <v>2149235.41</v>
      </c>
      <c r="O156" s="213"/>
      <c r="P156" s="213"/>
      <c r="Q156" s="213"/>
      <c r="R156" s="171"/>
      <c r="S156" s="213"/>
      <c r="T156" s="85"/>
      <c r="U156" s="213"/>
      <c r="V156" s="213"/>
      <c r="W156" s="101"/>
      <c r="X156" s="171" t="s">
        <v>345</v>
      </c>
      <c r="Z156" s="74" t="s">
        <v>451</v>
      </c>
    </row>
    <row r="157" spans="1:26" s="74" customFormat="1" ht="12.75" x14ac:dyDescent="0.2">
      <c r="A157" s="89"/>
      <c r="B157" s="85"/>
      <c r="F157" s="90"/>
      <c r="G157" s="171"/>
      <c r="H157" s="103"/>
      <c r="J157" s="171"/>
      <c r="L157" s="171"/>
      <c r="M157" s="171"/>
      <c r="N157" s="171"/>
      <c r="O157" s="171"/>
      <c r="P157" s="171"/>
      <c r="Q157" s="171"/>
      <c r="R157" s="171"/>
      <c r="S157" s="171"/>
      <c r="U157" s="171"/>
      <c r="V157" s="171"/>
      <c r="W157" s="171"/>
      <c r="X157" s="87"/>
    </row>
    <row r="158" spans="1:26" s="74" customFormat="1" ht="12.75" x14ac:dyDescent="0.2">
      <c r="A158" s="89"/>
      <c r="B158" s="84" t="s">
        <v>70</v>
      </c>
      <c r="C158" s="85"/>
      <c r="D158" s="85"/>
      <c r="E158" s="85"/>
      <c r="F158" s="90"/>
      <c r="G158" s="101"/>
      <c r="H158" s="103"/>
      <c r="I158" s="85"/>
      <c r="J158" s="171"/>
      <c r="L158" s="171"/>
      <c r="M158" s="171"/>
      <c r="N158" s="171"/>
      <c r="O158" s="171"/>
      <c r="P158" s="171"/>
      <c r="Q158" s="171"/>
      <c r="R158" s="101"/>
      <c r="S158" s="171"/>
      <c r="T158" s="85"/>
      <c r="U158" s="171"/>
      <c r="V158" s="171"/>
      <c r="W158" s="101"/>
      <c r="X158" s="87"/>
    </row>
    <row r="159" spans="1:26" s="74" customFormat="1" ht="12.75" x14ac:dyDescent="0.2">
      <c r="A159" s="89"/>
      <c r="B159" s="85" t="s">
        <v>71</v>
      </c>
      <c r="C159" s="85"/>
      <c r="D159" s="85"/>
      <c r="E159" s="85"/>
      <c r="F159" s="90" t="s">
        <v>97</v>
      </c>
      <c r="G159" s="101"/>
      <c r="H159" s="103"/>
      <c r="I159" s="85"/>
      <c r="J159" s="172">
        <f t="shared" ref="J159" si="25">SUM(L159:S159)</f>
        <v>1174116.2674518828</v>
      </c>
      <c r="K159" s="77"/>
      <c r="L159" s="213">
        <v>6728</v>
      </c>
      <c r="M159" s="213">
        <v>395765.95999999979</v>
      </c>
      <c r="N159" s="213">
        <v>227614.04745188309</v>
      </c>
      <c r="O159" s="213">
        <v>399.16</v>
      </c>
      <c r="P159" s="213">
        <v>543609.1</v>
      </c>
      <c r="Q159" s="213"/>
      <c r="R159" s="171"/>
      <c r="S159" s="213"/>
      <c r="T159" s="85"/>
      <c r="U159" s="213">
        <v>395765.95999999979</v>
      </c>
      <c r="V159" s="213">
        <v>399.16</v>
      </c>
      <c r="W159" s="101"/>
      <c r="X159" s="171" t="s">
        <v>346</v>
      </c>
    </row>
    <row r="160" spans="1:26" s="74" customFormat="1" ht="12.75" x14ac:dyDescent="0.2">
      <c r="A160" s="89"/>
      <c r="C160" s="85"/>
      <c r="D160" s="85"/>
      <c r="E160" s="85"/>
      <c r="F160" s="90"/>
      <c r="G160" s="101"/>
      <c r="H160" s="103"/>
      <c r="I160" s="85"/>
      <c r="J160" s="171"/>
      <c r="L160" s="171"/>
      <c r="M160" s="171"/>
      <c r="N160" s="171"/>
      <c r="O160" s="171"/>
      <c r="P160" s="171"/>
      <c r="Q160" s="171"/>
      <c r="R160" s="101"/>
      <c r="S160" s="171"/>
      <c r="T160" s="85"/>
      <c r="U160" s="171"/>
      <c r="V160" s="171"/>
      <c r="W160" s="101"/>
      <c r="X160" s="78"/>
    </row>
    <row r="161" spans="1:27" s="74" customFormat="1" ht="12.75" x14ac:dyDescent="0.2">
      <c r="A161" s="89"/>
      <c r="B161" s="84" t="s">
        <v>41</v>
      </c>
      <c r="C161" s="85"/>
      <c r="D161" s="85"/>
      <c r="E161" s="85"/>
      <c r="F161" s="90"/>
      <c r="G161" s="101"/>
      <c r="H161" s="103"/>
      <c r="I161" s="85"/>
      <c r="J161" s="171"/>
      <c r="L161" s="171"/>
      <c r="M161" s="171"/>
      <c r="N161" s="171"/>
      <c r="O161" s="171"/>
      <c r="P161" s="171"/>
      <c r="Q161" s="171"/>
      <c r="R161" s="101"/>
      <c r="S161" s="171"/>
      <c r="T161" s="85"/>
      <c r="U161" s="171"/>
      <c r="V161" s="171"/>
      <c r="W161" s="101"/>
      <c r="X161" s="78"/>
    </row>
    <row r="162" spans="1:27" s="74" customFormat="1" ht="12.75" x14ac:dyDescent="0.2">
      <c r="A162" s="89"/>
      <c r="B162" s="85" t="s">
        <v>42</v>
      </c>
      <c r="C162" s="85"/>
      <c r="D162" s="85"/>
      <c r="E162" s="85"/>
      <c r="F162" s="90" t="s">
        <v>97</v>
      </c>
      <c r="G162" s="101"/>
      <c r="H162" s="103"/>
      <c r="I162" s="85"/>
      <c r="J162" s="172">
        <f t="shared" ref="J162" si="26">SUM(L162:S162)</f>
        <v>213154.5385</v>
      </c>
      <c r="K162" s="77"/>
      <c r="L162" s="213"/>
      <c r="M162" s="213"/>
      <c r="N162" s="213"/>
      <c r="O162" s="213">
        <v>213154.5385</v>
      </c>
      <c r="P162" s="213"/>
      <c r="Q162" s="213"/>
      <c r="R162" s="171"/>
      <c r="S162" s="213"/>
      <c r="T162" s="85"/>
      <c r="U162" s="213"/>
      <c r="V162" s="213">
        <v>213154.5385</v>
      </c>
      <c r="W162" s="101"/>
      <c r="X162" s="78"/>
    </row>
    <row r="163" spans="1:27" s="74" customFormat="1" ht="12.75" x14ac:dyDescent="0.2">
      <c r="A163" s="89"/>
      <c r="C163" s="85"/>
      <c r="D163" s="85"/>
      <c r="E163" s="85"/>
      <c r="F163" s="90"/>
      <c r="G163" s="101"/>
      <c r="H163" s="103"/>
      <c r="I163" s="85"/>
      <c r="J163" s="85"/>
      <c r="P163" s="171"/>
      <c r="R163" s="85"/>
      <c r="T163" s="85"/>
      <c r="U163" s="171"/>
      <c r="V163" s="171"/>
      <c r="W163" s="101"/>
      <c r="X163" s="78"/>
    </row>
    <row r="164" spans="1:27" s="47" customFormat="1" ht="12.75" x14ac:dyDescent="0.2">
      <c r="B164" s="47" t="s">
        <v>124</v>
      </c>
    </row>
    <row r="165" spans="1:27" s="80" customFormat="1" ht="12.75" x14ac:dyDescent="0.2"/>
    <row r="166" spans="1:27" s="80" customFormat="1" ht="12.75" x14ac:dyDescent="0.2">
      <c r="B166" s="84" t="s">
        <v>75</v>
      </c>
    </row>
    <row r="167" spans="1:27" s="80" customFormat="1" ht="12.75" x14ac:dyDescent="0.2">
      <c r="B167" s="85" t="s">
        <v>38</v>
      </c>
      <c r="F167" s="90" t="s">
        <v>106</v>
      </c>
      <c r="H167" s="103"/>
      <c r="J167" s="172">
        <f>SUM(L167:S167)</f>
        <v>12972698.127070708</v>
      </c>
      <c r="K167" s="77"/>
      <c r="L167" s="213"/>
      <c r="M167" s="213">
        <v>3953311.7781818197</v>
      </c>
      <c r="N167" s="213">
        <v>3116565.67</v>
      </c>
      <c r="O167" s="213"/>
      <c r="P167" s="213">
        <v>4539628.1088888906</v>
      </c>
      <c r="Q167" s="213">
        <v>15618.539999999999</v>
      </c>
      <c r="R167" s="171"/>
      <c r="S167" s="213">
        <v>1347574.0299999998</v>
      </c>
      <c r="U167" s="213">
        <v>3953311.78</v>
      </c>
      <c r="V167" s="213"/>
      <c r="X167" s="171" t="s">
        <v>349</v>
      </c>
    </row>
    <row r="168" spans="1:27" s="80" customFormat="1" ht="12.75" x14ac:dyDescent="0.2">
      <c r="B168" s="85" t="s">
        <v>25</v>
      </c>
      <c r="F168" s="90" t="s">
        <v>106</v>
      </c>
      <c r="H168" s="103"/>
      <c r="J168" s="172">
        <f>SUM(L168:S168)</f>
        <v>2912903.1620042818</v>
      </c>
      <c r="K168" s="77"/>
      <c r="L168" s="213">
        <v>6081</v>
      </c>
      <c r="M168" s="213">
        <v>939898.27904149715</v>
      </c>
      <c r="N168" s="213">
        <v>1550178.5899999999</v>
      </c>
      <c r="O168" s="213">
        <v>13046.25</v>
      </c>
      <c r="P168" s="213">
        <v>354266.48296278465</v>
      </c>
      <c r="Q168" s="213">
        <v>9068.8799999999992</v>
      </c>
      <c r="R168" s="171"/>
      <c r="S168" s="213">
        <v>40363.68</v>
      </c>
      <c r="U168" s="213">
        <v>939898.28</v>
      </c>
      <c r="V168" s="213">
        <v>13046.25</v>
      </c>
      <c r="X168" s="171" t="s">
        <v>351</v>
      </c>
    </row>
    <row r="169" spans="1:27" s="74" customFormat="1" ht="12.75" x14ac:dyDescent="0.2">
      <c r="A169" s="89"/>
      <c r="B169" s="84"/>
      <c r="C169" s="85"/>
      <c r="D169" s="85"/>
      <c r="E169" s="85"/>
      <c r="F169" s="90"/>
      <c r="G169" s="101"/>
      <c r="H169" s="103"/>
      <c r="I169" s="85"/>
      <c r="J169" s="171"/>
      <c r="L169" s="171"/>
      <c r="M169" s="171"/>
      <c r="N169" s="171"/>
      <c r="O169" s="171"/>
      <c r="P169" s="171"/>
      <c r="Q169" s="171"/>
      <c r="R169" s="101"/>
      <c r="S169" s="171"/>
      <c r="T169" s="101"/>
      <c r="U169" s="171"/>
      <c r="V169" s="171"/>
      <c r="W169" s="101"/>
      <c r="X169" s="80"/>
    </row>
    <row r="170" spans="1:27" s="74" customFormat="1" ht="12.75" x14ac:dyDescent="0.2">
      <c r="A170" s="89"/>
      <c r="B170" s="84" t="s">
        <v>74</v>
      </c>
      <c r="C170" s="85"/>
      <c r="D170" s="85"/>
      <c r="E170" s="85"/>
      <c r="F170" s="90"/>
      <c r="G170" s="101"/>
      <c r="H170" s="103"/>
      <c r="I170" s="85"/>
      <c r="J170" s="171"/>
      <c r="L170" s="171"/>
      <c r="M170" s="171"/>
      <c r="N170" s="171"/>
      <c r="O170" s="171"/>
      <c r="P170" s="171"/>
      <c r="Q170" s="171"/>
      <c r="R170" s="171"/>
      <c r="S170" s="171"/>
      <c r="T170" s="101"/>
      <c r="U170" s="171"/>
      <c r="V170" s="171"/>
      <c r="W170" s="101"/>
      <c r="X170" s="80"/>
      <c r="AA170" s="88"/>
    </row>
    <row r="171" spans="1:27" s="74" customFormat="1" ht="12.75" x14ac:dyDescent="0.2">
      <c r="A171" s="89"/>
      <c r="B171" s="85" t="s">
        <v>36</v>
      </c>
      <c r="C171" s="85"/>
      <c r="D171" s="85"/>
      <c r="E171" s="85"/>
      <c r="F171" s="90" t="s">
        <v>106</v>
      </c>
      <c r="G171" s="101"/>
      <c r="H171" s="103"/>
      <c r="I171" s="85"/>
      <c r="J171" s="172">
        <f t="shared" ref="J171:J183" si="27">SUM(L171:S171)</f>
        <v>6229017.3499999996</v>
      </c>
      <c r="K171" s="77"/>
      <c r="L171" s="213"/>
      <c r="M171" s="213">
        <v>2874249.48</v>
      </c>
      <c r="N171" s="213">
        <v>2887510.9299999997</v>
      </c>
      <c r="O171" s="213"/>
      <c r="P171" s="213">
        <v>413454.68999999936</v>
      </c>
      <c r="Q171" s="213"/>
      <c r="R171" s="171"/>
      <c r="S171" s="213">
        <v>53802.25</v>
      </c>
      <c r="T171" s="101"/>
      <c r="U171" s="213">
        <v>2874249.48</v>
      </c>
      <c r="V171" s="213"/>
      <c r="W171" s="101"/>
      <c r="X171" s="171" t="s">
        <v>347</v>
      </c>
      <c r="AA171" s="88"/>
    </row>
    <row r="172" spans="1:27" s="74" customFormat="1" ht="12.75" x14ac:dyDescent="0.2">
      <c r="A172" s="89"/>
      <c r="B172" s="85" t="s">
        <v>37</v>
      </c>
      <c r="C172" s="85"/>
      <c r="D172" s="85"/>
      <c r="E172" s="85"/>
      <c r="F172" s="90" t="s">
        <v>106</v>
      </c>
      <c r="G172" s="101"/>
      <c r="H172" s="103"/>
      <c r="I172" s="85"/>
      <c r="J172" s="172">
        <f t="shared" si="27"/>
        <v>41135565.910000019</v>
      </c>
      <c r="K172" s="77"/>
      <c r="L172" s="213">
        <v>52290</v>
      </c>
      <c r="M172" s="213">
        <v>15647412.300000001</v>
      </c>
      <c r="N172" s="213">
        <v>18625732.229999997</v>
      </c>
      <c r="O172" s="213">
        <v>41901</v>
      </c>
      <c r="P172" s="213">
        <v>4768264.3900000146</v>
      </c>
      <c r="Q172" s="213">
        <v>1441385.5100000047</v>
      </c>
      <c r="R172" s="171"/>
      <c r="S172" s="213">
        <v>558580.47999999998</v>
      </c>
      <c r="T172" s="101"/>
      <c r="U172" s="213">
        <v>15647412.300000001</v>
      </c>
      <c r="V172" s="213">
        <v>41901</v>
      </c>
      <c r="W172" s="101"/>
      <c r="X172" s="171" t="s">
        <v>348</v>
      </c>
      <c r="AA172" s="88"/>
    </row>
    <row r="173" spans="1:27" s="74" customFormat="1" ht="12.75" x14ac:dyDescent="0.2">
      <c r="A173" s="89"/>
      <c r="B173" s="85" t="s">
        <v>38</v>
      </c>
      <c r="C173" s="85"/>
      <c r="D173" s="85"/>
      <c r="E173" s="85"/>
      <c r="F173" s="90" t="s">
        <v>106</v>
      </c>
      <c r="G173" s="101"/>
      <c r="H173" s="103"/>
      <c r="I173" s="85"/>
      <c r="J173" s="172">
        <f t="shared" si="27"/>
        <v>3752644.2792296978</v>
      </c>
      <c r="K173" s="77"/>
      <c r="L173" s="213"/>
      <c r="M173" s="213">
        <v>790662.35563636397</v>
      </c>
      <c r="N173" s="213">
        <v>1038855.2233333333</v>
      </c>
      <c r="O173" s="213"/>
      <c r="P173" s="213">
        <v>1511696.1602600005</v>
      </c>
      <c r="Q173" s="213">
        <v>15618.539999999999</v>
      </c>
      <c r="R173" s="171"/>
      <c r="S173" s="213">
        <v>395812</v>
      </c>
      <c r="T173" s="101"/>
      <c r="U173" s="213">
        <v>790662.35563636397</v>
      </c>
      <c r="V173" s="213"/>
      <c r="W173" s="101"/>
      <c r="X173" s="171" t="s">
        <v>349</v>
      </c>
    </row>
    <row r="174" spans="1:27" s="74" customFormat="1" ht="12.75" x14ac:dyDescent="0.2">
      <c r="A174" s="89"/>
      <c r="B174" s="85" t="s">
        <v>39</v>
      </c>
      <c r="C174" s="85"/>
      <c r="D174" s="85"/>
      <c r="E174" s="85"/>
      <c r="F174" s="90" t="s">
        <v>106</v>
      </c>
      <c r="G174" s="101"/>
      <c r="H174" s="103"/>
      <c r="I174" s="85"/>
      <c r="J174" s="172">
        <f t="shared" si="27"/>
        <v>9878979.8200000022</v>
      </c>
      <c r="K174" s="77"/>
      <c r="L174" s="213">
        <v>23126</v>
      </c>
      <c r="M174" s="213">
        <v>3666289.3000000007</v>
      </c>
      <c r="N174" s="213">
        <v>2275343.7600000002</v>
      </c>
      <c r="O174" s="213"/>
      <c r="P174" s="213">
        <v>3770885.200000002</v>
      </c>
      <c r="Q174" s="213">
        <v>143335.56</v>
      </c>
      <c r="R174" s="171"/>
      <c r="S174" s="213"/>
      <c r="T174" s="101"/>
      <c r="U174" s="213">
        <v>3666289.3000000007</v>
      </c>
      <c r="V174" s="213"/>
      <c r="W174" s="101"/>
      <c r="X174" s="171" t="s">
        <v>350</v>
      </c>
    </row>
    <row r="175" spans="1:27" s="74" customFormat="1" ht="12.75" x14ac:dyDescent="0.2">
      <c r="A175" s="89"/>
      <c r="B175" s="85" t="s">
        <v>25</v>
      </c>
      <c r="C175" s="85"/>
      <c r="D175" s="85"/>
      <c r="E175" s="85"/>
      <c r="F175" s="90" t="s">
        <v>106</v>
      </c>
      <c r="G175" s="101"/>
      <c r="H175" s="103"/>
      <c r="I175" s="85"/>
      <c r="J175" s="172">
        <f t="shared" si="27"/>
        <v>2945471.1620042818</v>
      </c>
      <c r="K175" s="77"/>
      <c r="L175" s="213">
        <v>38649</v>
      </c>
      <c r="M175" s="213">
        <v>939898.27904149715</v>
      </c>
      <c r="N175" s="213">
        <v>1550178.5899999999</v>
      </c>
      <c r="O175" s="213">
        <v>13046.25</v>
      </c>
      <c r="P175" s="213">
        <v>354266.48296278465</v>
      </c>
      <c r="Q175" s="213">
        <v>9068.8799999999992</v>
      </c>
      <c r="R175" s="171"/>
      <c r="S175" s="213">
        <v>40363.68</v>
      </c>
      <c r="T175" s="101"/>
      <c r="U175" s="213">
        <v>939898.27904149715</v>
      </c>
      <c r="V175" s="213">
        <v>13046.25</v>
      </c>
      <c r="W175" s="101"/>
      <c r="X175" s="171" t="s">
        <v>351</v>
      </c>
    </row>
    <row r="176" spans="1:27" s="74" customFormat="1" ht="12.75" x14ac:dyDescent="0.2">
      <c r="A176" s="89"/>
      <c r="B176" s="85" t="s">
        <v>40</v>
      </c>
      <c r="C176" s="85"/>
      <c r="D176" s="85"/>
      <c r="E176" s="85"/>
      <c r="F176" s="90" t="s">
        <v>106</v>
      </c>
      <c r="G176" s="101"/>
      <c r="H176" s="103"/>
      <c r="I176" s="85"/>
      <c r="J176" s="172">
        <f t="shared" si="27"/>
        <v>3230829.1529566464</v>
      </c>
      <c r="K176" s="77"/>
      <c r="L176" s="213"/>
      <c r="M176" s="213">
        <v>0</v>
      </c>
      <c r="N176" s="213">
        <v>2035306.9662888087</v>
      </c>
      <c r="O176" s="213"/>
      <c r="P176" s="213">
        <v>1195522.1866678377</v>
      </c>
      <c r="Q176" s="213"/>
      <c r="R176" s="171"/>
      <c r="S176" s="213"/>
      <c r="T176" s="101"/>
      <c r="U176" s="213">
        <v>0</v>
      </c>
      <c r="V176" s="213"/>
      <c r="W176" s="101"/>
      <c r="X176" s="171" t="s">
        <v>352</v>
      </c>
    </row>
    <row r="177" spans="1:26" s="74" customFormat="1" ht="12.75" x14ac:dyDescent="0.2">
      <c r="A177" s="89"/>
      <c r="B177" s="85" t="s">
        <v>30</v>
      </c>
      <c r="C177" s="85"/>
      <c r="D177" s="85"/>
      <c r="E177" s="85"/>
      <c r="F177" s="90" t="s">
        <v>106</v>
      </c>
      <c r="G177" s="101"/>
      <c r="H177" s="103"/>
      <c r="I177" s="85"/>
      <c r="J177" s="172">
        <f t="shared" si="27"/>
        <v>11161026.616779407</v>
      </c>
      <c r="K177" s="77"/>
      <c r="L177" s="213"/>
      <c r="M177" s="213">
        <v>367228.69873367943</v>
      </c>
      <c r="N177" s="213"/>
      <c r="O177" s="213">
        <v>3072343.43</v>
      </c>
      <c r="P177" s="213">
        <v>7044553.7330457279</v>
      </c>
      <c r="Q177" s="213"/>
      <c r="R177" s="171"/>
      <c r="S177" s="213">
        <v>676900.75500000012</v>
      </c>
      <c r="T177" s="101"/>
      <c r="U177" s="213">
        <v>367228.69873367943</v>
      </c>
      <c r="V177" s="213">
        <v>3072343.43</v>
      </c>
      <c r="W177" s="101"/>
      <c r="X177" s="171" t="s">
        <v>353</v>
      </c>
      <c r="Z177" s="185" t="s">
        <v>625</v>
      </c>
    </row>
    <row r="178" spans="1:26" s="74" customFormat="1" ht="12.75" x14ac:dyDescent="0.2">
      <c r="A178" s="89"/>
      <c r="B178" s="85" t="s">
        <v>31</v>
      </c>
      <c r="C178" s="85"/>
      <c r="D178" s="85"/>
      <c r="E178" s="85"/>
      <c r="F178" s="90" t="s">
        <v>106</v>
      </c>
      <c r="G178" s="101"/>
      <c r="H178" s="103"/>
      <c r="I178" s="85"/>
      <c r="J178" s="172">
        <f t="shared" si="27"/>
        <v>5805987.2705972381</v>
      </c>
      <c r="K178" s="77"/>
      <c r="L178" s="213"/>
      <c r="M178" s="213">
        <v>4110730.1894272882</v>
      </c>
      <c r="N178" s="213"/>
      <c r="O178" s="213"/>
      <c r="P178" s="213">
        <v>1564033.4511699497</v>
      </c>
      <c r="Q178" s="213"/>
      <c r="R178" s="171"/>
      <c r="S178" s="213">
        <v>131223.63</v>
      </c>
      <c r="T178" s="101"/>
      <c r="U178" s="213">
        <v>4110730.1894272882</v>
      </c>
      <c r="V178" s="213"/>
      <c r="W178" s="101"/>
      <c r="X178" s="171" t="s">
        <v>354</v>
      </c>
      <c r="Z178" s="185" t="s">
        <v>626</v>
      </c>
    </row>
    <row r="179" spans="1:26" s="74" customFormat="1" ht="12.75" x14ac:dyDescent="0.2">
      <c r="A179" s="89"/>
      <c r="B179" s="85" t="s">
        <v>32</v>
      </c>
      <c r="C179" s="85"/>
      <c r="D179" s="85"/>
      <c r="E179" s="85"/>
      <c r="F179" s="90" t="s">
        <v>106</v>
      </c>
      <c r="G179" s="101"/>
      <c r="H179" s="103"/>
      <c r="I179" s="85"/>
      <c r="J179" s="172">
        <f t="shared" si="27"/>
        <v>947904.58200000005</v>
      </c>
      <c r="K179" s="77"/>
      <c r="L179" s="213"/>
      <c r="M179" s="213"/>
      <c r="N179" s="213"/>
      <c r="O179" s="213"/>
      <c r="P179" s="213">
        <v>947904.58200000005</v>
      </c>
      <c r="Q179" s="213"/>
      <c r="R179" s="171"/>
      <c r="S179" s="213"/>
      <c r="T179" s="101"/>
      <c r="U179" s="213">
        <v>0</v>
      </c>
      <c r="V179" s="213"/>
      <c r="W179" s="101"/>
      <c r="X179" s="171" t="s">
        <v>355</v>
      </c>
      <c r="Z179" s="74" t="s">
        <v>623</v>
      </c>
    </row>
    <row r="180" spans="1:26" s="74" customFormat="1" ht="12.75" x14ac:dyDescent="0.2">
      <c r="A180" s="89"/>
      <c r="B180" s="85" t="s">
        <v>33</v>
      </c>
      <c r="C180" s="85"/>
      <c r="D180" s="85"/>
      <c r="E180" s="85"/>
      <c r="F180" s="90" t="s">
        <v>106</v>
      </c>
      <c r="G180" s="101"/>
      <c r="H180" s="103"/>
      <c r="I180" s="85"/>
      <c r="J180" s="172">
        <f t="shared" si="27"/>
        <v>926129.88000000012</v>
      </c>
      <c r="K180" s="77"/>
      <c r="L180" s="213"/>
      <c r="M180" s="213"/>
      <c r="N180" s="213"/>
      <c r="O180" s="213"/>
      <c r="P180" s="213">
        <v>926129.88000000012</v>
      </c>
      <c r="Q180" s="213"/>
      <c r="R180" s="171"/>
      <c r="S180" s="213"/>
      <c r="T180" s="101"/>
      <c r="U180" s="213">
        <v>0</v>
      </c>
      <c r="V180" s="213"/>
      <c r="W180" s="101"/>
      <c r="X180" s="171" t="s">
        <v>356</v>
      </c>
      <c r="Z180" s="74" t="s">
        <v>624</v>
      </c>
    </row>
    <row r="181" spans="1:26" s="74" customFormat="1" ht="12.75" x14ac:dyDescent="0.2">
      <c r="A181" s="89"/>
      <c r="B181" s="85" t="s">
        <v>34</v>
      </c>
      <c r="C181" s="85"/>
      <c r="D181" s="85"/>
      <c r="E181" s="85"/>
      <c r="F181" s="90" t="s">
        <v>106</v>
      </c>
      <c r="G181" s="101"/>
      <c r="H181" s="103"/>
      <c r="I181" s="85"/>
      <c r="J181" s="172">
        <f t="shared" si="27"/>
        <v>0</v>
      </c>
      <c r="K181" s="77"/>
      <c r="L181" s="213"/>
      <c r="M181" s="213"/>
      <c r="N181" s="213"/>
      <c r="O181" s="213"/>
      <c r="P181" s="213"/>
      <c r="Q181" s="213"/>
      <c r="R181" s="171"/>
      <c r="S181" s="213"/>
      <c r="T181" s="101"/>
      <c r="U181" s="213">
        <v>0</v>
      </c>
      <c r="V181" s="213"/>
      <c r="W181" s="101"/>
      <c r="X181" s="171" t="s">
        <v>357</v>
      </c>
    </row>
    <row r="182" spans="1:26" s="87" customFormat="1" ht="12.75" x14ac:dyDescent="0.2">
      <c r="B182" s="184"/>
      <c r="C182" s="184"/>
      <c r="D182" s="184"/>
      <c r="E182" s="184"/>
      <c r="F182" s="103"/>
      <c r="G182" s="184"/>
      <c r="H182" s="103"/>
      <c r="I182" s="184"/>
      <c r="J182" s="78"/>
      <c r="K182" s="78"/>
      <c r="L182" s="78"/>
      <c r="M182" s="78"/>
      <c r="N182" s="78"/>
      <c r="O182" s="78"/>
      <c r="P182" s="78"/>
      <c r="Q182" s="78"/>
      <c r="R182" s="184"/>
      <c r="S182" s="78"/>
      <c r="T182" s="184"/>
      <c r="U182" s="78"/>
      <c r="V182" s="78"/>
      <c r="W182" s="184"/>
    </row>
    <row r="183" spans="1:26" s="74" customFormat="1" ht="12.75" x14ac:dyDescent="0.2">
      <c r="A183" s="89"/>
      <c r="B183" s="74" t="s">
        <v>26</v>
      </c>
      <c r="C183" s="85"/>
      <c r="D183" s="85"/>
      <c r="E183" s="85"/>
      <c r="F183" s="74" t="s">
        <v>106</v>
      </c>
      <c r="G183" s="101"/>
      <c r="H183" s="171"/>
      <c r="I183" s="85"/>
      <c r="J183" s="172">
        <f t="shared" si="27"/>
        <v>86013556.023567304</v>
      </c>
      <c r="L183" s="229">
        <f>SUM(L171:L181)</f>
        <v>114065</v>
      </c>
      <c r="M183" s="229">
        <f t="shared" ref="M183:Q183" si="28">SUM(M171:M181)</f>
        <v>28396470.602838837</v>
      </c>
      <c r="N183" s="229">
        <f t="shared" si="28"/>
        <v>28412927.699622139</v>
      </c>
      <c r="O183" s="229">
        <f t="shared" si="28"/>
        <v>3127290.68</v>
      </c>
      <c r="P183" s="229">
        <f t="shared" si="28"/>
        <v>22496710.756106313</v>
      </c>
      <c r="Q183" s="229">
        <f t="shared" si="28"/>
        <v>1609408.4900000046</v>
      </c>
      <c r="R183" s="101"/>
      <c r="S183" s="229">
        <f t="shared" ref="S183" si="29">SUM(S171:S181)</f>
        <v>1856682.7949999999</v>
      </c>
      <c r="T183" s="101"/>
      <c r="U183" s="229">
        <f t="shared" ref="U183:V183" si="30">SUM(U171:U181)</f>
        <v>28396470.602838837</v>
      </c>
      <c r="V183" s="229">
        <f t="shared" si="30"/>
        <v>3127290.68</v>
      </c>
      <c r="W183" s="101"/>
      <c r="X183" s="87"/>
    </row>
    <row r="184" spans="1:26" s="74" customFormat="1" ht="12.75" x14ac:dyDescent="0.2">
      <c r="A184" s="89"/>
      <c r="C184" s="85"/>
      <c r="D184" s="85"/>
      <c r="E184" s="85"/>
      <c r="G184" s="101"/>
      <c r="H184" s="171"/>
      <c r="I184" s="85"/>
      <c r="J184" s="171"/>
      <c r="L184" s="171"/>
      <c r="M184" s="171"/>
      <c r="N184" s="171"/>
      <c r="O184" s="171"/>
      <c r="P184" s="171"/>
      <c r="Q184" s="171"/>
      <c r="R184" s="101"/>
      <c r="S184" s="171"/>
      <c r="T184" s="101"/>
      <c r="U184" s="171"/>
      <c r="V184" s="171"/>
      <c r="W184" s="101"/>
      <c r="X184" s="87"/>
    </row>
    <row r="185" spans="1:26" s="74" customFormat="1" ht="12.75" x14ac:dyDescent="0.2">
      <c r="A185" s="89"/>
      <c r="B185" s="84" t="s">
        <v>76</v>
      </c>
      <c r="C185" s="85"/>
      <c r="D185" s="85"/>
      <c r="E185" s="85"/>
      <c r="F185" s="90"/>
      <c r="G185" s="101"/>
      <c r="H185" s="103"/>
      <c r="I185" s="85"/>
      <c r="J185" s="171"/>
      <c r="L185" s="171"/>
      <c r="M185" s="171"/>
      <c r="N185" s="171"/>
      <c r="O185" s="171"/>
      <c r="P185" s="171"/>
      <c r="Q185" s="171"/>
      <c r="R185" s="101"/>
      <c r="S185" s="171"/>
      <c r="T185" s="101"/>
      <c r="U185" s="171"/>
      <c r="V185" s="171"/>
      <c r="W185" s="101"/>
      <c r="X185" s="78"/>
    </row>
    <row r="186" spans="1:26" s="74" customFormat="1" ht="12.75" x14ac:dyDescent="0.2">
      <c r="A186" s="89"/>
      <c r="B186" s="85" t="s">
        <v>22</v>
      </c>
      <c r="C186" s="85"/>
      <c r="D186" s="85"/>
      <c r="E186" s="85"/>
      <c r="F186" s="90" t="s">
        <v>106</v>
      </c>
      <c r="G186" s="101"/>
      <c r="H186" s="103"/>
      <c r="I186" s="85"/>
      <c r="J186" s="172">
        <f t="shared" ref="J186:J194" si="31">SUM(L186:S186)</f>
        <v>5624274.4125678046</v>
      </c>
      <c r="L186" s="213">
        <v>32810</v>
      </c>
      <c r="M186" s="213">
        <v>2256895.34</v>
      </c>
      <c r="N186" s="213">
        <v>1925841.6580678048</v>
      </c>
      <c r="O186" s="213">
        <v>16180.56</v>
      </c>
      <c r="P186" s="213">
        <v>1223894.3900000011</v>
      </c>
      <c r="Q186" s="213"/>
      <c r="R186" s="171"/>
      <c r="S186" s="213">
        <v>168652.46449999997</v>
      </c>
      <c r="T186" s="101"/>
      <c r="U186" s="213">
        <v>2256895.34</v>
      </c>
      <c r="V186" s="213">
        <v>16180.56</v>
      </c>
      <c r="W186" s="101"/>
      <c r="X186" s="171" t="s">
        <v>358</v>
      </c>
    </row>
    <row r="187" spans="1:26" s="74" customFormat="1" ht="12.75" x14ac:dyDescent="0.2">
      <c r="A187" s="89"/>
      <c r="B187" s="85" t="s">
        <v>23</v>
      </c>
      <c r="C187" s="85"/>
      <c r="D187" s="85"/>
      <c r="E187" s="85"/>
      <c r="F187" s="90" t="s">
        <v>106</v>
      </c>
      <c r="G187" s="101"/>
      <c r="H187" s="103"/>
      <c r="I187" s="85"/>
      <c r="J187" s="172">
        <f t="shared" si="31"/>
        <v>2028820.9292651303</v>
      </c>
      <c r="K187" s="77"/>
      <c r="L187" s="213">
        <v>20572</v>
      </c>
      <c r="M187" s="213">
        <v>742473.5491148897</v>
      </c>
      <c r="N187" s="213">
        <v>477632.17465024238</v>
      </c>
      <c r="O187" s="213"/>
      <c r="P187" s="213">
        <v>779266.7599999985</v>
      </c>
      <c r="Q187" s="213"/>
      <c r="R187" s="171"/>
      <c r="S187" s="213">
        <v>8876.4454999999998</v>
      </c>
      <c r="T187" s="101"/>
      <c r="U187" s="213">
        <v>742473.55</v>
      </c>
      <c r="V187" s="213"/>
      <c r="W187" s="101"/>
      <c r="X187" s="171" t="s">
        <v>359</v>
      </c>
    </row>
    <row r="188" spans="1:26" s="74" customFormat="1" ht="12.75" x14ac:dyDescent="0.2">
      <c r="A188" s="89"/>
      <c r="B188" s="85" t="s">
        <v>28</v>
      </c>
      <c r="C188" s="85"/>
      <c r="D188" s="85"/>
      <c r="E188" s="85"/>
      <c r="F188" s="90" t="s">
        <v>106</v>
      </c>
      <c r="G188" s="101"/>
      <c r="H188" s="103"/>
      <c r="I188" s="85"/>
      <c r="J188" s="172">
        <f t="shared" si="31"/>
        <v>12503326.015515788</v>
      </c>
      <c r="K188" s="77"/>
      <c r="L188" s="213">
        <v>44464</v>
      </c>
      <c r="M188" s="213">
        <v>3134560.2200000007</v>
      </c>
      <c r="N188" s="213">
        <v>5088371.9777828194</v>
      </c>
      <c r="O188" s="213">
        <v>54023.03</v>
      </c>
      <c r="P188" s="213">
        <v>3786123.8410524111</v>
      </c>
      <c r="Q188" s="213">
        <v>95270.17</v>
      </c>
      <c r="R188" s="171"/>
      <c r="S188" s="213">
        <v>300512.77668055519</v>
      </c>
      <c r="T188" s="101"/>
      <c r="U188" s="213">
        <v>3134560.22</v>
      </c>
      <c r="V188" s="213">
        <v>54023.03</v>
      </c>
      <c r="W188" s="101"/>
      <c r="X188" s="171" t="s">
        <v>360</v>
      </c>
    </row>
    <row r="189" spans="1:26" s="74" customFormat="1" ht="12.75" x14ac:dyDescent="0.2">
      <c r="A189" s="89"/>
      <c r="B189" s="85" t="s">
        <v>29</v>
      </c>
      <c r="C189" s="85"/>
      <c r="D189" s="85"/>
      <c r="E189" s="85"/>
      <c r="F189" s="90" t="s">
        <v>106</v>
      </c>
      <c r="G189" s="101"/>
      <c r="H189" s="103"/>
      <c r="I189" s="85"/>
      <c r="J189" s="172">
        <f t="shared" si="31"/>
        <v>2894996.9008056941</v>
      </c>
      <c r="K189" s="77"/>
      <c r="L189" s="213"/>
      <c r="M189" s="213"/>
      <c r="N189" s="213">
        <v>1904976.22</v>
      </c>
      <c r="O189" s="213">
        <v>8564.2099999999991</v>
      </c>
      <c r="P189" s="213">
        <v>980331.16312629415</v>
      </c>
      <c r="Q189" s="213">
        <v>1125.3076793999999</v>
      </c>
      <c r="R189" s="171"/>
      <c r="S189" s="213"/>
      <c r="T189" s="101"/>
      <c r="U189" s="213">
        <v>0</v>
      </c>
      <c r="V189" s="213">
        <v>8564.2099999999991</v>
      </c>
      <c r="W189" s="101"/>
      <c r="X189" s="171" t="s">
        <v>361</v>
      </c>
    </row>
    <row r="190" spans="1:26" s="74" customFormat="1" ht="12.75" x14ac:dyDescent="0.2">
      <c r="A190" s="89"/>
      <c r="B190" s="85" t="s">
        <v>30</v>
      </c>
      <c r="C190" s="85"/>
      <c r="D190" s="85"/>
      <c r="E190" s="85"/>
      <c r="F190" s="90" t="s">
        <v>106</v>
      </c>
      <c r="G190" s="101"/>
      <c r="H190" s="103"/>
      <c r="I190" s="85"/>
      <c r="J190" s="172">
        <f t="shared" si="31"/>
        <v>678298.57428627508</v>
      </c>
      <c r="K190" s="77"/>
      <c r="L190" s="213"/>
      <c r="M190" s="213"/>
      <c r="N190" s="213">
        <v>677257.93428627506</v>
      </c>
      <c r="O190" s="213">
        <v>1040.6400000000001</v>
      </c>
      <c r="P190" s="213"/>
      <c r="Q190" s="213"/>
      <c r="R190" s="171"/>
      <c r="S190" s="213"/>
      <c r="T190" s="101"/>
      <c r="U190" s="213">
        <v>0</v>
      </c>
      <c r="V190" s="213">
        <v>1040.6400000000001</v>
      </c>
      <c r="W190" s="101"/>
      <c r="X190" s="171" t="s">
        <v>362</v>
      </c>
      <c r="Z190" s="185" t="s">
        <v>620</v>
      </c>
    </row>
    <row r="191" spans="1:26" s="74" customFormat="1" ht="12.75" x14ac:dyDescent="0.2">
      <c r="A191" s="89"/>
      <c r="B191" s="85" t="s">
        <v>31</v>
      </c>
      <c r="C191" s="85"/>
      <c r="D191" s="85"/>
      <c r="E191" s="85"/>
      <c r="F191" s="90" t="s">
        <v>106</v>
      </c>
      <c r="G191" s="101"/>
      <c r="H191" s="103"/>
      <c r="I191" s="85"/>
      <c r="J191" s="172">
        <f t="shared" si="31"/>
        <v>764079.66438529978</v>
      </c>
      <c r="K191" s="77"/>
      <c r="L191" s="213"/>
      <c r="M191" s="213"/>
      <c r="N191" s="213">
        <v>763326.30438529979</v>
      </c>
      <c r="O191" s="213">
        <v>753.36</v>
      </c>
      <c r="P191" s="213"/>
      <c r="Q191" s="213"/>
      <c r="R191" s="171"/>
      <c r="S191" s="213"/>
      <c r="T191" s="101"/>
      <c r="U191" s="213">
        <v>0</v>
      </c>
      <c r="V191" s="213">
        <v>753.36</v>
      </c>
      <c r="W191" s="101"/>
      <c r="X191" s="171" t="s">
        <v>363</v>
      </c>
      <c r="Z191" s="185" t="s">
        <v>621</v>
      </c>
    </row>
    <row r="192" spans="1:26" s="74" customFormat="1" ht="12.75" x14ac:dyDescent="0.2">
      <c r="A192" s="89"/>
      <c r="B192" s="85" t="s">
        <v>32</v>
      </c>
      <c r="C192" s="85"/>
      <c r="D192" s="85"/>
      <c r="E192" s="85"/>
      <c r="F192" s="90" t="s">
        <v>106</v>
      </c>
      <c r="G192" s="101"/>
      <c r="H192" s="103"/>
      <c r="I192" s="85"/>
      <c r="J192" s="172">
        <f t="shared" si="31"/>
        <v>2227978.63</v>
      </c>
      <c r="K192" s="77"/>
      <c r="L192" s="213"/>
      <c r="M192" s="213"/>
      <c r="N192" s="213">
        <v>2227978.63</v>
      </c>
      <c r="O192" s="213"/>
      <c r="P192" s="213"/>
      <c r="Q192" s="213"/>
      <c r="R192" s="171"/>
      <c r="S192" s="213"/>
      <c r="T192" s="101"/>
      <c r="U192" s="213">
        <v>0</v>
      </c>
      <c r="V192" s="213"/>
      <c r="W192" s="101"/>
      <c r="X192" s="171" t="s">
        <v>364</v>
      </c>
      <c r="Z192" s="74" t="s">
        <v>445</v>
      </c>
    </row>
    <row r="193" spans="1:27" s="74" customFormat="1" ht="12.75" x14ac:dyDescent="0.2">
      <c r="A193" s="89"/>
      <c r="B193" s="85" t="s">
        <v>33</v>
      </c>
      <c r="C193" s="85"/>
      <c r="D193" s="85"/>
      <c r="E193" s="85"/>
      <c r="F193" s="90" t="s">
        <v>106</v>
      </c>
      <c r="G193" s="101"/>
      <c r="H193" s="103"/>
      <c r="I193" s="85"/>
      <c r="J193" s="172">
        <f t="shared" si="31"/>
        <v>180268</v>
      </c>
      <c r="K193" s="77"/>
      <c r="L193" s="213"/>
      <c r="M193" s="213"/>
      <c r="N193" s="213">
        <v>180268</v>
      </c>
      <c r="O193" s="213"/>
      <c r="P193" s="213"/>
      <c r="Q193" s="213"/>
      <c r="R193" s="171"/>
      <c r="S193" s="213"/>
      <c r="T193" s="101"/>
      <c r="U193" s="213">
        <v>0</v>
      </c>
      <c r="V193" s="213"/>
      <c r="W193" s="101"/>
      <c r="X193" s="171" t="s">
        <v>365</v>
      </c>
      <c r="Z193" s="74" t="s">
        <v>446</v>
      </c>
    </row>
    <row r="194" spans="1:27" s="74" customFormat="1" ht="12.75" x14ac:dyDescent="0.2">
      <c r="A194" s="89"/>
      <c r="B194" s="85" t="s">
        <v>34</v>
      </c>
      <c r="C194" s="85"/>
      <c r="D194" s="85"/>
      <c r="E194" s="85"/>
      <c r="F194" s="90" t="s">
        <v>106</v>
      </c>
      <c r="G194" s="101"/>
      <c r="H194" s="103"/>
      <c r="I194" s="85"/>
      <c r="J194" s="172">
        <f t="shared" si="31"/>
        <v>1560000</v>
      </c>
      <c r="K194" s="77"/>
      <c r="L194" s="213"/>
      <c r="M194" s="213"/>
      <c r="N194" s="213">
        <v>1560000</v>
      </c>
      <c r="O194" s="213"/>
      <c r="P194" s="213"/>
      <c r="Q194" s="213"/>
      <c r="R194" s="171"/>
      <c r="S194" s="213"/>
      <c r="T194" s="101"/>
      <c r="U194" s="213">
        <v>0</v>
      </c>
      <c r="V194" s="213"/>
      <c r="W194" s="101"/>
      <c r="X194" s="171" t="s">
        <v>366</v>
      </c>
      <c r="Z194" s="74" t="s">
        <v>451</v>
      </c>
    </row>
    <row r="195" spans="1:27" s="74" customFormat="1" ht="12.75" x14ac:dyDescent="0.2">
      <c r="A195" s="89"/>
      <c r="B195" s="85"/>
      <c r="F195" s="90"/>
      <c r="G195" s="171"/>
      <c r="H195" s="103"/>
      <c r="J195" s="171"/>
      <c r="L195" s="171"/>
      <c r="M195" s="171"/>
      <c r="N195" s="171"/>
      <c r="O195" s="171"/>
      <c r="P195" s="171"/>
      <c r="Q195" s="171"/>
      <c r="R195" s="171"/>
      <c r="S195" s="171"/>
      <c r="T195" s="171"/>
      <c r="U195" s="171"/>
      <c r="V195" s="171"/>
      <c r="W195" s="171"/>
      <c r="X195" s="87"/>
    </row>
    <row r="196" spans="1:27" s="74" customFormat="1" ht="12.75" x14ac:dyDescent="0.2">
      <c r="A196" s="89"/>
      <c r="B196" s="84" t="s">
        <v>70</v>
      </c>
      <c r="C196" s="85"/>
      <c r="D196" s="85"/>
      <c r="E196" s="85"/>
      <c r="F196" s="90"/>
      <c r="G196" s="101"/>
      <c r="H196" s="103"/>
      <c r="I196" s="85"/>
      <c r="J196" s="171"/>
      <c r="L196" s="171"/>
      <c r="M196" s="171"/>
      <c r="N196" s="171"/>
      <c r="O196" s="171"/>
      <c r="P196" s="171"/>
      <c r="Q196" s="171"/>
      <c r="R196" s="101"/>
      <c r="S196" s="171"/>
      <c r="T196" s="101"/>
      <c r="U196" s="171"/>
      <c r="V196" s="171"/>
      <c r="W196" s="101"/>
      <c r="X196" s="87"/>
    </row>
    <row r="197" spans="1:27" s="74" customFormat="1" ht="12.75" x14ac:dyDescent="0.2">
      <c r="A197" s="89"/>
      <c r="B197" s="85" t="s">
        <v>71</v>
      </c>
      <c r="C197" s="85"/>
      <c r="D197" s="85"/>
      <c r="E197" s="85"/>
      <c r="F197" s="90" t="s">
        <v>106</v>
      </c>
      <c r="G197" s="101"/>
      <c r="H197" s="103"/>
      <c r="I197" s="85"/>
      <c r="J197" s="172">
        <f t="shared" ref="J197" si="32">SUM(L197:S197)</f>
        <v>1254115.2361226736</v>
      </c>
      <c r="K197" s="77"/>
      <c r="L197" s="213">
        <v>3293</v>
      </c>
      <c r="M197" s="213">
        <v>153529.56903003959</v>
      </c>
      <c r="N197" s="213">
        <v>310820.5370926318</v>
      </c>
      <c r="O197" s="213">
        <v>688.83</v>
      </c>
      <c r="P197" s="213">
        <v>785783.30000000226</v>
      </c>
      <c r="Q197" s="213"/>
      <c r="R197" s="171"/>
      <c r="S197" s="213"/>
      <c r="T197" s="101"/>
      <c r="U197" s="213">
        <v>153529.56903003959</v>
      </c>
      <c r="V197" s="213">
        <v>688.83</v>
      </c>
      <c r="W197" s="101"/>
      <c r="X197" s="171" t="s">
        <v>367</v>
      </c>
    </row>
    <row r="198" spans="1:27" s="74" customFormat="1" ht="12.75" x14ac:dyDescent="0.2">
      <c r="A198" s="89"/>
      <c r="C198" s="85"/>
      <c r="D198" s="85"/>
      <c r="E198" s="85"/>
      <c r="F198" s="90"/>
      <c r="G198" s="101"/>
      <c r="H198" s="103"/>
      <c r="I198" s="85"/>
      <c r="J198" s="171"/>
      <c r="L198" s="171"/>
      <c r="M198" s="171"/>
      <c r="N198" s="171"/>
      <c r="O198" s="171"/>
      <c r="P198" s="171"/>
      <c r="Q198" s="171"/>
      <c r="R198" s="101"/>
      <c r="S198" s="171"/>
      <c r="T198" s="101"/>
      <c r="U198" s="171"/>
      <c r="V198" s="171"/>
      <c r="W198" s="101"/>
      <c r="X198" s="78"/>
    </row>
    <row r="199" spans="1:27" s="74" customFormat="1" ht="12.75" x14ac:dyDescent="0.2">
      <c r="A199" s="89"/>
      <c r="B199" s="84" t="s">
        <v>41</v>
      </c>
      <c r="C199" s="85"/>
      <c r="D199" s="85"/>
      <c r="E199" s="85"/>
      <c r="F199" s="90"/>
      <c r="G199" s="101"/>
      <c r="H199" s="103"/>
      <c r="I199" s="85"/>
      <c r="J199" s="171"/>
      <c r="L199" s="171"/>
      <c r="M199" s="171"/>
      <c r="N199" s="171"/>
      <c r="O199" s="171"/>
      <c r="P199" s="171"/>
      <c r="Q199" s="171"/>
      <c r="R199" s="101"/>
      <c r="S199" s="171"/>
      <c r="T199" s="101"/>
      <c r="U199" s="171"/>
      <c r="V199" s="171"/>
      <c r="W199" s="101"/>
      <c r="X199" s="78"/>
    </row>
    <row r="200" spans="1:27" s="74" customFormat="1" ht="12.75" x14ac:dyDescent="0.2">
      <c r="A200" s="89"/>
      <c r="B200" s="85" t="s">
        <v>42</v>
      </c>
      <c r="C200" s="85"/>
      <c r="D200" s="85"/>
      <c r="E200" s="85"/>
      <c r="F200" s="90" t="s">
        <v>106</v>
      </c>
      <c r="G200" s="101"/>
      <c r="H200" s="103"/>
      <c r="I200" s="85"/>
      <c r="J200" s="172">
        <f t="shared" ref="J200" si="33">SUM(L200:S200)</f>
        <v>7063.13</v>
      </c>
      <c r="K200" s="77"/>
      <c r="L200" s="213"/>
      <c r="M200" s="213"/>
      <c r="N200" s="213"/>
      <c r="O200" s="213">
        <v>7063.13</v>
      </c>
      <c r="P200" s="213"/>
      <c r="Q200" s="213"/>
      <c r="R200" s="171"/>
      <c r="S200" s="213"/>
      <c r="T200" s="101"/>
      <c r="U200" s="213"/>
      <c r="V200" s="213">
        <v>7063.13</v>
      </c>
      <c r="W200" s="101"/>
      <c r="X200" s="78"/>
    </row>
    <row r="201" spans="1:27" s="74" customFormat="1" ht="12.75" x14ac:dyDescent="0.2">
      <c r="A201" s="89"/>
      <c r="C201" s="85"/>
      <c r="D201" s="85"/>
      <c r="E201" s="85"/>
      <c r="F201" s="90"/>
      <c r="G201" s="101"/>
      <c r="H201" s="103"/>
      <c r="I201" s="85"/>
      <c r="J201" s="85"/>
      <c r="P201" s="171"/>
      <c r="R201" s="85"/>
      <c r="T201" s="85"/>
      <c r="U201" s="171"/>
      <c r="V201" s="171"/>
      <c r="W201" s="101"/>
      <c r="X201" s="78"/>
    </row>
    <row r="202" spans="1:27" s="47" customFormat="1" ht="12.75" x14ac:dyDescent="0.2">
      <c r="B202" s="47" t="s">
        <v>125</v>
      </c>
    </row>
    <row r="203" spans="1:27" s="80" customFormat="1" ht="12.75" x14ac:dyDescent="0.2"/>
    <row r="204" spans="1:27" s="80" customFormat="1" ht="12.75" x14ac:dyDescent="0.2">
      <c r="B204" s="84" t="s">
        <v>75</v>
      </c>
    </row>
    <row r="205" spans="1:27" s="80" customFormat="1" ht="12.75" x14ac:dyDescent="0.2">
      <c r="B205" s="85" t="s">
        <v>38</v>
      </c>
      <c r="F205" s="90" t="s">
        <v>113</v>
      </c>
      <c r="H205" s="103"/>
      <c r="J205" s="198">
        <f>SUM(L205:S205)</f>
        <v>14276162.95944592</v>
      </c>
      <c r="K205" s="202"/>
      <c r="L205" s="243">
        <v>0</v>
      </c>
      <c r="M205" s="243">
        <v>4329658.160000002</v>
      </c>
      <c r="N205" s="243">
        <v>4077941.85</v>
      </c>
      <c r="O205" s="243">
        <v>23848.880000000001</v>
      </c>
      <c r="P205" s="243">
        <v>4661537.0999999996</v>
      </c>
      <c r="Q205" s="243">
        <v>17496.84</v>
      </c>
      <c r="R205" s="176"/>
      <c r="S205" s="243">
        <v>1165680.1294459184</v>
      </c>
      <c r="T205" s="247"/>
      <c r="U205" s="243">
        <v>4329658.160000002</v>
      </c>
      <c r="V205" s="243">
        <v>23848.880000000001</v>
      </c>
      <c r="X205" s="171" t="s">
        <v>370</v>
      </c>
    </row>
    <row r="206" spans="1:27" s="80" customFormat="1" ht="12.75" x14ac:dyDescent="0.2">
      <c r="B206" s="85" t="s">
        <v>25</v>
      </c>
      <c r="F206" s="90" t="s">
        <v>113</v>
      </c>
      <c r="H206" s="103"/>
      <c r="J206" s="198">
        <f>SUM(L206:S206)</f>
        <v>5516164.5106465323</v>
      </c>
      <c r="K206" s="202"/>
      <c r="L206" s="243">
        <v>6101.0399999999991</v>
      </c>
      <c r="M206" s="243">
        <v>785776.98170159629</v>
      </c>
      <c r="N206" s="243">
        <v>4419318.4800000004</v>
      </c>
      <c r="O206" s="243">
        <v>12491.25</v>
      </c>
      <c r="P206" s="243">
        <v>248772.45894493579</v>
      </c>
      <c r="Q206" s="243">
        <v>10187.29999999999</v>
      </c>
      <c r="R206" s="176"/>
      <c r="S206" s="243">
        <v>33517</v>
      </c>
      <c r="T206" s="247"/>
      <c r="U206" s="243">
        <v>785776.98170159629</v>
      </c>
      <c r="V206" s="243">
        <v>12491.25</v>
      </c>
      <c r="X206" s="171" t="s">
        <v>372</v>
      </c>
    </row>
    <row r="207" spans="1:27" s="74" customFormat="1" ht="12.75" x14ac:dyDescent="0.2">
      <c r="A207" s="89"/>
      <c r="B207" s="84"/>
      <c r="C207" s="85"/>
      <c r="D207" s="85"/>
      <c r="E207" s="85"/>
      <c r="F207" s="90"/>
      <c r="G207" s="101"/>
      <c r="H207" s="103"/>
      <c r="I207" s="85"/>
      <c r="J207" s="176"/>
      <c r="K207" s="176"/>
      <c r="L207" s="176"/>
      <c r="M207" s="176"/>
      <c r="N207" s="176"/>
      <c r="O207" s="176"/>
      <c r="P207" s="176"/>
      <c r="Q207" s="176"/>
      <c r="R207" s="101"/>
      <c r="S207" s="176"/>
      <c r="T207" s="101"/>
      <c r="U207" s="176"/>
      <c r="V207" s="176"/>
      <c r="W207" s="101"/>
      <c r="X207" s="80"/>
    </row>
    <row r="208" spans="1:27" s="74" customFormat="1" ht="12.75" x14ac:dyDescent="0.2">
      <c r="A208" s="89"/>
      <c r="B208" s="84" t="s">
        <v>74</v>
      </c>
      <c r="C208" s="85"/>
      <c r="D208" s="85"/>
      <c r="E208" s="85"/>
      <c r="F208" s="90"/>
      <c r="G208" s="101"/>
      <c r="H208" s="103"/>
      <c r="I208" s="85"/>
      <c r="J208" s="176"/>
      <c r="K208" s="176"/>
      <c r="L208" s="176"/>
      <c r="M208" s="176"/>
      <c r="N208" s="176"/>
      <c r="O208" s="176"/>
      <c r="P208" s="176"/>
      <c r="Q208" s="176"/>
      <c r="R208" s="176"/>
      <c r="S208" s="176"/>
      <c r="T208" s="101"/>
      <c r="U208" s="176"/>
      <c r="V208" s="176"/>
      <c r="W208" s="101"/>
      <c r="X208" s="80"/>
      <c r="AA208" s="88"/>
    </row>
    <row r="209" spans="1:27" s="74" customFormat="1" ht="12.75" x14ac:dyDescent="0.2">
      <c r="A209" s="89"/>
      <c r="B209" s="85" t="s">
        <v>36</v>
      </c>
      <c r="C209" s="85"/>
      <c r="D209" s="85"/>
      <c r="E209" s="85"/>
      <c r="F209" s="90" t="s">
        <v>113</v>
      </c>
      <c r="G209" s="101"/>
      <c r="H209" s="103"/>
      <c r="I209" s="85"/>
      <c r="J209" s="198">
        <f t="shared" ref="J209:J221" si="34">SUM(L209:S209)</f>
        <v>7567149.323194053</v>
      </c>
      <c r="K209" s="202"/>
      <c r="L209" s="243">
        <v>18710.700000000004</v>
      </c>
      <c r="M209" s="243">
        <v>3384460.44</v>
      </c>
      <c r="N209" s="243">
        <v>4087570.5931940535</v>
      </c>
      <c r="O209" s="243">
        <v>0</v>
      </c>
      <c r="P209" s="243">
        <v>37784.269999999997</v>
      </c>
      <c r="Q209" s="243">
        <v>0</v>
      </c>
      <c r="R209" s="176"/>
      <c r="S209" s="243">
        <v>38623.32</v>
      </c>
      <c r="T209" s="101"/>
      <c r="U209" s="243">
        <v>3384460.44</v>
      </c>
      <c r="V209" s="243">
        <v>0</v>
      </c>
      <c r="W209" s="101"/>
      <c r="X209" s="171" t="s">
        <v>368</v>
      </c>
      <c r="AA209" s="88"/>
    </row>
    <row r="210" spans="1:27" s="74" customFormat="1" ht="12.75" x14ac:dyDescent="0.2">
      <c r="A210" s="89"/>
      <c r="B210" s="85" t="s">
        <v>37</v>
      </c>
      <c r="C210" s="85"/>
      <c r="D210" s="85"/>
      <c r="E210" s="85"/>
      <c r="F210" s="90" t="s">
        <v>113</v>
      </c>
      <c r="G210" s="101"/>
      <c r="H210" s="103"/>
      <c r="I210" s="85"/>
      <c r="J210" s="198">
        <f t="shared" si="34"/>
        <v>41413019.699500002</v>
      </c>
      <c r="K210" s="202"/>
      <c r="L210" s="243">
        <v>49274.119500000015</v>
      </c>
      <c r="M210" s="243">
        <v>15886095.480000002</v>
      </c>
      <c r="N210" s="243">
        <v>17136106.420000002</v>
      </c>
      <c r="O210" s="243">
        <v>85290</v>
      </c>
      <c r="P210" s="243">
        <v>5385966.2000000002</v>
      </c>
      <c r="Q210" s="243">
        <v>2141632.709999993</v>
      </c>
      <c r="R210" s="176"/>
      <c r="S210" s="243">
        <v>728654.77</v>
      </c>
      <c r="T210" s="101"/>
      <c r="U210" s="243">
        <v>15886095.480000002</v>
      </c>
      <c r="V210" s="243">
        <v>85290</v>
      </c>
      <c r="W210" s="101"/>
      <c r="X210" s="171" t="s">
        <v>369</v>
      </c>
      <c r="AA210" s="88"/>
    </row>
    <row r="211" spans="1:27" s="74" customFormat="1" ht="12.75" x14ac:dyDescent="0.2">
      <c r="A211" s="89"/>
      <c r="B211" s="85" t="s">
        <v>38</v>
      </c>
      <c r="C211" s="85"/>
      <c r="D211" s="85"/>
      <c r="E211" s="85"/>
      <c r="F211" s="90" t="s">
        <v>113</v>
      </c>
      <c r="G211" s="101"/>
      <c r="H211" s="103"/>
      <c r="I211" s="85"/>
      <c r="J211" s="198">
        <f t="shared" si="34"/>
        <v>4147086.2763</v>
      </c>
      <c r="K211" s="202"/>
      <c r="L211" s="243">
        <v>0</v>
      </c>
      <c r="M211" s="243">
        <v>865931.63200000045</v>
      </c>
      <c r="N211" s="243">
        <v>1359313.95</v>
      </c>
      <c r="O211" s="243">
        <v>0</v>
      </c>
      <c r="P211" s="243">
        <v>1552291.8543</v>
      </c>
      <c r="Q211" s="243">
        <v>17496.84</v>
      </c>
      <c r="R211" s="176"/>
      <c r="S211" s="243">
        <v>352052</v>
      </c>
      <c r="T211" s="101"/>
      <c r="U211" s="243">
        <v>865931.63200000045</v>
      </c>
      <c r="V211" s="243">
        <v>0</v>
      </c>
      <c r="W211" s="101"/>
      <c r="X211" s="171" t="s">
        <v>370</v>
      </c>
    </row>
    <row r="212" spans="1:27" s="74" customFormat="1" ht="12.75" x14ac:dyDescent="0.2">
      <c r="A212" s="89"/>
      <c r="B212" s="85" t="s">
        <v>39</v>
      </c>
      <c r="C212" s="85"/>
      <c r="D212" s="85"/>
      <c r="E212" s="85"/>
      <c r="F212" s="90" t="s">
        <v>113</v>
      </c>
      <c r="G212" s="101"/>
      <c r="H212" s="103"/>
      <c r="I212" s="85"/>
      <c r="J212" s="198">
        <f t="shared" si="34"/>
        <v>10769052.959999999</v>
      </c>
      <c r="K212" s="202"/>
      <c r="L212" s="243">
        <v>10934.349999999993</v>
      </c>
      <c r="M212" s="243">
        <v>3636589.13</v>
      </c>
      <c r="N212" s="243">
        <v>2769258.4799999991</v>
      </c>
      <c r="O212" s="243">
        <v>0</v>
      </c>
      <c r="P212" s="243">
        <v>4229864.43</v>
      </c>
      <c r="Q212" s="243">
        <v>122406.56999999999</v>
      </c>
      <c r="R212" s="176"/>
      <c r="S212" s="243">
        <v>0</v>
      </c>
      <c r="T212" s="101"/>
      <c r="U212" s="243">
        <v>3636589.13</v>
      </c>
      <c r="V212" s="243">
        <v>0</v>
      </c>
      <c r="W212" s="101"/>
      <c r="X212" s="171" t="s">
        <v>371</v>
      </c>
    </row>
    <row r="213" spans="1:27" s="74" customFormat="1" ht="12.75" x14ac:dyDescent="0.2">
      <c r="A213" s="89"/>
      <c r="B213" s="85" t="s">
        <v>25</v>
      </c>
      <c r="C213" s="85"/>
      <c r="D213" s="85"/>
      <c r="E213" s="85"/>
      <c r="F213" s="90" t="s">
        <v>113</v>
      </c>
      <c r="G213" s="101"/>
      <c r="H213" s="103"/>
      <c r="I213" s="85"/>
      <c r="J213" s="198">
        <f t="shared" si="34"/>
        <v>5550423.7606465323</v>
      </c>
      <c r="K213" s="202"/>
      <c r="L213" s="243">
        <v>40360.289999999986</v>
      </c>
      <c r="M213" s="243">
        <v>785776.98170159629</v>
      </c>
      <c r="N213" s="243">
        <v>4419318.4800000004</v>
      </c>
      <c r="O213" s="243">
        <v>12491.25</v>
      </c>
      <c r="P213" s="243">
        <v>248772.45894493579</v>
      </c>
      <c r="Q213" s="243">
        <v>10187.29999999999</v>
      </c>
      <c r="R213" s="176"/>
      <c r="S213" s="243">
        <v>33517</v>
      </c>
      <c r="T213" s="101"/>
      <c r="U213" s="243">
        <v>785776.98170159629</v>
      </c>
      <c r="V213" s="243">
        <v>12491.25</v>
      </c>
      <c r="W213" s="101"/>
      <c r="X213" s="171" t="s">
        <v>372</v>
      </c>
    </row>
    <row r="214" spans="1:27" s="74" customFormat="1" ht="12.75" x14ac:dyDescent="0.2">
      <c r="A214" s="89"/>
      <c r="B214" s="85" t="s">
        <v>40</v>
      </c>
      <c r="C214" s="85"/>
      <c r="D214" s="85"/>
      <c r="E214" s="85"/>
      <c r="F214" s="90" t="s">
        <v>113</v>
      </c>
      <c r="G214" s="101"/>
      <c r="H214" s="103"/>
      <c r="I214" s="85"/>
      <c r="J214" s="198">
        <f t="shared" si="34"/>
        <v>3615378.6613717512</v>
      </c>
      <c r="K214" s="202"/>
      <c r="L214" s="243">
        <v>0</v>
      </c>
      <c r="M214" s="243">
        <v>0</v>
      </c>
      <c r="N214" s="243">
        <v>2690640.4929188499</v>
      </c>
      <c r="O214" s="243">
        <v>0</v>
      </c>
      <c r="P214" s="243">
        <v>924738.16845290118</v>
      </c>
      <c r="Q214" s="243">
        <v>0</v>
      </c>
      <c r="R214" s="176"/>
      <c r="S214" s="243">
        <v>0</v>
      </c>
      <c r="T214" s="101"/>
      <c r="U214" s="243">
        <v>0</v>
      </c>
      <c r="V214" s="243">
        <v>0</v>
      </c>
      <c r="W214" s="101"/>
      <c r="X214" s="171" t="s">
        <v>373</v>
      </c>
    </row>
    <row r="215" spans="1:27" s="74" customFormat="1" ht="12.75" x14ac:dyDescent="0.2">
      <c r="A215" s="89"/>
      <c r="B215" s="85" t="s">
        <v>30</v>
      </c>
      <c r="C215" s="85"/>
      <c r="D215" s="85"/>
      <c r="E215" s="85"/>
      <c r="F215" s="90" t="s">
        <v>113</v>
      </c>
      <c r="G215" s="101"/>
      <c r="H215" s="103"/>
      <c r="I215" s="85"/>
      <c r="J215" s="198">
        <f t="shared" si="34"/>
        <v>6505177.613946816</v>
      </c>
      <c r="K215" s="202"/>
      <c r="L215" s="243">
        <v>153278</v>
      </c>
      <c r="M215" s="243">
        <v>529009.41343494039</v>
      </c>
      <c r="N215" s="243">
        <v>0</v>
      </c>
      <c r="O215" s="243">
        <v>1123490.97</v>
      </c>
      <c r="P215" s="243">
        <v>4130793.8005118761</v>
      </c>
      <c r="Q215" s="243">
        <v>0</v>
      </c>
      <c r="R215" s="176"/>
      <c r="S215" s="243">
        <v>568605.43000000017</v>
      </c>
      <c r="T215" s="101"/>
      <c r="U215" s="243">
        <v>529009.41343494039</v>
      </c>
      <c r="V215" s="243">
        <v>1123490.97</v>
      </c>
      <c r="W215" s="101"/>
      <c r="X215" s="171" t="s">
        <v>374</v>
      </c>
    </row>
    <row r="216" spans="1:27" s="74" customFormat="1" ht="12.75" x14ac:dyDescent="0.2">
      <c r="A216" s="89"/>
      <c r="B216" s="85" t="s">
        <v>31</v>
      </c>
      <c r="C216" s="85"/>
      <c r="D216" s="85"/>
      <c r="E216" s="85"/>
      <c r="F216" s="90" t="s">
        <v>113</v>
      </c>
      <c r="G216" s="101"/>
      <c r="H216" s="103"/>
      <c r="I216" s="85"/>
      <c r="J216" s="198">
        <f t="shared" si="34"/>
        <v>1934158.9344529673</v>
      </c>
      <c r="K216" s="202"/>
      <c r="L216" s="243">
        <v>0</v>
      </c>
      <c r="M216" s="243">
        <v>0</v>
      </c>
      <c r="N216" s="243">
        <v>0</v>
      </c>
      <c r="O216" s="243">
        <v>0</v>
      </c>
      <c r="P216" s="243">
        <v>1829378.6844529673</v>
      </c>
      <c r="Q216" s="243">
        <v>0</v>
      </c>
      <c r="R216" s="176"/>
      <c r="S216" s="243">
        <v>104780.25</v>
      </c>
      <c r="T216" s="101"/>
      <c r="U216" s="243">
        <v>0</v>
      </c>
      <c r="V216" s="243">
        <v>0</v>
      </c>
      <c r="W216" s="101"/>
      <c r="X216" s="171" t="s">
        <v>375</v>
      </c>
    </row>
    <row r="217" spans="1:27" s="74" customFormat="1" ht="12.75" x14ac:dyDescent="0.2">
      <c r="A217" s="89"/>
      <c r="B217" s="85" t="s">
        <v>32</v>
      </c>
      <c r="C217" s="85"/>
      <c r="D217" s="85"/>
      <c r="E217" s="85"/>
      <c r="F217" s="90" t="s">
        <v>113</v>
      </c>
      <c r="G217" s="101"/>
      <c r="H217" s="103"/>
      <c r="I217" s="85"/>
      <c r="J217" s="198">
        <f t="shared" si="34"/>
        <v>1148606.602</v>
      </c>
      <c r="K217" s="202"/>
      <c r="L217" s="243">
        <v>0</v>
      </c>
      <c r="M217" s="243">
        <v>0</v>
      </c>
      <c r="N217" s="243">
        <v>0</v>
      </c>
      <c r="O217" s="243">
        <v>0</v>
      </c>
      <c r="P217" s="243">
        <v>1148606.602</v>
      </c>
      <c r="Q217" s="243">
        <v>0</v>
      </c>
      <c r="R217" s="176"/>
      <c r="S217" s="243">
        <v>0</v>
      </c>
      <c r="T217" s="101"/>
      <c r="U217" s="243">
        <v>0</v>
      </c>
      <c r="V217" s="243">
        <v>0</v>
      </c>
      <c r="W217" s="101"/>
      <c r="X217" s="171" t="s">
        <v>376</v>
      </c>
    </row>
    <row r="218" spans="1:27" s="74" customFormat="1" ht="12.75" x14ac:dyDescent="0.2">
      <c r="A218" s="89"/>
      <c r="B218" s="85" t="s">
        <v>33</v>
      </c>
      <c r="C218" s="85"/>
      <c r="D218" s="85"/>
      <c r="E218" s="85"/>
      <c r="F218" s="90" t="s">
        <v>113</v>
      </c>
      <c r="G218" s="101"/>
      <c r="H218" s="103"/>
      <c r="I218" s="85"/>
      <c r="J218" s="198">
        <f t="shared" si="34"/>
        <v>451653.41</v>
      </c>
      <c r="K218" s="202"/>
      <c r="L218" s="243">
        <v>0</v>
      </c>
      <c r="M218" s="243">
        <v>0</v>
      </c>
      <c r="N218" s="243">
        <v>0</v>
      </c>
      <c r="O218" s="243">
        <v>0</v>
      </c>
      <c r="P218" s="243">
        <v>451653.41</v>
      </c>
      <c r="Q218" s="243">
        <v>0</v>
      </c>
      <c r="R218" s="176"/>
      <c r="S218" s="243">
        <v>0</v>
      </c>
      <c r="T218" s="101"/>
      <c r="U218" s="243">
        <v>0</v>
      </c>
      <c r="V218" s="243">
        <v>0</v>
      </c>
      <c r="W218" s="101"/>
      <c r="X218" s="171" t="s">
        <v>377</v>
      </c>
    </row>
    <row r="219" spans="1:27" s="74" customFormat="1" ht="12.75" x14ac:dyDescent="0.2">
      <c r="A219" s="89"/>
      <c r="B219" s="85" t="s">
        <v>34</v>
      </c>
      <c r="C219" s="85"/>
      <c r="D219" s="85"/>
      <c r="E219" s="85"/>
      <c r="F219" s="90" t="s">
        <v>113</v>
      </c>
      <c r="G219" s="101"/>
      <c r="H219" s="103"/>
      <c r="I219" s="85"/>
      <c r="J219" s="198">
        <f t="shared" si="34"/>
        <v>3232827.938123445</v>
      </c>
      <c r="K219" s="202"/>
      <c r="L219" s="243">
        <v>0</v>
      </c>
      <c r="M219" s="243">
        <v>3232827.938123445</v>
      </c>
      <c r="N219" s="243">
        <v>0</v>
      </c>
      <c r="O219" s="243">
        <v>0</v>
      </c>
      <c r="P219" s="243">
        <v>0</v>
      </c>
      <c r="Q219" s="243">
        <v>0</v>
      </c>
      <c r="R219" s="176"/>
      <c r="S219" s="243">
        <v>0</v>
      </c>
      <c r="T219" s="101"/>
      <c r="U219" s="243">
        <v>3232827.938123445</v>
      </c>
      <c r="V219" s="243">
        <v>0</v>
      </c>
      <c r="W219" s="101"/>
      <c r="X219" s="171" t="s">
        <v>378</v>
      </c>
    </row>
    <row r="220" spans="1:27" s="87" customFormat="1" ht="12.75" x14ac:dyDescent="0.2">
      <c r="B220" s="184"/>
      <c r="C220" s="184"/>
      <c r="D220" s="184"/>
      <c r="E220" s="184"/>
      <c r="F220" s="103"/>
      <c r="G220" s="184"/>
      <c r="H220" s="103"/>
      <c r="I220" s="184"/>
      <c r="J220" s="206"/>
      <c r="K220" s="206"/>
      <c r="L220" s="206"/>
      <c r="M220" s="206"/>
      <c r="N220" s="206"/>
      <c r="O220" s="206"/>
      <c r="P220" s="206"/>
      <c r="Q220" s="206"/>
      <c r="R220" s="184"/>
      <c r="S220" s="206"/>
      <c r="T220" s="184"/>
      <c r="U220" s="206"/>
      <c r="V220" s="206"/>
      <c r="W220" s="184"/>
    </row>
    <row r="221" spans="1:27" s="74" customFormat="1" ht="12.75" x14ac:dyDescent="0.2">
      <c r="A221" s="89"/>
      <c r="B221" s="74" t="s">
        <v>26</v>
      </c>
      <c r="C221" s="85"/>
      <c r="D221" s="85"/>
      <c r="E221" s="85"/>
      <c r="F221" s="103" t="s">
        <v>113</v>
      </c>
      <c r="G221" s="101"/>
      <c r="H221" s="103"/>
      <c r="I221" s="85"/>
      <c r="J221" s="198">
        <f t="shared" si="34"/>
        <v>86334535.179535553</v>
      </c>
      <c r="K221" s="176"/>
      <c r="L221" s="241">
        <f>SUM(L209:L219)</f>
        <v>272557.4595</v>
      </c>
      <c r="M221" s="241">
        <f t="shared" ref="M221:Q221" si="35">SUM(M209:M219)</f>
        <v>28320691.015259985</v>
      </c>
      <c r="N221" s="241">
        <f t="shared" si="35"/>
        <v>32462208.416112904</v>
      </c>
      <c r="O221" s="241">
        <f t="shared" si="35"/>
        <v>1221272.22</v>
      </c>
      <c r="P221" s="241">
        <f t="shared" si="35"/>
        <v>19939849.878662679</v>
      </c>
      <c r="Q221" s="241">
        <f t="shared" si="35"/>
        <v>2291723.4199999925</v>
      </c>
      <c r="R221" s="101"/>
      <c r="S221" s="241">
        <f>SUM(S209:S219)</f>
        <v>1826232.77</v>
      </c>
      <c r="T221" s="101"/>
      <c r="U221" s="241">
        <f t="shared" ref="U221:V221" si="36">SUM(U209:U219)</f>
        <v>28320691.015259985</v>
      </c>
      <c r="V221" s="241">
        <f t="shared" si="36"/>
        <v>1221272.22</v>
      </c>
      <c r="W221" s="101"/>
      <c r="X221" s="87"/>
    </row>
    <row r="222" spans="1:27" s="74" customFormat="1" ht="12.75" x14ac:dyDescent="0.2">
      <c r="A222" s="89"/>
      <c r="C222" s="85"/>
      <c r="D222" s="85"/>
      <c r="E222" s="85"/>
      <c r="G222" s="101"/>
      <c r="H222" s="171"/>
      <c r="I222" s="85"/>
      <c r="J222" s="176"/>
      <c r="K222" s="176"/>
      <c r="L222" s="176"/>
      <c r="M222" s="176"/>
      <c r="N222" s="176"/>
      <c r="O222" s="176"/>
      <c r="P222" s="176"/>
      <c r="Q222" s="176"/>
      <c r="R222" s="101"/>
      <c r="S222" s="176"/>
      <c r="T222" s="101"/>
      <c r="U222" s="176"/>
      <c r="V222" s="176"/>
      <c r="W222" s="101"/>
      <c r="X222" s="87"/>
    </row>
    <row r="223" spans="1:27" s="74" customFormat="1" ht="12.75" x14ac:dyDescent="0.2">
      <c r="A223" s="89"/>
      <c r="B223" s="84" t="s">
        <v>76</v>
      </c>
      <c r="C223" s="85"/>
      <c r="D223" s="85"/>
      <c r="E223" s="85"/>
      <c r="F223" s="90"/>
      <c r="G223" s="101"/>
      <c r="H223" s="103"/>
      <c r="I223" s="85"/>
      <c r="J223" s="176"/>
      <c r="K223" s="176"/>
      <c r="L223" s="176"/>
      <c r="M223" s="176"/>
      <c r="N223" s="176"/>
      <c r="O223" s="176"/>
      <c r="P223" s="176"/>
      <c r="Q223" s="176"/>
      <c r="R223" s="101"/>
      <c r="S223" s="176"/>
      <c r="T223" s="101"/>
      <c r="U223" s="176"/>
      <c r="V223" s="176"/>
      <c r="W223" s="101"/>
      <c r="X223" s="78"/>
    </row>
    <row r="224" spans="1:27" s="74" customFormat="1" ht="12.75" x14ac:dyDescent="0.2">
      <c r="A224" s="89"/>
      <c r="B224" s="85" t="s">
        <v>22</v>
      </c>
      <c r="C224" s="85"/>
      <c r="D224" s="85"/>
      <c r="E224" s="85"/>
      <c r="F224" s="90" t="s">
        <v>113</v>
      </c>
      <c r="G224" s="101"/>
      <c r="H224" s="103"/>
      <c r="I224" s="85"/>
      <c r="J224" s="198">
        <f t="shared" ref="J224:J232" si="37">SUM(L224:S224)</f>
        <v>5101016.5625323569</v>
      </c>
      <c r="K224" s="176"/>
      <c r="L224" s="243">
        <v>36240.49</v>
      </c>
      <c r="M224" s="243">
        <v>2000860.33</v>
      </c>
      <c r="N224" s="243">
        <v>1857186.5815323568</v>
      </c>
      <c r="O224" s="243">
        <v>29425.48</v>
      </c>
      <c r="P224" s="243">
        <v>1115409.3400000001</v>
      </c>
      <c r="Q224" s="243">
        <v>1226.22</v>
      </c>
      <c r="R224" s="176"/>
      <c r="S224" s="243">
        <v>60668.121000000014</v>
      </c>
      <c r="T224" s="101"/>
      <c r="U224" s="243">
        <v>2000860.33</v>
      </c>
      <c r="V224" s="243">
        <v>29425.48</v>
      </c>
      <c r="W224" s="101"/>
      <c r="X224" s="171" t="s">
        <v>379</v>
      </c>
    </row>
    <row r="225" spans="1:24" s="74" customFormat="1" ht="12.75" x14ac:dyDescent="0.2">
      <c r="A225" s="89"/>
      <c r="B225" s="85" t="s">
        <v>23</v>
      </c>
      <c r="C225" s="85"/>
      <c r="D225" s="85"/>
      <c r="E225" s="85"/>
      <c r="F225" s="90" t="s">
        <v>113</v>
      </c>
      <c r="G225" s="101"/>
      <c r="H225" s="103"/>
      <c r="I225" s="85"/>
      <c r="J225" s="198">
        <f t="shared" si="37"/>
        <v>1449509.8690988463</v>
      </c>
      <c r="K225" s="202"/>
      <c r="L225" s="243">
        <v>26993.229999999996</v>
      </c>
      <c r="M225" s="243">
        <v>610706.25799751165</v>
      </c>
      <c r="N225" s="243">
        <v>298248.73210133665</v>
      </c>
      <c r="O225" s="243">
        <v>0</v>
      </c>
      <c r="P225" s="243">
        <v>510368.58999999822</v>
      </c>
      <c r="Q225" s="243">
        <v>0</v>
      </c>
      <c r="R225" s="176"/>
      <c r="S225" s="243">
        <v>3193.0590000000011</v>
      </c>
      <c r="T225" s="101"/>
      <c r="U225" s="243">
        <v>610706.25799751165</v>
      </c>
      <c r="V225" s="243">
        <v>0</v>
      </c>
      <c r="W225" s="101"/>
      <c r="X225" s="171" t="s">
        <v>380</v>
      </c>
    </row>
    <row r="226" spans="1:24" s="74" customFormat="1" ht="12.75" x14ac:dyDescent="0.2">
      <c r="A226" s="89"/>
      <c r="B226" s="85" t="s">
        <v>28</v>
      </c>
      <c r="C226" s="85"/>
      <c r="D226" s="85"/>
      <c r="E226" s="85"/>
      <c r="F226" s="90" t="s">
        <v>113</v>
      </c>
      <c r="G226" s="101"/>
      <c r="H226" s="103"/>
      <c r="I226" s="85"/>
      <c r="J226" s="198">
        <f t="shared" si="37"/>
        <v>11231473.347020928</v>
      </c>
      <c r="K226" s="202"/>
      <c r="L226" s="243">
        <v>82281.759999999995</v>
      </c>
      <c r="M226" s="243">
        <v>3209494.3199999994</v>
      </c>
      <c r="N226" s="243">
        <v>5286023.46</v>
      </c>
      <c r="O226" s="243">
        <v>119439.7</v>
      </c>
      <c r="P226" s="243">
        <v>2224460.7273028726</v>
      </c>
      <c r="Q226" s="243">
        <v>94594.569999999978</v>
      </c>
      <c r="R226" s="176"/>
      <c r="S226" s="243">
        <v>215178.80971805722</v>
      </c>
      <c r="T226" s="101"/>
      <c r="U226" s="243">
        <v>3209494.3199999994</v>
      </c>
      <c r="V226" s="243">
        <v>119439.7</v>
      </c>
      <c r="W226" s="101"/>
      <c r="X226" s="171" t="s">
        <v>381</v>
      </c>
    </row>
    <row r="227" spans="1:24" s="74" customFormat="1" ht="12.75" x14ac:dyDescent="0.2">
      <c r="A227" s="89"/>
      <c r="B227" s="85" t="s">
        <v>29</v>
      </c>
      <c r="C227" s="85"/>
      <c r="D227" s="85"/>
      <c r="E227" s="85"/>
      <c r="F227" s="90" t="s">
        <v>113</v>
      </c>
      <c r="G227" s="101"/>
      <c r="H227" s="103"/>
      <c r="I227" s="85"/>
      <c r="J227" s="198">
        <f t="shared" si="37"/>
        <v>2339741.3400000054</v>
      </c>
      <c r="K227" s="202"/>
      <c r="L227" s="243">
        <v>0</v>
      </c>
      <c r="M227" s="243">
        <v>0</v>
      </c>
      <c r="N227" s="243">
        <v>1509146.8</v>
      </c>
      <c r="O227" s="243">
        <v>9874.65</v>
      </c>
      <c r="P227" s="243">
        <v>820426.83728480549</v>
      </c>
      <c r="Q227" s="243">
        <v>293.05271520000002</v>
      </c>
      <c r="R227" s="176"/>
      <c r="S227" s="243">
        <v>0</v>
      </c>
      <c r="T227" s="101"/>
      <c r="U227" s="243">
        <v>0</v>
      </c>
      <c r="V227" s="243">
        <v>9874.65</v>
      </c>
      <c r="W227" s="101"/>
      <c r="X227" s="171" t="s">
        <v>382</v>
      </c>
    </row>
    <row r="228" spans="1:24" s="74" customFormat="1" ht="12.75" x14ac:dyDescent="0.2">
      <c r="A228" s="89"/>
      <c r="B228" s="85" t="s">
        <v>30</v>
      </c>
      <c r="C228" s="85"/>
      <c r="D228" s="85"/>
      <c r="E228" s="85"/>
      <c r="F228" s="90" t="s">
        <v>113</v>
      </c>
      <c r="G228" s="101"/>
      <c r="H228" s="103"/>
      <c r="I228" s="85"/>
      <c r="J228" s="198">
        <f t="shared" si="37"/>
        <v>342954.3</v>
      </c>
      <c r="K228" s="202"/>
      <c r="L228" s="243">
        <v>0</v>
      </c>
      <c r="M228" s="243">
        <v>0</v>
      </c>
      <c r="N228" s="243">
        <v>342938.08</v>
      </c>
      <c r="O228" s="243">
        <v>16.22</v>
      </c>
      <c r="P228" s="243"/>
      <c r="Q228" s="243">
        <v>0</v>
      </c>
      <c r="R228" s="176"/>
      <c r="S228" s="243">
        <v>0</v>
      </c>
      <c r="T228" s="101"/>
      <c r="U228" s="243">
        <v>0</v>
      </c>
      <c r="V228" s="243">
        <v>16.22</v>
      </c>
      <c r="W228" s="101"/>
      <c r="X228" s="171" t="s">
        <v>383</v>
      </c>
    </row>
    <row r="229" spans="1:24" s="74" customFormat="1" ht="12.75" x14ac:dyDescent="0.2">
      <c r="A229" s="89"/>
      <c r="B229" s="85" t="s">
        <v>31</v>
      </c>
      <c r="C229" s="85"/>
      <c r="D229" s="85"/>
      <c r="E229" s="85"/>
      <c r="F229" s="90" t="s">
        <v>113</v>
      </c>
      <c r="G229" s="101"/>
      <c r="H229" s="103"/>
      <c r="I229" s="85"/>
      <c r="J229" s="198">
        <f t="shared" si="37"/>
        <v>2866896.7199999997</v>
      </c>
      <c r="K229" s="202"/>
      <c r="L229" s="243">
        <v>0</v>
      </c>
      <c r="M229" s="243">
        <v>0</v>
      </c>
      <c r="N229" s="243">
        <v>2839239.3299999996</v>
      </c>
      <c r="O229" s="243">
        <v>27657.39</v>
      </c>
      <c r="P229" s="243"/>
      <c r="Q229" s="243">
        <v>0</v>
      </c>
      <c r="R229" s="176"/>
      <c r="S229" s="243">
        <v>0</v>
      </c>
      <c r="T229" s="101"/>
      <c r="U229" s="243">
        <v>0</v>
      </c>
      <c r="V229" s="243">
        <v>27657.39</v>
      </c>
      <c r="W229" s="101"/>
      <c r="X229" s="171" t="s">
        <v>384</v>
      </c>
    </row>
    <row r="230" spans="1:24" s="74" customFormat="1" ht="12.75" x14ac:dyDescent="0.2">
      <c r="A230" s="89"/>
      <c r="B230" s="85" t="s">
        <v>32</v>
      </c>
      <c r="C230" s="85"/>
      <c r="D230" s="85"/>
      <c r="E230" s="85"/>
      <c r="F230" s="90" t="s">
        <v>113</v>
      </c>
      <c r="G230" s="101"/>
      <c r="H230" s="103"/>
      <c r="I230" s="85"/>
      <c r="J230" s="198">
        <f t="shared" si="37"/>
        <v>4968081</v>
      </c>
      <c r="K230" s="202"/>
      <c r="L230" s="243">
        <v>0</v>
      </c>
      <c r="M230" s="243">
        <v>0</v>
      </c>
      <c r="N230" s="243">
        <v>4968081</v>
      </c>
      <c r="O230" s="243">
        <v>0</v>
      </c>
      <c r="P230" s="243"/>
      <c r="Q230" s="243">
        <v>0</v>
      </c>
      <c r="R230" s="176"/>
      <c r="S230" s="243">
        <v>0</v>
      </c>
      <c r="T230" s="101"/>
      <c r="U230" s="243">
        <v>0</v>
      </c>
      <c r="V230" s="243">
        <v>0</v>
      </c>
      <c r="W230" s="101"/>
      <c r="X230" s="171" t="s">
        <v>385</v>
      </c>
    </row>
    <row r="231" spans="1:24" s="74" customFormat="1" ht="12.75" x14ac:dyDescent="0.2">
      <c r="A231" s="89"/>
      <c r="B231" s="85" t="s">
        <v>33</v>
      </c>
      <c r="C231" s="85"/>
      <c r="D231" s="85"/>
      <c r="E231" s="85"/>
      <c r="F231" s="90" t="s">
        <v>113</v>
      </c>
      <c r="G231" s="101"/>
      <c r="H231" s="103"/>
      <c r="I231" s="85"/>
      <c r="J231" s="198">
        <f t="shared" si="37"/>
        <v>1030464.9923774879</v>
      </c>
      <c r="K231" s="202"/>
      <c r="L231" s="243">
        <v>0</v>
      </c>
      <c r="M231" s="243">
        <v>0</v>
      </c>
      <c r="N231" s="243">
        <v>1030464.9923774879</v>
      </c>
      <c r="O231" s="243">
        <v>0</v>
      </c>
      <c r="P231" s="243"/>
      <c r="Q231" s="243">
        <v>0</v>
      </c>
      <c r="R231" s="176"/>
      <c r="S231" s="243">
        <v>0</v>
      </c>
      <c r="T231" s="101"/>
      <c r="U231" s="243">
        <v>0</v>
      </c>
      <c r="V231" s="243">
        <v>0</v>
      </c>
      <c r="W231" s="101"/>
      <c r="X231" s="171" t="s">
        <v>386</v>
      </c>
    </row>
    <row r="232" spans="1:24" s="74" customFormat="1" ht="12.75" x14ac:dyDescent="0.2">
      <c r="A232" s="89"/>
      <c r="B232" s="85" t="s">
        <v>34</v>
      </c>
      <c r="C232" s="85"/>
      <c r="D232" s="85"/>
      <c r="E232" s="85"/>
      <c r="F232" s="90" t="s">
        <v>113</v>
      </c>
      <c r="G232" s="101"/>
      <c r="H232" s="103"/>
      <c r="I232" s="85"/>
      <c r="J232" s="198">
        <f t="shared" si="37"/>
        <v>3301873.41</v>
      </c>
      <c r="K232" s="202"/>
      <c r="L232" s="243">
        <v>0</v>
      </c>
      <c r="M232" s="243">
        <v>0</v>
      </c>
      <c r="N232" s="243">
        <v>3301873.41</v>
      </c>
      <c r="O232" s="243">
        <v>0</v>
      </c>
      <c r="P232" s="243"/>
      <c r="Q232" s="243">
        <v>0</v>
      </c>
      <c r="R232" s="176"/>
      <c r="S232" s="243">
        <v>0</v>
      </c>
      <c r="T232" s="101"/>
      <c r="U232" s="243">
        <v>0</v>
      </c>
      <c r="V232" s="243">
        <v>0</v>
      </c>
      <c r="W232" s="101"/>
      <c r="X232" s="171" t="s">
        <v>387</v>
      </c>
    </row>
    <row r="233" spans="1:24" s="74" customFormat="1" ht="12.75" x14ac:dyDescent="0.2">
      <c r="A233" s="89"/>
      <c r="B233" s="85"/>
      <c r="F233" s="90"/>
      <c r="G233" s="171"/>
      <c r="H233" s="103"/>
      <c r="J233" s="176"/>
      <c r="K233" s="176"/>
      <c r="L233" s="176"/>
      <c r="M233" s="176"/>
      <c r="N233" s="176"/>
      <c r="O233" s="176"/>
      <c r="P233" s="176"/>
      <c r="Q233" s="176"/>
      <c r="R233" s="176"/>
      <c r="S233" s="176"/>
      <c r="T233" s="176"/>
      <c r="U233" s="176"/>
      <c r="V233" s="176"/>
      <c r="W233" s="171"/>
      <c r="X233" s="87"/>
    </row>
    <row r="234" spans="1:24" s="74" customFormat="1" ht="12.75" x14ac:dyDescent="0.2">
      <c r="A234" s="89"/>
      <c r="B234" s="84" t="s">
        <v>70</v>
      </c>
      <c r="C234" s="85"/>
      <c r="D234" s="85"/>
      <c r="E234" s="85"/>
      <c r="F234" s="90"/>
      <c r="G234" s="101"/>
      <c r="H234" s="103"/>
      <c r="I234" s="85"/>
      <c r="J234" s="176"/>
      <c r="K234" s="176"/>
      <c r="L234" s="176"/>
      <c r="M234" s="176"/>
      <c r="N234" s="176"/>
      <c r="O234" s="176"/>
      <c r="P234" s="176"/>
      <c r="Q234" s="176"/>
      <c r="R234" s="101"/>
      <c r="S234" s="176"/>
      <c r="T234" s="101"/>
      <c r="U234" s="176"/>
      <c r="V234" s="176"/>
      <c r="W234" s="101"/>
      <c r="X234" s="87"/>
    </row>
    <row r="235" spans="1:24" s="74" customFormat="1" ht="12.75" x14ac:dyDescent="0.2">
      <c r="A235" s="89"/>
      <c r="B235" s="85" t="s">
        <v>71</v>
      </c>
      <c r="C235" s="85"/>
      <c r="D235" s="85"/>
      <c r="E235" s="85"/>
      <c r="F235" s="90" t="s">
        <v>113</v>
      </c>
      <c r="G235" s="101"/>
      <c r="H235" s="103"/>
      <c r="I235" s="85"/>
      <c r="J235" s="198">
        <f t="shared" ref="J235" si="38">SUM(L235:S235)</f>
        <v>1312324.159425704</v>
      </c>
      <c r="K235" s="202"/>
      <c r="L235" s="243">
        <v>-4169</v>
      </c>
      <c r="M235" s="243">
        <v>290040.94000000012</v>
      </c>
      <c r="N235" s="243">
        <v>421585.68862570322</v>
      </c>
      <c r="O235" s="243">
        <v>163.27000000000001</v>
      </c>
      <c r="P235" s="243">
        <v>693027.69000000088</v>
      </c>
      <c r="Q235" s="243">
        <v>-88324.429200000042</v>
      </c>
      <c r="R235" s="176"/>
      <c r="S235" s="243">
        <v>0</v>
      </c>
      <c r="T235" s="101"/>
      <c r="U235" s="243">
        <v>290040.94000000012</v>
      </c>
      <c r="V235" s="243">
        <v>163.27000000000001</v>
      </c>
      <c r="W235" s="101"/>
      <c r="X235" s="171" t="s">
        <v>388</v>
      </c>
    </row>
    <row r="236" spans="1:24" s="74" customFormat="1" ht="12.75" x14ac:dyDescent="0.2">
      <c r="A236" s="89"/>
      <c r="C236" s="85"/>
      <c r="D236" s="85"/>
      <c r="E236" s="85"/>
      <c r="F236" s="90"/>
      <c r="G236" s="101"/>
      <c r="H236" s="103"/>
      <c r="I236" s="85"/>
      <c r="J236" s="176"/>
      <c r="K236" s="176"/>
      <c r="L236" s="176"/>
      <c r="M236" s="176"/>
      <c r="N236" s="176"/>
      <c r="O236" s="176"/>
      <c r="P236" s="176"/>
      <c r="Q236" s="176"/>
      <c r="R236" s="101"/>
      <c r="S236" s="176"/>
      <c r="T236" s="101"/>
      <c r="U236" s="176"/>
      <c r="V236" s="176"/>
      <c r="W236" s="101"/>
      <c r="X236" s="78"/>
    </row>
    <row r="237" spans="1:24" s="74" customFormat="1" ht="12.75" x14ac:dyDescent="0.2">
      <c r="A237" s="89"/>
      <c r="B237" s="84" t="s">
        <v>41</v>
      </c>
      <c r="C237" s="85"/>
      <c r="D237" s="85"/>
      <c r="E237" s="85"/>
      <c r="F237" s="90"/>
      <c r="G237" s="101"/>
      <c r="H237" s="103"/>
      <c r="I237" s="85"/>
      <c r="J237" s="176"/>
      <c r="K237" s="176"/>
      <c r="L237" s="176"/>
      <c r="M237" s="176"/>
      <c r="N237" s="176"/>
      <c r="O237" s="176"/>
      <c r="P237" s="176"/>
      <c r="Q237" s="176"/>
      <c r="R237" s="101"/>
      <c r="S237" s="176"/>
      <c r="T237" s="101"/>
      <c r="U237" s="176"/>
      <c r="V237" s="176"/>
      <c r="W237" s="101"/>
      <c r="X237" s="78"/>
    </row>
    <row r="238" spans="1:24" s="74" customFormat="1" ht="12.75" x14ac:dyDescent="0.2">
      <c r="A238" s="89"/>
      <c r="B238" s="85" t="s">
        <v>42</v>
      </c>
      <c r="C238" s="85"/>
      <c r="D238" s="85"/>
      <c r="E238" s="85"/>
      <c r="F238" s="90" t="s">
        <v>113</v>
      </c>
      <c r="G238" s="101"/>
      <c r="H238" s="103"/>
      <c r="I238" s="85"/>
      <c r="J238" s="198">
        <f t="shared" ref="J238" si="39">SUM(L238:S238)</f>
        <v>118278.04000000001</v>
      </c>
      <c r="K238" s="202"/>
      <c r="L238" s="243"/>
      <c r="M238" s="243">
        <v>101013</v>
      </c>
      <c r="N238" s="243"/>
      <c r="O238" s="243">
        <v>17265.04</v>
      </c>
      <c r="P238" s="243"/>
      <c r="Q238" s="243"/>
      <c r="R238" s="176"/>
      <c r="S238" s="243"/>
      <c r="T238" s="101"/>
      <c r="U238" s="243">
        <v>101013</v>
      </c>
      <c r="V238" s="243">
        <v>17265.04</v>
      </c>
      <c r="W238" s="101"/>
      <c r="X238" s="78" t="s">
        <v>651</v>
      </c>
    </row>
    <row r="239" spans="1:24" s="74" customFormat="1" ht="12.75" x14ac:dyDescent="0.2">
      <c r="A239" s="89"/>
      <c r="C239" s="85"/>
      <c r="D239" s="85"/>
      <c r="E239" s="85"/>
      <c r="F239" s="90"/>
      <c r="G239" s="101"/>
      <c r="H239" s="103"/>
      <c r="I239" s="85"/>
      <c r="J239" s="85"/>
      <c r="R239" s="85"/>
      <c r="T239" s="85"/>
      <c r="U239" s="171"/>
      <c r="V239" s="171"/>
      <c r="W239" s="101"/>
      <c r="X239" s="78"/>
    </row>
    <row r="241" spans="10:10" x14ac:dyDescent="0.2">
      <c r="J241" s="197"/>
    </row>
  </sheetData>
  <mergeCells count="2">
    <mergeCell ref="B5:F5"/>
    <mergeCell ref="B8:F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Totale kosten</vt:lpstr>
      <vt:lpstr>Input --&gt;</vt:lpstr>
      <vt:lpstr>2) Reguleringsparameters</vt:lpstr>
      <vt:lpstr>3) Input operationele kosten</vt:lpstr>
      <vt:lpstr>4) Input inkoopkosten transport</vt:lpstr>
      <vt:lpstr>5) Overige opbrengsten</vt:lpstr>
      <vt:lpstr>6) GAW import</vt:lpstr>
      <vt:lpstr>Berekeningen --&gt;</vt:lpstr>
      <vt:lpstr>7) Berekening gecorrigeerde IT</vt:lpstr>
      <vt:lpstr>8) Berekening Oper. kosten</vt:lpstr>
      <vt:lpstr>9) Berekening Kapitaalkosten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2021-09-16T11:13:14Z</dcterms:modified>
</cp:coreProperties>
</file>