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24226"/>
  <xr:revisionPtr revIDLastSave="0" documentId="13_ncr:1_{A61D7E57-6A52-4C37-BD40-0C524D479F03}" xr6:coauthVersionLast="46" xr6:coauthVersionMax="46" xr10:uidLastSave="{00000000-0000-0000-0000-000000000000}"/>
  <bookViews>
    <workbookView xWindow="-120" yWindow="-120" windowWidth="29040" windowHeight="15840" xr2:uid="{00000000-000D-0000-FFFF-FFFF00000000}"/>
  </bookViews>
  <sheets>
    <sheet name="Titelblad" sheetId="9" r:id="rId1"/>
    <sheet name="Toelichting" sheetId="10" r:id="rId2"/>
    <sheet name="Bronnen en toepassingen" sheetId="11" r:id="rId3"/>
    <sheet name="1) Berekening PV" sheetId="26" r:id="rId4"/>
    <sheet name="Input --&gt;" sheetId="13" r:id="rId5"/>
    <sheet name="2) Parameters" sheetId="24" r:id="rId6"/>
    <sheet name="3) GAW" sheetId="25" r:id="rId7"/>
    <sheet name="4) Overige data" sheetId="18" r:id="rId8"/>
    <sheet name="Berekeningen --&gt;" sheetId="15" r:id="rId9"/>
    <sheet name="5) Berekening kapitaalkosten" sheetId="22"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7" i="18" l="1"/>
  <c r="P27" i="18"/>
  <c r="P26" i="18"/>
  <c r="O26" i="18"/>
  <c r="O25" i="18"/>
  <c r="N25" i="18"/>
  <c r="AB38" i="22" l="1"/>
  <c r="AA38" i="22"/>
  <c r="Z38" i="22"/>
  <c r="AB37" i="22"/>
  <c r="AA37" i="22"/>
  <c r="Z37" i="22"/>
  <c r="H74" i="24" l="1"/>
  <c r="U41" i="22" l="1"/>
  <c r="V41" i="22"/>
  <c r="W41" i="22"/>
  <c r="T41" i="22"/>
  <c r="AB25" i="25" l="1"/>
  <c r="AA25" i="25"/>
  <c r="Z25" i="25"/>
  <c r="Y25" i="25"/>
  <c r="X25" i="25"/>
  <c r="W25" i="25"/>
  <c r="V25" i="25"/>
  <c r="U25" i="25"/>
  <c r="T25" i="25"/>
  <c r="S25" i="25"/>
  <c r="R25" i="25"/>
  <c r="Q25" i="25"/>
  <c r="P25" i="25"/>
  <c r="O25" i="25"/>
  <c r="N25" i="25"/>
  <c r="M25" i="25"/>
  <c r="L25" i="25"/>
  <c r="AB24" i="25"/>
  <c r="AA24" i="25"/>
  <c r="Z24" i="25"/>
  <c r="Y24" i="25"/>
  <c r="X24" i="25"/>
  <c r="W24" i="25"/>
  <c r="V24" i="25"/>
  <c r="U24" i="25"/>
  <c r="T24" i="25"/>
  <c r="S24" i="25"/>
  <c r="R24" i="25"/>
  <c r="Q24" i="25"/>
  <c r="P24" i="25"/>
  <c r="O24" i="25"/>
  <c r="N24" i="25"/>
  <c r="M24" i="25"/>
  <c r="L24" i="25"/>
  <c r="H62" i="24"/>
  <c r="H63" i="24" s="1"/>
  <c r="H64" i="24" s="1"/>
  <c r="H65" i="24" s="1"/>
  <c r="H83" i="24"/>
  <c r="H82" i="24"/>
  <c r="H81" i="24"/>
  <c r="H73" i="24"/>
  <c r="H46" i="24"/>
  <c r="H76" i="24" s="1"/>
  <c r="H68" i="24"/>
  <c r="H72" i="24"/>
  <c r="H71" i="24"/>
  <c r="H67" i="24"/>
  <c r="H84" i="24" l="1"/>
  <c r="H85" i="24" s="1"/>
  <c r="H86" i="24" s="1"/>
  <c r="H87" i="24" s="1"/>
  <c r="H77" i="24"/>
  <c r="H75" i="24"/>
  <c r="H54" i="24" l="1"/>
  <c r="H51" i="24"/>
  <c r="AB59" i="26"/>
  <c r="AA59" i="26"/>
  <c r="AA58" i="26"/>
  <c r="Z58" i="26"/>
  <c r="Z57" i="26"/>
  <c r="Y57" i="26"/>
  <c r="Y56" i="26"/>
  <c r="X56" i="26"/>
  <c r="X55" i="26"/>
  <c r="W55" i="26"/>
  <c r="W54" i="26"/>
  <c r="V54" i="26"/>
  <c r="V53" i="26"/>
  <c r="U53" i="26"/>
  <c r="U52" i="26"/>
  <c r="T52" i="26"/>
  <c r="T51" i="26"/>
  <c r="S51" i="26"/>
  <c r="S50" i="26"/>
  <c r="R50" i="26"/>
  <c r="R49" i="26"/>
  <c r="Q49" i="26"/>
  <c r="H80" i="24" l="1"/>
  <c r="H79" i="24"/>
  <c r="H78" i="24"/>
  <c r="H30" i="26"/>
  <c r="AB47" i="26"/>
  <c r="AB96" i="26"/>
  <c r="AA96" i="26"/>
  <c r="AA47" i="26"/>
  <c r="AB46" i="22"/>
  <c r="AB45" i="22"/>
  <c r="AB44" i="22"/>
  <c r="AB35" i="22"/>
  <c r="AB34" i="22"/>
  <c r="AB70" i="22" l="1"/>
  <c r="Q78" i="26" l="1"/>
  <c r="W79" i="26"/>
  <c r="V79" i="26"/>
  <c r="U79" i="26"/>
  <c r="T79" i="26"/>
  <c r="T78" i="26"/>
  <c r="S78" i="26"/>
  <c r="R78" i="26"/>
  <c r="Q40" i="22" l="1"/>
  <c r="R40" i="22"/>
  <c r="S40" i="22"/>
  <c r="T40" i="22"/>
  <c r="W44" i="22"/>
  <c r="X44" i="22"/>
  <c r="Y44" i="22"/>
  <c r="Z44" i="22"/>
  <c r="AA44" i="22"/>
  <c r="W45" i="22"/>
  <c r="X45" i="22"/>
  <c r="Y45" i="22"/>
  <c r="Z45" i="22"/>
  <c r="AA45" i="22"/>
  <c r="W46" i="22"/>
  <c r="X46" i="22"/>
  <c r="Y46" i="22"/>
  <c r="Z46" i="22"/>
  <c r="AA46" i="22"/>
  <c r="Z70" i="22" l="1"/>
  <c r="Y70" i="22"/>
  <c r="X70" i="22"/>
  <c r="AA70" i="22"/>
  <c r="W70" i="22"/>
  <c r="H32" i="22"/>
  <c r="H14" i="26" l="1"/>
  <c r="AA95" i="26"/>
  <c r="Z95" i="26"/>
  <c r="Z94" i="26"/>
  <c r="Y94" i="26"/>
  <c r="Y93" i="26"/>
  <c r="X93" i="26"/>
  <c r="X92" i="26"/>
  <c r="W92" i="26"/>
  <c r="W91" i="26"/>
  <c r="V91" i="26"/>
  <c r="V90" i="26"/>
  <c r="U90" i="26"/>
  <c r="U89" i="26"/>
  <c r="T89" i="26"/>
  <c r="T88" i="26"/>
  <c r="S88" i="26"/>
  <c r="S87" i="26"/>
  <c r="R87" i="26"/>
  <c r="R86" i="26"/>
  <c r="Q86" i="26"/>
  <c r="Q85" i="26"/>
  <c r="P85" i="26"/>
  <c r="P84" i="26"/>
  <c r="O84" i="26"/>
  <c r="O83" i="26"/>
  <c r="N83" i="26"/>
  <c r="N82" i="26"/>
  <c r="M82" i="26"/>
  <c r="M81" i="26"/>
  <c r="L81" i="26"/>
  <c r="AA46" i="26"/>
  <c r="Z46" i="26"/>
  <c r="Z45" i="26"/>
  <c r="Y45" i="26"/>
  <c r="Y44" i="26"/>
  <c r="X44" i="26"/>
  <c r="X43" i="26"/>
  <c r="W43" i="26"/>
  <c r="W42" i="26"/>
  <c r="V42" i="26"/>
  <c r="V41" i="26"/>
  <c r="U41" i="26"/>
  <c r="U40" i="26"/>
  <c r="T40" i="26"/>
  <c r="T39" i="26"/>
  <c r="S39" i="26"/>
  <c r="S38" i="26"/>
  <c r="R38" i="26"/>
  <c r="R37" i="26"/>
  <c r="Q37" i="26"/>
  <c r="Q36" i="26"/>
  <c r="P36" i="26"/>
  <c r="P35" i="26"/>
  <c r="O35" i="26"/>
  <c r="O34" i="26"/>
  <c r="N34" i="26"/>
  <c r="N33" i="26"/>
  <c r="M33" i="26"/>
  <c r="M32" i="26"/>
  <c r="L32" i="26"/>
  <c r="H15" i="26"/>
  <c r="H16" i="26"/>
  <c r="H17" i="26"/>
  <c r="H18" i="26"/>
  <c r="H19" i="26"/>
  <c r="H20" i="26"/>
  <c r="H21" i="26"/>
  <c r="H22" i="26"/>
  <c r="H23" i="26"/>
  <c r="H24" i="26"/>
  <c r="H25" i="26"/>
  <c r="H26" i="26"/>
  <c r="H27" i="26"/>
  <c r="H28" i="26"/>
  <c r="H29" i="26"/>
  <c r="M34" i="22"/>
  <c r="N34" i="22"/>
  <c r="O34" i="22"/>
  <c r="P34" i="22"/>
  <c r="Q34" i="22"/>
  <c r="R34" i="22"/>
  <c r="S34" i="22"/>
  <c r="T34" i="22"/>
  <c r="U34" i="22"/>
  <c r="V34" i="22"/>
  <c r="W34" i="22"/>
  <c r="X34" i="22"/>
  <c r="Y34" i="22"/>
  <c r="Z34" i="22"/>
  <c r="AA34" i="22"/>
  <c r="M35" i="22"/>
  <c r="N35" i="22"/>
  <c r="O35" i="22"/>
  <c r="P35" i="22"/>
  <c r="Q35" i="22"/>
  <c r="R35" i="22"/>
  <c r="S35" i="22"/>
  <c r="T35" i="22"/>
  <c r="U35" i="22"/>
  <c r="V35" i="22"/>
  <c r="W35" i="22"/>
  <c r="X35" i="22"/>
  <c r="Y35" i="22"/>
  <c r="Z35" i="22"/>
  <c r="AA35" i="22"/>
  <c r="L35" i="22"/>
  <c r="L34" i="22"/>
  <c r="H17" i="22"/>
  <c r="H18" i="22"/>
  <c r="H19" i="22"/>
  <c r="H20" i="22"/>
  <c r="H21" i="22"/>
  <c r="H22" i="22"/>
  <c r="H23" i="22"/>
  <c r="H24" i="22"/>
  <c r="H25" i="22"/>
  <c r="H26" i="22"/>
  <c r="H27" i="22"/>
  <c r="H28" i="22"/>
  <c r="H29" i="22"/>
  <c r="H30" i="22"/>
  <c r="H31" i="22"/>
  <c r="H16" i="22"/>
  <c r="AA65" i="22" l="1"/>
  <c r="AA88" i="22" s="1"/>
  <c r="AB65" i="22"/>
  <c r="W60" i="22"/>
  <c r="W83" i="22" s="1"/>
  <c r="S56" i="22"/>
  <c r="S79" i="22" s="1"/>
  <c r="M51" i="22"/>
  <c r="M74" i="22" s="1"/>
  <c r="AA64" i="22"/>
  <c r="AA87" i="22" s="1"/>
  <c r="Y62" i="22"/>
  <c r="U58" i="22"/>
  <c r="U81" i="22" s="1"/>
  <c r="Q54" i="22"/>
  <c r="Q77" i="22" s="1"/>
  <c r="S57" i="22"/>
  <c r="S80" i="22" s="1"/>
  <c r="X61" i="22"/>
  <c r="X84" i="22" s="1"/>
  <c r="T57" i="22"/>
  <c r="T80" i="22" s="1"/>
  <c r="P53" i="22"/>
  <c r="P76" i="22" s="1"/>
  <c r="Z63" i="22"/>
  <c r="Z86" i="22" s="1"/>
  <c r="V59" i="22"/>
  <c r="V82" i="22" s="1"/>
  <c r="R55" i="22"/>
  <c r="R78" i="22" s="1"/>
  <c r="O53" i="22"/>
  <c r="O76" i="22" s="1"/>
  <c r="W61" i="22"/>
  <c r="W84" i="22" s="1"/>
  <c r="Q55" i="22"/>
  <c r="Q78" i="22" s="1"/>
  <c r="U59" i="22"/>
  <c r="U82" i="22" s="1"/>
  <c r="Y63" i="22"/>
  <c r="Y86" i="22" s="1"/>
  <c r="N51" i="22"/>
  <c r="N74" i="22" s="1"/>
  <c r="M50" i="22"/>
  <c r="M73" i="22" s="1"/>
  <c r="N52" i="22"/>
  <c r="N75" i="22" s="1"/>
  <c r="P54" i="22"/>
  <c r="P77" i="22" s="1"/>
  <c r="R56" i="22"/>
  <c r="R79" i="22" s="1"/>
  <c r="T58" i="22"/>
  <c r="T81" i="22" s="1"/>
  <c r="V60" i="22"/>
  <c r="V83" i="22" s="1"/>
  <c r="X62" i="22"/>
  <c r="X85" i="22" s="1"/>
  <c r="Z64" i="22"/>
  <c r="Z87" i="22" s="1"/>
  <c r="O52" i="22"/>
  <c r="O75" i="22" s="1"/>
  <c r="L50" i="22"/>
  <c r="L73" i="22" s="1"/>
  <c r="AB88" i="22" l="1"/>
  <c r="AB76" i="26" s="1"/>
  <c r="AB116" i="26" s="1"/>
  <c r="AA76" i="26"/>
  <c r="AA116" i="26" s="1"/>
  <c r="M62" i="26"/>
  <c r="M102" i="26" s="1"/>
  <c r="Y85" i="22"/>
  <c r="Y74" i="26"/>
  <c r="Y114" i="26" s="1"/>
  <c r="X73" i="26"/>
  <c r="X113" i="26" s="1"/>
  <c r="S68" i="26"/>
  <c r="S108" i="26" s="1"/>
  <c r="T69" i="26"/>
  <c r="T109" i="26" s="1"/>
  <c r="V71" i="26"/>
  <c r="V111" i="26" s="1"/>
  <c r="W72" i="26"/>
  <c r="W112" i="26" s="1"/>
  <c r="Q66" i="26"/>
  <c r="Q106" i="26" s="1"/>
  <c r="Z75" i="26"/>
  <c r="Z115" i="26" s="1"/>
  <c r="AA75" i="26"/>
  <c r="AA115" i="26" s="1"/>
  <c r="U70" i="26"/>
  <c r="U110" i="26" s="1"/>
  <c r="V70" i="26"/>
  <c r="V110" i="26" s="1"/>
  <c r="U69" i="26"/>
  <c r="U109" i="26" s="1"/>
  <c r="R66" i="26"/>
  <c r="R106" i="26" s="1"/>
  <c r="T68" i="26"/>
  <c r="T108" i="26" s="1"/>
  <c r="S67" i="26"/>
  <c r="S107" i="26" s="1"/>
  <c r="Z74" i="26"/>
  <c r="Z114" i="26" s="1"/>
  <c r="X72" i="26"/>
  <c r="X112" i="26" s="1"/>
  <c r="W71" i="26"/>
  <c r="W111" i="26" s="1"/>
  <c r="AB120" i="26" l="1"/>
  <c r="AB122" i="26" s="1"/>
  <c r="Y73" i="26"/>
  <c r="Y113" i="26" s="1"/>
  <c r="P64" i="26"/>
  <c r="N62" i="26"/>
  <c r="L61" i="26"/>
  <c r="L101" i="26" s="1"/>
  <c r="O64" i="26"/>
  <c r="O104" i="26" s="1"/>
  <c r="R67" i="26"/>
  <c r="R107" i="26" s="1"/>
  <c r="O63" i="26"/>
  <c r="O103" i="26" s="1"/>
  <c r="N63" i="26"/>
  <c r="N103" i="26" s="1"/>
  <c r="M61" i="26"/>
  <c r="Q65" i="26"/>
  <c r="P65" i="26"/>
  <c r="P105" i="26" s="1"/>
  <c r="Z120" i="26"/>
  <c r="AA120" i="26"/>
  <c r="X120" i="26" l="1"/>
  <c r="V120" i="26"/>
  <c r="T120" i="26"/>
  <c r="R120" i="26"/>
  <c r="R122" i="26" s="1"/>
  <c r="W120" i="26"/>
  <c r="M101" i="26"/>
  <c r="U120" i="26"/>
  <c r="N102" i="26"/>
  <c r="Q105" i="26"/>
  <c r="P104" i="26"/>
  <c r="Z122" i="26"/>
  <c r="AA122" i="26"/>
  <c r="O120" i="26"/>
  <c r="X122" i="26" l="1"/>
  <c r="V122" i="26"/>
  <c r="S120" i="26"/>
  <c r="M120" i="26"/>
  <c r="Y120" i="26"/>
  <c r="Q120" i="26"/>
  <c r="P120" i="26"/>
  <c r="W122" i="26"/>
  <c r="N120" i="26"/>
  <c r="T122" i="26"/>
  <c r="U122" i="26"/>
  <c r="O122" i="26"/>
  <c r="B49" i="10"/>
  <c r="B37" i="10"/>
  <c r="B44" i="10"/>
  <c r="B38" i="10"/>
  <c r="B39" i="10" l="1"/>
  <c r="B43" i="10" s="1"/>
  <c r="M122" i="26"/>
  <c r="Q122" i="26"/>
  <c r="S122" i="26"/>
  <c r="Y122" i="26"/>
  <c r="P122" i="26"/>
  <c r="N122" i="26"/>
  <c r="H124"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43" authorId="0" shapeId="0" xr:uid="{00000000-0006-0000-0300-000001000000}">
      <text>
        <r>
          <rPr>
            <sz val="8"/>
            <color indexed="81"/>
            <rFont val="Tahoma"/>
            <family val="2"/>
          </rPr>
          <t xml:space="preserve">In alle gevallen wordt een (groep van) roze cel(len) voorzien van een notitie die uitlegt wat er bijzonder is aan de betreffende gegevens of berekening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Q106" authorId="0" shapeId="0" xr:uid="{A358E000-0BDF-4DDE-A892-A6AF18EA8E45}">
      <text>
        <r>
          <rPr>
            <sz val="9"/>
            <color indexed="81"/>
            <rFont val="Tahoma"/>
            <family val="2"/>
          </rPr>
          <t>NB: vanaf 2009-2010 besparingen marktmodel</t>
        </r>
      </text>
    </comment>
    <comment ref="W111" authorId="0" shapeId="0" xr:uid="{99B2857E-8212-4889-B8D8-E70EE81334BB}">
      <text>
        <r>
          <rPr>
            <sz val="9"/>
            <color indexed="81"/>
            <rFont val="Tahoma"/>
            <family val="2"/>
          </rPr>
          <t>NB: tot 2014-2015 besparingen marktmodel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O17" authorId="0" shapeId="0" xr:uid="{3E598A2C-9B9C-4B2A-9A4A-84FA283274F0}">
      <text>
        <r>
          <rPr>
            <sz val="9"/>
            <color indexed="81"/>
            <rFont val="Tahoma"/>
            <family val="2"/>
          </rPr>
          <t>Kosten worden berekend alsof er geen HS-overdracht heeft plaatsgevonden.</t>
        </r>
      </text>
    </comment>
    <comment ref="O20" authorId="0" shapeId="0" xr:uid="{8AF9EDD1-174C-4449-AEDE-CCA9F952DC2D}">
      <text>
        <r>
          <rPr>
            <sz val="9"/>
            <color indexed="81"/>
            <rFont val="Tahoma"/>
            <family val="2"/>
          </rPr>
          <t>Kosten worden berekend alsof er geen HS-overdracht heeft plaatsgevonden.</t>
        </r>
      </text>
    </comment>
    <comment ref="V32" authorId="0" shapeId="0" xr:uid="{DE0DA1EE-4396-4A18-98F0-ED8E44A848FE}">
      <text>
        <r>
          <rPr>
            <sz val="9"/>
            <color indexed="81"/>
            <rFont val="Tahoma"/>
            <family val="2"/>
          </rPr>
          <t>T/m 2013-2014 inclusief HS Stedin</t>
        </r>
      </text>
    </comment>
    <comment ref="V33" authorId="0" shapeId="0" xr:uid="{3626A0EC-3F54-46BF-92FE-AF37C69D68D8}">
      <text>
        <r>
          <rPr>
            <sz val="9"/>
            <color indexed="81"/>
            <rFont val="Tahoma"/>
            <family val="2"/>
          </rPr>
          <t>Vanaf 2014-2015 exclusief HS Stedin</t>
        </r>
      </text>
    </comment>
    <comment ref="O59" authorId="0" shapeId="0" xr:uid="{2932A7FF-A105-43B0-8AF3-9CBC5BE80CF0}">
      <text>
        <r>
          <rPr>
            <sz val="9"/>
            <color indexed="81"/>
            <rFont val="Tahoma"/>
            <family val="2"/>
          </rPr>
          <t>Volumes worden berekend alsof er geen HS-overdracht heeft plaatsgevonden.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Z87" authorId="0" shapeId="0" xr:uid="{81489420-1F99-44F4-8B10-6134E8490100}">
      <text>
        <r>
          <rPr>
            <sz val="9"/>
            <color indexed="81"/>
            <rFont val="Tahoma"/>
            <family val="2"/>
          </rPr>
          <t>Vanaf 2018-2019 worden de kapitaalkosten gecorrigeerd voor de afschrijvingsklif op de start-GAW van RENDO.</t>
        </r>
      </text>
    </comment>
  </commentList>
</comments>
</file>

<file path=xl/sharedStrings.xml><?xml version="1.0" encoding="utf-8"?>
<sst xmlns="http://schemas.openxmlformats.org/spreadsheetml/2006/main" count="838" uniqueCount="442">
  <si>
    <t>Opmerking</t>
  </si>
  <si>
    <t>[ EINDE TABBLAD ]</t>
  </si>
  <si>
    <t>Overige opmerkingen</t>
  </si>
  <si>
    <t>Titelblad</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</si>
  <si>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</si>
  <si>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</si>
  <si>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</si>
  <si>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</si>
  <si>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</si>
  <si>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</si>
  <si>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</si>
  <si>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</si>
  <si>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</si>
  <si>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</si>
  <si>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(ja/nee)</t>
  </si>
  <si>
    <t>Indien definitief, wordt bestand openbaar en/of gepubliceerd? (ja/nee)</t>
  </si>
  <si>
    <t>Indien publicatie, datum van dit bestand:</t>
  </si>
  <si>
    <t>Juridisch integraal onderdeel van bovenstaande besluit(en) (ja/nee)?</t>
  </si>
  <si>
    <t>Indien publicatie, bevat bedrijfsvertrouwelijke gegevens? (ja/nee)</t>
  </si>
  <si>
    <t>Mogelijkheden van bezwaar en beroep staan open tegen het besluit waarbij dit bestand hoort (zie kenmerken hierboven)</t>
  </si>
  <si>
    <t>Contactgegevens ACM</t>
  </si>
  <si>
    <t>Toelichting bij dit bestand</t>
  </si>
  <si>
    <t>Toelichting bij de werking van dit model</t>
  </si>
  <si>
    <t>Schematische weergave en/of inhoudsopgave van de werking van dit model</t>
  </si>
  <si>
    <t>Legenda voor gebruik van celkleuren en tabkleuren</t>
  </si>
  <si>
    <t>Celkleur getallen</t>
  </si>
  <si>
    <t>Beschrijving</t>
  </si>
  <si>
    <t>Data en input (bron wordt vermeld)</t>
  </si>
  <si>
    <t>Waarde die zonder berekening wordt overgenomen uit een andere cel</t>
  </si>
  <si>
    <t>Berekende waarde</t>
  </si>
  <si>
    <t>Berekende waarde die wordt opgehaald op een ander tabblad, incl. (eind)resultaat van berekening</t>
  </si>
  <si>
    <t>Cel is niet van toepassing (dus leeg, niet nul), maar er wordt door een formule wel naar verwezen</t>
  </si>
  <si>
    <t>Bijzonderheden:</t>
  </si>
  <si>
    <t>Waarde of berekening die speciale aandacht vraagt (zie toelichting in notitie)</t>
  </si>
  <si>
    <t>Ingevoerde waarde of berekening die nog niet juist is (indien van toepassing)</t>
  </si>
  <si>
    <t>Eventueel te gebruiken:</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</si>
  <si>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</si>
  <si>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</si>
  <si>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Grijze cijfers geven de uitkomt van een check berekening; dit is geen resultaat waarmee verder wordt gerekend</t>
  </si>
  <si>
    <t>Tabkleur</t>
  </si>
  <si>
    <t>Tabbladen die het model vormen</t>
  </si>
  <si>
    <t>Resultaat</t>
  </si>
  <si>
    <t>Tabblad met resultaten/output</t>
  </si>
  <si>
    <t>Data</t>
  </si>
  <si>
    <t>Tabblad met input</t>
  </si>
  <si>
    <t>Berekening</t>
  </si>
  <si>
    <t>Tabblad met berekeningen</t>
  </si>
  <si>
    <t>Tabblad dat als geheel nog onjuist of niet up to date is</t>
  </si>
  <si>
    <t>Tabbladen ten behoeve van begrip</t>
  </si>
  <si>
    <t>Input --&gt;</t>
  </si>
  <si>
    <t>Leeg tabblad dat wordt gebruikt als index/markering voor een serie tabbladen (kleur: licht grijs)</t>
  </si>
  <si>
    <t>Toelichting</t>
  </si>
  <si>
    <t>Gestandaardiseerde tabbladen, omvat tenminste: 'Titelblad', 'Toelichting' en 'Bronnen en toepassingen' (kleur: ACM-lichtpaars)</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</si>
  <si>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</si>
  <si>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</si>
  <si>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</si>
  <si>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</si>
  <si>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</si>
  <si>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</si>
  <si>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t>
  </si>
  <si>
    <t>Zaaknummer en/of kenmerk ACM</t>
  </si>
  <si>
    <t>Aanvullende gegevens bestand</t>
  </si>
  <si>
    <t>Zoals gebruikt in dit bestand</t>
  </si>
  <si>
    <t>Exacte bestandsnaam</t>
  </si>
  <si>
    <t>Indien van toepassing</t>
  </si>
  <si>
    <t>Datum/wijze ontvangst, versie nr., URL, etc.</t>
  </si>
  <si>
    <t>Duiding van specifieke Excel-toepassingen en overige bijzonderheden</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</si>
  <si>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</si>
  <si>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</si>
  <si>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Toelichting bij bijzonderheden</t>
  </si>
  <si>
    <t>Omschrijving</t>
  </si>
  <si>
    <t>Eenheid</t>
  </si>
  <si>
    <t>Constante</t>
  </si>
  <si>
    <t>Rijtotaal</t>
  </si>
  <si>
    <t>1. …</t>
  </si>
  <si>
    <t>2. …</t>
  </si>
  <si>
    <t>3. …</t>
  </si>
  <si>
    <t>4. …</t>
  </si>
  <si>
    <t>5. …</t>
  </si>
  <si>
    <t>6. …</t>
  </si>
  <si>
    <t>7. …</t>
  </si>
  <si>
    <t>8. …</t>
  </si>
  <si>
    <t>9. …</t>
  </si>
  <si>
    <t>10. …</t>
  </si>
  <si>
    <t>Beschrijving gegevens</t>
  </si>
  <si>
    <t>Bronverwijzing</t>
  </si>
  <si>
    <t>Beschrijving berekening</t>
  </si>
  <si>
    <t>Ophalen gegevens voor berekening</t>
  </si>
  <si>
    <t>Operationele kosten voor PV</t>
  </si>
  <si>
    <t>CPI</t>
  </si>
  <si>
    <t>CPI 2004</t>
  </si>
  <si>
    <t>CPI 2005</t>
  </si>
  <si>
    <t>CPI 2006</t>
  </si>
  <si>
    <t>CPI 2007</t>
  </si>
  <si>
    <t>CPI 2008</t>
  </si>
  <si>
    <t>CPI 2009</t>
  </si>
  <si>
    <t>CPI 2010</t>
  </si>
  <si>
    <t>CPI 2011</t>
  </si>
  <si>
    <t>CPI 2012</t>
  </si>
  <si>
    <t>CPI 2013</t>
  </si>
  <si>
    <t>CPI 2014</t>
  </si>
  <si>
    <t>CPI 2015</t>
  </si>
  <si>
    <t>CPI 2016</t>
  </si>
  <si>
    <t>CPI 2017</t>
  </si>
  <si>
    <t>CPI 2018</t>
  </si>
  <si>
    <t>CPI 2019</t>
  </si>
  <si>
    <t>WACC 2004</t>
  </si>
  <si>
    <t>WACC 2005</t>
  </si>
  <si>
    <t>WACC 2006</t>
  </si>
  <si>
    <t>WACC 2007</t>
  </si>
  <si>
    <t>WACC 2008</t>
  </si>
  <si>
    <t>WACC 2009</t>
  </si>
  <si>
    <t>WACC 2010</t>
  </si>
  <si>
    <t>WACC 2011</t>
  </si>
  <si>
    <t>WACC 2012</t>
  </si>
  <si>
    <t>WACC 2013</t>
  </si>
  <si>
    <t>WACC 2014</t>
  </si>
  <si>
    <t>WACC 2015</t>
  </si>
  <si>
    <t>WACC 2016</t>
  </si>
  <si>
    <t>WACC 2017</t>
  </si>
  <si>
    <t>WACC 2018</t>
  </si>
  <si>
    <t>WACC 2019</t>
  </si>
  <si>
    <t>Overige opbrengsten uit PAV Maatwerk</t>
  </si>
  <si>
    <t>waarvan reeds met OPEX gesaldeerd (restant wordt gesaldeerd met KK)</t>
  </si>
  <si>
    <t>Te salderen opbrengsten uit desinvesteringen</t>
  </si>
  <si>
    <t>Afschrijvingen</t>
  </si>
  <si>
    <t>GAW</t>
  </si>
  <si>
    <t>2004</t>
  </si>
  <si>
    <t>2005</t>
  </si>
  <si>
    <t>2006</t>
  </si>
  <si>
    <t>2007</t>
  </si>
  <si>
    <t>2008</t>
  </si>
  <si>
    <t>2009</t>
  </si>
  <si>
    <t>2010</t>
  </si>
  <si>
    <t>2011</t>
  </si>
  <si>
    <t>2012</t>
  </si>
  <si>
    <t>2013</t>
  </si>
  <si>
    <t>2014</t>
  </si>
  <si>
    <t>2015</t>
  </si>
  <si>
    <t>2016</t>
  </si>
  <si>
    <t>2017</t>
  </si>
  <si>
    <t>2018</t>
  </si>
  <si>
    <t>2019</t>
  </si>
  <si>
    <t>WACC voor PV 2004-2005</t>
  </si>
  <si>
    <t>WACC voor PV 2005-2006</t>
  </si>
  <si>
    <t>WACC voor PV 2006-2007</t>
  </si>
  <si>
    <t>WACC voor PV 2007-2008</t>
  </si>
  <si>
    <t>WACC voor PV 2008-2009</t>
  </si>
  <si>
    <t>WACC voor PV 2009-2010</t>
  </si>
  <si>
    <t>WACC voor PV 2010-2011</t>
  </si>
  <si>
    <t>WACC voor PV 2011-2012</t>
  </si>
  <si>
    <t>WACC voor PV 2012-2013</t>
  </si>
  <si>
    <t>WACC voor PV 2013-2014</t>
  </si>
  <si>
    <t>WACC voor PV 2014-2015</t>
  </si>
  <si>
    <t>WACC voor PV 2015-2016</t>
  </si>
  <si>
    <t>WACC voor PV 2016-2017</t>
  </si>
  <si>
    <t>WACC voor PV 2017-2018</t>
  </si>
  <si>
    <t>WACC voor PV 2018-2019</t>
  </si>
  <si>
    <t xml:space="preserve">Samengestelde output voor PV berekening </t>
  </si>
  <si>
    <t>Gemiddelde WACC</t>
  </si>
  <si>
    <t>Berekening kapitaalkosten</t>
  </si>
  <si>
    <t>Saldering opbrengsten en overige aanpassingen</t>
  </si>
  <si>
    <t>Netto kapitaalkosten voor PV 2004-2005</t>
  </si>
  <si>
    <t>Netto kapitaalkosten voor PV 2005-2006</t>
  </si>
  <si>
    <t>Netto kapitaalkosten voor PV 2006-2007</t>
  </si>
  <si>
    <t>Netto kapitaalkosten voor PV 2007-2008</t>
  </si>
  <si>
    <t>Netto kapitaalkosten voor PV 2008-2009</t>
  </si>
  <si>
    <t>Netto kapitaalkosten voor PV 2009-2010</t>
  </si>
  <si>
    <t>Netto kapitaalkosten voor PV 2010-2011</t>
  </si>
  <si>
    <t>Netto kapitaalkosten voor PV 2011-2012</t>
  </si>
  <si>
    <t>Netto kapitaalkosten voor PV 2012-2013</t>
  </si>
  <si>
    <t>Netto kapitaalkosten voor PV 2013-2014</t>
  </si>
  <si>
    <t>Netto kapitaalkosten voor PV 2014-2015</t>
  </si>
  <si>
    <t>Netto kapitaalkosten voor PV 2015-2016</t>
  </si>
  <si>
    <t>Netto kapitaalkosten voor PV 2016-2017</t>
  </si>
  <si>
    <t>Netto kapitaalkosten voor PV 2017-2018</t>
  </si>
  <si>
    <t>Netto kapitaalkosten voor PV 2018-2019</t>
  </si>
  <si>
    <t>Operationele kosten voor PV 2004-2005</t>
  </si>
  <si>
    <t>Operationele kosten voor PV 2005-2006</t>
  </si>
  <si>
    <t>Operationele kosten voor PV 2006-2007</t>
  </si>
  <si>
    <t>Operationele kosten voor PV 2007-2008</t>
  </si>
  <si>
    <t>Operationele kosten voor PV 2008-2009</t>
  </si>
  <si>
    <t>Operationele kosten voor PV 2009-2010</t>
  </si>
  <si>
    <t>Operationele kosten voor PV 2010-2011</t>
  </si>
  <si>
    <t>Operationele kosten voor PV 2011-2012</t>
  </si>
  <si>
    <t>Operationele kosten voor PV 2012-2013</t>
  </si>
  <si>
    <t>Operationele kosten voor PV 2013-2014</t>
  </si>
  <si>
    <t>Operationele kosten voor PV 2014-2015</t>
  </si>
  <si>
    <t>Operationele kosten voor PV 2015-2016</t>
  </si>
  <si>
    <t>Operationele kosten voor PV 2016-2017</t>
  </si>
  <si>
    <t>Operationele kosten voor PV 2017-2018</t>
  </si>
  <si>
    <t>Operationele kosten voor PV 2018-2019</t>
  </si>
  <si>
    <t>Samengestelde output voor PV 2004-2005</t>
  </si>
  <si>
    <t>Samengestelde output voor PV 2005-2006</t>
  </si>
  <si>
    <t>Samengestelde output voor PV 2006-2007</t>
  </si>
  <si>
    <t>Samengestelde output voor PV 2007-2008</t>
  </si>
  <si>
    <t>Samengestelde output voor PV 2008-2009</t>
  </si>
  <si>
    <t>Samengestelde output voor PV 2009-2010</t>
  </si>
  <si>
    <t>Samengestelde output voor PV 2010-2011</t>
  </si>
  <si>
    <t>Samengestelde output voor PV 2011-2012</t>
  </si>
  <si>
    <t>Samengestelde output voor PV 2012-2013</t>
  </si>
  <si>
    <t>Samengestelde output voor PV 2013-2014</t>
  </si>
  <si>
    <t>Samengestelde output voor PV 2014-2015</t>
  </si>
  <si>
    <t>Samengestelde output voor PV 2015-2016</t>
  </si>
  <si>
    <t>Samengestelde output voor PV 2016-2017</t>
  </si>
  <si>
    <t>Samengestelde output voor PV 2017-2018</t>
  </si>
  <si>
    <t>Samengestelde output voor PV 2018-2019</t>
  </si>
  <si>
    <t>EUR, pp jaar</t>
  </si>
  <si>
    <t>#</t>
  </si>
  <si>
    <t>%</t>
  </si>
  <si>
    <t>EUR, pp 2005</t>
  </si>
  <si>
    <t>EUR, pp 2006</t>
  </si>
  <si>
    <t>EUR, pp 2007</t>
  </si>
  <si>
    <t>EUR, pp 2008</t>
  </si>
  <si>
    <t>EUR, pp 2009</t>
  </si>
  <si>
    <t>EUR, pp 2010</t>
  </si>
  <si>
    <t>EUR, pp 2011</t>
  </si>
  <si>
    <t>EUR, pp 2012</t>
  </si>
  <si>
    <t>EUR, pp 2013</t>
  </si>
  <si>
    <t>EUR, pp 2014</t>
  </si>
  <si>
    <t>EUR, pp 2015</t>
  </si>
  <si>
    <t>EUR, pp 2016</t>
  </si>
  <si>
    <t>EUR, pp 2017</t>
  </si>
  <si>
    <t>EUR, pp 2018</t>
  </si>
  <si>
    <t>EUR, pp 2019</t>
  </si>
  <si>
    <t xml:space="preserve">Totale kosten voor PV berekening </t>
  </si>
  <si>
    <t>Totale kosten voor PV 2004-2005</t>
  </si>
  <si>
    <t>Totale kosten voor PV 2005-2006</t>
  </si>
  <si>
    <t>Totale kosten voor PV 2006-2007</t>
  </si>
  <si>
    <t>Totale kosten voor PV 2007-2008</t>
  </si>
  <si>
    <t>Totale kosten voor PV 2008-2009</t>
  </si>
  <si>
    <t>Totale kosten voor PV 2009-2010</t>
  </si>
  <si>
    <t>Totale kosten voor PV 2010-2011</t>
  </si>
  <si>
    <t>Totale kosten voor PV 2011-2012</t>
  </si>
  <si>
    <t>Totale kosten voor PV 2012-2013</t>
  </si>
  <si>
    <t>Totale kosten voor PV 2013-2014</t>
  </si>
  <si>
    <t>Totale kosten voor PV 2014-2015</t>
  </si>
  <si>
    <t>Totale kosten voor PV 2015-2016</t>
  </si>
  <si>
    <t>Totale kosten voor PV 2016-2017</t>
  </si>
  <si>
    <t>Totale kosten voor PV 2017-2018</t>
  </si>
  <si>
    <t>Totale kosten voor PV 2018-2019</t>
  </si>
  <si>
    <t>Productiviteitsverandering</t>
  </si>
  <si>
    <t>Jaarlijkse productiviteitsverandering jaar n-1 naar jaar n</t>
  </si>
  <si>
    <t>Jaarlijkse PV + 1</t>
  </si>
  <si>
    <t>Inschatting productiviteitsverandering 2021-2026</t>
  </si>
  <si>
    <t>Netto kapitalkosten voor PV</t>
  </si>
  <si>
    <t>https://www.acm.nl/sites/default/files/old_publication/bijlagen/3658_103222_Bijlage_2.pdf</t>
  </si>
  <si>
    <t>https://www.acm.nl/sites/default/files/documents/2019-01/herstel-bijlage-2-uitwerking-van-de-methode-voor-de-wacc.pdf</t>
  </si>
  <si>
    <t>https://www.acm.nl/sites/default/files/old_publication/bijlagen/3659_102610_Bijlage2_WACC_methodiek.pdf</t>
  </si>
  <si>
    <t>Nominale WACC 2008-2010 laag</t>
  </si>
  <si>
    <t>Nominale WACC 2008-2010 hoog</t>
  </si>
  <si>
    <t>Nominale WACC 2011-2013 laag</t>
  </si>
  <si>
    <t>Nominale WACC 2011-2013 hoog</t>
  </si>
  <si>
    <t>Nominale WACC BI2016</t>
  </si>
  <si>
    <t>Nominale WACC EI2021</t>
  </si>
  <si>
    <t>Reële WACC 2007</t>
  </si>
  <si>
    <t>https://www.acm.nl/sites/default/files/old_publication/bijlagen/6897_consultatiedocument_vermogenskostenvergoeding.pdf</t>
  </si>
  <si>
    <t>Saldering opbrengsten en overige aanpassingen REG2021</t>
  </si>
  <si>
    <t>Herziene PV berekening 2004-2006, tabblad "Productiviteit en kosten", SOM(D68:L68)*1000; SOM(D121:D121)*1000</t>
  </si>
  <si>
    <t>Bijlagen x-factormodel regionaal netbeheer elektriciteit 2014-2016 | ACM.nl</t>
  </si>
  <si>
    <t>Herziene PV berekening 2004-2006</t>
  </si>
  <si>
    <t>16294_RNBs Elektriciteit 2014-2016 gewijzigd X-factormodel (aug 2016)</t>
  </si>
  <si>
    <t>Herziene PV berekening 2004-2006, tabblad "Productiviteit en kosten", D305; D306</t>
  </si>
  <si>
    <t>Herziene PV berekening 2004-2006, tabblad "Productiviteit en kosten", D306; D307</t>
  </si>
  <si>
    <t>Herziene PV berekening 2004-2006, tabblad "Productiviteit en kosten", SOM(D121:D121)*1000 ; SOM(D186:D186)*1000</t>
  </si>
  <si>
    <t>Gewijzigd x-factormodel 2014-2016, tabblad "Berekening operationele kosten", F102 ; F198</t>
  </si>
  <si>
    <t>Gewijzigd x-factormodel 2014-2016, tabblad "Berekening operationele kosten", F198 ; F294</t>
  </si>
  <si>
    <t>Gewijzigd x-factormodel 2014-2016, tabblad "Berekening operationele kosten", F294 ; F390</t>
  </si>
  <si>
    <t>Gewijzigd x-factormodel 2014-2016</t>
  </si>
  <si>
    <t>Geschatte inflatie t.b.v. WACC 2007</t>
  </si>
  <si>
    <t>CBS</t>
  </si>
  <si>
    <t>Parameters</t>
  </si>
  <si>
    <t>Overige data</t>
  </si>
  <si>
    <t>Op dit tabblad haalt de ACM de gegevens voor de operationele kosten en samengestelde output.</t>
  </si>
  <si>
    <t>Data in roze gemarkeerde cellen zijn niet één op één uit gepubliceerde versies op te halen. De ACM heeft enkele noodzakelijke correcties doorgevoerd in de gepubliceerde versies om de data geschikt te maken voor dit berekeningsbestand.</t>
  </si>
  <si>
    <t>Ingeschatte besparingen Marktmodel  (t.o.v. 2009; analyse Ecorys)</t>
  </si>
  <si>
    <t>Nog te realiseren besparingen marktmodel</t>
  </si>
  <si>
    <t>Besparingen Marktmodel</t>
  </si>
  <si>
    <t>Op dit tabblad haalt de ACM de jaarlijkse cijfers voor de inflatie (CPI) en de WACC op.</t>
  </si>
  <si>
    <t>Voor de mutatie tussen jaar t en jaar t+1 maakt de ACM gebruik van de gemiddelde WACC in die jaren.</t>
  </si>
  <si>
    <t>Beslissing op bezwaar nummer 100114/26.B55</t>
  </si>
  <si>
    <t>Nominale WACC 2004-2006</t>
  </si>
  <si>
    <t>Geschatte inflatie t.b.v. WACC 2004-2006</t>
  </si>
  <si>
    <t>GAW indexatiefactor</t>
  </si>
  <si>
    <t>Geschatte inflatie t.b.v. WACC 2008-2010</t>
  </si>
  <si>
    <t>Geschatte inflatie t.b.v. WACC 2011-2013</t>
  </si>
  <si>
    <t>Nominale WACC 2011-2013</t>
  </si>
  <si>
    <t>WACC BI2016</t>
  </si>
  <si>
    <t>WACC EI2021</t>
  </si>
  <si>
    <t>Bijdragen EAV voor PV</t>
  </si>
  <si>
    <t>Bijdragen EAV voor PV 2009-2010</t>
  </si>
  <si>
    <t>Bijdragen EAV voor PV 2010-2011</t>
  </si>
  <si>
    <t>Bijdragen EAV voor PV 2011-2012</t>
  </si>
  <si>
    <t>Bijdragen EAV voor PV 2012-2013</t>
  </si>
  <si>
    <t>Bijdragen EAV voor PV 2013-2014</t>
  </si>
  <si>
    <t>Bijdragen EAV voor PV 2014-2015</t>
  </si>
  <si>
    <t>Bijdragen EAV voor PV 2015-2016</t>
  </si>
  <si>
    <t>Bijdragen EAV voor PV 2016-2017</t>
  </si>
  <si>
    <t>Bijdragen EAV voor PV 2017-2018</t>
  </si>
  <si>
    <t>Bijdragen EAV voor PV 2018-2019</t>
  </si>
  <si>
    <t>Gewijzigde PV-berekening 2004-2006 regionale netbeheerders elektriciteit 2014-2016 | ACM.nl</t>
  </si>
  <si>
    <t>Herziene PV berekening 2006-2009</t>
  </si>
  <si>
    <t>Gewijzigde PV-berekening 2006-2009 regionale netbeheerders elektriciteit 2014-2016 | ACM.nl</t>
  </si>
  <si>
    <t>16291_RNBs Elektriciteit 2014-2016 PV-berekening over '04-'06 (aug 2016)</t>
  </si>
  <si>
    <t>16292_RNBs Elektriciteit 2014-2016 gewijzigde PV-berekening over '06-'09 (aug 2016)</t>
  </si>
  <si>
    <t>Gestandaardiseerde Economische Kosten voor PV 2006-2007 excl ORV</t>
  </si>
  <si>
    <t>Gestandaardiseerde Economische Kosten voor PV 2007-2008 excl ORV</t>
  </si>
  <si>
    <t>Totaal CAPEX voor PV 2006-2007</t>
  </si>
  <si>
    <t>EUR '000, pp jaar</t>
  </si>
  <si>
    <t>Totaal CAPEX voor PV 2007-2008</t>
  </si>
  <si>
    <t>Gestandaardiseerde Economische Kosten voor PV 2008-2009 excl ORV</t>
  </si>
  <si>
    <t>Herziene PV berekening 2006-2009, tabblad "Productiviteit", L8; L12</t>
  </si>
  <si>
    <t>Herziene PV berekening 2006-2009, tabblad "Productiviteit", L25; L29</t>
  </si>
  <si>
    <t>Totaal CAPEX voor PV 2008-2009</t>
  </si>
  <si>
    <t>Herziene PV berekening 2006-2009, tabblad "Kosten", M28; M57</t>
  </si>
  <si>
    <t>Herziene PV berekening 2006-2009, tabblad "Kosten", (M58-F58); (M91-F91)</t>
  </si>
  <si>
    <t>Herziene PV berekening 2006-2009, tabblad "Kosten", M90; M122</t>
  </si>
  <si>
    <t>Gewijzigd x-factormodel 2014-2016, tabblad "Berekening vergoedingen EAV", F153 ; F154</t>
  </si>
  <si>
    <t>Gewijzigd x-factormodel 2014-2016, tabblad "Berekening vergoedingen EAV", F154 ; F155</t>
  </si>
  <si>
    <t>Gewijzigd x-factormodel 2014-2016, tabblad "Berekening vergoedingen EAV", F155 ; F156</t>
  </si>
  <si>
    <t>Gewijzigd x-factormodel 2014-2016, tabblad "Data marktmodel", H21; I21; J21; K21</t>
  </si>
  <si>
    <t>Gewijzigd x-factormodel 2017-2021, tabblad "Import EAV, BI en SO", J20; J21</t>
  </si>
  <si>
    <t>Gewijzigd x-factormodel 2017-2021, tabblad "Import EAV, BI en SO", J22; J23</t>
  </si>
  <si>
    <t>Gewijzigd x-factormodel 2017-2021, tabblad "Import EAV, BI en SO", J21; J22</t>
  </si>
  <si>
    <t>Gewijzigd x-factormodel 2017-2021, tabblad "Import kosten 2012-2015", J15; J34</t>
  </si>
  <si>
    <t>Gewijzigd x-factormodel 2017-2021, tabblad "Import kosten 2012-2015", J34; J54</t>
  </si>
  <si>
    <t>Gewijzigd x-factormodel 2017-2021, tabblad "Import kosten 2012-2015", J58; J77</t>
  </si>
  <si>
    <t>Operationele kosten voor PV 2019-2020</t>
  </si>
  <si>
    <t>2020</t>
  </si>
  <si>
    <t>Bijdragen EAV voor PV 2019-2020</t>
  </si>
  <si>
    <t>Samengestelde output voor PV 2018-2020</t>
  </si>
  <si>
    <t>Ingeschatte besparingen Marktmodel</t>
  </si>
  <si>
    <t>WACC 2020</t>
  </si>
  <si>
    <t>Samengestelde output voor PV 2019-2020</t>
  </si>
  <si>
    <t>Netto kapitaalkosten voor PV 2019-2020</t>
  </si>
  <si>
    <t>Totale kosten voor PV 2019-2020</t>
  </si>
  <si>
    <t>EUR, pp 2020</t>
  </si>
  <si>
    <t>CPI 2020</t>
  </si>
  <si>
    <t>Berekening PV</t>
  </si>
  <si>
    <t>Op dit tabblad worden de GAW waardes opgehaald met een indexatiefactor van 50%. Hiervoor wordt in het GAW bestand de waarde van de CPI voor alle jaren vervangen door 50% van de geschatte inflatie in de WACC.</t>
  </si>
  <si>
    <t>Vanaf 2017 exclusief activa personeels BV Enexis, vanaf 2020 exclusief activa personeels BV Enexis en personeels BV RENDO.</t>
  </si>
  <si>
    <t>Op dit tabblad berekent de ACM wat de jaarlijkse kapitaalkosten voor de productiviteitsverandering zijn op basis van een indexatiefactor van 50%.</t>
  </si>
  <si>
    <t>Inputs</t>
  </si>
  <si>
    <t>Berekeningen</t>
  </si>
  <si>
    <t>Resultaten</t>
  </si>
  <si>
    <t>In dit bestand berekent de ACM wat de verwachte productiviteitsverandering is in het stelsel dat vanaf 2022 zal gelden voor de regionale netbeheerders elektriciteit.</t>
  </si>
  <si>
    <t xml:space="preserve">Een productiviteitsverandering gebaseerd op kosten van het reële stelsel is niet representatief voor de kosten vanaf 2022. </t>
  </si>
  <si>
    <t>In het reële stelsel wordt immers inflatie geactiveerd in de gestandaardiseerde activa waarde (GAW), waar deze in het geldende stelsel deels meteen vergoed wordt.</t>
  </si>
  <si>
    <t>1) Berekening PV</t>
  </si>
  <si>
    <t>5) Berekening kapitaalkosten</t>
  </si>
  <si>
    <t>3) GAW</t>
  </si>
  <si>
    <t>2) Parameters</t>
  </si>
  <si>
    <t>4) Overige data</t>
  </si>
  <si>
    <t>x-factorberekening 2022-2026, tabblad "5) Productiviteitsverandering", L60; M60</t>
  </si>
  <si>
    <t>x-factorberekening 2022-2026, tabblad "5) Productiviteitsverandering", M60; N60</t>
  </si>
  <si>
    <t>x-factorberekening 2022-2026, tabblad "5) Productiviteitsverandering", N60; O60</t>
  </si>
  <si>
    <t>x-factorberekening 2022-2026, tabblad "5) Productiviteitsverandering", O61; P61</t>
  </si>
  <si>
    <t>x-factorberekening 2022-2026, tabblad "5) Productiviteitsverandering", P61; Q61</t>
  </si>
  <si>
    <t>x-factorberekening 2022-2026, tabblad "5) Productiviteitsverandering", Q62; R62</t>
  </si>
  <si>
    <t>Geschatte inflatie t.b.v. WACC 2011-2013 laag</t>
  </si>
  <si>
    <t>Geschatte inflatie t.b.v. WACC 2011-2013 hoog</t>
  </si>
  <si>
    <t>Geschatte inflatie t.b.v. WACC 2014-2016</t>
  </si>
  <si>
    <t>Geschatte inflatie t.b.v. WACC BI2016</t>
  </si>
  <si>
    <t>Geschatte inflatie t.b.v. WACC EI2021</t>
  </si>
  <si>
    <t>Op dit tabblad berekent de ACM de verwachte productiviteitsverandering voor elektriciteit tussen 2021 en 2026.</t>
  </si>
  <si>
    <t>WACC = [ (1 + nominale WACC) / (1 + inflatie * indexatiefactor) ] -1.</t>
  </si>
  <si>
    <t>Reële WACC = [ (1 + nominale WACC) / (1 + inflatie) ] -1.</t>
  </si>
  <si>
    <t>Nominale WACC 2008-2010</t>
  </si>
  <si>
    <t>Nominale WACC 2014-2016</t>
  </si>
  <si>
    <t>Geschatte inflatie 2017</t>
  </si>
  <si>
    <t>Geschatte inflatie 2018</t>
  </si>
  <si>
    <t>Geschatte inflatie 2019</t>
  </si>
  <si>
    <t>Geschatte inflatie 2020</t>
  </si>
  <si>
    <t>Totale afschrijvingen</t>
  </si>
  <si>
    <t>GAW precario</t>
  </si>
  <si>
    <t>Afschrijvingen op precario</t>
  </si>
  <si>
    <t>Totale GAW</t>
  </si>
  <si>
    <t>GAW model, tabblad "Dashboard boekjaar", cel K39</t>
  </si>
  <si>
    <t>GAW model</t>
  </si>
  <si>
    <t>GAW sheet E 03s</t>
  </si>
  <si>
    <t>GAW model, tabblad "Dashboard boekjaar", cel K40</t>
  </si>
  <si>
    <t>GAW model, tabblad "Dashboard boekjaar", cel K24</t>
  </si>
  <si>
    <t>GAW model, tabblad "Dashboard boekjaar", cel K25</t>
  </si>
  <si>
    <t>Gewijzigd x-factormodel 2014-2016, tabblad "", F67; F128; F193; F258</t>
  </si>
  <si>
    <t>Totaal te salderen met kapitaalkosten REG2014</t>
  </si>
  <si>
    <t>Totaal te salderen met kapitaalkosten REG2017</t>
  </si>
  <si>
    <t>Kostenbestand 2017-2021, tabblad "Berekening Kapitaalkosten", J64; J131; J214; J296</t>
  </si>
  <si>
    <t>Kostenbestand 2022-2026, tabblad "9) Berekening Kapitaalkosten", J51, J91; J133; J175; J223; J271</t>
  </si>
  <si>
    <t>Kostenbestand 2022-2026, tabblad "9) Berekening Kapitaalkosten", J52; J92; J134; J176; J224; J272</t>
  </si>
  <si>
    <t>Kostenbestand 2022-2026, tabblad "9) Berekening Kapitaalkosten", J53; J93; J135; J177; J225; J273</t>
  </si>
  <si>
    <t>WACC 2008-2010</t>
  </si>
  <si>
    <t>WACC 2014-2016</t>
  </si>
  <si>
    <t>WACC 2011-2013</t>
  </si>
  <si>
    <t>Methodebesluit regionale netbeheerders elektriciteit 2022 - 2026</t>
  </si>
  <si>
    <t>Berekeningsbestand PV elektriciteit voor kostenontwikkeling 2021 - 2026</t>
  </si>
  <si>
    <t>De ACM beschikt niet over een nominale WACC voor 2007, om deze reden wordt de reële WACC in de berekening gebruikt.</t>
  </si>
  <si>
    <t>Afschrijvingen op start-GAW RENDO</t>
  </si>
  <si>
    <t>Start-GAW RENDO</t>
  </si>
  <si>
    <t>GAW model, tabblad "Dashboard boekjaar", cel O14</t>
  </si>
  <si>
    <t>GAW model, tabblad "Dashboard boekjaar", cel O15</t>
  </si>
  <si>
    <t>Te salderen met kapitaalkosten REG2022</t>
  </si>
  <si>
    <t>Kostenbestand 2022-2026, tabblad "8) Berekening Oper. kosten", J76; J141</t>
  </si>
  <si>
    <t>Kostenbestand 2022-2026, tabblad "8) Berekening Oper. kosten", J141; J206</t>
  </si>
  <si>
    <t>Kostenbestand 2022-2026, tabblad "8) Berekening Oper. kosten", J206; J275</t>
  </si>
  <si>
    <t>Kostenbestand 2022-2026, tabblad "8) Berekening Oper. kosten", J275; J344</t>
  </si>
  <si>
    <t>Kostenbestand 2022-2026, tabblad "8) Berekening Oper. kosten", J344; J413</t>
  </si>
  <si>
    <t>Kostenbestand 2022-2026</t>
  </si>
  <si>
    <t>WACC 2007/1</t>
  </si>
  <si>
    <t>WACC 2007/2</t>
  </si>
  <si>
    <t>x-factorberekening 2022-2026</t>
  </si>
  <si>
    <t>SO-bestand 2022-2026, tabblad "Output BI, EAV en SO", J39; J 40</t>
  </si>
  <si>
    <t>SO-bestand 2022-2026, tabblad "Output BI, EAV en SO", J40; J 41</t>
  </si>
  <si>
    <t>SO-bestand 2022-2026, tabblad "Output BI, EAV en SO", J41; J 42</t>
  </si>
  <si>
    <t>SO-bestand 2022-2026, tabblad "Output BI, EAV en SO", J42; J 43</t>
  </si>
  <si>
    <t>SO-bestand 2022-2026, tabblad "Output BI, EAV en SO", J43; J 44</t>
  </si>
  <si>
    <t>SO-bestand 2022-2026, tabblad "Output BI, EAV en SO", J28; J29</t>
  </si>
  <si>
    <t>SO-bestand 2022-2026, tabblad "Output BI, EAV en SO", J29; J30</t>
  </si>
  <si>
    <t>SO-bestand 2022-2026, tabblad "Output BI, EAV en SO", J30; J31</t>
  </si>
  <si>
    <t>SO-bestand 2022-2026, tabblad "Output BI, EAV en SO", J31; J32</t>
  </si>
  <si>
    <t>SO-bestand 2022-2026, tabblad "Output BI, EAV en SO", J32; J33</t>
  </si>
  <si>
    <t>SO-bestand 2022-2026</t>
  </si>
  <si>
    <t>https://www.acm.nl/nl/publicaties/publicatie/16292/Gewijzigde-PV-berekening-2006-2009-regionale-netbeheerders-elektriciteit-2014-2016</t>
  </si>
  <si>
    <t>https://www.acm.nl/nl/publicaties/publicatie/12039/Bijlage-2-WACC-methode-bij-methodebesluiten-2014-2016</t>
  </si>
  <si>
    <t>WACC 2017-2021/1</t>
  </si>
  <si>
    <t>WACC 2017-2021/2</t>
  </si>
  <si>
    <t>https://www.acm.nl/nl/publicaties/publicatie/4613/Besluit-op-bezwaar-X-factorbesluit-TenneT-2001-2003</t>
  </si>
  <si>
    <t>WACC 2004-2006/1</t>
  </si>
  <si>
    <t>WACC 2004-2006/2</t>
  </si>
  <si>
    <t>https://www.acm.nl/sites/default/files/old_publication/bijlagen/3691_12_14080.pdf</t>
  </si>
  <si>
    <t>https://www.acm.nl/nl/publicaties/publicatie/16199/WACC-methode-bij-de-methodebesluiten-2017-2021</t>
  </si>
  <si>
    <t>Ophalen gegevens GAW in stelsel met 50% indexatie</t>
  </si>
  <si>
    <t>Herziene PV berekening 2006-2009, tabblad "Productiviteit", (L16-E16) ; (L21-E21)</t>
  </si>
  <si>
    <t>Herziene PV berekening 2006-2009, tabblad "Productiviteit", L36 ; L37</t>
  </si>
  <si>
    <t>Herziene PV berekening 2006-2009, tabblad "Productiviteit", (L37-E34) ; (L40-E40)</t>
  </si>
  <si>
    <t>Herziene PV berekening 2006-2009, tabblad "Productiviteit", L38 ; L41</t>
  </si>
  <si>
    <t>WACC voor PV 2019-2020</t>
  </si>
  <si>
    <t>WACC op basis van een indexatiefactor van 50%</t>
  </si>
  <si>
    <t>WACC</t>
  </si>
  <si>
    <t>ACM/19/035362</t>
  </si>
  <si>
    <t>j</t>
  </si>
  <si>
    <t>n</t>
  </si>
  <si>
    <t>x-factor bestand regionale netbeheerders elektriciteit 2022 - 2026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</si>
</sst>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 #,##0.0000_ ;_ * \-#,##0.0000_ ;_ * &quot;-&quot;_ ;_ @_ "/>
    <numFmt numFmtId="166" formatCode="#,##0_);\(#,##0\);&quot;-  &quot;;&quot; &quot;@"/>
    <numFmt numFmtId="167" formatCode="0.00%_);\-0.00%_);&quot;-  &quot;;&quot; &quot;@"/>
    <numFmt numFmtId="168" formatCode="#,##0.0000_);\(#,##0.0000\);&quot;-  &quot;;&quot; &quot;@"/>
    <numFmt numFmtId="169" formatCode="dd\ mmm\ yyyy_);;&quot;-  &quot;;&quot; &quot;@"/>
    <numFmt numFmtId="170" formatCode="dd\ mmm\ yy_);;&quot;-  &quot;;&quot; &quot;@"/>
    <numFmt numFmtId="171" formatCode="_-* #,##0.00_-;_-* #,##0.00\-;_-* &quot;-&quot;??_-;_-@_-"/>
    <numFmt numFmtId="172" formatCode="_([$€]* #,##0.00_);_([$€]* \(#,##0.00\);_([$€]* &quot;-&quot;??_);_(@_)"/>
  </numFmts>
  <fonts count="53"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8"/>
      <name val="Arial"/>
      <family val="2"/>
    </font>
    <font>
      <sz val="9"/>
      <color indexed="81"/>
      <name val="Tahoma"/>
      <family val="2"/>
    </font>
    <font>
      <sz val="10"/>
      <color theme="0" tint="-0.34998626667073579"/>
      <name val="Arial"/>
      <family val="2"/>
    </font>
    <font>
      <u val="singleAccounting"/>
      <sz val="10"/>
      <color theme="0" tint="-0.34998626667073579"/>
      <name val="Arial"/>
      <family val="2"/>
    </font>
    <font>
      <u/>
      <sz val="10"/>
      <color theme="0" tint="-0.34998626667073579"/>
      <name val="Arial"/>
      <family val="2"/>
    </font>
    <font>
      <b/>
      <sz val="10"/>
      <color indexed="8"/>
      <name val="Arial"/>
      <family val="2"/>
    </font>
    <font>
      <sz val="11"/>
      <color indexed="8"/>
      <name val="Calibri"/>
      <family val="2"/>
    </font>
    <font>
      <b/>
      <sz val="11"/>
      <color indexed="8"/>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2"/>
      <name val="Times New Roman"/>
      <family val="1"/>
    </font>
    <font>
      <sz val="10"/>
      <color indexed="8"/>
      <name val="MS Sans Serif"/>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indexed="45"/>
      </patternFill>
    </fill>
    <fill>
      <patternFill patternType="solid">
        <fgColor indexed="42"/>
      </patternFill>
    </fill>
    <fill>
      <patternFill patternType="solid">
        <fgColor indexed="47"/>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28">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7" fillId="5" borderId="1">
      <alignment vertical="top"/>
    </xf>
    <xf numFmtId="49" fontId="6" fillId="16" borderId="1">
      <alignment vertical="top"/>
    </xf>
    <xf numFmtId="49" fontId="6" fillId="0" borderId="0">
      <alignment vertical="top"/>
    </xf>
    <xf numFmtId="41" fontId="5" fillId="9" borderId="0">
      <alignment vertical="top"/>
    </xf>
    <xf numFmtId="41" fontId="5" fillId="8" borderId="0">
      <alignment vertical="top"/>
    </xf>
    <xf numFmtId="41" fontId="5" fillId="7" borderId="0">
      <alignment vertical="top"/>
    </xf>
    <xf numFmtId="41" fontId="5" fillId="43" borderId="0">
      <alignment vertical="top"/>
    </xf>
    <xf numFmtId="41" fontId="5" fillId="6" borderId="0">
      <alignment vertical="top"/>
    </xf>
    <xf numFmtId="41" fontId="5" fillId="10" borderId="0">
      <alignment vertical="top"/>
    </xf>
    <xf numFmtId="49" fontId="9" fillId="0" borderId="0">
      <alignment vertical="top"/>
    </xf>
    <xf numFmtId="49" fontId="8" fillId="0" borderId="0">
      <alignment vertical="top"/>
    </xf>
    <xf numFmtId="0" fontId="15" fillId="12" borderId="3" applyNumberFormat="0" applyAlignment="0" applyProtection="0"/>
    <xf numFmtId="0" fontId="16" fillId="13" borderId="4" applyNumberFormat="0" applyAlignment="0" applyProtection="0"/>
    <xf numFmtId="0" fontId="17" fillId="13" borderId="3" applyNumberFormat="0" applyAlignment="0" applyProtection="0"/>
    <xf numFmtId="0" fontId="18" fillId="0" borderId="5" applyNumberFormat="0" applyFill="0" applyAlignment="0" applyProtection="0"/>
    <xf numFmtId="0" fontId="12" fillId="14" borderId="6" applyNumberFormat="0" applyAlignment="0" applyProtection="0"/>
    <xf numFmtId="0" fontId="14" fillId="15" borderId="7" applyNumberFormat="0" applyFont="0" applyAlignment="0" applyProtection="0"/>
    <xf numFmtId="0" fontId="19" fillId="0" borderId="0" applyNumberForma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4" fontId="14" fillId="0" borderId="0" applyFont="0" applyFill="0" applyBorder="0" applyAlignment="0" applyProtection="0"/>
    <xf numFmtId="42"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0" borderId="9" applyNumberFormat="0" applyFill="0" applyAlignment="0" applyProtection="0"/>
    <xf numFmtId="0" fontId="24" fillId="0" borderId="10" applyNumberFormat="0" applyFill="0" applyAlignment="0" applyProtection="0"/>
    <xf numFmtId="0" fontId="24" fillId="0" borderId="0" applyNumberFormat="0" applyFill="0" applyBorder="0" applyAlignment="0" applyProtection="0"/>
    <xf numFmtId="0" fontId="13" fillId="0" borderId="0" applyNumberFormat="0" applyFill="0" applyBorder="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7" fillId="40" borderId="0" applyNumberFormat="0" applyBorder="0" applyAlignment="0" applyProtection="0"/>
    <xf numFmtId="0" fontId="28" fillId="0" borderId="0" applyNumberFormat="0" applyFill="0" applyBorder="0" applyAlignment="0" applyProtection="0"/>
    <xf numFmtId="49" fontId="20" fillId="0" borderId="0" applyFill="0" applyBorder="0" applyAlignment="0" applyProtection="0"/>
    <xf numFmtId="43" fontId="5" fillId="41" borderId="0" applyNumberFormat="0">
      <alignment vertical="top"/>
    </xf>
    <xf numFmtId="43" fontId="5" fillId="8" borderId="0" applyFont="0" applyFill="0" applyBorder="0" applyAlignment="0" applyProtection="0">
      <alignment vertical="top"/>
    </xf>
    <xf numFmtId="10" fontId="5" fillId="0" borderId="0" applyFont="0" applyFill="0" applyBorder="0" applyAlignment="0" applyProtection="0">
      <alignment vertical="top"/>
    </xf>
    <xf numFmtId="41" fontId="5" fillId="42" borderId="0">
      <alignment vertical="top"/>
    </xf>
    <xf numFmtId="0" fontId="5" fillId="0" borderId="0"/>
    <xf numFmtId="166" fontId="35" fillId="0" borderId="0" applyFont="0" applyFill="0" applyBorder="0" applyProtection="0">
      <alignment vertical="top"/>
    </xf>
    <xf numFmtId="0" fontId="38" fillId="47" borderId="20" applyNumberFormat="0" applyAlignment="0" applyProtection="0"/>
    <xf numFmtId="166" fontId="35" fillId="0" borderId="0" applyFont="0" applyFill="0" applyBorder="0" applyProtection="0">
      <alignment vertical="top"/>
    </xf>
    <xf numFmtId="166" fontId="35" fillId="0" borderId="0" applyFont="0" applyFill="0" applyBorder="0" applyProtection="0">
      <alignment vertical="top"/>
    </xf>
    <xf numFmtId="0" fontId="39" fillId="48" borderId="21" applyNumberFormat="0" applyAlignment="0" applyProtection="0"/>
    <xf numFmtId="169" fontId="35" fillId="0" borderId="0" applyFont="0" applyFill="0" applyBorder="0" applyProtection="0">
      <alignment vertical="top"/>
    </xf>
    <xf numFmtId="169" fontId="35" fillId="0" borderId="0" applyFont="0" applyFill="0" applyBorder="0" applyProtection="0">
      <alignment vertical="top"/>
    </xf>
    <xf numFmtId="170" fontId="35" fillId="0" borderId="0" applyFont="0" applyFill="0" applyBorder="0" applyProtection="0">
      <alignment vertical="top"/>
    </xf>
    <xf numFmtId="170" fontId="35" fillId="0" borderId="0" applyFont="0" applyFill="0" applyBorder="0" applyProtection="0">
      <alignment vertical="top"/>
    </xf>
    <xf numFmtId="168" fontId="35" fillId="0" borderId="0" applyFont="0" applyFill="0" applyBorder="0" applyProtection="0">
      <alignment vertical="top"/>
    </xf>
    <xf numFmtId="168" fontId="35" fillId="0" borderId="0" applyFont="0" applyFill="0" applyBorder="0" applyProtection="0">
      <alignment vertical="top"/>
    </xf>
    <xf numFmtId="168" fontId="35" fillId="0" borderId="0" applyFont="0" applyFill="0" applyBorder="0" applyProtection="0">
      <alignment vertical="top"/>
    </xf>
    <xf numFmtId="0" fontId="46" fillId="0" borderId="22" applyNumberFormat="0" applyFill="0" applyAlignment="0" applyProtection="0"/>
    <xf numFmtId="0" fontId="41" fillId="45" borderId="0" applyNumberFormat="0" applyBorder="0" applyAlignment="0" applyProtection="0"/>
    <xf numFmtId="0" fontId="45" fillId="46" borderId="20" applyNumberFormat="0" applyAlignment="0" applyProtection="0"/>
    <xf numFmtId="166" fontId="35" fillId="0" borderId="0" applyFont="0" applyFill="0" applyBorder="0" applyProtection="0">
      <alignment vertical="top"/>
    </xf>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7" fillId="49" borderId="0" applyNumberFormat="0" applyBorder="0" applyAlignment="0" applyProtection="0"/>
    <xf numFmtId="166" fontId="35" fillId="0" borderId="0" applyFont="0" applyFill="0" applyBorder="0" applyProtection="0">
      <alignment vertical="top"/>
    </xf>
    <xf numFmtId="0" fontId="35" fillId="50" borderId="26" applyNumberFormat="0" applyFont="0" applyAlignment="0" applyProtection="0"/>
    <xf numFmtId="0" fontId="37" fillId="44" borderId="0" applyNumberFormat="0" applyBorder="0" applyAlignment="0" applyProtection="0"/>
    <xf numFmtId="167" fontId="35" fillId="0" borderId="0" applyFont="0" applyFill="0" applyBorder="0" applyProtection="0">
      <alignment vertical="top"/>
    </xf>
    <xf numFmtId="167" fontId="35" fillId="0" borderId="0" applyFont="0" applyFill="0" applyBorder="0" applyProtection="0">
      <alignment vertical="top"/>
    </xf>
    <xf numFmtId="166" fontId="35" fillId="0" borderId="0" applyFont="0" applyFill="0" applyBorder="0" applyProtection="0">
      <alignment vertical="top"/>
    </xf>
    <xf numFmtId="0" fontId="49" fillId="0" borderId="0" applyNumberFormat="0" applyFill="0" applyBorder="0" applyAlignment="0" applyProtection="0"/>
    <xf numFmtId="0" fontId="36" fillId="0" borderId="28" applyNumberFormat="0" applyFill="0" applyAlignment="0" applyProtection="0"/>
    <xf numFmtId="0" fontId="48" fillId="47" borderId="27" applyNumberFormat="0" applyAlignment="0" applyProtection="0"/>
    <xf numFmtId="0" fontId="40" fillId="0" borderId="0" applyNumberFormat="0" applyFill="0" applyBorder="0" applyAlignment="0" applyProtection="0"/>
    <xf numFmtId="0" fontId="50" fillId="0" borderId="0" applyNumberFormat="0" applyFill="0" applyBorder="0" applyAlignment="0" applyProtection="0"/>
    <xf numFmtId="166" fontId="35" fillId="0" borderId="0" applyFont="0" applyFill="0" applyBorder="0" applyProtection="0">
      <alignment vertical="top"/>
    </xf>
    <xf numFmtId="0" fontId="51" fillId="0" borderId="0"/>
    <xf numFmtId="0" fontId="52" fillId="0" borderId="0"/>
    <xf numFmtId="172" fontId="5" fillId="0" borderId="0" applyFont="0" applyFill="0" applyBorder="0" applyAlignment="0" applyProtection="0"/>
    <xf numFmtId="43" fontId="51" fillId="0" borderId="0" applyFont="0" applyFill="0" applyBorder="0" applyAlignment="0" applyProtection="0"/>
    <xf numFmtId="0" fontId="51" fillId="0" borderId="0"/>
    <xf numFmtId="0" fontId="5" fillId="0" borderId="0"/>
    <xf numFmtId="0" fontId="5" fillId="0" borderId="0"/>
    <xf numFmtId="171" fontId="5" fillId="0" borderId="0" applyFont="0" applyFill="0" applyBorder="0" applyAlignment="0" applyProtection="0"/>
    <xf numFmtId="171" fontId="5" fillId="0" borderId="0" applyFont="0" applyFill="0" applyBorder="0" applyAlignment="0" applyProtection="0"/>
    <xf numFmtId="0" fontId="5" fillId="0" borderId="0"/>
    <xf numFmtId="0" fontId="5" fillId="0" borderId="0"/>
    <xf numFmtId="171" fontId="5" fillId="0" borderId="0" applyFont="0" applyFill="0" applyBorder="0" applyAlignment="0" applyProtection="0"/>
    <xf numFmtId="166" fontId="35" fillId="0" borderId="0" applyFont="0" applyFill="0" applyBorder="0" applyProtection="0">
      <alignment vertical="top"/>
    </xf>
    <xf numFmtId="170" fontId="35" fillId="0" borderId="0" applyFont="0" applyFill="0" applyBorder="0" applyProtection="0">
      <alignment vertical="top"/>
    </xf>
    <xf numFmtId="169" fontId="35" fillId="0" borderId="0" applyFont="0" applyFill="0" applyBorder="0" applyProtection="0">
      <alignment vertical="top"/>
    </xf>
    <xf numFmtId="0" fontId="5" fillId="0" borderId="0"/>
    <xf numFmtId="0" fontId="5" fillId="0" borderId="0"/>
    <xf numFmtId="171"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2" fillId="0" borderId="0"/>
    <xf numFmtId="168" fontId="35" fillId="0" borderId="0" applyFont="0" applyFill="0" applyBorder="0" applyProtection="0">
      <alignment vertical="top"/>
    </xf>
    <xf numFmtId="168" fontId="51" fillId="0" borderId="0" applyFont="0" applyFill="0" applyBorder="0" applyProtection="0">
      <alignment vertical="top"/>
    </xf>
    <xf numFmtId="0" fontId="14" fillId="0" borderId="0"/>
    <xf numFmtId="0" fontId="5" fillId="0" borderId="0"/>
    <xf numFmtId="167" fontId="35" fillId="0" borderId="0" applyFont="0" applyFill="0" applyBorder="0" applyProtection="0">
      <alignment vertical="top"/>
    </xf>
    <xf numFmtId="9" fontId="5" fillId="0" borderId="0" applyFont="0" applyFill="0" applyBorder="0" applyAlignment="0" applyProtection="0"/>
  </cellStyleXfs>
  <cellXfs count="74">
    <xf numFmtId="0" fontId="0" fillId="0" borderId="0" xfId="0">
      <alignment vertical="top"/>
    </xf>
    <xf numFmtId="0" fontId="6" fillId="0" borderId="0" xfId="4" applyFont="1">
      <alignment vertical="top"/>
    </xf>
    <xf numFmtId="0" fontId="5" fillId="0" borderId="0" xfId="4">
      <alignment vertical="top"/>
    </xf>
    <xf numFmtId="0" fontId="8" fillId="0" borderId="0" xfId="4" applyFont="1">
      <alignment vertical="top"/>
    </xf>
    <xf numFmtId="0" fontId="9" fillId="0" borderId="0" xfId="4" applyFont="1">
      <alignment vertical="top"/>
    </xf>
    <xf numFmtId="0" fontId="5" fillId="0" borderId="2" xfId="4" applyBorder="1">
      <alignment vertical="top"/>
    </xf>
    <xf numFmtId="49" fontId="7" fillId="5" borderId="1" xfId="5">
      <alignment vertical="top"/>
    </xf>
    <xf numFmtId="49" fontId="6" fillId="16" borderId="1" xfId="6">
      <alignment vertical="top"/>
    </xf>
    <xf numFmtId="0" fontId="5" fillId="0" borderId="0" xfId="4" applyFill="1">
      <alignment vertical="top"/>
    </xf>
    <xf numFmtId="0" fontId="5" fillId="0" borderId="2" xfId="4" applyBorder="1" applyAlignment="1">
      <alignment horizontal="left" vertical="top" wrapText="1"/>
    </xf>
    <xf numFmtId="0" fontId="9" fillId="0" borderId="0" xfId="4" applyFont="1" applyFill="1">
      <alignment vertical="top"/>
    </xf>
    <xf numFmtId="1" fontId="5" fillId="0" borderId="0" xfId="4" applyNumberFormat="1" applyFill="1">
      <alignment vertical="top"/>
    </xf>
    <xf numFmtId="1" fontId="8" fillId="0" borderId="0" xfId="4" applyNumberFormat="1" applyFont="1" applyFill="1">
      <alignment vertical="top"/>
    </xf>
    <xf numFmtId="0" fontId="11" fillId="0" borderId="0" xfId="4" applyFont="1" applyFill="1">
      <alignment vertical="top"/>
    </xf>
    <xf numFmtId="0" fontId="7" fillId="5" borderId="1" xfId="5" applyNumberFormat="1">
      <alignment vertical="top"/>
    </xf>
    <xf numFmtId="0" fontId="13" fillId="0" borderId="0" xfId="4" applyFont="1">
      <alignment vertical="top"/>
    </xf>
    <xf numFmtId="49" fontId="12" fillId="5" borderId="2" xfId="5" applyFont="1" applyBorder="1">
      <alignment vertical="top"/>
    </xf>
    <xf numFmtId="0" fontId="5" fillId="11" borderId="0" xfId="4" applyFill="1">
      <alignment vertical="top"/>
    </xf>
    <xf numFmtId="0" fontId="5" fillId="0" borderId="0" xfId="4" applyFont="1">
      <alignment vertical="top"/>
    </xf>
    <xf numFmtId="49" fontId="5" fillId="16" borderId="2" xfId="6" applyFont="1" applyBorder="1">
      <alignment vertical="top"/>
    </xf>
    <xf numFmtId="0" fontId="5" fillId="0" borderId="2" xfId="4" applyFont="1" applyBorder="1">
      <alignment vertical="top"/>
    </xf>
    <xf numFmtId="49" fontId="9" fillId="0" borderId="0" xfId="14">
      <alignment vertical="top"/>
    </xf>
    <xf numFmtId="49" fontId="6" fillId="0" borderId="0" xfId="7">
      <alignment vertical="top"/>
    </xf>
    <xf numFmtId="49" fontId="8" fillId="0" borderId="0" xfId="15">
      <alignment vertical="top"/>
    </xf>
    <xf numFmtId="41" fontId="5" fillId="9" borderId="0" xfId="8">
      <alignment vertical="top"/>
    </xf>
    <xf numFmtId="9" fontId="5" fillId="0" borderId="0" xfId="4" applyNumberFormat="1">
      <alignment vertical="top"/>
    </xf>
    <xf numFmtId="41" fontId="5" fillId="7" borderId="0" xfId="10">
      <alignment vertical="top"/>
    </xf>
    <xf numFmtId="41" fontId="5" fillId="6" borderId="0" xfId="12">
      <alignment vertical="top"/>
    </xf>
    <xf numFmtId="41" fontId="5" fillId="43" borderId="0" xfId="11">
      <alignment vertical="top"/>
    </xf>
    <xf numFmtId="41" fontId="5" fillId="43" borderId="2" xfId="11" applyBorder="1">
      <alignment vertical="top"/>
    </xf>
    <xf numFmtId="43" fontId="11" fillId="0" borderId="0" xfId="63" applyFont="1" applyFill="1">
      <alignment vertical="top"/>
    </xf>
    <xf numFmtId="10" fontId="5" fillId="0" borderId="0" xfId="64">
      <alignment vertical="top"/>
    </xf>
    <xf numFmtId="41" fontId="5" fillId="42" borderId="0" xfId="65">
      <alignment vertical="top"/>
    </xf>
    <xf numFmtId="49" fontId="20" fillId="0" borderId="0" xfId="61" applyAlignment="1">
      <alignment vertical="top"/>
    </xf>
    <xf numFmtId="0" fontId="5" fillId="0" borderId="2" xfId="4" applyFont="1" applyBorder="1" applyAlignment="1">
      <alignment horizontal="left" vertical="top" wrapText="1"/>
    </xf>
    <xf numFmtId="41" fontId="5" fillId="10" borderId="0" xfId="13">
      <alignment vertical="top"/>
    </xf>
    <xf numFmtId="41" fontId="5" fillId="8" borderId="0" xfId="9">
      <alignment vertical="top"/>
    </xf>
    <xf numFmtId="0" fontId="8" fillId="11" borderId="0" xfId="4" applyFont="1" applyFill="1">
      <alignment vertical="top"/>
    </xf>
    <xf numFmtId="0" fontId="5" fillId="41" borderId="0" xfId="62" applyNumberFormat="1">
      <alignment vertical="top"/>
    </xf>
    <xf numFmtId="0" fontId="5" fillId="0" borderId="0" xfId="4" applyFont="1" applyFill="1" applyBorder="1" applyAlignment="1">
      <alignment horizontal="left" vertical="top" wrapText="1"/>
    </xf>
    <xf numFmtId="49" fontId="5" fillId="16" borderId="0" xfId="6" applyFont="1" applyBorder="1">
      <alignment vertical="top"/>
    </xf>
    <xf numFmtId="10" fontId="5" fillId="10" borderId="0" xfId="64" applyFill="1">
      <alignment vertical="top"/>
    </xf>
    <xf numFmtId="10" fontId="5" fillId="8" borderId="0" xfId="64" applyFill="1">
      <alignment vertical="top"/>
    </xf>
    <xf numFmtId="10" fontId="5" fillId="43" borderId="0" xfId="64" applyFill="1">
      <alignment vertical="top"/>
    </xf>
    <xf numFmtId="41" fontId="5" fillId="0" borderId="0" xfId="4" applyNumberFormat="1">
      <alignment vertical="top"/>
    </xf>
    <xf numFmtId="43" fontId="5" fillId="41" borderId="0" xfId="63" applyFill="1">
      <alignment vertical="top"/>
    </xf>
    <xf numFmtId="164" fontId="5" fillId="8" borderId="0" xfId="63" applyNumberFormat="1" applyFill="1">
      <alignment vertical="top"/>
    </xf>
    <xf numFmtId="164" fontId="5" fillId="41" borderId="0" xfId="63" applyNumberFormat="1" applyFill="1">
      <alignment vertical="top"/>
    </xf>
    <xf numFmtId="165" fontId="5" fillId="8" borderId="0" xfId="9" applyNumberFormat="1">
      <alignment vertical="top"/>
    </xf>
    <xf numFmtId="10" fontId="5" fillId="9" borderId="0" xfId="64" applyFill="1">
      <alignment vertical="top"/>
    </xf>
    <xf numFmtId="0" fontId="1" fillId="0" borderId="0" xfId="0" applyFont="1" applyAlignment="1"/>
    <xf numFmtId="41" fontId="5" fillId="41" borderId="0" xfId="62" applyNumberFormat="1">
      <alignment vertical="top"/>
    </xf>
    <xf numFmtId="49" fontId="6" fillId="0" borderId="0" xfId="7" applyFont="1">
      <alignment vertical="top"/>
    </xf>
    <xf numFmtId="164" fontId="31" fillId="0" borderId="0" xfId="63" applyNumberFormat="1" applyFont="1" applyFill="1">
      <alignment vertical="top"/>
    </xf>
    <xf numFmtId="164" fontId="32" fillId="0" borderId="0" xfId="63" applyNumberFormat="1" applyFont="1" applyFill="1">
      <alignment vertical="top"/>
    </xf>
    <xf numFmtId="10" fontId="31" fillId="0" borderId="0" xfId="64" applyFont="1">
      <alignment vertical="top"/>
    </xf>
    <xf numFmtId="0" fontId="33" fillId="0" borderId="0" xfId="4" applyFont="1">
      <alignment vertical="top"/>
    </xf>
    <xf numFmtId="9" fontId="5" fillId="43" borderId="0" xfId="64" applyNumberFormat="1" applyFill="1">
      <alignment vertical="top"/>
    </xf>
    <xf numFmtId="0" fontId="34" fillId="0" borderId="0" xfId="0" applyFont="1" applyAlignment="1">
      <alignment horizontal="center" vertical="top"/>
    </xf>
    <xf numFmtId="0" fontId="5" fillId="0" borderId="12" xfId="4" applyBorder="1">
      <alignment vertical="top"/>
    </xf>
    <xf numFmtId="0" fontId="5" fillId="0" borderId="13" xfId="4" applyBorder="1">
      <alignment vertical="top"/>
    </xf>
    <xf numFmtId="0" fontId="5" fillId="0" borderId="14" xfId="4" applyBorder="1">
      <alignment vertical="top"/>
    </xf>
    <xf numFmtId="0" fontId="5" fillId="0" borderId="15" xfId="4" applyBorder="1">
      <alignment vertical="top"/>
    </xf>
    <xf numFmtId="0" fontId="5" fillId="43" borderId="0" xfId="4" applyFill="1" applyAlignment="1">
      <alignment horizontal="center" vertical="top"/>
    </xf>
    <xf numFmtId="0" fontId="5" fillId="0" borderId="16" xfId="4" applyBorder="1">
      <alignment vertical="top"/>
    </xf>
    <xf numFmtId="0" fontId="5" fillId="0" borderId="17" xfId="4" applyBorder="1">
      <alignment vertical="top"/>
    </xf>
    <xf numFmtId="0" fontId="5" fillId="0" borderId="18" xfId="4" applyBorder="1">
      <alignment vertical="top"/>
    </xf>
    <xf numFmtId="0" fontId="5" fillId="0" borderId="19" xfId="4" applyBorder="1">
      <alignment vertical="top"/>
    </xf>
    <xf numFmtId="0" fontId="5" fillId="8" borderId="0" xfId="4" applyFill="1" applyAlignment="1">
      <alignment horizontal="center" vertical="top"/>
    </xf>
    <xf numFmtId="0" fontId="5" fillId="9" borderId="0" xfId="4" applyFill="1" applyAlignment="1">
      <alignment horizontal="center" vertical="top"/>
    </xf>
    <xf numFmtId="10" fontId="5" fillId="7" borderId="0" xfId="64" applyFill="1">
      <alignment vertical="top"/>
    </xf>
    <xf numFmtId="164" fontId="5" fillId="7" borderId="0" xfId="63" applyNumberFormat="1" applyFill="1">
      <alignment vertical="top"/>
    </xf>
    <xf numFmtId="49" fontId="20" fillId="0" borderId="2" xfId="61" applyBorder="1" applyAlignment="1">
      <alignment vertical="top"/>
    </xf>
    <xf numFmtId="0" fontId="5" fillId="0" borderId="0" xfId="4" applyFont="1" applyFill="1" applyBorder="1" applyAlignment="1">
      <alignment horizontal="left" vertical="top" wrapText="1"/>
    </xf>
  </cellXfs>
  <cellStyles count="128">
    <cellStyle name="_x000d__x000a_JournalTemplate=C:\COMFO\CTALK\JOURSTD.TPL_x000d__x000a_LbStateAddress=3 3 0 251 1 89 2 311_x000d__x000a_LbStateJou" xfId="66" xr:uid="{E05BC69D-5878-4E84-90F5-4FC8DCB80E6D}"/>
    <cellStyle name="_x000d__x000a_JournalTemplate=C:\COMFO\CTALK\JOURSTD.TPL_x000d__x000a_LbStateAddress=3 3 0 251 1 89 2 311_x000d__x000a_LbStateJou 2" xfId="105" xr:uid="{73C65348-810D-4C1E-9F53-BD26858E11EE}"/>
    <cellStyle name="_x000d__x000a_JournalTemplate=C:\COMFO\CTALK\JOURSTD.TPL_x000d__x000a_LbStateAddress=3 3 0 251 1 89 2 311_x000d__x000a_LbStateJou 2 2" xfId="119" xr:uid="{09E98E71-518D-4A7D-BEB7-73BA0FDA2364}"/>
    <cellStyle name="_x000d__x000a_JournalTemplate=C:\COMFO\CTALK\JOURSTD.TPL_x000d__x000a_LbStateAddress=3 3 0 251 1 89 2 311_x000d__x000a_LbStateJou 3" xfId="101" xr:uid="{AEBD1DA3-EE09-40C5-8C18-6C1AFB33AE52}"/>
    <cellStyle name="_x000d__x000a_JournalTemplate=C:\COMFO\CTALK\JOURSTD.TPL_x000d__x000a_LbStateAddress=3 3 0 251 1 89 2 311_x000d__x000a_LbStateJou 4" xfId="121" xr:uid="{FC20D969-E3BC-4992-8142-80331E9ACC45}"/>
    <cellStyle name="_x000d__x000a_JournalTemplate=C:\COMFO\CTALK\JOURSTD.TPL_x000d__x000a_LbStateAddress=3 3 0 251 1 89 2 311_x000d__x000a_LbStateJou_100907 Kapitaalkosten v6.4 INTERN" xfId="118" xr:uid="{ED40F642-3C41-40A0-9B52-FC7423545F93}"/>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Berekening" xfId="68" xr:uid="{6454FB67-7FC1-4AA0-8D1D-A80CEA0C7F5D}"/>
    <cellStyle name="Cel (tussen)resultaat" xfId="8" xr:uid="{00000000-0005-0000-0000-00001C000000}"/>
    <cellStyle name="Cel Berekening" xfId="9" xr:uid="{00000000-0005-0000-0000-00001D000000}"/>
    <cellStyle name="Cel Bijzonderheid" xfId="10" xr:uid="{00000000-0005-0000-0000-00001E000000}"/>
    <cellStyle name="Cel Dataverzoek" xfId="65" xr:uid="{00000000-0005-0000-0000-00001F000000}"/>
    <cellStyle name="Cel Input" xfId="11" xr:uid="{00000000-0005-0000-0000-000020000000}"/>
    <cellStyle name="Cel n.v.t. (leeg)" xfId="62" xr:uid="{00000000-0005-0000-0000-000021000000}"/>
    <cellStyle name="Cel PM extern" xfId="12" xr:uid="{00000000-0005-0000-0000-000022000000}"/>
    <cellStyle name="Cel Verwijzing" xfId="13" xr:uid="{00000000-0005-0000-0000-000023000000}"/>
    <cellStyle name="Comma 2" xfId="70" xr:uid="{9A35C68B-6F6F-4AAA-8E5E-D5A3BAE2F050}"/>
    <cellStyle name="Comma 2 2" xfId="117" xr:uid="{F3216C38-55E3-4780-A453-05BD3C732E4F}"/>
    <cellStyle name="Comma 3" xfId="99" xr:uid="{6191C227-B6BD-4656-A1E1-190A3661E8C6}"/>
    <cellStyle name="Comma 4" xfId="103" xr:uid="{0ADE0922-E076-406C-A999-F3B85042B67F}"/>
    <cellStyle name="Controlecel" xfId="20" builtinId="23" hidden="1"/>
    <cellStyle name="Controlecel" xfId="71" xr:uid="{5E4BA70A-8F84-48AD-AC39-FF3DBF9AF87D}"/>
    <cellStyle name="DateLong" xfId="72" xr:uid="{AF8627BC-DE24-49BF-AEA5-B8A2B2EEE2E0}"/>
    <cellStyle name="DateLong 2" xfId="73" xr:uid="{7E3C5D20-DD65-449E-A4DE-B7898CA61A52}"/>
    <cellStyle name="DateLong 3" xfId="114" xr:uid="{C6A33C91-5846-4BFC-BB00-510665A984B7}"/>
    <cellStyle name="DateShort" xfId="74" xr:uid="{5FA5720F-08BD-49FF-BC49-6B0939B8B088}"/>
    <cellStyle name="DateShort 2" xfId="75" xr:uid="{BC04C0A4-EA0F-433C-AC80-03E81AF09F39}"/>
    <cellStyle name="DateShort 3" xfId="113" xr:uid="{41F964C0-F72D-4A4D-BC16-654BDEB6E15B}"/>
    <cellStyle name="Euro" xfId="102" xr:uid="{BAE3AB01-A107-4EEF-8A7F-B7BAA60EABFA}"/>
    <cellStyle name="Factor" xfId="76" xr:uid="{F9AC510A-79BC-4630-A6F6-C4922481069D}"/>
    <cellStyle name="Factor 2" xfId="77" xr:uid="{EC087254-0673-4671-89F8-DCC9DA95F458}"/>
    <cellStyle name="Factor 3" xfId="78" xr:uid="{C713636A-FA4D-494D-BE24-3B2E7794EA23}"/>
    <cellStyle name="Factor 4" xfId="122" xr:uid="{1B0A1F08-5CD2-4911-9728-86839AA284E1}"/>
    <cellStyle name="Factor 5" xfId="123" xr:uid="{323F4D38-A420-4E0A-9E61-6FF9DDF0A955}"/>
    <cellStyle name="Gekoppelde cel" xfId="19" builtinId="24" hidden="1"/>
    <cellStyle name="Gekoppelde cel" xfId="79" xr:uid="{60BB5CD3-F1A5-4012-B13B-C2E2E74DC249}"/>
    <cellStyle name="Gevolgde hyperlink" xfId="60" builtinId="9" hidden="1"/>
    <cellStyle name="Goed" xfId="1" builtinId="26" hidden="1"/>
    <cellStyle name="Goed" xfId="80" xr:uid="{C16FC1B3-C297-4935-B97B-35033269AD2A}"/>
    <cellStyle name="Hyperlink" xfId="22" builtinId="8" hidden="1"/>
    <cellStyle name="Hyperlink" xfId="61" builtinId="8" customBuiltin="1"/>
    <cellStyle name="Invoer" xfId="16" builtinId="20" hidden="1"/>
    <cellStyle name="Invoer" xfId="81" xr:uid="{C6FD182C-2588-471D-80EB-FFE358A2A901}"/>
    <cellStyle name="Komma" xfId="23" builtinId="3" hidden="1"/>
    <cellStyle name="Komma" xfId="63" builtinId="3"/>
    <cellStyle name="Komma [0]" xfId="24" builtinId="6" hidden="1"/>
    <cellStyle name="Komma 2" xfId="82" xr:uid="{240BD228-29DF-4086-847D-C82AAFF0C4D4}"/>
    <cellStyle name="Komma 2 2" xfId="108" xr:uid="{468E6556-9511-4038-95A4-EF7D3D37F228}"/>
    <cellStyle name="Komma 3" xfId="107" xr:uid="{CDCC5320-8492-46BA-8687-F2A91E0FBA20}"/>
    <cellStyle name="Komma 4" xfId="111" xr:uid="{0C7DD430-AA41-4128-98C4-04A608CD76BF}"/>
    <cellStyle name="Komma 5" xfId="112" xr:uid="{736C5187-90B3-46C3-84D5-A15B73F5F935}"/>
    <cellStyle name="Komma 6" xfId="69" xr:uid="{5F9FE065-9957-46A9-A1F7-A26DCC7D4FF9}"/>
    <cellStyle name="Kop 1" xfId="29" builtinId="16" hidden="1"/>
    <cellStyle name="Kop 1" xfId="83" xr:uid="{2231F906-1A82-4191-B270-8DCAE12CE0B3}"/>
    <cellStyle name="Kop 2" xfId="30" builtinId="17" hidden="1"/>
    <cellStyle name="Kop 2" xfId="84" xr:uid="{DCF6220E-D268-4A71-9818-3409B1B5EC6E}"/>
    <cellStyle name="Kop 3" xfId="31" builtinId="18" hidden="1"/>
    <cellStyle name="Kop 3" xfId="85" xr:uid="{2990C448-AC6F-45E1-833B-F22CB4A52947}"/>
    <cellStyle name="Kop 4" xfId="32" builtinId="19" hidden="1"/>
    <cellStyle name="Kop 4" xfId="86" xr:uid="{B64CA6CA-8482-47C7-B076-39998696E233}"/>
    <cellStyle name="Neutraal" xfId="3" builtinId="28" hidden="1"/>
    <cellStyle name="Neutraal" xfId="87" xr:uid="{97547A1A-F37F-4F80-B1F4-7DCFEEB8B404}"/>
    <cellStyle name="Normal 2" xfId="88" xr:uid="{F83F808E-B449-40F4-A8A8-D3747453F394}"/>
    <cellStyle name="Normal 2 2" xfId="116" xr:uid="{D161F4F6-449A-4052-B09B-947C0938083F}"/>
    <cellStyle name="Normal 3" xfId="100" xr:uid="{FC6EDABA-7956-41B3-8EFA-D7B5090F4716}"/>
    <cellStyle name="Normal 4" xfId="124" xr:uid="{66153CFD-A468-433C-A32D-BB781BD10ED1}"/>
    <cellStyle name="Normal 5" xfId="125" xr:uid="{70F1B7EA-AF4D-450F-BE12-333D5404ACDE}"/>
    <cellStyle name="Notitie" xfId="21" builtinId="10" hidden="1"/>
    <cellStyle name="Notitie" xfId="89" xr:uid="{1D2961F9-EA13-4203-A5DD-EE3EA4F0888C}"/>
    <cellStyle name="Ongeldig" xfId="2" builtinId="27" hidden="1"/>
    <cellStyle name="Ongeldig" xfId="90" xr:uid="{923C867F-8EBC-467E-9EB4-6EC5E0C5DEA9}"/>
    <cellStyle name="Opm. INTERN" xfId="14" xr:uid="{00000000-0005-0000-0000-000035000000}"/>
    <cellStyle name="Percent 2" xfId="92" xr:uid="{95529A4D-CEAD-4D5A-B19C-4300F982588C}"/>
    <cellStyle name="Percent 3" xfId="126" xr:uid="{EA7A7152-150E-443D-A398-756AC8A0D56B}"/>
    <cellStyle name="Percent 4" xfId="127" xr:uid="{640F4726-79FE-4CE7-969E-0C4AB5DC795C}"/>
    <cellStyle name="Procent" xfId="27" builtinId="5" hidden="1"/>
    <cellStyle name="Procent" xfId="64" builtinId="5"/>
    <cellStyle name="Procent 2" xfId="120" xr:uid="{6E143891-FFA4-4B88-BA3B-319724FC222D}"/>
    <cellStyle name="Procent 3" xfId="91" xr:uid="{7817F3DA-1D76-42AD-BC97-CD08CD94027F}"/>
    <cellStyle name="Standaard" xfId="0" builtinId="0" customBuiltin="1"/>
    <cellStyle name="Standaard 2" xfId="93" xr:uid="{A950AD0D-2793-42D6-9E85-58992C0139EE}"/>
    <cellStyle name="Standaard 2 2" xfId="109" xr:uid="{AEC250B1-F30E-4D1E-A43B-EB494132B8FF}"/>
    <cellStyle name="Standaard 2 3" xfId="104" xr:uid="{DEA2176F-458C-4530-B1D1-46F7C9F0CA22}"/>
    <cellStyle name="Standaard 3" xfId="110" xr:uid="{08A9F2B7-D908-44E0-8BC3-8E26496635CD}"/>
    <cellStyle name="Standaard 3 2" xfId="106" xr:uid="{71AD2B13-E993-46FB-9A57-E4A6DA59909B}"/>
    <cellStyle name="Standaard 4" xfId="115" xr:uid="{75ECCA56-85A6-45DA-B54E-F6522C9335EC}"/>
    <cellStyle name="Standaard 5" xfId="67" xr:uid="{75F57B68-7AF3-4E3F-A2AF-FFCD1A0DA78D}"/>
    <cellStyle name="Standaard ACM-DE" xfId="4" xr:uid="{00000000-0005-0000-0000-000039000000}"/>
    <cellStyle name="Titel" xfId="28" builtinId="15" hidden="1"/>
    <cellStyle name="Titel" xfId="94" xr:uid="{3470FA3A-79D5-4D06-A84F-9C9599E3CF89}"/>
    <cellStyle name="Toelichting" xfId="15" xr:uid="{00000000-0005-0000-0000-00003B000000}"/>
    <cellStyle name="Totaal" xfId="35" builtinId="25" hidden="1"/>
    <cellStyle name="Totaal" xfId="95" xr:uid="{035C6EE6-E310-4DDC-A1E6-2C0D6EEE4A67}"/>
    <cellStyle name="Uitvoer" xfId="17" builtinId="21" hidden="1"/>
    <cellStyle name="Uitvoer" xfId="96" xr:uid="{EB5A5DCC-C628-4670-A494-293D4DBE8686}"/>
    <cellStyle name="Valuta" xfId="25" builtinId="4" hidden="1"/>
    <cellStyle name="Valuta [0]" xfId="26" builtinId="7" hidden="1"/>
    <cellStyle name="Verklarende tekst" xfId="34" builtinId="53" hidden="1"/>
    <cellStyle name="Verklarende tekst" xfId="97" xr:uid="{E19F4E58-F55C-453C-998B-C8EAC1E2BB66}"/>
    <cellStyle name="Waarschuwingstekst" xfId="33" builtinId="11" hidden="1"/>
    <cellStyle name="Waarschuwingstekst" xfId="98" xr:uid="{F42F570B-AF45-4D02-BEEC-A8AB991DBBC8}"/>
  </cellStyles>
  <dxfs count="0"/>
  <tableStyles count="0" defaultTableStyle="TableStyleMedium2" defaultPivotStyle="PivotStyleLight16"/>
  <colors>
    <mruColors>
      <color rgb="FFFFCCFF"/>
      <color rgb="FFE1FFE1"/>
      <color rgb="FFCCFFFF"/>
      <color rgb="FF99FF99"/>
      <color rgb="FFFFFFCC"/>
      <color rgb="FFCCC8D9"/>
      <color rgb="FFCC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6569</xdr:colOff>
      <xdr:row>21</xdr:row>
      <xdr:rowOff>72259</xdr:rowOff>
    </xdr:from>
    <xdr:to>
      <xdr:col>6</xdr:col>
      <xdr:colOff>6569</xdr:colOff>
      <xdr:row>21</xdr:row>
      <xdr:rowOff>72259</xdr:rowOff>
    </xdr:to>
    <xdr:cxnSp macro="">
      <xdr:nvCxnSpPr>
        <xdr:cNvPr id="5" name="Rechte verbindingslijn met pijl 34">
          <a:extLst>
            <a:ext uri="{FF2B5EF4-FFF2-40B4-BE49-F238E27FC236}">
              <a16:creationId xmlns:a16="http://schemas.microsoft.com/office/drawing/2014/main" id="{48A85D87-2E09-4380-8EB5-EA40774BC299}"/>
            </a:ext>
          </a:extLst>
        </xdr:cNvPr>
        <xdr:cNvCxnSpPr/>
      </xdr:nvCxnSpPr>
      <xdr:spPr>
        <a:xfrm>
          <a:off x="5816819" y="3539359"/>
          <a:ext cx="164782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6569</xdr:colOff>
      <xdr:row>21</xdr:row>
      <xdr:rowOff>72259</xdr:rowOff>
    </xdr:from>
    <xdr:to>
      <xdr:col>6</xdr:col>
      <xdr:colOff>6569</xdr:colOff>
      <xdr:row>21</xdr:row>
      <xdr:rowOff>72259</xdr:rowOff>
    </xdr:to>
    <xdr:cxnSp macro="">
      <xdr:nvCxnSpPr>
        <xdr:cNvPr id="6" name="Rechte verbindingslijn met pijl 37">
          <a:extLst>
            <a:ext uri="{FF2B5EF4-FFF2-40B4-BE49-F238E27FC236}">
              <a16:creationId xmlns:a16="http://schemas.microsoft.com/office/drawing/2014/main" id="{CF9F1462-7D98-48EC-9DEB-738699BF447F}"/>
            </a:ext>
          </a:extLst>
        </xdr:cNvPr>
        <xdr:cNvCxnSpPr/>
      </xdr:nvCxnSpPr>
      <xdr:spPr>
        <a:xfrm>
          <a:off x="5816819" y="3539359"/>
          <a:ext cx="164782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12431</xdr:colOff>
      <xdr:row>21</xdr:row>
      <xdr:rowOff>48813</xdr:rowOff>
    </xdr:from>
    <xdr:to>
      <xdr:col>10</xdr:col>
      <xdr:colOff>12431</xdr:colOff>
      <xdr:row>21</xdr:row>
      <xdr:rowOff>48813</xdr:rowOff>
    </xdr:to>
    <xdr:cxnSp macro="">
      <xdr:nvCxnSpPr>
        <xdr:cNvPr id="7" name="Rechte verbindingslijn met pijl 6">
          <a:extLst>
            <a:ext uri="{FF2B5EF4-FFF2-40B4-BE49-F238E27FC236}">
              <a16:creationId xmlns:a16="http://schemas.microsoft.com/office/drawing/2014/main" id="{7C4C642A-C244-4BDA-BCFD-5C2D1FB88576}"/>
            </a:ext>
          </a:extLst>
        </xdr:cNvPr>
        <xdr:cNvCxnSpPr/>
      </xdr:nvCxnSpPr>
      <xdr:spPr>
        <a:xfrm>
          <a:off x="10547081" y="3515913"/>
          <a:ext cx="60960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24499</xdr:colOff>
      <xdr:row>16</xdr:row>
      <xdr:rowOff>77302</xdr:rowOff>
    </xdr:from>
    <xdr:to>
      <xdr:col>5</xdr:col>
      <xdr:colOff>1613647</xdr:colOff>
      <xdr:row>20</xdr:row>
      <xdr:rowOff>100853</xdr:rowOff>
    </xdr:to>
    <xdr:cxnSp macro="">
      <xdr:nvCxnSpPr>
        <xdr:cNvPr id="8" name="Rechte verbindingslijn met pijl 7">
          <a:extLst>
            <a:ext uri="{FF2B5EF4-FFF2-40B4-BE49-F238E27FC236}">
              <a16:creationId xmlns:a16="http://schemas.microsoft.com/office/drawing/2014/main" id="{D2925DEC-6294-4F73-929F-7D282257933D}"/>
            </a:ext>
          </a:extLst>
        </xdr:cNvPr>
        <xdr:cNvCxnSpPr/>
      </xdr:nvCxnSpPr>
      <xdr:spPr>
        <a:xfrm>
          <a:off x="5829146" y="2654655"/>
          <a:ext cx="1589148" cy="65108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7948</xdr:colOff>
      <xdr:row>23</xdr:row>
      <xdr:rowOff>44824</xdr:rowOff>
    </xdr:from>
    <xdr:to>
      <xdr:col>9</xdr:col>
      <xdr:colOff>549088</xdr:colOff>
      <xdr:row>26</xdr:row>
      <xdr:rowOff>86139</xdr:rowOff>
    </xdr:to>
    <xdr:cxnSp macro="">
      <xdr:nvCxnSpPr>
        <xdr:cNvPr id="9" name="Rechte verbindingslijn met pijl 8">
          <a:extLst>
            <a:ext uri="{FF2B5EF4-FFF2-40B4-BE49-F238E27FC236}">
              <a16:creationId xmlns:a16="http://schemas.microsoft.com/office/drawing/2014/main" id="{9B760D0B-5F8A-4162-AD31-20D9E2D9FFFC}"/>
            </a:ext>
          </a:extLst>
        </xdr:cNvPr>
        <xdr:cNvCxnSpPr/>
      </xdr:nvCxnSpPr>
      <xdr:spPr>
        <a:xfrm flipV="1">
          <a:off x="5812595" y="3720353"/>
          <a:ext cx="5258817" cy="51196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1447713</xdr:colOff>
      <xdr:row>15</xdr:row>
      <xdr:rowOff>127842</xdr:rowOff>
    </xdr:from>
    <xdr:to>
      <xdr:col>11</xdr:col>
      <xdr:colOff>1448170</xdr:colOff>
      <xdr:row>19</xdr:row>
      <xdr:rowOff>40313</xdr:rowOff>
    </xdr:to>
    <xdr:cxnSp macro="">
      <xdr:nvCxnSpPr>
        <xdr:cNvPr id="13" name="Rechte verbindingslijn met pijl 12">
          <a:extLst>
            <a:ext uri="{FF2B5EF4-FFF2-40B4-BE49-F238E27FC236}">
              <a16:creationId xmlns:a16="http://schemas.microsoft.com/office/drawing/2014/main" id="{52E4E05E-4A3E-4761-A31C-20FB4A8553F3}"/>
            </a:ext>
          </a:extLst>
        </xdr:cNvPr>
        <xdr:cNvCxnSpPr/>
      </xdr:nvCxnSpPr>
      <xdr:spPr>
        <a:xfrm flipH="1">
          <a:off x="12772938" y="2623392"/>
          <a:ext cx="457" cy="56017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6724</xdr:colOff>
      <xdr:row>15</xdr:row>
      <xdr:rowOff>112058</xdr:rowOff>
    </xdr:from>
    <xdr:to>
      <xdr:col>11</xdr:col>
      <xdr:colOff>1445559</xdr:colOff>
      <xdr:row>15</xdr:row>
      <xdr:rowOff>126110</xdr:rowOff>
    </xdr:to>
    <xdr:cxnSp macro="">
      <xdr:nvCxnSpPr>
        <xdr:cNvPr id="14" name="Rechte verbindingslijn 13">
          <a:extLst>
            <a:ext uri="{FF2B5EF4-FFF2-40B4-BE49-F238E27FC236}">
              <a16:creationId xmlns:a16="http://schemas.microsoft.com/office/drawing/2014/main" id="{8CA7F4EF-F457-4CD0-A447-F2E8B52DBF37}"/>
            </a:ext>
          </a:extLst>
        </xdr:cNvPr>
        <xdr:cNvCxnSpPr/>
      </xdr:nvCxnSpPr>
      <xdr:spPr>
        <a:xfrm flipV="1">
          <a:off x="5816974" y="2607608"/>
          <a:ext cx="6953810" cy="140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acm.nl/nl/publicaties/publicatie/12039/Bijlage-2-WACC-methode-bij-methodebesluiten-2014-2016" TargetMode="External"/><Relationship Id="rId7" Type="http://schemas.openxmlformats.org/officeDocument/2006/relationships/hyperlink" Target="https://www.acm.nl/sites/default/files/documents/2019-01/herstel-bijlage-2-uitwerking-van-de-methode-voor-de-wacc.pdf" TargetMode="External"/><Relationship Id="rId2" Type="http://schemas.openxmlformats.org/officeDocument/2006/relationships/hyperlink" Target="https://www.acm.nl/nl/publicaties/publicatie/16292/Gewijzigde-PV-berekening-2006-2009-regionale-netbeheerders-elektriciteit-2014-2016" TargetMode="External"/><Relationship Id="rId1" Type="http://schemas.openxmlformats.org/officeDocument/2006/relationships/hyperlink" Target="https://www.acm.nl/nl/publicaties/publicatie/16291/Gewijzigde-PV-berekening-2004-2006-regionale-netbeheerders-elektriciteit-2014-2016" TargetMode="External"/><Relationship Id="rId6" Type="http://schemas.openxmlformats.org/officeDocument/2006/relationships/hyperlink" Target="https://www.acm.nl/nl/publicaties/publicatie/16199/WACC-methode-bij-de-methodebesluiten-2017-2021" TargetMode="External"/><Relationship Id="rId5" Type="http://schemas.openxmlformats.org/officeDocument/2006/relationships/hyperlink" Target="https://www.acm.nl/sites/default/files/old_publication/bijlagen/3691_12_14080.pdf" TargetMode="External"/><Relationship Id="rId4" Type="http://schemas.openxmlformats.org/officeDocument/2006/relationships/hyperlink" Target="https://www.acm.nl/nl/publicaties/publicatie/4613/Besluit-op-bezwaar-X-factorbesluit-TenneT-2001-2003"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D56"/>
  <sheetViews>
    <sheetView showGridLines="0" tabSelected="1"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5.7109375" style="2" customWidth="1"/>
    <col min="2" max="2" width="43.7109375" style="2" customWidth="1"/>
    <col min="3" max="3" width="91.85546875" style="2" customWidth="1"/>
    <col min="4" max="4" width="5.7109375" style="2" customWidth="1"/>
    <col min="5" max="16384" width="9.140625" style="2"/>
  </cols>
  <sheetData>
    <row r="2" spans="2:3" s="6" customFormat="1" ht="18" x14ac:dyDescent="0.2">
      <c r="B2" s="6" t="s">
        <v>3</v>
      </c>
    </row>
    <row r="6" spans="2:3" x14ac:dyDescent="0.2">
      <c r="B6" s="18"/>
    </row>
    <row r="13" spans="2:3" s="7" customFormat="1" x14ac:dyDescent="0.2">
      <c r="B13" s="7" t="s">
        <v>4</v>
      </c>
    </row>
    <row r="14" spans="2:3" s="8" customFormat="1" x14ac:dyDescent="0.2"/>
    <row r="15" spans="2:3" x14ac:dyDescent="0.2">
      <c r="B15" s="34" t="s">
        <v>5</v>
      </c>
      <c r="C15" s="9" t="s">
        <v>438</v>
      </c>
    </row>
    <row r="16" spans="2:3" x14ac:dyDescent="0.2">
      <c r="B16" s="34" t="s">
        <v>6</v>
      </c>
      <c r="C16" s="9" t="s">
        <v>394</v>
      </c>
    </row>
    <row r="17" spans="2:3" x14ac:dyDescent="0.2">
      <c r="B17" s="34" t="s">
        <v>7</v>
      </c>
      <c r="C17" s="9"/>
    </row>
    <row r="18" spans="2:3" x14ac:dyDescent="0.2">
      <c r="B18" s="34" t="s">
        <v>8</v>
      </c>
      <c r="C18" s="9" t="s">
        <v>393</v>
      </c>
    </row>
    <row r="19" spans="2:3" x14ac:dyDescent="0.2">
      <c r="B19" s="34" t="s">
        <v>9</v>
      </c>
      <c r="C19" s="9"/>
    </row>
    <row r="20" spans="2:3" x14ac:dyDescent="0.2">
      <c r="B20" s="34" t="s">
        <v>10</v>
      </c>
      <c r="C20" s="9"/>
    </row>
    <row r="21" spans="2:3" x14ac:dyDescent="0.2">
      <c r="B21" s="34" t="s">
        <v>11</v>
      </c>
      <c r="C21" s="9" t="s">
        <v>441</v>
      </c>
    </row>
    <row r="22" spans="2:3" x14ac:dyDescent="0.2">
      <c r="B22" s="34" t="s">
        <v>12</v>
      </c>
      <c r="C22" s="9"/>
    </row>
    <row r="27" spans="2:3" s="7" customFormat="1" x14ac:dyDescent="0.2">
      <c r="B27" s="7" t="s">
        <v>13</v>
      </c>
    </row>
    <row r="29" spans="2:3" x14ac:dyDescent="0.2">
      <c r="B29" s="34" t="s">
        <v>14</v>
      </c>
      <c r="C29" s="9" t="s">
        <v>439</v>
      </c>
    </row>
    <row r="30" spans="2:3" ht="25.5" x14ac:dyDescent="0.2">
      <c r="B30" s="34" t="s">
        <v>15</v>
      </c>
      <c r="C30" s="9" t="s">
        <v>439</v>
      </c>
    </row>
    <row r="31" spans="2:3" x14ac:dyDescent="0.2">
      <c r="B31" s="34" t="s">
        <v>16</v>
      </c>
      <c r="C31" s="9"/>
    </row>
    <row r="32" spans="2:3" ht="25.5" x14ac:dyDescent="0.2">
      <c r="B32" s="34" t="s">
        <v>17</v>
      </c>
      <c r="C32" s="9" t="s">
        <v>439</v>
      </c>
    </row>
    <row r="33" spans="2:4" ht="25.5" x14ac:dyDescent="0.2">
      <c r="B33" s="34" t="s">
        <v>18</v>
      </c>
      <c r="C33" s="9" t="s">
        <v>440</v>
      </c>
    </row>
    <row r="34" spans="2:4" x14ac:dyDescent="0.2">
      <c r="B34" s="34" t="s">
        <v>12</v>
      </c>
      <c r="C34" s="9"/>
    </row>
    <row r="36" spans="2:4" x14ac:dyDescent="0.2">
      <c r="B36" s="73" t="s">
        <v>19</v>
      </c>
      <c r="C36" s="73"/>
      <c r="D36" s="4"/>
    </row>
    <row r="37" spans="2:4" x14ac:dyDescent="0.2">
      <c r="B37" s="39"/>
      <c r="C37" s="39"/>
      <c r="D37" s="4"/>
    </row>
    <row r="39" spans="2:4" s="7" customFormat="1" x14ac:dyDescent="0.2">
      <c r="B39" s="7" t="s">
        <v>20</v>
      </c>
    </row>
    <row r="41" spans="2:4" x14ac:dyDescent="0.2">
      <c r="B41" s="4"/>
    </row>
    <row r="42" spans="2:4" x14ac:dyDescent="0.2">
      <c r="B42" s="4"/>
    </row>
    <row r="43" spans="2:4" x14ac:dyDescent="0.2">
      <c r="B43" s="4"/>
    </row>
    <row r="55" spans="2:2" x14ac:dyDescent="0.2">
      <c r="B55" s="3"/>
    </row>
    <row r="56" spans="2:2" x14ac:dyDescent="0.2">
      <c r="B56" s="23" t="s">
        <v>1</v>
      </c>
    </row>
  </sheetData>
  <mergeCells count="1">
    <mergeCell ref="B36:C36"/>
  </mergeCell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sheetPr>
  <dimension ref="B2:AB116"/>
  <sheetViews>
    <sheetView showGridLines="0" zoomScale="85" zoomScaleNormal="85" workbookViewId="0">
      <pane xSplit="6" ySplit="12" topLeftCell="G13" activePane="bottomRight" state="frozen"/>
      <selection activeCell="B6" sqref="B6"/>
      <selection pane="topRight" activeCell="B6" sqref="B6"/>
      <selection pane="bottomLeft" activeCell="B6" sqref="B6"/>
      <selection pane="bottomRight" activeCell="G13" sqref="G13"/>
    </sheetView>
  </sheetViews>
  <sheetFormatPr defaultRowHeight="12.75" x14ac:dyDescent="0.2"/>
  <cols>
    <col min="1" max="1" width="5.7109375" style="2" customWidth="1"/>
    <col min="2" max="2" width="41.42578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3" width="14" style="2" customWidth="1"/>
    <col min="24" max="28" width="15" style="2" bestFit="1" customWidth="1"/>
    <col min="29" max="40" width="13.7109375" style="2" customWidth="1"/>
    <col min="41" max="16384" width="9.140625" style="2"/>
  </cols>
  <sheetData>
    <row r="2" spans="2:28" s="14" customFormat="1" ht="18" x14ac:dyDescent="0.2">
      <c r="B2" s="14" t="s">
        <v>160</v>
      </c>
    </row>
    <row r="4" spans="2:28" x14ac:dyDescent="0.2">
      <c r="B4" s="22" t="s">
        <v>86</v>
      </c>
      <c r="C4" s="1"/>
      <c r="D4" s="1"/>
    </row>
    <row r="5" spans="2:28" x14ac:dyDescent="0.2">
      <c r="B5" s="18" t="s">
        <v>341</v>
      </c>
      <c r="C5" s="18"/>
      <c r="D5" s="18"/>
      <c r="H5" s="15"/>
    </row>
    <row r="6" spans="2:28" x14ac:dyDescent="0.2">
      <c r="B6" s="18"/>
      <c r="C6" s="18"/>
      <c r="D6" s="18"/>
      <c r="H6" s="15"/>
    </row>
    <row r="7" spans="2:28" x14ac:dyDescent="0.2">
      <c r="B7" s="23" t="s">
        <v>69</v>
      </c>
      <c r="C7" s="18"/>
      <c r="D7" s="18"/>
      <c r="H7" s="15"/>
    </row>
    <row r="8" spans="2:28" x14ac:dyDescent="0.2">
      <c r="B8" s="3" t="s">
        <v>279</v>
      </c>
      <c r="C8" s="18"/>
      <c r="D8" s="18"/>
    </row>
    <row r="9" spans="2:28" x14ac:dyDescent="0.2">
      <c r="B9" s="3"/>
      <c r="C9" s="18"/>
      <c r="D9" s="18"/>
    </row>
    <row r="11" spans="2:28" s="7" customFormat="1" x14ac:dyDescent="0.2">
      <c r="B11" s="7" t="s">
        <v>70</v>
      </c>
      <c r="F11" s="7" t="s">
        <v>71</v>
      </c>
      <c r="H11" s="7" t="s">
        <v>72</v>
      </c>
      <c r="J11" s="7" t="s">
        <v>73</v>
      </c>
      <c r="L11" s="7" t="s">
        <v>127</v>
      </c>
      <c r="M11" s="7" t="s">
        <v>128</v>
      </c>
      <c r="N11" s="7" t="s">
        <v>129</v>
      </c>
      <c r="O11" s="7" t="s">
        <v>130</v>
      </c>
      <c r="P11" s="7" t="s">
        <v>131</v>
      </c>
      <c r="Q11" s="7" t="s">
        <v>132</v>
      </c>
      <c r="R11" s="7" t="s">
        <v>133</v>
      </c>
      <c r="S11" s="7" t="s">
        <v>134</v>
      </c>
      <c r="T11" s="7" t="s">
        <v>135</v>
      </c>
      <c r="U11" s="7" t="s">
        <v>136</v>
      </c>
      <c r="V11" s="7" t="s">
        <v>137</v>
      </c>
      <c r="W11" s="7" t="s">
        <v>138</v>
      </c>
      <c r="X11" s="7" t="s">
        <v>139</v>
      </c>
      <c r="Y11" s="7" t="s">
        <v>140</v>
      </c>
      <c r="Z11" s="7" t="s">
        <v>141</v>
      </c>
      <c r="AA11" s="7" t="s">
        <v>142</v>
      </c>
      <c r="AB11" s="7" t="s">
        <v>328</v>
      </c>
    </row>
    <row r="14" spans="2:28" s="7" customFormat="1" x14ac:dyDescent="0.2">
      <c r="B14" s="7" t="s">
        <v>87</v>
      </c>
    </row>
    <row r="16" spans="2:28" x14ac:dyDescent="0.2">
      <c r="B16" s="2" t="s">
        <v>106</v>
      </c>
      <c r="F16" s="2" t="s">
        <v>209</v>
      </c>
      <c r="H16" s="41">
        <f>'2) Parameters'!H71</f>
        <v>7.71513353115727E-2</v>
      </c>
    </row>
    <row r="17" spans="2:8" x14ac:dyDescent="0.2">
      <c r="B17" s="2" t="s">
        <v>107</v>
      </c>
      <c r="F17" s="2" t="s">
        <v>209</v>
      </c>
      <c r="H17" s="41">
        <f>'2) Parameters'!H72</f>
        <v>7.71513353115727E-2</v>
      </c>
    </row>
    <row r="18" spans="2:8" x14ac:dyDescent="0.2">
      <c r="B18" s="2" t="s">
        <v>108</v>
      </c>
      <c r="F18" s="2" t="s">
        <v>209</v>
      </c>
      <c r="H18" s="41">
        <f>'2) Parameters'!H73</f>
        <v>7.71513353115727E-2</v>
      </c>
    </row>
    <row r="19" spans="2:8" x14ac:dyDescent="0.2">
      <c r="B19" s="2" t="s">
        <v>109</v>
      </c>
      <c r="F19" s="2" t="s">
        <v>209</v>
      </c>
      <c r="H19" s="41">
        <f>'2) Parameters'!H74</f>
        <v>6.4612500000000184E-2</v>
      </c>
    </row>
    <row r="20" spans="2:8" x14ac:dyDescent="0.2">
      <c r="B20" s="2" t="s">
        <v>110</v>
      </c>
      <c r="F20" s="2" t="s">
        <v>209</v>
      </c>
      <c r="H20" s="41">
        <f>'2) Parameters'!H75</f>
        <v>6.4188351920694053E-2</v>
      </c>
    </row>
    <row r="21" spans="2:8" x14ac:dyDescent="0.2">
      <c r="B21" s="2" t="s">
        <v>111</v>
      </c>
      <c r="F21" s="2" t="s">
        <v>209</v>
      </c>
      <c r="H21" s="41">
        <f>'2) Parameters'!H76</f>
        <v>6.4188351920694053E-2</v>
      </c>
    </row>
    <row r="22" spans="2:8" x14ac:dyDescent="0.2">
      <c r="B22" s="2" t="s">
        <v>112</v>
      </c>
      <c r="F22" s="2" t="s">
        <v>209</v>
      </c>
      <c r="H22" s="41">
        <f>'2) Parameters'!H77</f>
        <v>6.4188351920694053E-2</v>
      </c>
    </row>
    <row r="23" spans="2:8" x14ac:dyDescent="0.2">
      <c r="B23" s="2" t="s">
        <v>113</v>
      </c>
      <c r="F23" s="2" t="s">
        <v>209</v>
      </c>
      <c r="H23" s="41">
        <f>'2) Parameters'!H78</f>
        <v>7.0205904242123696E-2</v>
      </c>
    </row>
    <row r="24" spans="2:8" x14ac:dyDescent="0.2">
      <c r="B24" s="2" t="s">
        <v>114</v>
      </c>
      <c r="F24" s="2" t="s">
        <v>209</v>
      </c>
      <c r="H24" s="41">
        <f>'2) Parameters'!H79</f>
        <v>7.0205904242123696E-2</v>
      </c>
    </row>
    <row r="25" spans="2:8" x14ac:dyDescent="0.2">
      <c r="B25" s="2" t="s">
        <v>115</v>
      </c>
      <c r="F25" s="2" t="s">
        <v>209</v>
      </c>
      <c r="H25" s="41">
        <f>'2) Parameters'!H80</f>
        <v>7.0205904242123696E-2</v>
      </c>
    </row>
    <row r="26" spans="2:8" x14ac:dyDescent="0.2">
      <c r="B26" s="2" t="s">
        <v>116</v>
      </c>
      <c r="F26" s="2" t="s">
        <v>209</v>
      </c>
      <c r="H26" s="41">
        <f>'2) Parameters'!H81</f>
        <v>4.5544554455445585E-2</v>
      </c>
    </row>
    <row r="27" spans="2:8" x14ac:dyDescent="0.2">
      <c r="B27" s="2" t="s">
        <v>117</v>
      </c>
      <c r="F27" s="2" t="s">
        <v>209</v>
      </c>
      <c r="H27" s="41">
        <f>'2) Parameters'!H82</f>
        <v>4.5544554455445585E-2</v>
      </c>
    </row>
    <row r="28" spans="2:8" x14ac:dyDescent="0.2">
      <c r="B28" s="2" t="s">
        <v>118</v>
      </c>
      <c r="F28" s="2" t="s">
        <v>209</v>
      </c>
      <c r="H28" s="41">
        <f>'2) Parameters'!H83</f>
        <v>4.5544554455445585E-2</v>
      </c>
    </row>
    <row r="29" spans="2:8" x14ac:dyDescent="0.2">
      <c r="B29" s="2" t="s">
        <v>119</v>
      </c>
      <c r="F29" s="2" t="s">
        <v>209</v>
      </c>
      <c r="H29" s="41">
        <f>'2) Parameters'!H84</f>
        <v>4.6357128273306049E-2</v>
      </c>
    </row>
    <row r="30" spans="2:8" x14ac:dyDescent="0.2">
      <c r="B30" s="2" t="s">
        <v>120</v>
      </c>
      <c r="F30" s="2" t="s">
        <v>209</v>
      </c>
      <c r="H30" s="41">
        <f>'2) Parameters'!H85</f>
        <v>4.415122422106528E-2</v>
      </c>
    </row>
    <row r="31" spans="2:8" x14ac:dyDescent="0.2">
      <c r="B31" s="2" t="s">
        <v>121</v>
      </c>
      <c r="F31" s="2" t="s">
        <v>209</v>
      </c>
      <c r="H31" s="41">
        <f>'2) Parameters'!H86</f>
        <v>4.1945320168824511E-2</v>
      </c>
    </row>
    <row r="32" spans="2:8" x14ac:dyDescent="0.2">
      <c r="B32" s="2" t="s">
        <v>332</v>
      </c>
      <c r="F32" s="2" t="s">
        <v>209</v>
      </c>
      <c r="H32" s="41">
        <f>'2) Parameters'!H87</f>
        <v>3.9739416116583742E-2</v>
      </c>
    </row>
    <row r="33" spans="2:28" x14ac:dyDescent="0.2">
      <c r="B33" s="22"/>
    </row>
    <row r="34" spans="2:28" x14ac:dyDescent="0.2">
      <c r="B34" s="2" t="s">
        <v>125</v>
      </c>
      <c r="F34" s="2" t="s">
        <v>207</v>
      </c>
      <c r="L34" s="35">
        <f>'3) GAW'!L24</f>
        <v>341782188.10578388</v>
      </c>
      <c r="M34" s="35">
        <f>'3) GAW'!M24</f>
        <v>353209355.44024217</v>
      </c>
      <c r="N34" s="35">
        <f>'3) GAW'!N24</f>
        <v>356532797.01900214</v>
      </c>
      <c r="O34" s="35">
        <f>'3) GAW'!O24</f>
        <v>372216819.95738667</v>
      </c>
      <c r="P34" s="35">
        <f>'3) GAW'!P24</f>
        <v>380585872.89074886</v>
      </c>
      <c r="Q34" s="35">
        <f>'3) GAW'!Q24</f>
        <v>392399308.3234818</v>
      </c>
      <c r="R34" s="35">
        <f>'3) GAW'!R24</f>
        <v>410601690.62007844</v>
      </c>
      <c r="S34" s="35">
        <f>'3) GAW'!S24</f>
        <v>429456426.23448944</v>
      </c>
      <c r="T34" s="35">
        <f>'3) GAW'!T24</f>
        <v>447801950.3126809</v>
      </c>
      <c r="U34" s="35">
        <f>'3) GAW'!U24</f>
        <v>469379461.59236383</v>
      </c>
      <c r="V34" s="35">
        <f>'3) GAW'!V24</f>
        <v>490672751.31321782</v>
      </c>
      <c r="W34" s="35">
        <f>'3) GAW'!W24</f>
        <v>508310552.72579199</v>
      </c>
      <c r="X34" s="35">
        <f>'3) GAW'!X24</f>
        <v>527208421.75877297</v>
      </c>
      <c r="Y34" s="35">
        <f>'3) GAW'!Y24</f>
        <v>522532320.6550535</v>
      </c>
      <c r="Z34" s="35">
        <f>'3) GAW'!Z24</f>
        <v>538297200.82372594</v>
      </c>
      <c r="AA34" s="35">
        <f>'3) GAW'!AA24</f>
        <v>557348345.90680265</v>
      </c>
      <c r="AB34" s="35">
        <f>'3) GAW'!AB24</f>
        <v>581487484.68463004</v>
      </c>
    </row>
    <row r="35" spans="2:28" x14ac:dyDescent="0.2">
      <c r="B35" s="2" t="s">
        <v>126</v>
      </c>
      <c r="F35" s="2" t="s">
        <v>207</v>
      </c>
      <c r="L35" s="35">
        <f>'3) GAW'!L25</f>
        <v>8512539955.9940243</v>
      </c>
      <c r="M35" s="35">
        <f>'3) GAW'!M25</f>
        <v>8415907263.0809145</v>
      </c>
      <c r="N35" s="35">
        <f>'3) GAW'!N25</f>
        <v>8402341898.7779369</v>
      </c>
      <c r="O35" s="35">
        <f>'3) GAW'!O25</f>
        <v>8421665233.9024773</v>
      </c>
      <c r="P35" s="35">
        <f>'3) GAW'!P25</f>
        <v>8501200458.5789928</v>
      </c>
      <c r="Q35" s="35">
        <f>'3) GAW'!Q25</f>
        <v>8649945595.7857323</v>
      </c>
      <c r="R35" s="35">
        <f>'3) GAW'!R25</f>
        <v>8819538500.4550991</v>
      </c>
      <c r="S35" s="35">
        <f>'3) GAW'!S25</f>
        <v>9113774272.8257866</v>
      </c>
      <c r="T35" s="35">
        <f>'3) GAW'!T25</f>
        <v>9392796161.5178528</v>
      </c>
      <c r="U35" s="35">
        <f>'3) GAW'!U25</f>
        <v>9604712186.8368816</v>
      </c>
      <c r="V35" s="35">
        <f>'3) GAW'!V25</f>
        <v>9774191318.7856331</v>
      </c>
      <c r="W35" s="35">
        <f>'3) GAW'!W25</f>
        <v>9948271304.7116337</v>
      </c>
      <c r="X35" s="35">
        <f>'3) GAW'!X25</f>
        <v>10161155348.035576</v>
      </c>
      <c r="Y35" s="35">
        <f>'3) GAW'!Y25</f>
        <v>10253818758.932293</v>
      </c>
      <c r="Z35" s="35">
        <f>'3) GAW'!Z25</f>
        <v>10454375309.511566</v>
      </c>
      <c r="AA35" s="35">
        <f>'3) GAW'!AA25</f>
        <v>10808761342.492493</v>
      </c>
      <c r="AB35" s="35">
        <f>'3) GAW'!AB25</f>
        <v>11363819117.179329</v>
      </c>
    </row>
    <row r="37" spans="2:28" x14ac:dyDescent="0.2">
      <c r="B37" s="2" t="s">
        <v>396</v>
      </c>
      <c r="F37" s="2" t="s">
        <v>207</v>
      </c>
      <c r="L37" s="38"/>
      <c r="M37" s="38"/>
      <c r="N37" s="38"/>
      <c r="O37" s="38"/>
      <c r="P37" s="38"/>
      <c r="Q37" s="38"/>
      <c r="R37" s="38"/>
      <c r="S37" s="38"/>
      <c r="T37" s="38"/>
      <c r="U37" s="38"/>
      <c r="V37" s="38"/>
      <c r="W37" s="38"/>
      <c r="X37" s="38"/>
      <c r="Y37" s="38"/>
      <c r="Z37" s="35">
        <f>'3) GAW'!Z21</f>
        <v>1685064.4052628432</v>
      </c>
      <c r="AA37" s="35">
        <f>'3) GAW'!AA21</f>
        <v>1367347.2508526316</v>
      </c>
      <c r="AB37" s="35">
        <f>'3) GAW'!AB21</f>
        <v>0</v>
      </c>
    </row>
    <row r="38" spans="2:28" x14ac:dyDescent="0.2">
      <c r="B38" s="2" t="s">
        <v>397</v>
      </c>
      <c r="F38" s="2" t="s">
        <v>207</v>
      </c>
      <c r="L38" s="38"/>
      <c r="M38" s="38"/>
      <c r="N38" s="38"/>
      <c r="O38" s="38"/>
      <c r="P38" s="38"/>
      <c r="Q38" s="38"/>
      <c r="R38" s="38"/>
      <c r="S38" s="38"/>
      <c r="T38" s="38"/>
      <c r="U38" s="38"/>
      <c r="V38" s="38"/>
      <c r="W38" s="38"/>
      <c r="X38" s="38"/>
      <c r="Y38" s="38"/>
      <c r="Z38" s="35">
        <f>'3) GAW'!Z22</f>
        <v>1359462.3691118092</v>
      </c>
      <c r="AA38" s="35">
        <f>'3) GAW'!AA22</f>
        <v>0</v>
      </c>
      <c r="AB38" s="35">
        <f>'3) GAW'!AB22</f>
        <v>0</v>
      </c>
    </row>
    <row r="39" spans="2:28" x14ac:dyDescent="0.2">
      <c r="B39" s="52"/>
    </row>
    <row r="40" spans="2:28" x14ac:dyDescent="0.2">
      <c r="B40" s="2" t="s">
        <v>384</v>
      </c>
      <c r="F40" s="2" t="s">
        <v>207</v>
      </c>
      <c r="L40" s="38"/>
      <c r="M40" s="38"/>
      <c r="N40" s="38"/>
      <c r="O40" s="38"/>
      <c r="P40" s="38"/>
      <c r="Q40" s="35">
        <f>'3) GAW'!Q27</f>
        <v>13103332.76059464</v>
      </c>
      <c r="R40" s="35">
        <f>'3) GAW'!R27</f>
        <v>13748627.430616423</v>
      </c>
      <c r="S40" s="35">
        <f>'3) GAW'!S27</f>
        <v>9460622.7247500308</v>
      </c>
      <c r="T40" s="35">
        <f>'3) GAW'!T27</f>
        <v>10073596.463144638</v>
      </c>
      <c r="U40" s="38"/>
      <c r="V40" s="38"/>
      <c r="W40" s="38"/>
      <c r="X40" s="38"/>
      <c r="Y40" s="38"/>
      <c r="Z40" s="38"/>
      <c r="AA40" s="38"/>
      <c r="AB40" s="38"/>
    </row>
    <row r="41" spans="2:28" x14ac:dyDescent="0.2">
      <c r="B41" s="2" t="s">
        <v>385</v>
      </c>
      <c r="F41" s="2" t="s">
        <v>207</v>
      </c>
      <c r="L41" s="47"/>
      <c r="M41" s="47"/>
      <c r="N41" s="47"/>
      <c r="O41" s="47"/>
      <c r="P41" s="47"/>
      <c r="Q41" s="47"/>
      <c r="R41" s="47"/>
      <c r="S41" s="47"/>
      <c r="T41" s="35">
        <f>'3) GAW'!T28</f>
        <v>10069161.191075675</v>
      </c>
      <c r="U41" s="35">
        <f>'3) GAW'!U28</f>
        <v>9877861.8180031534</v>
      </c>
      <c r="V41" s="35">
        <f>'3) GAW'!V28</f>
        <v>8898061.4517361484</v>
      </c>
      <c r="W41" s="35">
        <f>'3) GAW'!W28</f>
        <v>9064872.5174342617</v>
      </c>
      <c r="X41" s="47"/>
      <c r="Y41" s="47"/>
      <c r="Z41" s="47"/>
      <c r="AA41" s="47"/>
      <c r="AB41" s="47"/>
    </row>
    <row r="43" spans="2:28" x14ac:dyDescent="0.2">
      <c r="B43" s="3" t="s">
        <v>400</v>
      </c>
    </row>
    <row r="44" spans="2:28" x14ac:dyDescent="0.2">
      <c r="B44" s="2" t="s">
        <v>122</v>
      </c>
      <c r="F44" s="2" t="s">
        <v>207</v>
      </c>
      <c r="L44" s="38"/>
      <c r="M44" s="38"/>
      <c r="N44" s="38"/>
      <c r="O44" s="38"/>
      <c r="P44" s="38"/>
      <c r="Q44" s="38"/>
      <c r="R44" s="38"/>
      <c r="S44" s="38"/>
      <c r="T44" s="38"/>
      <c r="U44" s="38"/>
      <c r="V44" s="38"/>
      <c r="W44" s="35">
        <f>'3) GAW'!W31</f>
        <v>12517427.885460485</v>
      </c>
      <c r="X44" s="35">
        <f>'3) GAW'!X31</f>
        <v>12601190.357499994</v>
      </c>
      <c r="Y44" s="35">
        <f>'3) GAW'!Y31</f>
        <v>12633312.557518186</v>
      </c>
      <c r="Z44" s="35">
        <f>'3) GAW'!Z31</f>
        <v>12410754.951348918</v>
      </c>
      <c r="AA44" s="35">
        <f>'3) GAW'!AA31</f>
        <v>12972698.127070708</v>
      </c>
      <c r="AB44" s="35">
        <f>'3) GAW'!AB31</f>
        <v>13110482.830000002</v>
      </c>
    </row>
    <row r="45" spans="2:28" x14ac:dyDescent="0.2">
      <c r="B45" s="2" t="s">
        <v>123</v>
      </c>
      <c r="F45" s="2" t="s">
        <v>207</v>
      </c>
      <c r="L45" s="38"/>
      <c r="M45" s="38"/>
      <c r="N45" s="38"/>
      <c r="O45" s="38"/>
      <c r="P45" s="38"/>
      <c r="Q45" s="38"/>
      <c r="R45" s="38"/>
      <c r="S45" s="38"/>
      <c r="T45" s="38"/>
      <c r="U45" s="38"/>
      <c r="V45" s="38"/>
      <c r="W45" s="35">
        <f>'3) GAW'!W32</f>
        <v>3453186.0680384301</v>
      </c>
      <c r="X45" s="35">
        <f>'3) GAW'!X32</f>
        <v>3317823.803205627</v>
      </c>
      <c r="Y45" s="35">
        <f>'3) GAW'!Y32</f>
        <v>3610425.1827898095</v>
      </c>
      <c r="Z45" s="35">
        <f>'3) GAW'!Z32</f>
        <v>3733724.3376423875</v>
      </c>
      <c r="AA45" s="35">
        <f>'3) GAW'!AA32</f>
        <v>3752644.2792296978</v>
      </c>
      <c r="AB45" s="35">
        <f>'3) GAW'!AB32</f>
        <v>3795034.2763</v>
      </c>
    </row>
    <row r="46" spans="2:28" x14ac:dyDescent="0.2">
      <c r="B46" s="2" t="s">
        <v>124</v>
      </c>
      <c r="F46" s="2" t="s">
        <v>207</v>
      </c>
      <c r="L46" s="38"/>
      <c r="M46" s="38"/>
      <c r="N46" s="38"/>
      <c r="O46" s="38"/>
      <c r="P46" s="38"/>
      <c r="Q46" s="38"/>
      <c r="R46" s="38"/>
      <c r="S46" s="38"/>
      <c r="T46" s="38"/>
      <c r="U46" s="38"/>
      <c r="V46" s="38"/>
      <c r="W46" s="35">
        <f>'3) GAW'!W33</f>
        <v>630.70000000000005</v>
      </c>
      <c r="X46" s="35">
        <f>'3) GAW'!X33</f>
        <v>0</v>
      </c>
      <c r="Y46" s="35">
        <f>'3) GAW'!Y33</f>
        <v>10453.379999999999</v>
      </c>
      <c r="Z46" s="35">
        <f>'3) GAW'!Z33</f>
        <v>213154.5385</v>
      </c>
      <c r="AA46" s="35">
        <f>'3) GAW'!AA33</f>
        <v>7063.13</v>
      </c>
      <c r="AB46" s="35">
        <f>'3) GAW'!AB33</f>
        <v>118278.04000000001</v>
      </c>
    </row>
    <row r="48" spans="2:28" s="7" customFormat="1" x14ac:dyDescent="0.2">
      <c r="B48" s="7" t="s">
        <v>159</v>
      </c>
    </row>
    <row r="50" spans="2:28" x14ac:dyDescent="0.2">
      <c r="B50" s="2" t="s">
        <v>143</v>
      </c>
      <c r="F50" s="2" t="s">
        <v>209</v>
      </c>
      <c r="L50" s="42">
        <f>AVERAGE($H16:$H17)</f>
        <v>7.71513353115727E-2</v>
      </c>
      <c r="M50" s="42">
        <f>AVERAGE($H16:$H17)</f>
        <v>7.71513353115727E-2</v>
      </c>
      <c r="N50" s="38"/>
      <c r="O50" s="38"/>
      <c r="P50" s="38"/>
      <c r="Q50" s="38"/>
      <c r="R50" s="38"/>
      <c r="S50" s="38"/>
      <c r="T50" s="38"/>
      <c r="U50" s="38"/>
      <c r="V50" s="38"/>
      <c r="W50" s="38"/>
      <c r="X50" s="38"/>
      <c r="Y50" s="38"/>
      <c r="Z50" s="38"/>
      <c r="AA50" s="38"/>
      <c r="AB50" s="38"/>
    </row>
    <row r="51" spans="2:28" x14ac:dyDescent="0.2">
      <c r="B51" s="2" t="s">
        <v>144</v>
      </c>
      <c r="F51" s="2" t="s">
        <v>209</v>
      </c>
      <c r="L51" s="38"/>
      <c r="M51" s="42">
        <f>AVERAGE($H17:$H18)</f>
        <v>7.71513353115727E-2</v>
      </c>
      <c r="N51" s="42">
        <f>AVERAGE($H17:$H18)</f>
        <v>7.71513353115727E-2</v>
      </c>
      <c r="O51" s="38"/>
      <c r="P51" s="38"/>
      <c r="Q51" s="38"/>
      <c r="R51" s="38"/>
      <c r="S51" s="38"/>
      <c r="T51" s="38"/>
      <c r="U51" s="38"/>
      <c r="V51" s="38"/>
      <c r="W51" s="38"/>
      <c r="X51" s="38"/>
      <c r="Y51" s="38"/>
      <c r="Z51" s="38"/>
      <c r="AA51" s="38"/>
      <c r="AB51" s="38"/>
    </row>
    <row r="52" spans="2:28" x14ac:dyDescent="0.2">
      <c r="B52" s="2" t="s">
        <v>145</v>
      </c>
      <c r="F52" s="2" t="s">
        <v>209</v>
      </c>
      <c r="L52" s="38"/>
      <c r="M52" s="38"/>
      <c r="N52" s="42">
        <f>AVERAGE($H18:$H19)</f>
        <v>7.0881917655786442E-2</v>
      </c>
      <c r="O52" s="42">
        <f>AVERAGE($H18:$H19)</f>
        <v>7.0881917655786442E-2</v>
      </c>
      <c r="P52" s="38"/>
      <c r="Q52" s="38"/>
      <c r="R52" s="38"/>
      <c r="S52" s="38"/>
      <c r="T52" s="38"/>
      <c r="U52" s="38"/>
      <c r="V52" s="38"/>
      <c r="W52" s="38"/>
      <c r="X52" s="38"/>
      <c r="Y52" s="38"/>
      <c r="Z52" s="38"/>
      <c r="AA52" s="38"/>
      <c r="AB52" s="38"/>
    </row>
    <row r="53" spans="2:28" x14ac:dyDescent="0.2">
      <c r="B53" s="2" t="s">
        <v>146</v>
      </c>
      <c r="F53" s="2" t="s">
        <v>209</v>
      </c>
      <c r="L53" s="38"/>
      <c r="M53" s="38"/>
      <c r="N53" s="38"/>
      <c r="O53" s="42">
        <f>AVERAGE($H19:$H20)</f>
        <v>6.4400425960347119E-2</v>
      </c>
      <c r="P53" s="42">
        <f>AVERAGE($H19:$H20)</f>
        <v>6.4400425960347119E-2</v>
      </c>
      <c r="Q53" s="38"/>
      <c r="R53" s="38"/>
      <c r="S53" s="38"/>
      <c r="T53" s="38"/>
      <c r="U53" s="38"/>
      <c r="V53" s="38"/>
      <c r="W53" s="38"/>
      <c r="X53" s="38"/>
      <c r="Y53" s="38"/>
      <c r="Z53" s="38"/>
      <c r="AA53" s="38"/>
      <c r="AB53" s="38"/>
    </row>
    <row r="54" spans="2:28" x14ac:dyDescent="0.2">
      <c r="B54" s="2" t="s">
        <v>147</v>
      </c>
      <c r="F54" s="2" t="s">
        <v>209</v>
      </c>
      <c r="L54" s="38"/>
      <c r="M54" s="38"/>
      <c r="N54" s="38"/>
      <c r="O54" s="38"/>
      <c r="P54" s="42">
        <f>AVERAGE($H20:$H21)</f>
        <v>6.4188351920694053E-2</v>
      </c>
      <c r="Q54" s="42">
        <f>AVERAGE($H20:$H21)</f>
        <v>6.4188351920694053E-2</v>
      </c>
      <c r="R54" s="38"/>
      <c r="S54" s="38"/>
      <c r="T54" s="38"/>
      <c r="U54" s="38"/>
      <c r="V54" s="38"/>
      <c r="W54" s="38"/>
      <c r="X54" s="38"/>
      <c r="Y54" s="38"/>
      <c r="Z54" s="38"/>
      <c r="AA54" s="38"/>
      <c r="AB54" s="38"/>
    </row>
    <row r="55" spans="2:28" x14ac:dyDescent="0.2">
      <c r="B55" s="2" t="s">
        <v>148</v>
      </c>
      <c r="F55" s="2" t="s">
        <v>209</v>
      </c>
      <c r="L55" s="38"/>
      <c r="M55" s="38"/>
      <c r="N55" s="38"/>
      <c r="O55" s="38"/>
      <c r="P55" s="38"/>
      <c r="Q55" s="42">
        <f>AVERAGE($H21:$H22)</f>
        <v>6.4188351920694053E-2</v>
      </c>
      <c r="R55" s="42">
        <f>AVERAGE($H21:$H22)</f>
        <v>6.4188351920694053E-2</v>
      </c>
      <c r="S55" s="38"/>
      <c r="T55" s="38"/>
      <c r="U55" s="38"/>
      <c r="V55" s="38"/>
      <c r="W55" s="38"/>
      <c r="X55" s="38"/>
      <c r="Y55" s="38"/>
      <c r="Z55" s="38"/>
      <c r="AA55" s="38"/>
      <c r="AB55" s="38"/>
    </row>
    <row r="56" spans="2:28" x14ac:dyDescent="0.2">
      <c r="B56" s="2" t="s">
        <v>149</v>
      </c>
      <c r="F56" s="2" t="s">
        <v>209</v>
      </c>
      <c r="L56" s="38"/>
      <c r="M56" s="38"/>
      <c r="N56" s="38"/>
      <c r="O56" s="38"/>
      <c r="P56" s="38"/>
      <c r="Q56" s="38"/>
      <c r="R56" s="42">
        <f>AVERAGE($H22:$H23)</f>
        <v>6.7197128081408875E-2</v>
      </c>
      <c r="S56" s="42">
        <f>AVERAGE($H22:$H23)</f>
        <v>6.7197128081408875E-2</v>
      </c>
      <c r="T56" s="38"/>
      <c r="U56" s="38"/>
      <c r="V56" s="38"/>
      <c r="W56" s="38"/>
      <c r="X56" s="38"/>
      <c r="Y56" s="38"/>
      <c r="Z56" s="38"/>
      <c r="AA56" s="38"/>
      <c r="AB56" s="38"/>
    </row>
    <row r="57" spans="2:28" x14ac:dyDescent="0.2">
      <c r="B57" s="2" t="s">
        <v>150</v>
      </c>
      <c r="F57" s="2" t="s">
        <v>209</v>
      </c>
      <c r="L57" s="38"/>
      <c r="M57" s="38"/>
      <c r="N57" s="38"/>
      <c r="O57" s="38"/>
      <c r="P57" s="38"/>
      <c r="Q57" s="38"/>
      <c r="R57" s="38"/>
      <c r="S57" s="42">
        <f>AVERAGE($H23:$H24)</f>
        <v>7.0205904242123696E-2</v>
      </c>
      <c r="T57" s="42">
        <f>AVERAGE($H23:$H24)</f>
        <v>7.0205904242123696E-2</v>
      </c>
      <c r="U57" s="38"/>
      <c r="V57" s="38"/>
      <c r="W57" s="38"/>
      <c r="X57" s="38"/>
      <c r="Y57" s="38"/>
      <c r="Z57" s="38"/>
      <c r="AA57" s="38"/>
      <c r="AB57" s="38"/>
    </row>
    <row r="58" spans="2:28" x14ac:dyDescent="0.2">
      <c r="B58" s="2" t="s">
        <v>151</v>
      </c>
      <c r="F58" s="2" t="s">
        <v>209</v>
      </c>
      <c r="L58" s="38"/>
      <c r="M58" s="38"/>
      <c r="N58" s="38"/>
      <c r="O58" s="38"/>
      <c r="P58" s="38"/>
      <c r="Q58" s="38"/>
      <c r="R58" s="38"/>
      <c r="S58" s="38"/>
      <c r="T58" s="42">
        <f>AVERAGE($H24:$H25)</f>
        <v>7.0205904242123696E-2</v>
      </c>
      <c r="U58" s="42">
        <f>AVERAGE($H24:$H25)</f>
        <v>7.0205904242123696E-2</v>
      </c>
      <c r="V58" s="38"/>
      <c r="W58" s="38"/>
      <c r="X58" s="38"/>
      <c r="Y58" s="38"/>
      <c r="Z58" s="38"/>
      <c r="AA58" s="38"/>
      <c r="AB58" s="38"/>
    </row>
    <row r="59" spans="2:28" x14ac:dyDescent="0.2">
      <c r="B59" s="2" t="s">
        <v>152</v>
      </c>
      <c r="F59" s="2" t="s">
        <v>209</v>
      </c>
      <c r="L59" s="38"/>
      <c r="M59" s="38"/>
      <c r="N59" s="38"/>
      <c r="O59" s="38"/>
      <c r="P59" s="38"/>
      <c r="Q59" s="38"/>
      <c r="R59" s="38"/>
      <c r="S59" s="38"/>
      <c r="T59" s="38"/>
      <c r="U59" s="42">
        <f>AVERAGE($H25:$H26)</f>
        <v>5.787522934878464E-2</v>
      </c>
      <c r="V59" s="42">
        <f>AVERAGE($H25:$H26)</f>
        <v>5.787522934878464E-2</v>
      </c>
      <c r="W59" s="38"/>
      <c r="X59" s="38"/>
      <c r="Y59" s="38"/>
      <c r="Z59" s="38"/>
      <c r="AA59" s="38"/>
      <c r="AB59" s="38"/>
    </row>
    <row r="60" spans="2:28" x14ac:dyDescent="0.2">
      <c r="B60" s="2" t="s">
        <v>153</v>
      </c>
      <c r="F60" s="2" t="s">
        <v>209</v>
      </c>
      <c r="L60" s="38"/>
      <c r="M60" s="38"/>
      <c r="N60" s="38"/>
      <c r="O60" s="38"/>
      <c r="P60" s="38"/>
      <c r="Q60" s="38"/>
      <c r="R60" s="38"/>
      <c r="S60" s="38"/>
      <c r="T60" s="38"/>
      <c r="U60" s="38"/>
      <c r="V60" s="42">
        <f>AVERAGE($H26:$H27)</f>
        <v>4.5544554455445585E-2</v>
      </c>
      <c r="W60" s="42">
        <f>AVERAGE($H26:$H27)</f>
        <v>4.5544554455445585E-2</v>
      </c>
      <c r="X60" s="38"/>
      <c r="Y60" s="38"/>
      <c r="Z60" s="38"/>
      <c r="AA60" s="38"/>
      <c r="AB60" s="38"/>
    </row>
    <row r="61" spans="2:28" x14ac:dyDescent="0.2">
      <c r="B61" s="2" t="s">
        <v>154</v>
      </c>
      <c r="F61" s="2" t="s">
        <v>209</v>
      </c>
      <c r="L61" s="38"/>
      <c r="M61" s="38"/>
      <c r="N61" s="38"/>
      <c r="O61" s="38"/>
      <c r="P61" s="38"/>
      <c r="Q61" s="38"/>
      <c r="R61" s="38"/>
      <c r="S61" s="38"/>
      <c r="T61" s="38"/>
      <c r="U61" s="38"/>
      <c r="V61" s="38"/>
      <c r="W61" s="42">
        <f>AVERAGE($H27:$H28)</f>
        <v>4.5544554455445585E-2</v>
      </c>
      <c r="X61" s="42">
        <f>AVERAGE($H27:$H28)</f>
        <v>4.5544554455445585E-2</v>
      </c>
      <c r="Y61" s="38"/>
      <c r="Z61" s="38"/>
      <c r="AA61" s="38"/>
      <c r="AB61" s="38"/>
    </row>
    <row r="62" spans="2:28" x14ac:dyDescent="0.2">
      <c r="B62" s="2" t="s">
        <v>155</v>
      </c>
      <c r="F62" s="2" t="s">
        <v>209</v>
      </c>
      <c r="L62" s="38"/>
      <c r="M62" s="38"/>
      <c r="N62" s="38"/>
      <c r="O62" s="38"/>
      <c r="P62" s="38"/>
      <c r="Q62" s="38"/>
      <c r="R62" s="38"/>
      <c r="S62" s="38"/>
      <c r="T62" s="38"/>
      <c r="U62" s="38"/>
      <c r="V62" s="38"/>
      <c r="W62" s="38"/>
      <c r="X62" s="42">
        <f>AVERAGE($H28:$H29)</f>
        <v>4.5950841364375813E-2</v>
      </c>
      <c r="Y62" s="42">
        <f>AVERAGE($H28:$H29)</f>
        <v>4.5950841364375813E-2</v>
      </c>
      <c r="Z62" s="38"/>
      <c r="AA62" s="38"/>
      <c r="AB62" s="38"/>
    </row>
    <row r="63" spans="2:28" x14ac:dyDescent="0.2">
      <c r="B63" s="2" t="s">
        <v>156</v>
      </c>
      <c r="F63" s="2" t="s">
        <v>209</v>
      </c>
      <c r="L63" s="38"/>
      <c r="M63" s="38"/>
      <c r="N63" s="38"/>
      <c r="O63" s="38"/>
      <c r="P63" s="38"/>
      <c r="Q63" s="38"/>
      <c r="R63" s="38"/>
      <c r="S63" s="38"/>
      <c r="T63" s="38"/>
      <c r="U63" s="38"/>
      <c r="V63" s="38"/>
      <c r="W63" s="38"/>
      <c r="X63" s="38"/>
      <c r="Y63" s="42">
        <f>AVERAGE($H29:$H30)</f>
        <v>4.5254176247185668E-2</v>
      </c>
      <c r="Z63" s="42">
        <f>AVERAGE($H29:$H30)</f>
        <v>4.5254176247185668E-2</v>
      </c>
      <c r="AA63" s="38"/>
      <c r="AB63" s="38"/>
    </row>
    <row r="64" spans="2:28" x14ac:dyDescent="0.2">
      <c r="B64" s="2" t="s">
        <v>157</v>
      </c>
      <c r="F64" s="2" t="s">
        <v>209</v>
      </c>
      <c r="L64" s="38"/>
      <c r="M64" s="38"/>
      <c r="N64" s="38"/>
      <c r="O64" s="38"/>
      <c r="P64" s="38"/>
      <c r="Q64" s="38"/>
      <c r="R64" s="38"/>
      <c r="S64" s="38"/>
      <c r="T64" s="38"/>
      <c r="U64" s="38"/>
      <c r="V64" s="38"/>
      <c r="W64" s="38"/>
      <c r="X64" s="38"/>
      <c r="Y64" s="38"/>
      <c r="Z64" s="42">
        <f>AVERAGE($H30:$H31)</f>
        <v>4.3048272194944892E-2</v>
      </c>
      <c r="AA64" s="42">
        <f>AVERAGE($H30:$H31)</f>
        <v>4.3048272194944892E-2</v>
      </c>
      <c r="AB64" s="38"/>
    </row>
    <row r="65" spans="2:28" x14ac:dyDescent="0.2">
      <c r="B65" s="2" t="s">
        <v>435</v>
      </c>
      <c r="F65" s="2" t="s">
        <v>209</v>
      </c>
      <c r="L65" s="38"/>
      <c r="M65" s="38"/>
      <c r="N65" s="38"/>
      <c r="O65" s="38"/>
      <c r="P65" s="38"/>
      <c r="Q65" s="38"/>
      <c r="R65" s="38"/>
      <c r="S65" s="38"/>
      <c r="T65" s="38"/>
      <c r="U65" s="38"/>
      <c r="V65" s="38"/>
      <c r="W65" s="38"/>
      <c r="X65" s="38"/>
      <c r="Y65" s="38"/>
      <c r="Z65" s="38"/>
      <c r="AA65" s="42">
        <f>AVERAGE($H31:$H32)</f>
        <v>4.084236814270413E-2</v>
      </c>
      <c r="AB65" s="42">
        <f>AVERAGE($H31:$H32)</f>
        <v>4.084236814270413E-2</v>
      </c>
    </row>
    <row r="67" spans="2:28" s="7" customFormat="1" x14ac:dyDescent="0.2">
      <c r="B67" s="7" t="s">
        <v>160</v>
      </c>
    </row>
    <row r="69" spans="2:28" x14ac:dyDescent="0.2">
      <c r="B69" s="22" t="s">
        <v>161</v>
      </c>
    </row>
    <row r="70" spans="2:28" x14ac:dyDescent="0.2">
      <c r="B70" s="2" t="s">
        <v>257</v>
      </c>
      <c r="F70" s="2" t="s">
        <v>207</v>
      </c>
      <c r="L70" s="47"/>
      <c r="M70" s="47"/>
      <c r="N70" s="47"/>
      <c r="O70" s="47"/>
      <c r="P70" s="47"/>
      <c r="Q70" s="47"/>
      <c r="R70" s="47"/>
      <c r="S70" s="47"/>
      <c r="T70" s="47"/>
      <c r="U70" s="47"/>
      <c r="V70" s="47"/>
      <c r="W70" s="36">
        <f t="shared" ref="W70:Z70" si="0">W44-W45+W46</f>
        <v>9064872.517422054</v>
      </c>
      <c r="X70" s="36">
        <f t="shared" si="0"/>
        <v>9283366.5542943664</v>
      </c>
      <c r="Y70" s="36">
        <f t="shared" si="0"/>
        <v>9033340.7547283769</v>
      </c>
      <c r="Z70" s="36">
        <f t="shared" si="0"/>
        <v>8890185.1522065289</v>
      </c>
      <c r="AA70" s="36">
        <f>AA44-AA45+AA46</f>
        <v>9227116.9778410103</v>
      </c>
      <c r="AB70" s="36">
        <f>AB44-AB45+AB46</f>
        <v>9433726.593700001</v>
      </c>
    </row>
    <row r="72" spans="2:28" x14ac:dyDescent="0.2">
      <c r="B72" s="22" t="s">
        <v>245</v>
      </c>
    </row>
    <row r="73" spans="2:28" x14ac:dyDescent="0.2">
      <c r="B73" s="2" t="s">
        <v>162</v>
      </c>
      <c r="F73" s="2" t="s">
        <v>207</v>
      </c>
      <c r="L73" s="46">
        <f>L$34+L$35*L50</f>
        <v>998536012.60383916</v>
      </c>
      <c r="M73" s="46">
        <f>M$34+M$35*M50</f>
        <v>1002507838.6452979</v>
      </c>
      <c r="N73" s="47"/>
      <c r="O73" s="47"/>
      <c r="P73" s="47"/>
      <c r="Q73" s="47"/>
      <c r="R73" s="47"/>
      <c r="S73" s="47"/>
      <c r="T73" s="47"/>
      <c r="U73" s="47"/>
      <c r="V73" s="47"/>
      <c r="W73" s="47"/>
      <c r="X73" s="47"/>
      <c r="Y73" s="47"/>
      <c r="Z73" s="47"/>
      <c r="AA73" s="47"/>
      <c r="AB73" s="47"/>
    </row>
    <row r="74" spans="2:28" x14ac:dyDescent="0.2">
      <c r="B74" s="2" t="s">
        <v>163</v>
      </c>
      <c r="F74" s="2" t="s">
        <v>207</v>
      </c>
      <c r="L74" s="47"/>
      <c r="M74" s="46">
        <f>M$34+M$35*M51</f>
        <v>1002507838.6452979</v>
      </c>
      <c r="N74" s="46">
        <f>N$34+N$35*N51</f>
        <v>1004784694.2540951</v>
      </c>
      <c r="O74" s="47"/>
      <c r="P74" s="47"/>
      <c r="Q74" s="47"/>
      <c r="R74" s="47"/>
      <c r="S74" s="47"/>
      <c r="T74" s="47"/>
      <c r="U74" s="47"/>
      <c r="V74" s="47"/>
      <c r="W74" s="47"/>
      <c r="X74" s="47"/>
      <c r="Y74" s="47"/>
      <c r="Z74" s="47"/>
      <c r="AA74" s="47"/>
      <c r="AB74" s="47"/>
    </row>
    <row r="75" spans="2:28" x14ac:dyDescent="0.2">
      <c r="B75" s="2" t="s">
        <v>164</v>
      </c>
      <c r="F75" s="2" t="s">
        <v>207</v>
      </c>
      <c r="L75" s="47"/>
      <c r="M75" s="47"/>
      <c r="N75" s="46">
        <f>N$34+N$35*N52</f>
        <v>952106903.60394406</v>
      </c>
      <c r="O75" s="46">
        <f>O$34+O$35*O52</f>
        <v>969160601.59146142</v>
      </c>
      <c r="P75" s="47"/>
      <c r="Q75" s="47"/>
      <c r="R75" s="47"/>
      <c r="S75" s="47"/>
      <c r="T75" s="47"/>
      <c r="U75" s="47"/>
      <c r="V75" s="47"/>
      <c r="W75" s="47"/>
      <c r="X75" s="47"/>
      <c r="Y75" s="47"/>
      <c r="Z75" s="47"/>
      <c r="AA75" s="47"/>
      <c r="AB75" s="47"/>
    </row>
    <row r="76" spans="2:28" x14ac:dyDescent="0.2">
      <c r="B76" s="2" t="s">
        <v>165</v>
      </c>
      <c r="F76" s="2" t="s">
        <v>207</v>
      </c>
      <c r="L76" s="47"/>
      <c r="M76" s="47"/>
      <c r="N76" s="47"/>
      <c r="O76" s="46">
        <f>O$34+O$35*O53</f>
        <v>914575648.31615257</v>
      </c>
      <c r="P76" s="46">
        <f>P$34+P$35*P53</f>
        <v>928066803.5975343</v>
      </c>
      <c r="Q76" s="47"/>
      <c r="R76" s="47"/>
      <c r="S76" s="47"/>
      <c r="T76" s="47"/>
      <c r="U76" s="47"/>
      <c r="V76" s="47"/>
      <c r="W76" s="47"/>
      <c r="X76" s="47"/>
      <c r="Y76" s="47"/>
      <c r="Z76" s="47"/>
      <c r="AA76" s="47"/>
      <c r="AB76" s="47"/>
    </row>
    <row r="77" spans="2:28" x14ac:dyDescent="0.2">
      <c r="B77" s="2" t="s">
        <v>166</v>
      </c>
      <c r="F77" s="2" t="s">
        <v>207</v>
      </c>
      <c r="L77" s="47"/>
      <c r="M77" s="47"/>
      <c r="N77" s="47"/>
      <c r="O77" s="47"/>
      <c r="P77" s="46">
        <f>P$34+P$35*P54</f>
        <v>926263919.67438293</v>
      </c>
      <c r="Q77" s="46">
        <f>Q$34+Q$35*Q54</f>
        <v>947625060.32063401</v>
      </c>
      <c r="R77" s="47"/>
      <c r="S77" s="47"/>
      <c r="T77" s="47"/>
      <c r="U77" s="47"/>
      <c r="V77" s="47"/>
      <c r="W77" s="47"/>
      <c r="X77" s="47"/>
      <c r="Y77" s="47"/>
      <c r="Z77" s="47"/>
      <c r="AA77" s="47"/>
      <c r="AB77" s="47"/>
    </row>
    <row r="78" spans="2:28" x14ac:dyDescent="0.2">
      <c r="B78" s="2" t="s">
        <v>167</v>
      </c>
      <c r="F78" s="2" t="s">
        <v>207</v>
      </c>
      <c r="L78" s="47"/>
      <c r="M78" s="47"/>
      <c r="N78" s="47"/>
      <c r="O78" s="47"/>
      <c r="P78" s="47"/>
      <c r="Q78" s="46">
        <f>Q$34+Q$35*Q55-Q$40</f>
        <v>934521727.5600394</v>
      </c>
      <c r="R78" s="46">
        <f>R$34+R$35*R55-R$40</f>
        <v>962964704.23478425</v>
      </c>
      <c r="S78" s="47"/>
      <c r="T78" s="47"/>
      <c r="U78" s="47"/>
      <c r="V78" s="47"/>
      <c r="W78" s="47"/>
      <c r="X78" s="47"/>
      <c r="Y78" s="47"/>
      <c r="Z78" s="47"/>
      <c r="AA78" s="47"/>
      <c r="AB78" s="47"/>
    </row>
    <row r="79" spans="2:28" x14ac:dyDescent="0.2">
      <c r="B79" s="2" t="s">
        <v>168</v>
      </c>
      <c r="F79" s="2" t="s">
        <v>207</v>
      </c>
      <c r="L79" s="47"/>
      <c r="M79" s="47"/>
      <c r="N79" s="47"/>
      <c r="O79" s="47"/>
      <c r="P79" s="47"/>
      <c r="Q79" s="47"/>
      <c r="R79" s="46">
        <f>R$34+R$35*R56-R$40</f>
        <v>989500721.42346013</v>
      </c>
      <c r="S79" s="46">
        <f>S$34+S$35*S56-S$40</f>
        <v>1032415260.6258628</v>
      </c>
      <c r="T79" s="47"/>
      <c r="U79" s="47"/>
      <c r="V79" s="47"/>
      <c r="W79" s="47"/>
      <c r="X79" s="47"/>
      <c r="Y79" s="47"/>
      <c r="Z79" s="47"/>
      <c r="AA79" s="47"/>
      <c r="AB79" s="47"/>
    </row>
    <row r="80" spans="2:28" x14ac:dyDescent="0.2">
      <c r="B80" s="2" t="s">
        <v>169</v>
      </c>
      <c r="F80" s="2" t="s">
        <v>207</v>
      </c>
      <c r="L80" s="47"/>
      <c r="M80" s="47"/>
      <c r="N80" s="47"/>
      <c r="O80" s="47"/>
      <c r="P80" s="47"/>
      <c r="Q80" s="47"/>
      <c r="R80" s="47"/>
      <c r="S80" s="46">
        <f>S$34+S$35*S57-S$40</f>
        <v>1059836567.3920771</v>
      </c>
      <c r="T80" s="46">
        <f>T$34+T$35*T57-T$40</f>
        <v>1097158101.7308457</v>
      </c>
      <c r="U80" s="47"/>
      <c r="V80" s="47"/>
      <c r="W80" s="47"/>
      <c r="X80" s="47"/>
      <c r="Y80" s="47"/>
      <c r="Z80" s="47"/>
      <c r="AA80" s="47"/>
      <c r="AB80" s="47"/>
    </row>
    <row r="81" spans="2:28" x14ac:dyDescent="0.2">
      <c r="B81" s="2" t="s">
        <v>170</v>
      </c>
      <c r="F81" s="2" t="s">
        <v>207</v>
      </c>
      <c r="L81" s="47"/>
      <c r="M81" s="47"/>
      <c r="N81" s="47"/>
      <c r="O81" s="47"/>
      <c r="P81" s="47"/>
      <c r="Q81" s="47"/>
      <c r="R81" s="47"/>
      <c r="S81" s="47"/>
      <c r="T81" s="46">
        <f>T$34+T$35*T58-T$41</f>
        <v>1097162537.0029147</v>
      </c>
      <c r="U81" s="46">
        <f>U$34+U$35*U58-U$41</f>
        <v>1133809103.8365893</v>
      </c>
      <c r="V81" s="47"/>
      <c r="W81" s="47"/>
      <c r="X81" s="47"/>
      <c r="Y81" s="47"/>
      <c r="Z81" s="47"/>
      <c r="AA81" s="47"/>
      <c r="AB81" s="47"/>
    </row>
    <row r="82" spans="2:28" x14ac:dyDescent="0.2">
      <c r="B82" s="2" t="s">
        <v>171</v>
      </c>
      <c r="F82" s="2" t="s">
        <v>207</v>
      </c>
      <c r="L82" s="47"/>
      <c r="M82" s="47"/>
      <c r="N82" s="47"/>
      <c r="O82" s="47"/>
      <c r="P82" s="47"/>
      <c r="Q82" s="47"/>
      <c r="R82" s="47"/>
      <c r="S82" s="47"/>
      <c r="T82" s="47"/>
      <c r="U82" s="46">
        <f>U$34+U$35*U59-U$41</f>
        <v>1015376520.416612</v>
      </c>
      <c r="V82" s="46">
        <f>V$34+V$35*V59-V$41</f>
        <v>1047458254.1351</v>
      </c>
      <c r="W82" s="47"/>
      <c r="X82" s="47"/>
      <c r="Y82" s="47"/>
      <c r="Z82" s="47"/>
      <c r="AA82" s="47"/>
      <c r="AB82" s="47"/>
    </row>
    <row r="83" spans="2:28" x14ac:dyDescent="0.2">
      <c r="B83" s="2" t="s">
        <v>172</v>
      </c>
      <c r="F83" s="2" t="s">
        <v>207</v>
      </c>
      <c r="L83" s="47"/>
      <c r="M83" s="47"/>
      <c r="N83" s="47"/>
      <c r="O83" s="47"/>
      <c r="P83" s="47"/>
      <c r="Q83" s="47"/>
      <c r="R83" s="47"/>
      <c r="S83" s="47"/>
      <c r="T83" s="47"/>
      <c r="U83" s="47"/>
      <c r="V83" s="46">
        <f>V$34+V$35*V60-V$41</f>
        <v>926935878.63785756</v>
      </c>
      <c r="W83" s="46">
        <f>W$34+W$35*W60-W$41</f>
        <v>952335264.38334346</v>
      </c>
      <c r="X83" s="47"/>
      <c r="Y83" s="47"/>
      <c r="Z83" s="47"/>
      <c r="AA83" s="47"/>
      <c r="AB83" s="47"/>
    </row>
    <row r="84" spans="2:28" x14ac:dyDescent="0.2">
      <c r="B84" s="2" t="s">
        <v>173</v>
      </c>
      <c r="F84" s="2" t="s">
        <v>207</v>
      </c>
      <c r="L84" s="47"/>
      <c r="M84" s="47"/>
      <c r="N84" s="47"/>
      <c r="O84" s="47"/>
      <c r="P84" s="47"/>
      <c r="Q84" s="47"/>
      <c r="R84" s="47"/>
      <c r="S84" s="47"/>
      <c r="T84" s="47"/>
      <c r="U84" s="47"/>
      <c r="V84" s="47"/>
      <c r="W84" s="46">
        <f>W$34+W$35*W61-W$70</f>
        <v>952335264.38335562</v>
      </c>
      <c r="X84" s="46">
        <f>X$34+X$35*X61-X$70</f>
        <v>980710348.2833271</v>
      </c>
      <c r="Y84" s="47"/>
      <c r="Z84" s="47"/>
      <c r="AA84" s="47"/>
      <c r="AB84" s="47"/>
    </row>
    <row r="85" spans="2:28" x14ac:dyDescent="0.2">
      <c r="B85" s="2" t="s">
        <v>174</v>
      </c>
      <c r="F85" s="2" t="s">
        <v>207</v>
      </c>
      <c r="L85" s="47"/>
      <c r="M85" s="47"/>
      <c r="N85" s="47"/>
      <c r="O85" s="47"/>
      <c r="P85" s="47"/>
      <c r="Q85" s="47"/>
      <c r="R85" s="47"/>
      <c r="S85" s="47"/>
      <c r="T85" s="47"/>
      <c r="U85" s="47"/>
      <c r="V85" s="47"/>
      <c r="W85" s="47"/>
      <c r="X85" s="46">
        <f>X$34+X$35*X62-X$70</f>
        <v>984838692.68084025</v>
      </c>
      <c r="Y85" s="46">
        <f>Y$34+Y$35*Y62-Y$70</f>
        <v>984670579.07108378</v>
      </c>
      <c r="Z85" s="47"/>
      <c r="AA85" s="47"/>
      <c r="AB85" s="47"/>
    </row>
    <row r="86" spans="2:28" x14ac:dyDescent="0.2">
      <c r="B86" s="2" t="s">
        <v>175</v>
      </c>
      <c r="F86" s="2" t="s">
        <v>207</v>
      </c>
      <c r="L86" s="47"/>
      <c r="M86" s="47"/>
      <c r="N86" s="47"/>
      <c r="O86" s="47"/>
      <c r="P86" s="47"/>
      <c r="Q86" s="47"/>
      <c r="R86" s="47"/>
      <c r="S86" s="47"/>
      <c r="T86" s="47"/>
      <c r="U86" s="47"/>
      <c r="V86" s="47"/>
      <c r="W86" s="47"/>
      <c r="X86" s="47"/>
      <c r="Y86" s="46">
        <f>Y$34+Y$35*Y63-Y$70</f>
        <v>977527101.22374582</v>
      </c>
      <c r="Z86" s="46">
        <f>Z$34+Z$35*Z63-Z$70</f>
        <v>1002511158.4823821</v>
      </c>
      <c r="AA86" s="47"/>
      <c r="AB86" s="47"/>
    </row>
    <row r="87" spans="2:28" x14ac:dyDescent="0.2">
      <c r="B87" s="2" t="s">
        <v>176</v>
      </c>
      <c r="F87" s="2" t="s">
        <v>207</v>
      </c>
      <c r="L87" s="47"/>
      <c r="M87" s="47"/>
      <c r="N87" s="47"/>
      <c r="O87" s="47"/>
      <c r="P87" s="47"/>
      <c r="Q87" s="47"/>
      <c r="R87" s="47"/>
      <c r="S87" s="47"/>
      <c r="T87" s="47"/>
      <c r="U87" s="47"/>
      <c r="V87" s="47"/>
      <c r="W87" s="47"/>
      <c r="X87" s="47"/>
      <c r="Y87" s="47"/>
      <c r="Z87" s="71">
        <f>Z$34-Z$37+(Z$35-Z$38)*Z64-Z$70</f>
        <v>977706222.71211743</v>
      </c>
      <c r="AA87" s="46">
        <f>AA$34-AA$37+(AA$35-AA$38)*AA64-AA$70</f>
        <v>1012052382.0399238</v>
      </c>
      <c r="AB87" s="47"/>
    </row>
    <row r="88" spans="2:28" x14ac:dyDescent="0.2">
      <c r="B88" s="2" t="s">
        <v>334</v>
      </c>
      <c r="F88" s="2" t="s">
        <v>207</v>
      </c>
      <c r="L88" s="47"/>
      <c r="M88" s="47"/>
      <c r="N88" s="47"/>
      <c r="O88" s="47"/>
      <c r="P88" s="47"/>
      <c r="Q88" s="47"/>
      <c r="R88" s="47"/>
      <c r="S88" s="47"/>
      <c r="T88" s="47"/>
      <c r="U88" s="47"/>
      <c r="V88" s="47"/>
      <c r="W88" s="47"/>
      <c r="X88" s="47"/>
      <c r="Y88" s="47"/>
      <c r="Z88" s="47"/>
      <c r="AA88" s="46">
        <f>AA$34-AA$37+(AA$35-AA$38)*AA65-AA$70</f>
        <v>988209291.59481633</v>
      </c>
      <c r="AB88" s="46">
        <f>AB$34-AB$37+(AB$35-AB$38)*AB65-AB$70</f>
        <v>1036179041.9818672</v>
      </c>
    </row>
    <row r="89" spans="2:28" x14ac:dyDescent="0.2">
      <c r="L89" s="53"/>
      <c r="M89" s="53"/>
      <c r="N89" s="53"/>
      <c r="O89" s="53"/>
      <c r="P89" s="53"/>
      <c r="Q89" s="53"/>
      <c r="R89" s="53"/>
      <c r="S89" s="53"/>
      <c r="T89" s="53"/>
      <c r="U89" s="53"/>
      <c r="V89" s="53"/>
      <c r="W89" s="53"/>
      <c r="X89" s="53"/>
      <c r="Y89" s="53"/>
      <c r="Z89" s="53"/>
      <c r="AA89" s="53"/>
      <c r="AB89" s="53"/>
    </row>
    <row r="90" spans="2:28" ht="15" x14ac:dyDescent="0.2">
      <c r="L90" s="54"/>
      <c r="M90" s="53"/>
      <c r="N90" s="53"/>
      <c r="O90" s="53"/>
      <c r="P90" s="53"/>
      <c r="Q90" s="53"/>
      <c r="R90" s="53"/>
      <c r="S90" s="53"/>
      <c r="T90" s="53"/>
      <c r="U90" s="53"/>
      <c r="V90" s="53"/>
      <c r="W90" s="53"/>
      <c r="X90" s="53"/>
      <c r="Y90" s="53"/>
      <c r="Z90" s="53"/>
      <c r="AA90" s="53"/>
      <c r="AB90" s="53"/>
    </row>
    <row r="91" spans="2:28" x14ac:dyDescent="0.2">
      <c r="L91" s="53"/>
      <c r="M91" s="53"/>
      <c r="N91" s="53"/>
      <c r="O91" s="53"/>
      <c r="P91" s="53"/>
      <c r="Q91" s="53"/>
      <c r="R91" s="53"/>
      <c r="S91" s="53"/>
      <c r="T91" s="53"/>
      <c r="U91" s="53"/>
      <c r="V91" s="53"/>
      <c r="W91" s="53"/>
      <c r="X91" s="53"/>
      <c r="Y91" s="53"/>
      <c r="Z91" s="53"/>
      <c r="AA91" s="53"/>
      <c r="AB91" s="53"/>
    </row>
    <row r="92" spans="2:28" x14ac:dyDescent="0.2">
      <c r="L92" s="53"/>
      <c r="M92" s="53"/>
      <c r="N92" s="53"/>
      <c r="O92" s="53"/>
      <c r="P92" s="53"/>
      <c r="Q92" s="53"/>
      <c r="R92" s="53"/>
      <c r="S92" s="53"/>
      <c r="T92" s="53"/>
      <c r="U92" s="53"/>
      <c r="V92" s="53"/>
      <c r="W92" s="53"/>
      <c r="X92" s="53"/>
      <c r="Y92" s="53"/>
      <c r="Z92" s="53"/>
      <c r="AA92" s="53"/>
      <c r="AB92" s="53"/>
    </row>
    <row r="93" spans="2:28" x14ac:dyDescent="0.2">
      <c r="L93" s="53"/>
      <c r="M93" s="53"/>
      <c r="N93" s="53"/>
      <c r="O93" s="53"/>
      <c r="P93" s="53"/>
      <c r="Q93" s="53"/>
      <c r="R93" s="53"/>
      <c r="S93" s="53"/>
      <c r="T93" s="53"/>
      <c r="U93" s="53"/>
      <c r="V93" s="53"/>
      <c r="W93" s="53"/>
      <c r="X93" s="53"/>
      <c r="Y93" s="53"/>
      <c r="Z93" s="53"/>
      <c r="AA93" s="53"/>
      <c r="AB93" s="53"/>
    </row>
    <row r="94" spans="2:28" x14ac:dyDescent="0.2">
      <c r="L94" s="53"/>
      <c r="M94" s="53"/>
      <c r="N94" s="53"/>
      <c r="O94" s="53"/>
      <c r="P94" s="53"/>
      <c r="Q94" s="53"/>
      <c r="R94" s="53"/>
      <c r="S94" s="53"/>
      <c r="T94" s="53"/>
      <c r="U94" s="53"/>
      <c r="V94" s="53"/>
      <c r="W94" s="53"/>
      <c r="X94" s="53"/>
      <c r="Y94" s="53"/>
      <c r="Z94" s="53"/>
      <c r="AA94" s="53"/>
      <c r="AB94" s="53"/>
    </row>
    <row r="95" spans="2:28" ht="15" x14ac:dyDescent="0.2">
      <c r="L95" s="54"/>
      <c r="M95" s="53"/>
      <c r="N95" s="53"/>
      <c r="O95" s="53"/>
      <c r="P95" s="53"/>
      <c r="Q95" s="53"/>
      <c r="R95" s="53"/>
      <c r="S95" s="53"/>
      <c r="T95" s="53"/>
      <c r="U95" s="53"/>
      <c r="V95" s="53"/>
      <c r="W95" s="53"/>
      <c r="X95" s="53"/>
      <c r="Y95" s="53"/>
      <c r="Z95" s="53"/>
      <c r="AA95" s="53"/>
      <c r="AB95" s="53"/>
    </row>
    <row r="96" spans="2:28" x14ac:dyDescent="0.2">
      <c r="L96" s="53"/>
      <c r="M96" s="53"/>
      <c r="N96" s="53"/>
      <c r="O96" s="53"/>
      <c r="P96" s="53"/>
      <c r="Q96" s="53"/>
      <c r="R96" s="53"/>
      <c r="S96" s="53"/>
      <c r="T96" s="53"/>
      <c r="U96" s="53"/>
      <c r="V96" s="53"/>
      <c r="W96" s="53"/>
      <c r="X96" s="53"/>
      <c r="Y96" s="53"/>
      <c r="Z96" s="53"/>
      <c r="AA96" s="53"/>
      <c r="AB96" s="53"/>
    </row>
    <row r="97" spans="12:28" x14ac:dyDescent="0.2">
      <c r="L97" s="53"/>
      <c r="M97" s="53"/>
      <c r="N97" s="53"/>
      <c r="O97" s="53"/>
      <c r="P97" s="53"/>
      <c r="Q97" s="53"/>
      <c r="R97" s="53"/>
      <c r="S97" s="53"/>
      <c r="T97" s="53"/>
      <c r="U97" s="53"/>
      <c r="V97" s="53"/>
      <c r="W97" s="53"/>
      <c r="X97" s="53"/>
      <c r="Y97" s="53"/>
      <c r="Z97" s="53"/>
      <c r="AA97" s="53"/>
      <c r="AB97" s="53"/>
    </row>
    <row r="98" spans="12:28" x14ac:dyDescent="0.2">
      <c r="L98" s="53"/>
      <c r="M98" s="53"/>
      <c r="N98" s="53"/>
      <c r="O98" s="53"/>
      <c r="P98" s="53"/>
      <c r="Q98" s="53"/>
      <c r="R98" s="53"/>
      <c r="S98" s="53"/>
      <c r="T98" s="53"/>
      <c r="U98" s="53"/>
      <c r="V98" s="53"/>
      <c r="W98" s="53"/>
      <c r="X98" s="53"/>
      <c r="Y98" s="53"/>
      <c r="Z98" s="53"/>
      <c r="AA98" s="53"/>
      <c r="AB98" s="53"/>
    </row>
    <row r="99" spans="12:28" x14ac:dyDescent="0.2">
      <c r="L99" s="53"/>
      <c r="M99" s="53"/>
      <c r="N99" s="53"/>
      <c r="O99" s="53"/>
      <c r="P99" s="53"/>
      <c r="Q99" s="53"/>
      <c r="R99" s="53"/>
      <c r="S99" s="53"/>
      <c r="T99" s="53"/>
      <c r="U99" s="53"/>
      <c r="V99" s="53"/>
      <c r="W99" s="53"/>
      <c r="X99" s="53"/>
      <c r="Y99" s="53"/>
      <c r="Z99" s="53"/>
      <c r="AA99" s="53"/>
      <c r="AB99" s="53"/>
    </row>
    <row r="100" spans="12:28" x14ac:dyDescent="0.2">
      <c r="L100" s="53"/>
      <c r="M100" s="53"/>
      <c r="N100" s="53"/>
      <c r="O100" s="53"/>
      <c r="P100" s="53"/>
      <c r="Q100" s="53"/>
      <c r="R100" s="53"/>
      <c r="S100" s="53"/>
      <c r="T100" s="53"/>
      <c r="U100" s="53"/>
      <c r="V100" s="53"/>
      <c r="W100" s="53"/>
      <c r="X100" s="53"/>
      <c r="Y100" s="53"/>
      <c r="Z100" s="53"/>
      <c r="AA100" s="53"/>
      <c r="AB100" s="53"/>
    </row>
    <row r="101" spans="12:28" x14ac:dyDescent="0.2">
      <c r="L101" s="53"/>
      <c r="M101" s="53"/>
      <c r="N101" s="53"/>
      <c r="O101" s="53"/>
      <c r="P101" s="53"/>
      <c r="Q101" s="53"/>
      <c r="R101" s="53"/>
      <c r="S101" s="53"/>
      <c r="T101" s="53"/>
      <c r="U101" s="53"/>
      <c r="V101" s="53"/>
      <c r="W101" s="53"/>
      <c r="X101" s="53"/>
      <c r="Y101" s="53"/>
      <c r="Z101" s="53"/>
      <c r="AA101" s="53"/>
      <c r="AB101" s="53"/>
    </row>
    <row r="102" spans="12:28" x14ac:dyDescent="0.2">
      <c r="L102" s="53"/>
      <c r="M102" s="53"/>
      <c r="N102" s="53"/>
      <c r="O102" s="53"/>
      <c r="P102" s="53"/>
      <c r="Q102" s="53"/>
      <c r="R102" s="53"/>
      <c r="S102" s="53"/>
      <c r="T102" s="53"/>
      <c r="U102" s="53"/>
      <c r="V102" s="53"/>
      <c r="W102" s="53"/>
      <c r="X102" s="53"/>
      <c r="Y102" s="53"/>
      <c r="Z102" s="53"/>
      <c r="AA102" s="53"/>
      <c r="AB102" s="53"/>
    </row>
    <row r="103" spans="12:28" x14ac:dyDescent="0.2">
      <c r="L103" s="53"/>
      <c r="M103" s="53"/>
      <c r="N103" s="53"/>
      <c r="O103" s="53"/>
      <c r="P103" s="53"/>
      <c r="Q103" s="53"/>
      <c r="R103" s="53"/>
      <c r="S103" s="53"/>
      <c r="T103" s="53"/>
      <c r="U103" s="53"/>
      <c r="V103" s="53"/>
      <c r="W103" s="53"/>
      <c r="X103" s="53"/>
      <c r="Y103" s="53"/>
      <c r="Z103" s="53"/>
      <c r="AA103" s="53"/>
      <c r="AB103" s="53"/>
    </row>
    <row r="104" spans="12:28" x14ac:dyDescent="0.2">
      <c r="L104" s="53"/>
      <c r="M104" s="53"/>
      <c r="N104" s="53"/>
      <c r="O104" s="53"/>
      <c r="P104" s="53"/>
      <c r="Q104" s="53"/>
      <c r="R104" s="53"/>
      <c r="S104" s="53"/>
      <c r="T104" s="53"/>
      <c r="U104" s="53"/>
      <c r="V104" s="53"/>
      <c r="W104" s="53"/>
      <c r="X104" s="53"/>
      <c r="Y104" s="53"/>
      <c r="Z104" s="53"/>
      <c r="AA104" s="53"/>
      <c r="AB104" s="53"/>
    </row>
    <row r="105" spans="12:28" x14ac:dyDescent="0.2">
      <c r="L105" s="53"/>
      <c r="M105" s="53"/>
      <c r="N105" s="53"/>
      <c r="O105" s="53"/>
      <c r="P105" s="53"/>
      <c r="Q105" s="53"/>
      <c r="R105" s="53"/>
      <c r="S105" s="53"/>
      <c r="T105" s="53"/>
      <c r="U105" s="53"/>
      <c r="V105" s="53"/>
      <c r="W105" s="53"/>
      <c r="X105" s="53"/>
      <c r="Y105" s="53"/>
      <c r="Z105" s="53"/>
      <c r="AA105" s="53"/>
      <c r="AB105" s="53"/>
    </row>
    <row r="106" spans="12:28" x14ac:dyDescent="0.2">
      <c r="L106" s="53"/>
      <c r="M106" s="53"/>
      <c r="N106" s="53"/>
      <c r="O106" s="53"/>
      <c r="P106" s="53"/>
      <c r="Q106" s="53"/>
      <c r="R106" s="53"/>
      <c r="S106" s="53"/>
      <c r="T106" s="53"/>
      <c r="U106" s="53"/>
      <c r="V106" s="53"/>
      <c r="W106" s="53"/>
      <c r="X106" s="53"/>
      <c r="Y106" s="53"/>
      <c r="Z106" s="53"/>
      <c r="AA106" s="53"/>
      <c r="AB106" s="53"/>
    </row>
    <row r="107" spans="12:28" x14ac:dyDescent="0.2">
      <c r="L107" s="53"/>
      <c r="M107" s="53"/>
      <c r="N107" s="53"/>
      <c r="O107" s="53"/>
      <c r="P107" s="53"/>
      <c r="Q107" s="53"/>
      <c r="R107" s="53"/>
      <c r="S107" s="53"/>
      <c r="T107" s="53"/>
      <c r="U107" s="53"/>
      <c r="V107" s="53"/>
      <c r="W107" s="53"/>
      <c r="X107" s="53"/>
      <c r="Y107" s="53"/>
      <c r="Z107" s="53"/>
      <c r="AA107" s="53"/>
      <c r="AB107" s="53"/>
    </row>
    <row r="108" spans="12:28" x14ac:dyDescent="0.2">
      <c r="L108" s="53"/>
      <c r="M108" s="53"/>
      <c r="N108" s="53"/>
      <c r="O108" s="53"/>
      <c r="P108" s="53"/>
      <c r="Q108" s="53"/>
      <c r="R108" s="53"/>
      <c r="S108" s="53"/>
      <c r="T108" s="53"/>
      <c r="U108" s="53"/>
      <c r="V108" s="53"/>
      <c r="W108" s="53"/>
      <c r="X108" s="53"/>
      <c r="Y108" s="53"/>
      <c r="Z108" s="53"/>
      <c r="AA108" s="53"/>
      <c r="AB108" s="53"/>
    </row>
    <row r="109" spans="12:28" x14ac:dyDescent="0.2">
      <c r="L109" s="53"/>
      <c r="M109" s="53"/>
      <c r="N109" s="53"/>
      <c r="O109" s="53"/>
      <c r="P109" s="53"/>
      <c r="Q109" s="53"/>
      <c r="R109" s="53"/>
      <c r="S109" s="53"/>
      <c r="T109" s="53"/>
      <c r="U109" s="53"/>
      <c r="V109" s="53"/>
      <c r="W109" s="53"/>
      <c r="X109" s="53"/>
      <c r="Y109" s="53"/>
      <c r="Z109" s="53"/>
      <c r="AA109" s="53"/>
      <c r="AB109" s="53"/>
    </row>
    <row r="110" spans="12:28" x14ac:dyDescent="0.2">
      <c r="L110" s="53"/>
      <c r="M110" s="53"/>
      <c r="N110" s="53"/>
      <c r="O110" s="53"/>
      <c r="P110" s="53"/>
      <c r="Q110" s="53"/>
      <c r="R110" s="53"/>
      <c r="S110" s="53"/>
      <c r="T110" s="53"/>
      <c r="U110" s="53"/>
      <c r="V110" s="53"/>
      <c r="W110" s="53"/>
      <c r="X110" s="53"/>
      <c r="Y110" s="53"/>
      <c r="Z110" s="53"/>
      <c r="AA110" s="53"/>
      <c r="AB110" s="53"/>
    </row>
    <row r="111" spans="12:28" x14ac:dyDescent="0.2">
      <c r="L111" s="53"/>
      <c r="M111" s="53"/>
      <c r="N111" s="53"/>
      <c r="O111" s="53"/>
      <c r="P111" s="53"/>
      <c r="Q111" s="53"/>
      <c r="R111" s="53"/>
      <c r="S111" s="53"/>
      <c r="T111" s="53"/>
      <c r="U111" s="53"/>
      <c r="V111" s="53"/>
      <c r="W111" s="53"/>
      <c r="X111" s="53"/>
      <c r="Y111" s="53"/>
      <c r="Z111" s="53"/>
      <c r="AA111" s="53"/>
      <c r="AB111" s="53"/>
    </row>
    <row r="112" spans="12:28" x14ac:dyDescent="0.2">
      <c r="L112" s="53"/>
      <c r="M112" s="53"/>
      <c r="N112" s="53"/>
      <c r="O112" s="53"/>
      <c r="P112" s="53"/>
      <c r="Q112" s="53"/>
      <c r="R112" s="53"/>
      <c r="S112" s="53"/>
      <c r="T112" s="53"/>
      <c r="U112" s="53"/>
      <c r="V112" s="53"/>
      <c r="W112" s="53"/>
      <c r="X112" s="53"/>
      <c r="Y112" s="53"/>
      <c r="Z112" s="53"/>
      <c r="AA112" s="53"/>
      <c r="AB112" s="53"/>
    </row>
    <row r="113" spans="12:28" x14ac:dyDescent="0.2">
      <c r="L113" s="53"/>
      <c r="M113" s="53"/>
      <c r="N113" s="53"/>
      <c r="O113" s="53"/>
      <c r="P113" s="53"/>
      <c r="Q113" s="53"/>
      <c r="R113" s="53"/>
      <c r="S113" s="53"/>
      <c r="T113" s="53"/>
      <c r="U113" s="53"/>
      <c r="V113" s="53"/>
      <c r="W113" s="53"/>
      <c r="X113" s="53"/>
      <c r="Y113" s="53"/>
      <c r="Z113" s="53"/>
      <c r="AA113" s="53"/>
      <c r="AB113" s="53"/>
    </row>
    <row r="114" spans="12:28" x14ac:dyDescent="0.2">
      <c r="L114" s="53"/>
      <c r="M114" s="53"/>
      <c r="N114" s="53"/>
      <c r="O114" s="53"/>
      <c r="P114" s="53"/>
      <c r="Q114" s="53"/>
      <c r="R114" s="53"/>
      <c r="S114" s="53"/>
      <c r="T114" s="53"/>
      <c r="U114" s="53"/>
      <c r="V114" s="53"/>
      <c r="W114" s="53"/>
      <c r="X114" s="53"/>
      <c r="Y114" s="53"/>
      <c r="Z114" s="53"/>
      <c r="AA114" s="53"/>
      <c r="AB114" s="53"/>
    </row>
    <row r="115" spans="12:28" x14ac:dyDescent="0.2">
      <c r="L115" s="53"/>
      <c r="M115" s="53"/>
      <c r="N115" s="53"/>
      <c r="O115" s="53"/>
      <c r="P115" s="53"/>
      <c r="Q115" s="53"/>
      <c r="R115" s="53"/>
      <c r="S115" s="53"/>
      <c r="T115" s="53"/>
      <c r="U115" s="53"/>
      <c r="V115" s="53"/>
      <c r="W115" s="53"/>
      <c r="X115" s="53"/>
      <c r="Y115" s="53"/>
      <c r="Z115" s="53"/>
      <c r="AA115" s="53"/>
      <c r="AB115" s="53"/>
    </row>
    <row r="116" spans="12:28" x14ac:dyDescent="0.2">
      <c r="L116" s="53"/>
      <c r="M116" s="53"/>
      <c r="N116" s="53"/>
      <c r="O116" s="53"/>
      <c r="P116" s="53"/>
      <c r="Q116" s="53"/>
      <c r="R116" s="53"/>
      <c r="S116" s="53"/>
      <c r="T116" s="53"/>
      <c r="U116" s="53"/>
      <c r="V116" s="53"/>
      <c r="W116" s="53"/>
      <c r="X116" s="53"/>
      <c r="Y116" s="53"/>
      <c r="Z116" s="53"/>
      <c r="AA116" s="53"/>
      <c r="AB116" s="53"/>
    </row>
  </sheetData>
  <phoneticPr fontId="29"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P68"/>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5.7109375" style="2" customWidth="1"/>
    <col min="2" max="2" width="35.28515625" style="2" customWidth="1"/>
    <col min="3" max="3" width="2.7109375" style="2" customWidth="1"/>
    <col min="4" max="4" width="40.7109375" style="2" customWidth="1"/>
    <col min="5" max="5" width="2.7109375" style="2" customWidth="1"/>
    <col min="6" max="6" width="24.7109375" style="2" customWidth="1"/>
    <col min="7" max="7" width="2.7109375" style="2" customWidth="1"/>
    <col min="8" max="8" width="40.7109375" style="2" customWidth="1"/>
    <col min="9" max="9" width="2.7109375" style="2" customWidth="1"/>
    <col min="10" max="10" width="9.140625" style="2"/>
    <col min="11" max="11" width="2.7109375" style="2" customWidth="1"/>
    <col min="12" max="12" width="40.7109375" style="2" customWidth="1"/>
    <col min="13" max="13" width="2.7109375" style="2" customWidth="1"/>
    <col min="14" max="16384" width="9.140625" style="2"/>
  </cols>
  <sheetData>
    <row r="2" spans="2:16" s="6" customFormat="1" ht="18" x14ac:dyDescent="0.2">
      <c r="B2" s="6" t="s">
        <v>21</v>
      </c>
    </row>
    <row r="5" spans="2:16" s="7" customFormat="1" x14ac:dyDescent="0.2">
      <c r="B5" s="7" t="s">
        <v>22</v>
      </c>
    </row>
    <row r="7" spans="2:16" x14ac:dyDescent="0.2">
      <c r="B7" s="2" t="s">
        <v>345</v>
      </c>
    </row>
    <row r="8" spans="2:16" x14ac:dyDescent="0.2">
      <c r="B8" s="2" t="s">
        <v>346</v>
      </c>
      <c r="H8" s="25"/>
    </row>
    <row r="9" spans="2:16" x14ac:dyDescent="0.2">
      <c r="B9" s="2" t="s">
        <v>347</v>
      </c>
      <c r="H9" s="25"/>
    </row>
    <row r="10" spans="2:16" x14ac:dyDescent="0.2">
      <c r="H10" s="25"/>
    </row>
    <row r="12" spans="2:16" s="7" customFormat="1" x14ac:dyDescent="0.2">
      <c r="B12" s="7" t="s">
        <v>23</v>
      </c>
    </row>
    <row r="14" spans="2:16" x14ac:dyDescent="0.2">
      <c r="D14" s="58" t="s">
        <v>342</v>
      </c>
      <c r="H14" s="58" t="s">
        <v>343</v>
      </c>
      <c r="L14" s="1" t="s">
        <v>344</v>
      </c>
      <c r="P14" s="58"/>
    </row>
    <row r="15" spans="2:16" x14ac:dyDescent="0.2">
      <c r="D15" s="58"/>
      <c r="H15" s="58"/>
      <c r="P15" s="58"/>
    </row>
    <row r="16" spans="2:16" x14ac:dyDescent="0.2">
      <c r="C16" s="59"/>
      <c r="D16" s="60"/>
      <c r="E16" s="61"/>
      <c r="P16" s="58"/>
    </row>
    <row r="17" spans="2:16" x14ac:dyDescent="0.2">
      <c r="C17" s="62"/>
      <c r="D17" s="63" t="s">
        <v>351</v>
      </c>
      <c r="E17" s="64"/>
      <c r="P17" s="58"/>
    </row>
    <row r="18" spans="2:16" x14ac:dyDescent="0.2">
      <c r="C18" s="65"/>
      <c r="D18" s="66"/>
      <c r="E18" s="67"/>
      <c r="P18" s="58"/>
    </row>
    <row r="19" spans="2:16" x14ac:dyDescent="0.2">
      <c r="D19" s="58"/>
    </row>
    <row r="20" spans="2:16" x14ac:dyDescent="0.2">
      <c r="D20" s="58"/>
    </row>
    <row r="21" spans="2:16" x14ac:dyDescent="0.2">
      <c r="C21" s="59"/>
      <c r="D21" s="60"/>
      <c r="E21" s="61"/>
      <c r="G21" s="59"/>
      <c r="H21" s="60"/>
      <c r="I21" s="61"/>
      <c r="K21" s="59"/>
      <c r="L21" s="60"/>
      <c r="M21" s="61"/>
    </row>
    <row r="22" spans="2:16" x14ac:dyDescent="0.2">
      <c r="C22" s="62"/>
      <c r="D22" s="63" t="s">
        <v>350</v>
      </c>
      <c r="E22" s="64"/>
      <c r="G22" s="62"/>
      <c r="H22" s="68" t="s">
        <v>349</v>
      </c>
      <c r="I22" s="64"/>
      <c r="K22" s="62"/>
      <c r="L22" s="69" t="s">
        <v>348</v>
      </c>
      <c r="M22" s="64"/>
    </row>
    <row r="23" spans="2:16" x14ac:dyDescent="0.2">
      <c r="C23" s="65"/>
      <c r="D23" s="66"/>
      <c r="E23" s="67"/>
      <c r="G23" s="65"/>
      <c r="H23" s="66"/>
      <c r="I23" s="67"/>
      <c r="K23" s="65"/>
      <c r="L23" s="66"/>
      <c r="M23" s="67"/>
    </row>
    <row r="26" spans="2:16" x14ac:dyDescent="0.2">
      <c r="C26" s="59"/>
      <c r="D26" s="60"/>
      <c r="E26" s="61"/>
    </row>
    <row r="27" spans="2:16" x14ac:dyDescent="0.2">
      <c r="C27" s="62"/>
      <c r="D27" s="63" t="s">
        <v>352</v>
      </c>
      <c r="E27" s="64"/>
    </row>
    <row r="28" spans="2:16" x14ac:dyDescent="0.2">
      <c r="C28" s="65"/>
      <c r="D28" s="66"/>
      <c r="E28" s="67"/>
    </row>
    <row r="32" spans="2:16" s="7" customFormat="1" x14ac:dyDescent="0.2">
      <c r="B32" s="7" t="s">
        <v>24</v>
      </c>
    </row>
    <row r="33" spans="2:7" x14ac:dyDescent="0.2">
      <c r="C33" s="8"/>
    </row>
    <row r="34" spans="2:7" x14ac:dyDescent="0.2">
      <c r="B34" s="22" t="s">
        <v>25</v>
      </c>
      <c r="C34" s="8"/>
      <c r="D34" s="22" t="s">
        <v>26</v>
      </c>
      <c r="F34" s="10"/>
    </row>
    <row r="35" spans="2:7" x14ac:dyDescent="0.2">
      <c r="C35" s="8"/>
    </row>
    <row r="36" spans="2:7" x14ac:dyDescent="0.2">
      <c r="B36" s="28">
        <v>123</v>
      </c>
      <c r="C36" s="8"/>
      <c r="D36" s="18" t="s">
        <v>27</v>
      </c>
    </row>
    <row r="37" spans="2:7" x14ac:dyDescent="0.2">
      <c r="B37" s="35">
        <f>B36</f>
        <v>123</v>
      </c>
      <c r="C37" s="8"/>
      <c r="D37" s="2" t="s">
        <v>28</v>
      </c>
    </row>
    <row r="38" spans="2:7" x14ac:dyDescent="0.2">
      <c r="B38" s="36">
        <f>B37+B36</f>
        <v>246</v>
      </c>
      <c r="C38" s="8"/>
      <c r="D38" s="2" t="s">
        <v>29</v>
      </c>
    </row>
    <row r="39" spans="2:7" x14ac:dyDescent="0.2">
      <c r="B39" s="24">
        <f>B37+B38</f>
        <v>369</v>
      </c>
      <c r="C39" s="8"/>
      <c r="D39" s="18" t="s">
        <v>30</v>
      </c>
      <c r="E39" s="10"/>
      <c r="F39" s="4"/>
    </row>
    <row r="40" spans="2:7" x14ac:dyDescent="0.2">
      <c r="B40" s="38"/>
      <c r="C40" s="8"/>
      <c r="D40" s="18" t="s">
        <v>31</v>
      </c>
      <c r="E40" s="10"/>
    </row>
    <row r="41" spans="2:7" x14ac:dyDescent="0.2">
      <c r="B41" s="8"/>
      <c r="C41" s="8"/>
    </row>
    <row r="42" spans="2:7" x14ac:dyDescent="0.2">
      <c r="B42" s="23" t="s">
        <v>32</v>
      </c>
      <c r="C42" s="8"/>
      <c r="E42" s="21"/>
    </row>
    <row r="43" spans="2:7" x14ac:dyDescent="0.2">
      <c r="B43" s="26">
        <f>B39+16</f>
        <v>385</v>
      </c>
      <c r="C43" s="8"/>
      <c r="D43" s="2" t="s">
        <v>33</v>
      </c>
    </row>
    <row r="44" spans="2:7" x14ac:dyDescent="0.2">
      <c r="B44" s="27">
        <f>B37*PI()</f>
        <v>386.41589639154455</v>
      </c>
      <c r="C44" s="11"/>
      <c r="D44" s="2" t="s">
        <v>34</v>
      </c>
    </row>
    <row r="45" spans="2:7" x14ac:dyDescent="0.2">
      <c r="B45" s="11"/>
      <c r="C45" s="11"/>
    </row>
    <row r="46" spans="2:7" x14ac:dyDescent="0.2">
      <c r="B46" s="23" t="s">
        <v>35</v>
      </c>
      <c r="C46" s="12"/>
    </row>
    <row r="47" spans="2:7" x14ac:dyDescent="0.2">
      <c r="B47" s="32">
        <v>123</v>
      </c>
      <c r="C47" s="12"/>
      <c r="D47" s="18" t="s">
        <v>36</v>
      </c>
      <c r="G47" s="10"/>
    </row>
    <row r="48" spans="2:7" x14ac:dyDescent="0.2">
      <c r="B48" s="29">
        <v>124</v>
      </c>
      <c r="C48" s="12"/>
      <c r="D48" s="18" t="s">
        <v>37</v>
      </c>
    </row>
    <row r="49" spans="2:4" x14ac:dyDescent="0.2">
      <c r="B49" s="30">
        <f>B47-B48</f>
        <v>-1</v>
      </c>
      <c r="C49" s="13"/>
      <c r="D49" s="2" t="s">
        <v>38</v>
      </c>
    </row>
    <row r="52" spans="2:4" x14ac:dyDescent="0.2">
      <c r="B52" s="22" t="s">
        <v>39</v>
      </c>
    </row>
    <row r="53" spans="2:4" x14ac:dyDescent="0.2">
      <c r="B53" s="1"/>
    </row>
    <row r="54" spans="2:4" x14ac:dyDescent="0.2">
      <c r="B54" s="23" t="s">
        <v>40</v>
      </c>
    </row>
    <row r="55" spans="2:4" x14ac:dyDescent="0.2">
      <c r="B55" s="24" t="s">
        <v>41</v>
      </c>
      <c r="C55" s="8"/>
      <c r="D55" s="18" t="s">
        <v>42</v>
      </c>
    </row>
    <row r="56" spans="2:4" x14ac:dyDescent="0.2">
      <c r="B56" s="28" t="s">
        <v>43</v>
      </c>
      <c r="C56" s="8"/>
      <c r="D56" s="18" t="s">
        <v>44</v>
      </c>
    </row>
    <row r="57" spans="2:4" x14ac:dyDescent="0.2">
      <c r="B57" s="36" t="s">
        <v>45</v>
      </c>
      <c r="C57" s="8"/>
      <c r="D57" s="18" t="s">
        <v>46</v>
      </c>
    </row>
    <row r="58" spans="2:4" x14ac:dyDescent="0.2">
      <c r="B58" s="27" t="s">
        <v>45</v>
      </c>
      <c r="C58" s="8"/>
      <c r="D58" s="18" t="s">
        <v>47</v>
      </c>
    </row>
    <row r="59" spans="2:4" x14ac:dyDescent="0.2">
      <c r="C59" s="8"/>
      <c r="D59" s="18"/>
    </row>
    <row r="60" spans="2:4" x14ac:dyDescent="0.2">
      <c r="B60" s="23" t="s">
        <v>48</v>
      </c>
      <c r="C60" s="8"/>
      <c r="D60" s="18"/>
    </row>
    <row r="61" spans="2:4" x14ac:dyDescent="0.2">
      <c r="B61" s="17" t="s">
        <v>49</v>
      </c>
      <c r="C61" s="8"/>
      <c r="D61" s="18" t="s">
        <v>50</v>
      </c>
    </row>
    <row r="62" spans="2:4" x14ac:dyDescent="0.2">
      <c r="B62" s="40" t="s">
        <v>51</v>
      </c>
      <c r="D62" s="18" t="s">
        <v>52</v>
      </c>
    </row>
    <row r="68" spans="2:2" x14ac:dyDescent="0.2">
      <c r="B68" s="23" t="s">
        <v>1</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G39"/>
  <sheetViews>
    <sheetView showGridLines="0" zoomScale="85" zoomScaleNormal="85" workbookViewId="0">
      <pane ySplit="3" topLeftCell="A4" activePane="bottomLeft" state="frozen"/>
      <selection activeCell="B6" sqref="B6"/>
      <selection pane="bottomLeft" activeCell="A4" sqref="A4"/>
    </sheetView>
  </sheetViews>
  <sheetFormatPr defaultRowHeight="12.75" x14ac:dyDescent="0.2"/>
  <cols>
    <col min="1" max="1" width="5.7109375" style="2" customWidth="1"/>
    <col min="2" max="2" width="7.5703125" style="2" customWidth="1"/>
    <col min="3" max="3" width="35.140625" style="2" customWidth="1"/>
    <col min="4" max="5" width="36.28515625" style="2" customWidth="1"/>
    <col min="6" max="6" width="40.7109375" style="2" customWidth="1"/>
    <col min="7" max="7" width="49.7109375" style="2" customWidth="1"/>
    <col min="8" max="8" width="5.7109375" style="2" customWidth="1"/>
    <col min="9" max="16384" width="9.140625" style="2"/>
  </cols>
  <sheetData>
    <row r="2" spans="2:7" s="6" customFormat="1" ht="18" x14ac:dyDescent="0.2">
      <c r="B2" s="6" t="s">
        <v>53</v>
      </c>
    </row>
    <row r="5" spans="2:7" s="7" customFormat="1" x14ac:dyDescent="0.2">
      <c r="B5" s="7" t="s">
        <v>54</v>
      </c>
    </row>
    <row r="7" spans="2:7" x14ac:dyDescent="0.2">
      <c r="B7" s="23" t="s">
        <v>55</v>
      </c>
    </row>
    <row r="8" spans="2:7" x14ac:dyDescent="0.2">
      <c r="B8" s="23" t="s">
        <v>56</v>
      </c>
    </row>
    <row r="10" spans="2:7" x14ac:dyDescent="0.2">
      <c r="B10" s="16" t="s">
        <v>57</v>
      </c>
      <c r="C10" s="16" t="s">
        <v>58</v>
      </c>
      <c r="D10" s="16" t="s">
        <v>59</v>
      </c>
      <c r="E10" s="16" t="s">
        <v>60</v>
      </c>
      <c r="F10" s="16" t="s">
        <v>61</v>
      </c>
      <c r="G10" s="16" t="s">
        <v>2</v>
      </c>
    </row>
    <row r="11" spans="2:7" x14ac:dyDescent="0.2">
      <c r="B11" s="19"/>
      <c r="C11" s="19" t="s">
        <v>62</v>
      </c>
      <c r="D11" s="19" t="s">
        <v>63</v>
      </c>
      <c r="E11" s="19" t="s">
        <v>64</v>
      </c>
      <c r="F11" s="19" t="s">
        <v>65</v>
      </c>
      <c r="G11" s="19"/>
    </row>
    <row r="12" spans="2:7" x14ac:dyDescent="0.2">
      <c r="B12" s="20">
        <v>1</v>
      </c>
      <c r="C12" s="5" t="s">
        <v>378</v>
      </c>
      <c r="D12" s="5" t="s">
        <v>379</v>
      </c>
      <c r="E12" s="5"/>
      <c r="F12" s="5"/>
      <c r="G12" s="5"/>
    </row>
    <row r="13" spans="2:7" x14ac:dyDescent="0.2">
      <c r="B13" s="5">
        <v>2</v>
      </c>
      <c r="C13" s="5" t="s">
        <v>260</v>
      </c>
      <c r="D13" s="5" t="s">
        <v>303</v>
      </c>
      <c r="E13" s="5"/>
      <c r="F13" s="33" t="s">
        <v>300</v>
      </c>
      <c r="G13" s="5"/>
    </row>
    <row r="14" spans="2:7" x14ac:dyDescent="0.2">
      <c r="B14" s="5">
        <v>3</v>
      </c>
      <c r="C14" s="5" t="s">
        <v>301</v>
      </c>
      <c r="D14" s="5" t="s">
        <v>304</v>
      </c>
      <c r="E14" s="5"/>
      <c r="F14" s="33" t="s">
        <v>302</v>
      </c>
      <c r="G14" s="5"/>
    </row>
    <row r="15" spans="2:7" x14ac:dyDescent="0.2">
      <c r="B15" s="5">
        <v>4</v>
      </c>
      <c r="C15" s="5" t="s">
        <v>268</v>
      </c>
      <c r="D15" s="5" t="s">
        <v>261</v>
      </c>
      <c r="E15" s="5"/>
      <c r="F15" s="33" t="s">
        <v>259</v>
      </c>
      <c r="G15" s="5"/>
    </row>
    <row r="16" spans="2:7" x14ac:dyDescent="0.2">
      <c r="B16" s="5">
        <v>5</v>
      </c>
      <c r="C16" s="5" t="s">
        <v>426</v>
      </c>
      <c r="D16" s="5" t="s">
        <v>280</v>
      </c>
      <c r="E16" s="5"/>
      <c r="F16" s="33" t="s">
        <v>425</v>
      </c>
      <c r="G16" s="5"/>
    </row>
    <row r="17" spans="2:7" x14ac:dyDescent="0.2">
      <c r="B17" s="5">
        <v>6</v>
      </c>
      <c r="C17" s="5" t="s">
        <v>427</v>
      </c>
      <c r="D17" s="5"/>
      <c r="E17" s="5"/>
      <c r="F17" s="33" t="s">
        <v>428</v>
      </c>
      <c r="G17" s="5"/>
    </row>
    <row r="18" spans="2:7" x14ac:dyDescent="0.2">
      <c r="B18" s="5">
        <v>7</v>
      </c>
      <c r="C18" s="5" t="s">
        <v>407</v>
      </c>
      <c r="D18" s="5"/>
      <c r="E18" s="5"/>
      <c r="F18" s="33" t="s">
        <v>421</v>
      </c>
      <c r="G18" s="5"/>
    </row>
    <row r="19" spans="2:7" x14ac:dyDescent="0.2">
      <c r="B19" s="5">
        <v>8</v>
      </c>
      <c r="C19" s="5" t="s">
        <v>408</v>
      </c>
      <c r="D19" s="5"/>
      <c r="E19" s="5"/>
      <c r="F19" s="33" t="s">
        <v>256</v>
      </c>
      <c r="G19" s="5"/>
    </row>
    <row r="20" spans="2:7" x14ac:dyDescent="0.2">
      <c r="B20" s="5">
        <v>9</v>
      </c>
      <c r="C20" s="5" t="s">
        <v>390</v>
      </c>
      <c r="D20" s="5"/>
      <c r="E20" s="5"/>
      <c r="F20" s="33" t="s">
        <v>248</v>
      </c>
      <c r="G20" s="5"/>
    </row>
    <row r="21" spans="2:7" x14ac:dyDescent="0.2">
      <c r="B21" s="5">
        <v>10</v>
      </c>
      <c r="C21" s="5" t="s">
        <v>392</v>
      </c>
      <c r="D21" s="5"/>
      <c r="E21" s="5"/>
      <c r="F21" s="33" t="s">
        <v>246</v>
      </c>
      <c r="G21" s="5"/>
    </row>
    <row r="22" spans="2:7" x14ac:dyDescent="0.2">
      <c r="B22" s="5">
        <v>11</v>
      </c>
      <c r="C22" s="5" t="s">
        <v>391</v>
      </c>
      <c r="D22" s="5"/>
      <c r="E22" s="5"/>
      <c r="F22" s="72" t="s">
        <v>422</v>
      </c>
      <c r="G22" s="5"/>
    </row>
    <row r="23" spans="2:7" x14ac:dyDescent="0.2">
      <c r="B23" s="5">
        <v>12</v>
      </c>
      <c r="C23" s="5" t="s">
        <v>423</v>
      </c>
      <c r="D23" s="5"/>
      <c r="E23" s="5"/>
      <c r="F23" s="33" t="s">
        <v>247</v>
      </c>
      <c r="G23" s="5"/>
    </row>
    <row r="24" spans="2:7" x14ac:dyDescent="0.2">
      <c r="B24" s="5">
        <v>13</v>
      </c>
      <c r="C24" s="5" t="s">
        <v>424</v>
      </c>
      <c r="D24" s="5"/>
      <c r="E24" s="5"/>
      <c r="F24" s="72" t="s">
        <v>429</v>
      </c>
      <c r="G24" s="5"/>
    </row>
    <row r="25" spans="2:7" x14ac:dyDescent="0.2">
      <c r="B25" s="5">
        <v>14</v>
      </c>
      <c r="C25" s="5" t="s">
        <v>406</v>
      </c>
      <c r="D25" s="5"/>
      <c r="E25" s="5"/>
      <c r="F25" s="5"/>
      <c r="G25" s="5"/>
    </row>
    <row r="26" spans="2:7" x14ac:dyDescent="0.2">
      <c r="B26" s="5">
        <v>15</v>
      </c>
      <c r="C26" s="5" t="s">
        <v>420</v>
      </c>
      <c r="D26" s="5"/>
      <c r="E26" s="5"/>
      <c r="F26" s="5"/>
      <c r="G26" s="5"/>
    </row>
    <row r="27" spans="2:7" x14ac:dyDescent="0.2">
      <c r="B27" s="5">
        <v>16</v>
      </c>
      <c r="C27" s="5" t="s">
        <v>409</v>
      </c>
      <c r="D27" s="5"/>
      <c r="E27" s="5"/>
      <c r="F27" s="5"/>
      <c r="G27" s="5"/>
    </row>
    <row r="30" spans="2:7" s="7" customFormat="1" x14ac:dyDescent="0.2">
      <c r="B30" s="7" t="s">
        <v>66</v>
      </c>
    </row>
    <row r="32" spans="2:7" x14ac:dyDescent="0.2">
      <c r="B32" s="23" t="s">
        <v>67</v>
      </c>
    </row>
    <row r="33" spans="2:2" x14ac:dyDescent="0.2">
      <c r="B33" s="23" t="s">
        <v>68</v>
      </c>
    </row>
    <row r="39" spans="2:2" x14ac:dyDescent="0.2">
      <c r="B39" s="23" t="s">
        <v>1</v>
      </c>
    </row>
  </sheetData>
  <phoneticPr fontId="29" type="noConversion"/>
  <hyperlinks>
    <hyperlink ref="F15" r:id="rId1" display="https://www.acm.nl/nl/publicaties/publicatie/16291/Gewijzigde-PV-berekening-2004-2006-regionale-netbeheerders-elektriciteit-2014-2016" xr:uid="{78EFEE62-DEA0-439F-9CC8-4520E8C02568}"/>
    <hyperlink ref="F18" r:id="rId2" xr:uid="{D19D6D79-8B42-4855-9D3B-A2A2185B8BAF}"/>
    <hyperlink ref="F22" r:id="rId3" xr:uid="{59F5D705-FE0D-44ED-92EC-14CD98F3CA3E}"/>
    <hyperlink ref="F16" r:id="rId4" xr:uid="{7C7D0BCD-9F74-4A7A-9F38-4E55BDD27F77}"/>
    <hyperlink ref="F17" r:id="rId5" xr:uid="{1DE8AEAD-CA47-4722-A726-96411FAB002A}"/>
    <hyperlink ref="F24" r:id="rId6" xr:uid="{DBD07741-F7AF-4845-978E-F409E4718906}"/>
    <hyperlink ref="F23" r:id="rId7" xr:uid="{54F07BF4-1CC5-4140-9F59-1B1DF3E6ABA1}"/>
  </hyperlinks>
  <pageMargins left="0.75" right="0.75" top="1" bottom="1" header="0.5" footer="0.5"/>
  <pageSetup paperSize="9" orientation="portrait" r:id="rId8"/>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7A981-C721-44C5-A0A9-8620DDFDF5E9}">
  <sheetPr>
    <tabColor rgb="FFCCFFFF"/>
  </sheetPr>
  <dimension ref="B2:AB172"/>
  <sheetViews>
    <sheetView showGridLines="0" zoomScale="85" zoomScaleNormal="85" workbookViewId="0">
      <pane xSplit="6" ySplit="10" topLeftCell="G11" activePane="bottomRight" state="frozen"/>
      <selection activeCell="B6" sqref="B6"/>
      <selection pane="topRight" activeCell="B6" sqref="B6"/>
      <selection pane="bottomLeft" activeCell="B6" sqref="B6"/>
      <selection pane="bottomRight" activeCell="G11" sqref="G11"/>
    </sheetView>
  </sheetViews>
  <sheetFormatPr defaultRowHeight="12.75" x14ac:dyDescent="0.2"/>
  <cols>
    <col min="1" max="1" width="5.7109375" style="2" customWidth="1"/>
    <col min="2" max="2" width="41.42578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8" width="14" style="2" customWidth="1"/>
    <col min="29" max="40" width="13.7109375" style="2" customWidth="1"/>
    <col min="41" max="16384" width="9.140625" style="2"/>
  </cols>
  <sheetData>
    <row r="2" spans="2:28" s="14" customFormat="1" ht="18" x14ac:dyDescent="0.2">
      <c r="B2" s="14" t="s">
        <v>338</v>
      </c>
    </row>
    <row r="4" spans="2:28" x14ac:dyDescent="0.2">
      <c r="B4" s="22" t="s">
        <v>86</v>
      </c>
      <c r="C4" s="1"/>
      <c r="D4" s="1"/>
    </row>
    <row r="5" spans="2:28" x14ac:dyDescent="0.2">
      <c r="B5" s="2" t="s">
        <v>364</v>
      </c>
      <c r="C5" s="18"/>
      <c r="D5" s="18"/>
      <c r="H5" s="15"/>
    </row>
    <row r="6" spans="2:28" x14ac:dyDescent="0.2">
      <c r="B6" s="18"/>
      <c r="C6" s="18"/>
      <c r="D6" s="18"/>
      <c r="H6" s="15"/>
    </row>
    <row r="7" spans="2:28" x14ac:dyDescent="0.2">
      <c r="B7" s="3"/>
      <c r="C7" s="18"/>
      <c r="D7" s="18"/>
    </row>
    <row r="9" spans="2:28" s="7" customFormat="1" x14ac:dyDescent="0.2">
      <c r="B9" s="7" t="s">
        <v>70</v>
      </c>
      <c r="F9" s="7" t="s">
        <v>71</v>
      </c>
      <c r="H9" s="7" t="s">
        <v>72</v>
      </c>
      <c r="J9" s="7" t="s">
        <v>73</v>
      </c>
      <c r="L9" s="7" t="s">
        <v>127</v>
      </c>
      <c r="M9" s="7" t="s">
        <v>128</v>
      </c>
      <c r="N9" s="7" t="s">
        <v>129</v>
      </c>
      <c r="O9" s="7" t="s">
        <v>130</v>
      </c>
      <c r="P9" s="7" t="s">
        <v>131</v>
      </c>
      <c r="Q9" s="7" t="s">
        <v>132</v>
      </c>
      <c r="R9" s="7" t="s">
        <v>133</v>
      </c>
      <c r="S9" s="7" t="s">
        <v>134</v>
      </c>
      <c r="T9" s="7" t="s">
        <v>135</v>
      </c>
      <c r="U9" s="7" t="s">
        <v>136</v>
      </c>
      <c r="V9" s="7" t="s">
        <v>137</v>
      </c>
      <c r="W9" s="7" t="s">
        <v>138</v>
      </c>
      <c r="X9" s="7" t="s">
        <v>139</v>
      </c>
      <c r="Y9" s="7" t="s">
        <v>140</v>
      </c>
      <c r="Z9" s="7" t="s">
        <v>141</v>
      </c>
      <c r="AA9" s="7" t="s">
        <v>142</v>
      </c>
      <c r="AB9" s="7" t="s">
        <v>328</v>
      </c>
    </row>
    <row r="12" spans="2:28" s="7" customFormat="1" x14ac:dyDescent="0.2">
      <c r="B12" s="7" t="s">
        <v>87</v>
      </c>
    </row>
    <row r="14" spans="2:28" x14ac:dyDescent="0.2">
      <c r="B14" s="2" t="s">
        <v>90</v>
      </c>
      <c r="F14" s="2" t="s">
        <v>209</v>
      </c>
      <c r="H14" s="41">
        <f>'2) Parameters'!H16</f>
        <v>2.1000000000000001E-2</v>
      </c>
    </row>
    <row r="15" spans="2:28" x14ac:dyDescent="0.2">
      <c r="B15" s="2" t="s">
        <v>91</v>
      </c>
      <c r="F15" s="2" t="s">
        <v>209</v>
      </c>
      <c r="H15" s="41">
        <f>'2) Parameters'!H17</f>
        <v>1.0999999999999999E-2</v>
      </c>
    </row>
    <row r="16" spans="2:28" x14ac:dyDescent="0.2">
      <c r="B16" s="2" t="s">
        <v>92</v>
      </c>
      <c r="F16" s="2" t="s">
        <v>209</v>
      </c>
      <c r="H16" s="41">
        <f>'2) Parameters'!H18</f>
        <v>1.7999999999999999E-2</v>
      </c>
    </row>
    <row r="17" spans="2:28" x14ac:dyDescent="0.2">
      <c r="B17" s="2" t="s">
        <v>93</v>
      </c>
      <c r="F17" s="2" t="s">
        <v>209</v>
      </c>
      <c r="H17" s="41">
        <f>'2) Parameters'!H19</f>
        <v>1.4E-2</v>
      </c>
    </row>
    <row r="18" spans="2:28" x14ac:dyDescent="0.2">
      <c r="B18" s="2" t="s">
        <v>94</v>
      </c>
      <c r="F18" s="2" t="s">
        <v>209</v>
      </c>
      <c r="H18" s="41">
        <f>'2) Parameters'!H20</f>
        <v>1.0999999999999999E-2</v>
      </c>
    </row>
    <row r="19" spans="2:28" x14ac:dyDescent="0.2">
      <c r="B19" s="2" t="s">
        <v>95</v>
      </c>
      <c r="F19" s="2" t="s">
        <v>209</v>
      </c>
      <c r="H19" s="41">
        <f>'2) Parameters'!H21</f>
        <v>3.2000000000000001E-2</v>
      </c>
    </row>
    <row r="20" spans="2:28" x14ac:dyDescent="0.2">
      <c r="B20" s="2" t="s">
        <v>96</v>
      </c>
      <c r="F20" s="2" t="s">
        <v>209</v>
      </c>
      <c r="H20" s="41">
        <f>'2) Parameters'!H22</f>
        <v>3.0000000000000001E-3</v>
      </c>
    </row>
    <row r="21" spans="2:28" x14ac:dyDescent="0.2">
      <c r="B21" s="2" t="s">
        <v>97</v>
      </c>
      <c r="F21" s="2" t="s">
        <v>209</v>
      </c>
      <c r="H21" s="41">
        <f>'2) Parameters'!H23</f>
        <v>1.4999999999999999E-2</v>
      </c>
    </row>
    <row r="22" spans="2:28" x14ac:dyDescent="0.2">
      <c r="B22" s="2" t="s">
        <v>98</v>
      </c>
      <c r="F22" s="2" t="s">
        <v>209</v>
      </c>
      <c r="H22" s="41">
        <f>'2) Parameters'!H24</f>
        <v>2.5999999999999999E-2</v>
      </c>
    </row>
    <row r="23" spans="2:28" x14ac:dyDescent="0.2">
      <c r="B23" s="2" t="s">
        <v>99</v>
      </c>
      <c r="F23" s="2" t="s">
        <v>209</v>
      </c>
      <c r="H23" s="41">
        <f>'2) Parameters'!H25</f>
        <v>2.3E-2</v>
      </c>
    </row>
    <row r="24" spans="2:28" x14ac:dyDescent="0.2">
      <c r="B24" s="2" t="s">
        <v>100</v>
      </c>
      <c r="F24" s="2" t="s">
        <v>209</v>
      </c>
      <c r="H24" s="41">
        <f>'2) Parameters'!H26</f>
        <v>2.8000000000000001E-2</v>
      </c>
    </row>
    <row r="25" spans="2:28" x14ac:dyDescent="0.2">
      <c r="B25" s="2" t="s">
        <v>101</v>
      </c>
      <c r="F25" s="2" t="s">
        <v>209</v>
      </c>
      <c r="H25" s="41">
        <f>'2) Parameters'!H27</f>
        <v>0.01</v>
      </c>
    </row>
    <row r="26" spans="2:28" x14ac:dyDescent="0.2">
      <c r="B26" s="2" t="s">
        <v>102</v>
      </c>
      <c r="F26" s="2" t="s">
        <v>209</v>
      </c>
      <c r="H26" s="41">
        <f>'2) Parameters'!H28</f>
        <v>8.0000000000000002E-3</v>
      </c>
    </row>
    <row r="27" spans="2:28" x14ac:dyDescent="0.2">
      <c r="B27" s="2" t="s">
        <v>103</v>
      </c>
      <c r="F27" s="2" t="s">
        <v>209</v>
      </c>
      <c r="H27" s="41">
        <f>'2) Parameters'!H29</f>
        <v>2E-3</v>
      </c>
    </row>
    <row r="28" spans="2:28" x14ac:dyDescent="0.2">
      <c r="B28" s="2" t="s">
        <v>104</v>
      </c>
      <c r="F28" s="2" t="s">
        <v>209</v>
      </c>
      <c r="H28" s="41">
        <f>'2) Parameters'!H30</f>
        <v>1.4E-2</v>
      </c>
    </row>
    <row r="29" spans="2:28" x14ac:dyDescent="0.2">
      <c r="B29" s="2" t="s">
        <v>105</v>
      </c>
      <c r="F29" s="2" t="s">
        <v>209</v>
      </c>
      <c r="H29" s="41">
        <f>'2) Parameters'!H31</f>
        <v>2.1000000000000001E-2</v>
      </c>
    </row>
    <row r="30" spans="2:28" x14ac:dyDescent="0.2">
      <c r="B30" s="2" t="s">
        <v>337</v>
      </c>
      <c r="F30" s="2" t="s">
        <v>209</v>
      </c>
      <c r="H30" s="41">
        <f>'2) Parameters'!H32</f>
        <v>2.8000000000000001E-2</v>
      </c>
    </row>
    <row r="32" spans="2:28" x14ac:dyDescent="0.2">
      <c r="B32" s="2" t="s">
        <v>177</v>
      </c>
      <c r="F32" s="2" t="s">
        <v>207</v>
      </c>
      <c r="L32" s="35">
        <f>'4) Overige data'!L23</f>
        <v>1026699413.5296733</v>
      </c>
      <c r="M32" s="35">
        <f>'4) Overige data'!M23</f>
        <v>996720724.72000003</v>
      </c>
      <c r="N32" s="38"/>
      <c r="O32" s="38"/>
      <c r="P32" s="38"/>
      <c r="Q32" s="38"/>
      <c r="R32" s="38"/>
      <c r="S32" s="38"/>
      <c r="T32" s="38"/>
      <c r="U32" s="38"/>
      <c r="V32" s="38"/>
      <c r="W32" s="38"/>
      <c r="X32" s="38"/>
      <c r="Y32" s="38"/>
      <c r="Z32" s="38"/>
      <c r="AA32" s="38"/>
      <c r="AB32" s="38"/>
    </row>
    <row r="33" spans="2:28" x14ac:dyDescent="0.2">
      <c r="B33" s="2" t="s">
        <v>178</v>
      </c>
      <c r="F33" s="2" t="s">
        <v>207</v>
      </c>
      <c r="L33" s="38"/>
      <c r="M33" s="35">
        <f>'4) Overige data'!M24</f>
        <v>996720724.72000003</v>
      </c>
      <c r="N33" s="35">
        <f>'4) Overige data'!N24</f>
        <v>1035580710.8543341</v>
      </c>
      <c r="O33" s="38"/>
      <c r="P33" s="38"/>
      <c r="Q33" s="38"/>
      <c r="R33" s="38"/>
      <c r="S33" s="38"/>
      <c r="T33" s="38"/>
      <c r="U33" s="38"/>
      <c r="V33" s="38"/>
      <c r="W33" s="38"/>
      <c r="X33" s="38"/>
      <c r="Y33" s="38"/>
      <c r="Z33" s="38"/>
      <c r="AA33" s="38"/>
      <c r="AB33" s="38"/>
    </row>
    <row r="34" spans="2:28" x14ac:dyDescent="0.2">
      <c r="B34" s="2" t="s">
        <v>179</v>
      </c>
      <c r="F34" s="2" t="s">
        <v>207</v>
      </c>
      <c r="L34" s="38"/>
      <c r="M34" s="38"/>
      <c r="N34" s="35">
        <f>'4) Overige data'!N25</f>
        <v>967047393.71278584</v>
      </c>
      <c r="O34" s="35">
        <f>'4) Overige data'!O25</f>
        <v>1008575372.5457028</v>
      </c>
      <c r="P34" s="38"/>
      <c r="Q34" s="38"/>
      <c r="R34" s="38"/>
      <c r="S34" s="38"/>
      <c r="T34" s="38"/>
      <c r="U34" s="38"/>
      <c r="V34" s="38"/>
      <c r="W34" s="38"/>
      <c r="X34" s="38"/>
      <c r="Y34" s="38"/>
      <c r="Z34" s="38"/>
      <c r="AA34" s="38"/>
      <c r="AB34" s="38"/>
    </row>
    <row r="35" spans="2:28" x14ac:dyDescent="0.2">
      <c r="B35" s="2" t="s">
        <v>180</v>
      </c>
      <c r="F35" s="2" t="s">
        <v>207</v>
      </c>
      <c r="L35" s="38"/>
      <c r="M35" s="38"/>
      <c r="N35" s="38"/>
      <c r="O35" s="35">
        <f>'4) Overige data'!O26</f>
        <v>979293018.78538942</v>
      </c>
      <c r="P35" s="35">
        <f>'4) Overige data'!P26</f>
        <v>1108911910.760433</v>
      </c>
      <c r="Q35" s="38"/>
      <c r="R35" s="38"/>
      <c r="S35" s="38"/>
      <c r="T35" s="38"/>
      <c r="U35" s="38"/>
      <c r="V35" s="38"/>
      <c r="W35" s="38"/>
      <c r="X35" s="38"/>
      <c r="Y35" s="38"/>
      <c r="Z35" s="38"/>
      <c r="AA35" s="38"/>
      <c r="AB35" s="38"/>
    </row>
    <row r="36" spans="2:28" x14ac:dyDescent="0.2">
      <c r="B36" s="2" t="s">
        <v>181</v>
      </c>
      <c r="F36" s="2" t="s">
        <v>207</v>
      </c>
      <c r="L36" s="38"/>
      <c r="M36" s="38"/>
      <c r="N36" s="38"/>
      <c r="O36" s="38"/>
      <c r="P36" s="35">
        <f>'4) Overige data'!P27</f>
        <v>1007289335.2485626</v>
      </c>
      <c r="Q36" s="35">
        <f>'4) Overige data'!Q27</f>
        <v>1102388348.5028844</v>
      </c>
      <c r="R36" s="38"/>
      <c r="S36" s="38"/>
      <c r="T36" s="38"/>
      <c r="U36" s="38"/>
      <c r="V36" s="38"/>
      <c r="W36" s="38"/>
      <c r="X36" s="38"/>
      <c r="Y36" s="38"/>
      <c r="Z36" s="38"/>
      <c r="AA36" s="38"/>
      <c r="AB36" s="38"/>
    </row>
    <row r="37" spans="2:28" x14ac:dyDescent="0.2">
      <c r="B37" s="2" t="s">
        <v>182</v>
      </c>
      <c r="F37" s="2" t="s">
        <v>207</v>
      </c>
      <c r="L37" s="38"/>
      <c r="M37" s="38"/>
      <c r="N37" s="38"/>
      <c r="O37" s="38"/>
      <c r="P37" s="38"/>
      <c r="Q37" s="35">
        <f>'4) Overige data'!Q28</f>
        <v>1106197821.241219</v>
      </c>
      <c r="R37" s="35">
        <f>'4) Overige data'!R28</f>
        <v>986667889.14870226</v>
      </c>
      <c r="S37" s="38"/>
      <c r="T37" s="38"/>
      <c r="U37" s="38"/>
      <c r="V37" s="38"/>
      <c r="W37" s="38"/>
      <c r="X37" s="38"/>
      <c r="Y37" s="38"/>
      <c r="Z37" s="38"/>
      <c r="AA37" s="38"/>
      <c r="AB37" s="38"/>
    </row>
    <row r="38" spans="2:28" x14ac:dyDescent="0.2">
      <c r="B38" s="2" t="s">
        <v>183</v>
      </c>
      <c r="F38" s="2" t="s">
        <v>207</v>
      </c>
      <c r="L38" s="38"/>
      <c r="M38" s="38"/>
      <c r="N38" s="38"/>
      <c r="O38" s="38"/>
      <c r="P38" s="38"/>
      <c r="Q38" s="38"/>
      <c r="R38" s="35">
        <f>'4) Overige data'!R29</f>
        <v>986667889.14870226</v>
      </c>
      <c r="S38" s="35">
        <f>'4) Overige data'!S29</f>
        <v>994621293.40497577</v>
      </c>
      <c r="T38" s="38"/>
      <c r="U38" s="38"/>
      <c r="V38" s="38"/>
      <c r="W38" s="38"/>
      <c r="X38" s="38"/>
      <c r="Y38" s="38"/>
      <c r="Z38" s="38"/>
      <c r="AA38" s="38"/>
      <c r="AB38" s="38"/>
    </row>
    <row r="39" spans="2:28" x14ac:dyDescent="0.2">
      <c r="B39" s="2" t="s">
        <v>184</v>
      </c>
      <c r="F39" s="2" t="s">
        <v>207</v>
      </c>
      <c r="L39" s="38"/>
      <c r="M39" s="38"/>
      <c r="N39" s="38"/>
      <c r="O39" s="38"/>
      <c r="P39" s="38"/>
      <c r="Q39" s="38"/>
      <c r="R39" s="38"/>
      <c r="S39" s="35">
        <f>'4) Overige data'!S30</f>
        <v>994621293.40497577</v>
      </c>
      <c r="T39" s="35">
        <f>'4) Overige data'!T30</f>
        <v>1057530791.7916498</v>
      </c>
      <c r="U39" s="38"/>
      <c r="V39" s="38"/>
      <c r="W39" s="38"/>
      <c r="X39" s="38"/>
      <c r="Y39" s="38"/>
      <c r="Z39" s="38"/>
      <c r="AA39" s="38"/>
      <c r="AB39" s="38"/>
    </row>
    <row r="40" spans="2:28" x14ac:dyDescent="0.2">
      <c r="B40" s="2" t="s">
        <v>185</v>
      </c>
      <c r="F40" s="2" t="s">
        <v>207</v>
      </c>
      <c r="L40" s="38"/>
      <c r="M40" s="38"/>
      <c r="N40" s="38"/>
      <c r="O40" s="38"/>
      <c r="P40" s="38"/>
      <c r="Q40" s="38"/>
      <c r="R40" s="38"/>
      <c r="S40" s="38"/>
      <c r="T40" s="35">
        <f>'4) Overige data'!T31</f>
        <v>1057381092.3412584</v>
      </c>
      <c r="U40" s="35">
        <f>'4) Overige data'!U31</f>
        <v>1041876188.0245111</v>
      </c>
      <c r="V40" s="38"/>
      <c r="W40" s="38"/>
      <c r="X40" s="38"/>
      <c r="Y40" s="38"/>
      <c r="Z40" s="38"/>
      <c r="AA40" s="38"/>
      <c r="AB40" s="38"/>
    </row>
    <row r="41" spans="2:28" x14ac:dyDescent="0.2">
      <c r="B41" s="2" t="s">
        <v>186</v>
      </c>
      <c r="F41" s="2" t="s">
        <v>207</v>
      </c>
      <c r="L41" s="38"/>
      <c r="M41" s="38"/>
      <c r="N41" s="38"/>
      <c r="O41" s="38"/>
      <c r="P41" s="38"/>
      <c r="Q41" s="38"/>
      <c r="R41" s="38"/>
      <c r="S41" s="38"/>
      <c r="T41" s="38"/>
      <c r="U41" s="35">
        <f>'4) Overige data'!U32</f>
        <v>1041876188.0245111</v>
      </c>
      <c r="V41" s="35">
        <f>'4) Overige data'!V32</f>
        <v>993126645.51743424</v>
      </c>
      <c r="W41" s="38"/>
      <c r="X41" s="38"/>
      <c r="Y41" s="38"/>
      <c r="Z41" s="38"/>
      <c r="AA41" s="38"/>
      <c r="AB41" s="38"/>
    </row>
    <row r="42" spans="2:28" x14ac:dyDescent="0.2">
      <c r="B42" s="2" t="s">
        <v>187</v>
      </c>
      <c r="F42" s="2" t="s">
        <v>207</v>
      </c>
      <c r="L42" s="38"/>
      <c r="M42" s="38"/>
      <c r="N42" s="38"/>
      <c r="O42" s="38"/>
      <c r="P42" s="38"/>
      <c r="Q42" s="38"/>
      <c r="R42" s="38"/>
      <c r="S42" s="38"/>
      <c r="T42" s="38"/>
      <c r="U42" s="38"/>
      <c r="V42" s="35">
        <f>'4) Overige data'!V33</f>
        <v>985411720.43456352</v>
      </c>
      <c r="W42" s="35">
        <f>'4) Overige data'!W33</f>
        <v>971525040.26440775</v>
      </c>
      <c r="X42" s="38"/>
      <c r="Y42" s="38"/>
      <c r="Z42" s="38"/>
      <c r="AA42" s="38"/>
      <c r="AB42" s="38"/>
    </row>
    <row r="43" spans="2:28" x14ac:dyDescent="0.2">
      <c r="B43" s="2" t="s">
        <v>188</v>
      </c>
      <c r="F43" s="2" t="s">
        <v>207</v>
      </c>
      <c r="L43" s="38"/>
      <c r="M43" s="38"/>
      <c r="N43" s="38"/>
      <c r="O43" s="38"/>
      <c r="P43" s="38"/>
      <c r="Q43" s="38"/>
      <c r="R43" s="38"/>
      <c r="S43" s="38"/>
      <c r="T43" s="38"/>
      <c r="U43" s="38"/>
      <c r="V43" s="38"/>
      <c r="W43" s="35">
        <f>'4) Overige data'!W34</f>
        <v>973124864.26440775</v>
      </c>
      <c r="X43" s="35">
        <f>'4) Overige data'!X34</f>
        <v>911305549.99349415</v>
      </c>
      <c r="Y43" s="38"/>
      <c r="Z43" s="38"/>
      <c r="AA43" s="38"/>
      <c r="AB43" s="38"/>
    </row>
    <row r="44" spans="2:28" x14ac:dyDescent="0.2">
      <c r="B44" s="2" t="s">
        <v>189</v>
      </c>
      <c r="F44" s="2" t="s">
        <v>207</v>
      </c>
      <c r="L44" s="38"/>
      <c r="M44" s="38"/>
      <c r="N44" s="38"/>
      <c r="O44" s="38"/>
      <c r="P44" s="38"/>
      <c r="Q44" s="38"/>
      <c r="R44" s="38"/>
      <c r="S44" s="38"/>
      <c r="T44" s="38"/>
      <c r="U44" s="38"/>
      <c r="V44" s="38"/>
      <c r="W44" s="38"/>
      <c r="X44" s="35">
        <f>'4) Overige data'!X35</f>
        <v>911305549.99349415</v>
      </c>
      <c r="Y44" s="35">
        <f>'4) Overige data'!Y35</f>
        <v>963234682.88586998</v>
      </c>
      <c r="Z44" s="38"/>
      <c r="AA44" s="38"/>
      <c r="AB44" s="38"/>
    </row>
    <row r="45" spans="2:28" x14ac:dyDescent="0.2">
      <c r="B45" s="2" t="s">
        <v>190</v>
      </c>
      <c r="F45" s="2" t="s">
        <v>207</v>
      </c>
      <c r="L45" s="38"/>
      <c r="M45" s="38"/>
      <c r="N45" s="38"/>
      <c r="O45" s="38"/>
      <c r="P45" s="38"/>
      <c r="Q45" s="38"/>
      <c r="R45" s="38"/>
      <c r="S45" s="38"/>
      <c r="T45" s="38"/>
      <c r="U45" s="38"/>
      <c r="V45" s="38"/>
      <c r="W45" s="38"/>
      <c r="X45" s="38"/>
      <c r="Y45" s="35">
        <f>'4) Overige data'!Y36</f>
        <v>963234682.88586998</v>
      </c>
      <c r="Z45" s="35">
        <f>'4) Overige data'!Z36</f>
        <v>1009971433.9997885</v>
      </c>
      <c r="AA45" s="38"/>
      <c r="AB45" s="38"/>
    </row>
    <row r="46" spans="2:28" x14ac:dyDescent="0.2">
      <c r="B46" s="2" t="s">
        <v>191</v>
      </c>
      <c r="F46" s="2" t="s">
        <v>207</v>
      </c>
      <c r="L46" s="38"/>
      <c r="M46" s="38"/>
      <c r="N46" s="38"/>
      <c r="O46" s="38"/>
      <c r="P46" s="38"/>
      <c r="Q46" s="38"/>
      <c r="R46" s="38"/>
      <c r="S46" s="38"/>
      <c r="T46" s="38"/>
      <c r="U46" s="38"/>
      <c r="V46" s="38"/>
      <c r="W46" s="38"/>
      <c r="X46" s="38"/>
      <c r="Y46" s="38"/>
      <c r="Z46" s="35">
        <f>'4) Overige data'!Z37</f>
        <v>1009971433.9997885</v>
      </c>
      <c r="AA46" s="35">
        <f>'4) Overige data'!AA37</f>
        <v>1087441866.6401911</v>
      </c>
      <c r="AB46" s="38"/>
    </row>
    <row r="47" spans="2:28" x14ac:dyDescent="0.2">
      <c r="B47" s="2" t="s">
        <v>327</v>
      </c>
      <c r="F47" s="2" t="s">
        <v>207</v>
      </c>
      <c r="L47" s="38"/>
      <c r="M47" s="38"/>
      <c r="N47" s="38"/>
      <c r="O47" s="38"/>
      <c r="P47" s="38"/>
      <c r="Q47" s="38"/>
      <c r="R47" s="38"/>
      <c r="S47" s="38"/>
      <c r="T47" s="38"/>
      <c r="U47" s="38"/>
      <c r="V47" s="38"/>
      <c r="W47" s="38"/>
      <c r="X47" s="38"/>
      <c r="Y47" s="38"/>
      <c r="Z47" s="38"/>
      <c r="AA47" s="35">
        <f>'4) Overige data'!AA38</f>
        <v>1087441866.6401911</v>
      </c>
      <c r="AB47" s="35">
        <f>'4) Overige data'!AB38</f>
        <v>1162233747.3752635</v>
      </c>
    </row>
    <row r="49" spans="2:28" x14ac:dyDescent="0.2">
      <c r="B49" s="2" t="s">
        <v>290</v>
      </c>
      <c r="F49" s="2" t="s">
        <v>207</v>
      </c>
      <c r="L49" s="38"/>
      <c r="M49" s="38"/>
      <c r="N49" s="38"/>
      <c r="O49" s="38"/>
      <c r="P49" s="38"/>
      <c r="Q49" s="35">
        <f>'4) Overige data'!Q42</f>
        <v>168580391.64641124</v>
      </c>
      <c r="R49" s="35">
        <f>'4) Overige data'!R42</f>
        <v>113490347.51854995</v>
      </c>
      <c r="S49" s="38"/>
      <c r="T49" s="38"/>
      <c r="U49" s="38"/>
      <c r="V49" s="38"/>
      <c r="W49" s="38"/>
      <c r="X49" s="38"/>
      <c r="Y49" s="38"/>
      <c r="Z49" s="38"/>
      <c r="AA49" s="38"/>
      <c r="AB49" s="38"/>
    </row>
    <row r="50" spans="2:28" x14ac:dyDescent="0.2">
      <c r="B50" s="2" t="s">
        <v>291</v>
      </c>
      <c r="F50" s="2" t="s">
        <v>207</v>
      </c>
      <c r="L50" s="38"/>
      <c r="M50" s="38"/>
      <c r="N50" s="38"/>
      <c r="O50" s="38"/>
      <c r="P50" s="38"/>
      <c r="Q50" s="38"/>
      <c r="R50" s="35">
        <f>'4) Overige data'!R43</f>
        <v>113490347.51854995</v>
      </c>
      <c r="S50" s="35">
        <f>'4) Overige data'!S43</f>
        <v>119816581.86251201</v>
      </c>
      <c r="T50" s="38"/>
      <c r="U50" s="38"/>
      <c r="V50" s="38"/>
      <c r="W50" s="38"/>
      <c r="X50" s="38"/>
      <c r="Y50" s="38"/>
      <c r="Z50" s="38"/>
      <c r="AA50" s="38"/>
      <c r="AB50" s="38"/>
    </row>
    <row r="51" spans="2:28" x14ac:dyDescent="0.2">
      <c r="B51" s="2" t="s">
        <v>292</v>
      </c>
      <c r="F51" s="2" t="s">
        <v>207</v>
      </c>
      <c r="L51" s="38"/>
      <c r="M51" s="38"/>
      <c r="N51" s="38"/>
      <c r="O51" s="38"/>
      <c r="P51" s="38"/>
      <c r="Q51" s="38"/>
      <c r="R51" s="38"/>
      <c r="S51" s="35">
        <f>'4) Overige data'!S44</f>
        <v>119816581.86251201</v>
      </c>
      <c r="T51" s="35">
        <f>'4) Overige data'!T44</f>
        <v>121505998.104591</v>
      </c>
      <c r="U51" s="38"/>
      <c r="V51" s="38"/>
      <c r="W51" s="38"/>
      <c r="X51" s="38"/>
      <c r="Y51" s="38"/>
      <c r="Z51" s="38"/>
      <c r="AA51" s="38"/>
      <c r="AB51" s="38"/>
    </row>
    <row r="52" spans="2:28" x14ac:dyDescent="0.2">
      <c r="B52" s="2" t="s">
        <v>293</v>
      </c>
      <c r="F52" s="2" t="s">
        <v>207</v>
      </c>
      <c r="L52" s="38"/>
      <c r="M52" s="38"/>
      <c r="N52" s="38"/>
      <c r="O52" s="38"/>
      <c r="P52" s="38"/>
      <c r="Q52" s="38"/>
      <c r="R52" s="38"/>
      <c r="S52" s="38"/>
      <c r="T52" s="35">
        <f>'4) Overige data'!T45</f>
        <v>121407995.93212065</v>
      </c>
      <c r="U52" s="35">
        <f>'4) Overige data'!U45</f>
        <v>113080898.39697435</v>
      </c>
      <c r="V52" s="38"/>
      <c r="W52" s="38"/>
      <c r="X52" s="38"/>
      <c r="Y52" s="38"/>
      <c r="Z52" s="38"/>
      <c r="AA52" s="38"/>
      <c r="AB52" s="38"/>
    </row>
    <row r="53" spans="2:28" x14ac:dyDescent="0.2">
      <c r="B53" s="2" t="s">
        <v>294</v>
      </c>
      <c r="F53" s="2" t="s">
        <v>207</v>
      </c>
      <c r="L53" s="38"/>
      <c r="M53" s="38"/>
      <c r="N53" s="38"/>
      <c r="O53" s="38"/>
      <c r="P53" s="38"/>
      <c r="Q53" s="38"/>
      <c r="R53" s="38"/>
      <c r="S53" s="38"/>
      <c r="T53" s="38"/>
      <c r="U53" s="35">
        <f>'4) Overige data'!U46</f>
        <v>113080898.39697435</v>
      </c>
      <c r="V53" s="35">
        <f>'4) Overige data'!V46</f>
        <v>96796880.786573187</v>
      </c>
      <c r="W53" s="38"/>
      <c r="X53" s="38"/>
      <c r="Y53" s="38"/>
      <c r="Z53" s="38"/>
      <c r="AA53" s="38"/>
      <c r="AB53" s="38"/>
    </row>
    <row r="54" spans="2:28" x14ac:dyDescent="0.2">
      <c r="B54" s="2" t="s">
        <v>295</v>
      </c>
      <c r="F54" s="2" t="s">
        <v>207</v>
      </c>
      <c r="L54" s="38"/>
      <c r="M54" s="38"/>
      <c r="N54" s="38"/>
      <c r="O54" s="38"/>
      <c r="P54" s="38"/>
      <c r="Q54" s="38"/>
      <c r="R54" s="38"/>
      <c r="S54" s="38"/>
      <c r="T54" s="38"/>
      <c r="U54" s="38"/>
      <c r="V54" s="35">
        <f>'4) Overige data'!V47</f>
        <v>96796880.786573187</v>
      </c>
      <c r="W54" s="35">
        <f>'4) Overige data'!W47</f>
        <v>94735297.589320034</v>
      </c>
      <c r="X54" s="38"/>
      <c r="Y54" s="38"/>
      <c r="Z54" s="38"/>
      <c r="AA54" s="38"/>
      <c r="AB54" s="38"/>
    </row>
    <row r="55" spans="2:28" x14ac:dyDescent="0.2">
      <c r="B55" s="2" t="s">
        <v>296</v>
      </c>
      <c r="F55" s="2" t="s">
        <v>207</v>
      </c>
      <c r="L55" s="38"/>
      <c r="M55" s="38"/>
      <c r="N55" s="38"/>
      <c r="O55" s="38"/>
      <c r="P55" s="38"/>
      <c r="Q55" s="38"/>
      <c r="R55" s="38"/>
      <c r="S55" s="38"/>
      <c r="T55" s="38"/>
      <c r="U55" s="38"/>
      <c r="V55" s="38"/>
      <c r="W55" s="35">
        <f>'4) Overige data'!W48</f>
        <v>93340746.863857359</v>
      </c>
      <c r="X55" s="35">
        <f>'4) Overige data'!X48</f>
        <v>119461042.48441979</v>
      </c>
      <c r="Y55" s="38"/>
      <c r="Z55" s="38"/>
      <c r="AA55" s="38"/>
      <c r="AB55" s="38"/>
    </row>
    <row r="56" spans="2:28" x14ac:dyDescent="0.2">
      <c r="B56" s="2" t="s">
        <v>297</v>
      </c>
      <c r="F56" s="2" t="s">
        <v>207</v>
      </c>
      <c r="L56" s="38"/>
      <c r="M56" s="38"/>
      <c r="N56" s="38"/>
      <c r="O56" s="38"/>
      <c r="P56" s="38"/>
      <c r="Q56" s="38"/>
      <c r="R56" s="38"/>
      <c r="S56" s="38"/>
      <c r="T56" s="38"/>
      <c r="U56" s="38"/>
      <c r="V56" s="38"/>
      <c r="W56" s="38"/>
      <c r="X56" s="35">
        <f>'4) Overige data'!X49</f>
        <v>119461042.48441979</v>
      </c>
      <c r="Y56" s="35">
        <f>'4) Overige data'!Y49</f>
        <v>105989089.58187632</v>
      </c>
      <c r="Z56" s="38"/>
      <c r="AA56" s="38"/>
      <c r="AB56" s="38"/>
    </row>
    <row r="57" spans="2:28" x14ac:dyDescent="0.2">
      <c r="B57" s="2" t="s">
        <v>298</v>
      </c>
      <c r="F57" s="2" t="s">
        <v>207</v>
      </c>
      <c r="L57" s="38"/>
      <c r="M57" s="38"/>
      <c r="N57" s="38"/>
      <c r="O57" s="38"/>
      <c r="P57" s="38"/>
      <c r="Q57" s="38"/>
      <c r="R57" s="38"/>
      <c r="S57" s="38"/>
      <c r="T57" s="38"/>
      <c r="U57" s="38"/>
      <c r="V57" s="38"/>
      <c r="W57" s="38"/>
      <c r="X57" s="38"/>
      <c r="Y57" s="35">
        <f>'4) Overige data'!Y50</f>
        <v>105989089.58187632</v>
      </c>
      <c r="Z57" s="35">
        <f>'4) Overige data'!Z50</f>
        <v>120974767.46933956</v>
      </c>
      <c r="AA57" s="38"/>
      <c r="AB57" s="38"/>
    </row>
    <row r="58" spans="2:28" x14ac:dyDescent="0.2">
      <c r="B58" s="2" t="s">
        <v>299</v>
      </c>
      <c r="F58" s="2" t="s">
        <v>207</v>
      </c>
      <c r="L58" s="38"/>
      <c r="M58" s="38"/>
      <c r="N58" s="38"/>
      <c r="O58" s="38"/>
      <c r="P58" s="38"/>
      <c r="Q58" s="38"/>
      <c r="R58" s="38"/>
      <c r="S58" s="38"/>
      <c r="T58" s="38"/>
      <c r="U58" s="38"/>
      <c r="V58" s="38"/>
      <c r="W58" s="38"/>
      <c r="X58" s="38"/>
      <c r="Y58" s="38"/>
      <c r="Z58" s="35">
        <f>'4) Overige data'!Z51</f>
        <v>120974767.46933956</v>
      </c>
      <c r="AA58" s="35">
        <f>'4) Overige data'!AA51</f>
        <v>143202878.16999993</v>
      </c>
      <c r="AB58" s="38"/>
    </row>
    <row r="59" spans="2:28" x14ac:dyDescent="0.2">
      <c r="B59" s="2" t="s">
        <v>329</v>
      </c>
      <c r="F59" s="2" t="s">
        <v>207</v>
      </c>
      <c r="L59" s="38"/>
      <c r="M59" s="38"/>
      <c r="N59" s="38"/>
      <c r="O59" s="38"/>
      <c r="P59" s="38"/>
      <c r="Q59" s="38"/>
      <c r="R59" s="38"/>
      <c r="S59" s="38"/>
      <c r="T59" s="38"/>
      <c r="U59" s="38"/>
      <c r="V59" s="38"/>
      <c r="W59" s="38"/>
      <c r="X59" s="38"/>
      <c r="Y59" s="38"/>
      <c r="Z59" s="38"/>
      <c r="AA59" s="35">
        <f>'4) Overige data'!AA52</f>
        <v>143202878.16999993</v>
      </c>
      <c r="AB59" s="35">
        <f>'4) Overige data'!AB52</f>
        <v>162549288.46165749</v>
      </c>
    </row>
    <row r="61" spans="2:28" x14ac:dyDescent="0.2">
      <c r="B61" s="2" t="s">
        <v>162</v>
      </c>
      <c r="F61" s="2" t="s">
        <v>207</v>
      </c>
      <c r="L61" s="35">
        <f>'5) Berekening kapitaalkosten'!L73</f>
        <v>998536012.60383916</v>
      </c>
      <c r="M61" s="35">
        <f>'5) Berekening kapitaalkosten'!M73</f>
        <v>1002507838.6452979</v>
      </c>
      <c r="N61" s="38"/>
      <c r="O61" s="38"/>
      <c r="P61" s="38"/>
      <c r="Q61" s="38"/>
      <c r="R61" s="38"/>
      <c r="S61" s="38"/>
      <c r="T61" s="38"/>
      <c r="U61" s="38"/>
      <c r="V61" s="38"/>
      <c r="W61" s="38"/>
      <c r="X61" s="38"/>
      <c r="Y61" s="38"/>
      <c r="Z61" s="38"/>
      <c r="AA61" s="38"/>
      <c r="AB61" s="38"/>
    </row>
    <row r="62" spans="2:28" x14ac:dyDescent="0.2">
      <c r="B62" s="2" t="s">
        <v>163</v>
      </c>
      <c r="F62" s="2" t="s">
        <v>207</v>
      </c>
      <c r="L62" s="38"/>
      <c r="M62" s="35">
        <f>'5) Berekening kapitaalkosten'!M74</f>
        <v>1002507838.6452979</v>
      </c>
      <c r="N62" s="35">
        <f>'5) Berekening kapitaalkosten'!N74</f>
        <v>1004784694.2540951</v>
      </c>
      <c r="O62" s="38"/>
      <c r="P62" s="38"/>
      <c r="Q62" s="38"/>
      <c r="R62" s="38"/>
      <c r="S62" s="38"/>
      <c r="T62" s="38"/>
      <c r="U62" s="38"/>
      <c r="V62" s="38"/>
      <c r="W62" s="38"/>
      <c r="X62" s="38"/>
      <c r="Y62" s="38"/>
      <c r="Z62" s="38"/>
      <c r="AA62" s="38"/>
      <c r="AB62" s="38"/>
    </row>
    <row r="63" spans="2:28" x14ac:dyDescent="0.2">
      <c r="B63" s="2" t="s">
        <v>164</v>
      </c>
      <c r="F63" s="2" t="s">
        <v>207</v>
      </c>
      <c r="L63" s="38"/>
      <c r="M63" s="38"/>
      <c r="N63" s="35">
        <f>'5) Berekening kapitaalkosten'!N75</f>
        <v>952106903.60394406</v>
      </c>
      <c r="O63" s="35">
        <f>'5) Berekening kapitaalkosten'!O75</f>
        <v>969160601.59146142</v>
      </c>
      <c r="P63" s="38"/>
      <c r="Q63" s="38"/>
      <c r="R63" s="38"/>
      <c r="S63" s="38"/>
      <c r="T63" s="38"/>
      <c r="U63" s="38"/>
      <c r="V63" s="38"/>
      <c r="W63" s="38"/>
      <c r="X63" s="38"/>
      <c r="Y63" s="38"/>
      <c r="Z63" s="38"/>
      <c r="AA63" s="38"/>
      <c r="AB63" s="38"/>
    </row>
    <row r="64" spans="2:28" x14ac:dyDescent="0.2">
      <c r="B64" s="2" t="s">
        <v>165</v>
      </c>
      <c r="F64" s="2" t="s">
        <v>207</v>
      </c>
      <c r="L64" s="38"/>
      <c r="M64" s="38"/>
      <c r="N64" s="38"/>
      <c r="O64" s="35">
        <f>'5) Berekening kapitaalkosten'!O76</f>
        <v>914575648.31615257</v>
      </c>
      <c r="P64" s="35">
        <f>'5) Berekening kapitaalkosten'!P76</f>
        <v>928066803.5975343</v>
      </c>
      <c r="Q64" s="38"/>
      <c r="R64" s="38"/>
      <c r="S64" s="38"/>
      <c r="T64" s="38"/>
      <c r="U64" s="38"/>
      <c r="V64" s="38"/>
      <c r="W64" s="38"/>
      <c r="X64" s="38"/>
      <c r="Y64" s="38"/>
      <c r="Z64" s="38"/>
      <c r="AA64" s="38"/>
      <c r="AB64" s="38"/>
    </row>
    <row r="65" spans="2:28" x14ac:dyDescent="0.2">
      <c r="B65" s="2" t="s">
        <v>166</v>
      </c>
      <c r="F65" s="2" t="s">
        <v>207</v>
      </c>
      <c r="L65" s="38"/>
      <c r="M65" s="38"/>
      <c r="N65" s="38"/>
      <c r="O65" s="38"/>
      <c r="P65" s="35">
        <f>'5) Berekening kapitaalkosten'!P77</f>
        <v>926263919.67438293</v>
      </c>
      <c r="Q65" s="35">
        <f>'5) Berekening kapitaalkosten'!Q77</f>
        <v>947625060.32063401</v>
      </c>
      <c r="R65" s="38"/>
      <c r="S65" s="38"/>
      <c r="T65" s="38"/>
      <c r="U65" s="38"/>
      <c r="V65" s="38"/>
      <c r="W65" s="38"/>
      <c r="X65" s="38"/>
      <c r="Y65" s="38"/>
      <c r="Z65" s="38"/>
      <c r="AA65" s="38"/>
      <c r="AB65" s="38"/>
    </row>
    <row r="66" spans="2:28" x14ac:dyDescent="0.2">
      <c r="B66" s="2" t="s">
        <v>167</v>
      </c>
      <c r="F66" s="2" t="s">
        <v>207</v>
      </c>
      <c r="L66" s="38"/>
      <c r="M66" s="38"/>
      <c r="N66" s="38"/>
      <c r="O66" s="38"/>
      <c r="P66" s="38"/>
      <c r="Q66" s="35">
        <f>'5) Berekening kapitaalkosten'!Q78</f>
        <v>934521727.5600394</v>
      </c>
      <c r="R66" s="35">
        <f>'5) Berekening kapitaalkosten'!R78</f>
        <v>962964704.23478425</v>
      </c>
      <c r="S66" s="38"/>
      <c r="T66" s="38"/>
      <c r="U66" s="38"/>
      <c r="V66" s="38"/>
      <c r="W66" s="38"/>
      <c r="X66" s="38"/>
      <c r="Y66" s="38"/>
      <c r="Z66" s="38"/>
      <c r="AA66" s="38"/>
      <c r="AB66" s="38"/>
    </row>
    <row r="67" spans="2:28" x14ac:dyDescent="0.2">
      <c r="B67" s="2" t="s">
        <v>168</v>
      </c>
      <c r="F67" s="2" t="s">
        <v>207</v>
      </c>
      <c r="L67" s="38"/>
      <c r="M67" s="38"/>
      <c r="N67" s="38"/>
      <c r="O67" s="38"/>
      <c r="P67" s="38"/>
      <c r="Q67" s="38"/>
      <c r="R67" s="35">
        <f>'5) Berekening kapitaalkosten'!R79</f>
        <v>989500721.42346013</v>
      </c>
      <c r="S67" s="35">
        <f>'5) Berekening kapitaalkosten'!S79</f>
        <v>1032415260.6258628</v>
      </c>
      <c r="T67" s="38"/>
      <c r="U67" s="38"/>
      <c r="V67" s="38"/>
      <c r="W67" s="38"/>
      <c r="X67" s="38"/>
      <c r="Y67" s="38"/>
      <c r="Z67" s="38"/>
      <c r="AA67" s="38"/>
      <c r="AB67" s="38"/>
    </row>
    <row r="68" spans="2:28" x14ac:dyDescent="0.2">
      <c r="B68" s="2" t="s">
        <v>169</v>
      </c>
      <c r="F68" s="2" t="s">
        <v>207</v>
      </c>
      <c r="L68" s="38"/>
      <c r="M68" s="38"/>
      <c r="N68" s="38"/>
      <c r="O68" s="38"/>
      <c r="P68" s="38"/>
      <c r="Q68" s="38"/>
      <c r="R68" s="38"/>
      <c r="S68" s="35">
        <f>'5) Berekening kapitaalkosten'!S80</f>
        <v>1059836567.3920771</v>
      </c>
      <c r="T68" s="35">
        <f>'5) Berekening kapitaalkosten'!T80</f>
        <v>1097158101.7308457</v>
      </c>
      <c r="U68" s="38"/>
      <c r="V68" s="38"/>
      <c r="W68" s="38"/>
      <c r="X68" s="38"/>
      <c r="Y68" s="38"/>
      <c r="Z68" s="38"/>
      <c r="AA68" s="38"/>
      <c r="AB68" s="38"/>
    </row>
    <row r="69" spans="2:28" x14ac:dyDescent="0.2">
      <c r="B69" s="2" t="s">
        <v>170</v>
      </c>
      <c r="F69" s="2" t="s">
        <v>207</v>
      </c>
      <c r="L69" s="38"/>
      <c r="M69" s="38"/>
      <c r="N69" s="38"/>
      <c r="O69" s="38"/>
      <c r="P69" s="38"/>
      <c r="Q69" s="38"/>
      <c r="R69" s="38"/>
      <c r="S69" s="38"/>
      <c r="T69" s="35">
        <f>'5) Berekening kapitaalkosten'!T81</f>
        <v>1097162537.0029147</v>
      </c>
      <c r="U69" s="35">
        <f>'5) Berekening kapitaalkosten'!U81</f>
        <v>1133809103.8365893</v>
      </c>
      <c r="V69" s="38"/>
      <c r="W69" s="38"/>
      <c r="X69" s="38"/>
      <c r="Y69" s="38"/>
      <c r="Z69" s="38"/>
      <c r="AA69" s="38"/>
      <c r="AB69" s="38"/>
    </row>
    <row r="70" spans="2:28" x14ac:dyDescent="0.2">
      <c r="B70" s="2" t="s">
        <v>171</v>
      </c>
      <c r="F70" s="2" t="s">
        <v>207</v>
      </c>
      <c r="L70" s="38"/>
      <c r="M70" s="38"/>
      <c r="N70" s="38"/>
      <c r="O70" s="38"/>
      <c r="P70" s="38"/>
      <c r="Q70" s="38"/>
      <c r="R70" s="38"/>
      <c r="S70" s="38"/>
      <c r="T70" s="38"/>
      <c r="U70" s="35">
        <f>'5) Berekening kapitaalkosten'!U82</f>
        <v>1015376520.416612</v>
      </c>
      <c r="V70" s="35">
        <f>'5) Berekening kapitaalkosten'!V82</f>
        <v>1047458254.1351</v>
      </c>
      <c r="W70" s="38"/>
      <c r="X70" s="38"/>
      <c r="Y70" s="38"/>
      <c r="Z70" s="38"/>
      <c r="AA70" s="38"/>
      <c r="AB70" s="38"/>
    </row>
    <row r="71" spans="2:28" x14ac:dyDescent="0.2">
      <c r="B71" s="2" t="s">
        <v>172</v>
      </c>
      <c r="F71" s="2" t="s">
        <v>207</v>
      </c>
      <c r="L71" s="38"/>
      <c r="M71" s="38"/>
      <c r="N71" s="38"/>
      <c r="O71" s="38"/>
      <c r="P71" s="38"/>
      <c r="Q71" s="38"/>
      <c r="R71" s="38"/>
      <c r="S71" s="38"/>
      <c r="T71" s="38"/>
      <c r="U71" s="38"/>
      <c r="V71" s="35">
        <f>'5) Berekening kapitaalkosten'!V83</f>
        <v>926935878.63785756</v>
      </c>
      <c r="W71" s="35">
        <f>'5) Berekening kapitaalkosten'!W83</f>
        <v>952335264.38334346</v>
      </c>
      <c r="X71" s="38"/>
      <c r="Y71" s="38"/>
      <c r="Z71" s="38"/>
      <c r="AA71" s="38"/>
      <c r="AB71" s="38"/>
    </row>
    <row r="72" spans="2:28" x14ac:dyDescent="0.2">
      <c r="B72" s="2" t="s">
        <v>173</v>
      </c>
      <c r="F72" s="2" t="s">
        <v>207</v>
      </c>
      <c r="L72" s="38"/>
      <c r="M72" s="38"/>
      <c r="N72" s="38"/>
      <c r="O72" s="38"/>
      <c r="P72" s="38"/>
      <c r="Q72" s="38"/>
      <c r="R72" s="38"/>
      <c r="S72" s="38"/>
      <c r="T72" s="38"/>
      <c r="U72" s="38"/>
      <c r="V72" s="38"/>
      <c r="W72" s="35">
        <f>'5) Berekening kapitaalkosten'!W84</f>
        <v>952335264.38335562</v>
      </c>
      <c r="X72" s="35">
        <f>'5) Berekening kapitaalkosten'!X84</f>
        <v>980710348.2833271</v>
      </c>
      <c r="Y72" s="38"/>
      <c r="Z72" s="38"/>
      <c r="AA72" s="38"/>
      <c r="AB72" s="38"/>
    </row>
    <row r="73" spans="2:28" x14ac:dyDescent="0.2">
      <c r="B73" s="2" t="s">
        <v>174</v>
      </c>
      <c r="F73" s="2" t="s">
        <v>207</v>
      </c>
      <c r="L73" s="38"/>
      <c r="M73" s="38"/>
      <c r="N73" s="38"/>
      <c r="O73" s="38"/>
      <c r="P73" s="38"/>
      <c r="Q73" s="38"/>
      <c r="R73" s="38"/>
      <c r="S73" s="38"/>
      <c r="T73" s="38"/>
      <c r="U73" s="38"/>
      <c r="V73" s="38"/>
      <c r="W73" s="38"/>
      <c r="X73" s="35">
        <f>'5) Berekening kapitaalkosten'!X85</f>
        <v>984838692.68084025</v>
      </c>
      <c r="Y73" s="35">
        <f>'5) Berekening kapitaalkosten'!Y85</f>
        <v>984670579.07108378</v>
      </c>
      <c r="Z73" s="38"/>
      <c r="AA73" s="38"/>
      <c r="AB73" s="38"/>
    </row>
    <row r="74" spans="2:28" x14ac:dyDescent="0.2">
      <c r="B74" s="2" t="s">
        <v>175</v>
      </c>
      <c r="F74" s="2" t="s">
        <v>207</v>
      </c>
      <c r="L74" s="38"/>
      <c r="M74" s="38"/>
      <c r="N74" s="38"/>
      <c r="O74" s="38"/>
      <c r="P74" s="38"/>
      <c r="Q74" s="38"/>
      <c r="R74" s="38"/>
      <c r="S74" s="38"/>
      <c r="T74" s="38"/>
      <c r="U74" s="38"/>
      <c r="V74" s="38"/>
      <c r="W74" s="38"/>
      <c r="X74" s="38"/>
      <c r="Y74" s="35">
        <f>'5) Berekening kapitaalkosten'!Y86</f>
        <v>977527101.22374582</v>
      </c>
      <c r="Z74" s="35">
        <f>'5) Berekening kapitaalkosten'!Z86</f>
        <v>1002511158.4823821</v>
      </c>
      <c r="AA74" s="38"/>
      <c r="AB74" s="38"/>
    </row>
    <row r="75" spans="2:28" x14ac:dyDescent="0.2">
      <c r="B75" s="2" t="s">
        <v>176</v>
      </c>
      <c r="F75" s="2" t="s">
        <v>207</v>
      </c>
      <c r="L75" s="38"/>
      <c r="M75" s="38"/>
      <c r="N75" s="38"/>
      <c r="O75" s="38"/>
      <c r="P75" s="38"/>
      <c r="Q75" s="38"/>
      <c r="R75" s="38"/>
      <c r="S75" s="38"/>
      <c r="T75" s="38"/>
      <c r="U75" s="38"/>
      <c r="V75" s="38"/>
      <c r="W75" s="38"/>
      <c r="X75" s="38"/>
      <c r="Y75" s="38"/>
      <c r="Z75" s="35">
        <f>'5) Berekening kapitaalkosten'!Z87</f>
        <v>977706222.71211743</v>
      </c>
      <c r="AA75" s="35">
        <f>'5) Berekening kapitaalkosten'!AA87</f>
        <v>1012052382.0399238</v>
      </c>
      <c r="AB75" s="38"/>
    </row>
    <row r="76" spans="2:28" x14ac:dyDescent="0.2">
      <c r="B76" s="2" t="s">
        <v>334</v>
      </c>
      <c r="F76" s="2" t="s">
        <v>207</v>
      </c>
      <c r="L76" s="38"/>
      <c r="M76" s="38"/>
      <c r="N76" s="38"/>
      <c r="O76" s="38"/>
      <c r="P76" s="38"/>
      <c r="Q76" s="38"/>
      <c r="R76" s="38"/>
      <c r="S76" s="38"/>
      <c r="T76" s="38"/>
      <c r="U76" s="38"/>
      <c r="V76" s="38"/>
      <c r="W76" s="38"/>
      <c r="X76" s="38"/>
      <c r="Y76" s="38"/>
      <c r="Z76" s="38"/>
      <c r="AA76" s="35">
        <f>'5) Berekening kapitaalkosten'!AA88</f>
        <v>988209291.59481633</v>
      </c>
      <c r="AB76" s="35">
        <f>'5) Berekening kapitaalkosten'!AB88</f>
        <v>1036179041.9818672</v>
      </c>
    </row>
    <row r="78" spans="2:28" x14ac:dyDescent="0.2">
      <c r="B78" s="2" t="s">
        <v>275</v>
      </c>
      <c r="F78" s="2" t="s">
        <v>207</v>
      </c>
      <c r="L78" s="38"/>
      <c r="M78" s="38"/>
      <c r="N78" s="38"/>
      <c r="O78" s="38"/>
      <c r="P78" s="38"/>
      <c r="Q78" s="35">
        <f>'4) Overige data'!Q75</f>
        <v>0</v>
      </c>
      <c r="R78" s="35">
        <f>'4) Overige data'!R75</f>
        <v>1539000</v>
      </c>
      <c r="S78" s="35">
        <f>'4) Overige data'!S75</f>
        <v>2126000</v>
      </c>
      <c r="T78" s="35">
        <f>'4) Overige data'!T75</f>
        <v>2367000</v>
      </c>
      <c r="U78" s="38"/>
      <c r="V78" s="38"/>
      <c r="W78" s="38"/>
      <c r="X78" s="38"/>
      <c r="Y78" s="38"/>
      <c r="Z78" s="38"/>
      <c r="AA78" s="38"/>
      <c r="AB78" s="38"/>
    </row>
    <row r="79" spans="2:28" x14ac:dyDescent="0.2">
      <c r="B79" s="2" t="s">
        <v>276</v>
      </c>
      <c r="F79" s="2" t="s">
        <v>207</v>
      </c>
      <c r="L79" s="38"/>
      <c r="M79" s="38"/>
      <c r="N79" s="38"/>
      <c r="O79" s="38"/>
      <c r="P79" s="38"/>
      <c r="Q79" s="38"/>
      <c r="R79" s="38"/>
      <c r="S79" s="38"/>
      <c r="T79" s="35">
        <f>'4) Overige data'!T76</f>
        <v>19915034.972114258</v>
      </c>
      <c r="U79" s="35">
        <f>'4) Overige data'!U76</f>
        <v>18632929.294842675</v>
      </c>
      <c r="V79" s="35">
        <f>'4) Overige data'!V76</f>
        <v>2655324</v>
      </c>
      <c r="W79" s="35">
        <f>'4) Overige data'!W76</f>
        <v>0</v>
      </c>
      <c r="X79" s="38"/>
      <c r="Y79" s="38"/>
      <c r="Z79" s="38"/>
      <c r="AA79" s="38"/>
      <c r="AB79" s="38"/>
    </row>
    <row r="81" spans="2:28" x14ac:dyDescent="0.2">
      <c r="B81" s="2" t="s">
        <v>192</v>
      </c>
      <c r="F81" s="2" t="s">
        <v>208</v>
      </c>
      <c r="L81" s="35">
        <f>'4) Overige data'!L56</f>
        <v>2080934082.6104553</v>
      </c>
      <c r="M81" s="35">
        <f>'4) Overige data'!M56</f>
        <v>2104489748.7992513</v>
      </c>
      <c r="N81" s="38"/>
      <c r="O81" s="38"/>
      <c r="P81" s="38"/>
      <c r="Q81" s="38"/>
      <c r="R81" s="38"/>
      <c r="S81" s="38"/>
      <c r="T81" s="38"/>
      <c r="U81" s="38"/>
      <c r="V81" s="38"/>
      <c r="W81" s="38"/>
      <c r="X81" s="38"/>
      <c r="Y81" s="38"/>
      <c r="Z81" s="38"/>
      <c r="AA81" s="38"/>
      <c r="AB81" s="38"/>
    </row>
    <row r="82" spans="2:28" x14ac:dyDescent="0.2">
      <c r="B82" s="2" t="s">
        <v>193</v>
      </c>
      <c r="F82" s="2" t="s">
        <v>208</v>
      </c>
      <c r="L82" s="38"/>
      <c r="M82" s="35">
        <f>'4) Overige data'!M57</f>
        <v>2104489748.7992513</v>
      </c>
      <c r="N82" s="35">
        <f>'4) Overige data'!N57</f>
        <v>2153451865.0281816</v>
      </c>
      <c r="O82" s="38"/>
      <c r="P82" s="38"/>
      <c r="Q82" s="38"/>
      <c r="R82" s="38"/>
      <c r="S82" s="38"/>
      <c r="T82" s="38"/>
      <c r="U82" s="38"/>
      <c r="V82" s="38"/>
      <c r="W82" s="38"/>
      <c r="X82" s="38"/>
      <c r="Y82" s="38"/>
      <c r="Z82" s="38"/>
      <c r="AA82" s="38"/>
      <c r="AB82" s="38"/>
    </row>
    <row r="83" spans="2:28" x14ac:dyDescent="0.2">
      <c r="B83" s="2" t="s">
        <v>194</v>
      </c>
      <c r="F83" s="2" t="s">
        <v>208</v>
      </c>
      <c r="L83" s="38"/>
      <c r="M83" s="38"/>
      <c r="N83" s="35">
        <f>'4) Overige data'!N58</f>
        <v>2153538627.5189409</v>
      </c>
      <c r="O83" s="35">
        <f>'4) Overige data'!O58</f>
        <v>2178833992.7330661</v>
      </c>
      <c r="P83" s="38"/>
      <c r="Q83" s="38"/>
      <c r="R83" s="38"/>
      <c r="S83" s="38"/>
      <c r="T83" s="38"/>
      <c r="U83" s="38"/>
      <c r="V83" s="38"/>
      <c r="W83" s="38"/>
      <c r="X83" s="38"/>
      <c r="Y83" s="38"/>
      <c r="Z83" s="38"/>
      <c r="AA83" s="38"/>
      <c r="AB83" s="38"/>
    </row>
    <row r="84" spans="2:28" x14ac:dyDescent="0.2">
      <c r="B84" s="2" t="s">
        <v>195</v>
      </c>
      <c r="F84" s="2" t="s">
        <v>208</v>
      </c>
      <c r="L84" s="38"/>
      <c r="M84" s="38"/>
      <c r="N84" s="38"/>
      <c r="O84" s="35">
        <f>'4) Overige data'!O59</f>
        <v>2113963178.3716698</v>
      </c>
      <c r="P84" s="35">
        <f>'4) Overige data'!P59</f>
        <v>2132040981.7431898</v>
      </c>
      <c r="Q84" s="38"/>
      <c r="R84" s="38"/>
      <c r="S84" s="38"/>
      <c r="T84" s="38"/>
      <c r="U84" s="38"/>
      <c r="V84" s="38"/>
      <c r="W84" s="38"/>
      <c r="X84" s="38"/>
      <c r="Y84" s="38"/>
      <c r="Z84" s="38"/>
      <c r="AA84" s="38"/>
      <c r="AB84" s="38"/>
    </row>
    <row r="85" spans="2:28" x14ac:dyDescent="0.2">
      <c r="B85" s="2" t="s">
        <v>196</v>
      </c>
      <c r="F85" s="2" t="s">
        <v>208</v>
      </c>
      <c r="L85" s="38"/>
      <c r="M85" s="38"/>
      <c r="N85" s="38"/>
      <c r="O85" s="38"/>
      <c r="P85" s="35">
        <f>'4) Overige data'!P60</f>
        <v>2154671761.0645566</v>
      </c>
      <c r="Q85" s="35">
        <f>'4) Overige data'!Q60</f>
        <v>2158082805.3167639</v>
      </c>
      <c r="R85" s="38"/>
      <c r="S85" s="38"/>
      <c r="T85" s="38"/>
      <c r="U85" s="38"/>
      <c r="V85" s="38"/>
      <c r="W85" s="38"/>
      <c r="X85" s="38"/>
      <c r="Y85" s="38"/>
      <c r="Z85" s="38"/>
      <c r="AA85" s="38"/>
      <c r="AB85" s="38"/>
    </row>
    <row r="86" spans="2:28" x14ac:dyDescent="0.2">
      <c r="B86" s="2" t="s">
        <v>197</v>
      </c>
      <c r="F86" s="2" t="s">
        <v>208</v>
      </c>
      <c r="L86" s="38"/>
      <c r="M86" s="38"/>
      <c r="N86" s="38"/>
      <c r="O86" s="38"/>
      <c r="P86" s="38"/>
      <c r="Q86" s="35">
        <f>'4) Overige data'!Q61</f>
        <v>2963825205.9578171</v>
      </c>
      <c r="R86" s="35">
        <f>'4) Overige data'!R61</f>
        <v>2951071044.2270489</v>
      </c>
      <c r="S86" s="38"/>
      <c r="T86" s="38"/>
      <c r="U86" s="38"/>
      <c r="V86" s="38"/>
      <c r="W86" s="38"/>
      <c r="X86" s="38"/>
      <c r="Y86" s="38"/>
      <c r="Z86" s="38"/>
      <c r="AA86" s="38"/>
      <c r="AB86" s="38"/>
    </row>
    <row r="87" spans="2:28" x14ac:dyDescent="0.2">
      <c r="B87" s="2" t="s">
        <v>198</v>
      </c>
      <c r="F87" s="2" t="s">
        <v>208</v>
      </c>
      <c r="L87" s="38"/>
      <c r="M87" s="38"/>
      <c r="N87" s="38"/>
      <c r="O87" s="38"/>
      <c r="P87" s="38"/>
      <c r="Q87" s="38"/>
      <c r="R87" s="35">
        <f>'4) Overige data'!R62</f>
        <v>2951071044.2270489</v>
      </c>
      <c r="S87" s="35">
        <f>'4) Overige data'!S62</f>
        <v>2984360337.6652484</v>
      </c>
      <c r="T87" s="38"/>
      <c r="U87" s="38"/>
      <c r="V87" s="38"/>
      <c r="W87" s="38"/>
      <c r="X87" s="38"/>
      <c r="Y87" s="38"/>
      <c r="Z87" s="38"/>
      <c r="AA87" s="38"/>
      <c r="AB87" s="38"/>
    </row>
    <row r="88" spans="2:28" x14ac:dyDescent="0.2">
      <c r="B88" s="2" t="s">
        <v>199</v>
      </c>
      <c r="F88" s="2" t="s">
        <v>208</v>
      </c>
      <c r="L88" s="38"/>
      <c r="M88" s="38"/>
      <c r="N88" s="38"/>
      <c r="O88" s="38"/>
      <c r="P88" s="38"/>
      <c r="Q88" s="38"/>
      <c r="R88" s="38"/>
      <c r="S88" s="35">
        <f>'4) Overige data'!S63</f>
        <v>2984360337.6652484</v>
      </c>
      <c r="T88" s="35">
        <f>'4) Overige data'!T63</f>
        <v>2988220032.5203738</v>
      </c>
      <c r="U88" s="38"/>
      <c r="V88" s="38"/>
      <c r="W88" s="38"/>
      <c r="X88" s="38"/>
      <c r="Y88" s="38"/>
      <c r="Z88" s="38"/>
      <c r="AA88" s="38"/>
      <c r="AB88" s="38"/>
    </row>
    <row r="89" spans="2:28" x14ac:dyDescent="0.2">
      <c r="B89" s="2" t="s">
        <v>200</v>
      </c>
      <c r="F89" s="2" t="s">
        <v>208</v>
      </c>
      <c r="L89" s="38"/>
      <c r="M89" s="38"/>
      <c r="N89" s="38"/>
      <c r="O89" s="38"/>
      <c r="P89" s="38"/>
      <c r="Q89" s="38"/>
      <c r="R89" s="38"/>
      <c r="S89" s="38"/>
      <c r="T89" s="35">
        <f>'4) Overige data'!T64</f>
        <v>2664532400.8684244</v>
      </c>
      <c r="U89" s="35">
        <f>'4) Overige data'!U64</f>
        <v>2658880899.7220988</v>
      </c>
      <c r="V89" s="38"/>
      <c r="W89" s="38"/>
      <c r="X89" s="38"/>
      <c r="Y89" s="38"/>
      <c r="Z89" s="38"/>
      <c r="AA89" s="38"/>
      <c r="AB89" s="38"/>
    </row>
    <row r="90" spans="2:28" x14ac:dyDescent="0.2">
      <c r="B90" s="2" t="s">
        <v>201</v>
      </c>
      <c r="F90" s="2" t="s">
        <v>208</v>
      </c>
      <c r="L90" s="38"/>
      <c r="M90" s="38"/>
      <c r="N90" s="38"/>
      <c r="O90" s="38"/>
      <c r="P90" s="38"/>
      <c r="Q90" s="38"/>
      <c r="R90" s="38"/>
      <c r="S90" s="38"/>
      <c r="T90" s="38"/>
      <c r="U90" s="35">
        <f>'4) Overige data'!U65</f>
        <v>2658880899.7220988</v>
      </c>
      <c r="V90" s="35">
        <f>'4) Overige data'!V65</f>
        <v>2655946203.3686337</v>
      </c>
      <c r="W90" s="38"/>
      <c r="X90" s="38"/>
      <c r="Y90" s="38"/>
      <c r="Z90" s="38"/>
      <c r="AA90" s="38"/>
      <c r="AB90" s="38"/>
    </row>
    <row r="91" spans="2:28" x14ac:dyDescent="0.2">
      <c r="B91" s="2" t="s">
        <v>202</v>
      </c>
      <c r="F91" s="2" t="s">
        <v>208</v>
      </c>
      <c r="L91" s="38"/>
      <c r="M91" s="38"/>
      <c r="N91" s="38"/>
      <c r="O91" s="38"/>
      <c r="P91" s="38"/>
      <c r="Q91" s="38"/>
      <c r="R91" s="38"/>
      <c r="S91" s="38"/>
      <c r="T91" s="38"/>
      <c r="U91" s="38"/>
      <c r="V91" s="35">
        <f>'4) Overige data'!V66</f>
        <v>2652146858.2672939</v>
      </c>
      <c r="W91" s="35">
        <f>'4) Overige data'!W66</f>
        <v>2673873481.2619209</v>
      </c>
      <c r="X91" s="38"/>
      <c r="Y91" s="38"/>
      <c r="Z91" s="38"/>
      <c r="AA91" s="38"/>
      <c r="AB91" s="38"/>
    </row>
    <row r="92" spans="2:28" x14ac:dyDescent="0.2">
      <c r="B92" s="2" t="s">
        <v>203</v>
      </c>
      <c r="F92" s="2" t="s">
        <v>208</v>
      </c>
      <c r="L92" s="38"/>
      <c r="M92" s="38"/>
      <c r="N92" s="38"/>
      <c r="O92" s="38"/>
      <c r="P92" s="38"/>
      <c r="Q92" s="38"/>
      <c r="R92" s="38"/>
      <c r="S92" s="38"/>
      <c r="T92" s="38"/>
      <c r="U92" s="38"/>
      <c r="V92" s="38"/>
      <c r="W92" s="35">
        <f>'4) Overige data'!W67</f>
        <v>2898248194.9692092</v>
      </c>
      <c r="X92" s="35">
        <f>'4) Overige data'!X67</f>
        <v>2952430710.9893508</v>
      </c>
      <c r="Y92" s="38"/>
      <c r="Z92" s="38"/>
      <c r="AA92" s="38"/>
      <c r="AB92" s="38"/>
    </row>
    <row r="93" spans="2:28" x14ac:dyDescent="0.2">
      <c r="B93" s="2" t="s">
        <v>204</v>
      </c>
      <c r="F93" s="2" t="s">
        <v>208</v>
      </c>
      <c r="L93" s="38"/>
      <c r="M93" s="38"/>
      <c r="N93" s="38"/>
      <c r="O93" s="38"/>
      <c r="P93" s="38"/>
      <c r="Q93" s="38"/>
      <c r="R93" s="38"/>
      <c r="S93" s="38"/>
      <c r="T93" s="38"/>
      <c r="U93" s="38"/>
      <c r="V93" s="38"/>
      <c r="W93" s="38"/>
      <c r="X93" s="35">
        <f>'4) Overige data'!X68</f>
        <v>2952430710.9893508</v>
      </c>
      <c r="Y93" s="35">
        <f>'4) Overige data'!Y68</f>
        <v>2960837094.8159423</v>
      </c>
      <c r="Z93" s="38"/>
      <c r="AA93" s="38"/>
      <c r="AB93" s="38"/>
    </row>
    <row r="94" spans="2:28" x14ac:dyDescent="0.2">
      <c r="B94" s="2" t="s">
        <v>205</v>
      </c>
      <c r="F94" s="2" t="s">
        <v>208</v>
      </c>
      <c r="L94" s="38"/>
      <c r="M94" s="38"/>
      <c r="N94" s="38"/>
      <c r="O94" s="38"/>
      <c r="P94" s="38"/>
      <c r="Q94" s="38"/>
      <c r="R94" s="38"/>
      <c r="S94" s="38"/>
      <c r="T94" s="38"/>
      <c r="U94" s="38"/>
      <c r="V94" s="38"/>
      <c r="W94" s="38"/>
      <c r="X94" s="38"/>
      <c r="Y94" s="35">
        <f>'4) Overige data'!Y69</f>
        <v>2960837094.8159423</v>
      </c>
      <c r="Z94" s="35">
        <f>'4) Overige data'!Z69</f>
        <v>3005145275.901782</v>
      </c>
      <c r="AA94" s="38"/>
      <c r="AB94" s="38"/>
    </row>
    <row r="95" spans="2:28" x14ac:dyDescent="0.2">
      <c r="B95" s="2" t="s">
        <v>206</v>
      </c>
      <c r="F95" s="2" t="s">
        <v>208</v>
      </c>
      <c r="L95" s="38"/>
      <c r="M95" s="38"/>
      <c r="N95" s="38"/>
      <c r="O95" s="38"/>
      <c r="P95" s="38"/>
      <c r="Q95" s="38"/>
      <c r="R95" s="38"/>
      <c r="S95" s="38"/>
      <c r="T95" s="38"/>
      <c r="U95" s="38"/>
      <c r="V95" s="38"/>
      <c r="W95" s="38"/>
      <c r="X95" s="38"/>
      <c r="Y95" s="38"/>
      <c r="Z95" s="35">
        <f>'4) Overige data'!Z70</f>
        <v>3005145275.901782</v>
      </c>
      <c r="AA95" s="35">
        <f>'4) Overige data'!AA70</f>
        <v>3049695601.1448069</v>
      </c>
      <c r="AB95" s="38"/>
    </row>
    <row r="96" spans="2:28" x14ac:dyDescent="0.2">
      <c r="B96" s="2" t="s">
        <v>333</v>
      </c>
      <c r="F96" s="2" t="s">
        <v>208</v>
      </c>
      <c r="L96" s="38"/>
      <c r="M96" s="38"/>
      <c r="N96" s="38"/>
      <c r="O96" s="38"/>
      <c r="P96" s="38"/>
      <c r="Q96" s="38"/>
      <c r="R96" s="38"/>
      <c r="S96" s="38"/>
      <c r="T96" s="38"/>
      <c r="U96" s="38"/>
      <c r="V96" s="38"/>
      <c r="W96" s="38"/>
      <c r="X96" s="38"/>
      <c r="Y96" s="38"/>
      <c r="Z96" s="38"/>
      <c r="AA96" s="35">
        <f>'4) Overige data'!AA71</f>
        <v>3049695601.1448069</v>
      </c>
      <c r="AB96" s="35">
        <f>'4) Overige data'!AB71</f>
        <v>3067750977.8854051</v>
      </c>
    </row>
    <row r="99" spans="2:28" s="7" customFormat="1" x14ac:dyDescent="0.2">
      <c r="B99" s="7" t="s">
        <v>225</v>
      </c>
    </row>
    <row r="101" spans="2:28" x14ac:dyDescent="0.2">
      <c r="B101" s="2" t="s">
        <v>226</v>
      </c>
      <c r="F101" s="2" t="s">
        <v>210</v>
      </c>
      <c r="L101" s="46">
        <f>(L61+L32)*(1+$H15)</f>
        <v>2047513015.820981</v>
      </c>
      <c r="M101" s="46">
        <f>M32+M61</f>
        <v>1999228563.3652978</v>
      </c>
      <c r="N101" s="45"/>
      <c r="O101" s="45"/>
      <c r="P101" s="45"/>
      <c r="Q101" s="45"/>
      <c r="R101" s="45"/>
      <c r="S101" s="45"/>
      <c r="T101" s="45"/>
      <c r="U101" s="45"/>
      <c r="V101" s="45"/>
      <c r="W101" s="45"/>
      <c r="X101" s="45"/>
      <c r="Y101" s="45"/>
      <c r="Z101" s="45"/>
      <c r="AA101" s="45"/>
      <c r="AB101" s="45"/>
    </row>
    <row r="102" spans="2:28" x14ac:dyDescent="0.2">
      <c r="B102" s="2" t="s">
        <v>227</v>
      </c>
      <c r="F102" s="2" t="s">
        <v>211</v>
      </c>
      <c r="L102" s="45"/>
      <c r="M102" s="46">
        <f>(M62+M33)*(1+$H16)</f>
        <v>2035214677.5058732</v>
      </c>
      <c r="N102" s="46">
        <f>N33+N62</f>
        <v>2040365405.1084292</v>
      </c>
      <c r="O102" s="45"/>
      <c r="P102" s="45"/>
      <c r="Q102" s="45"/>
      <c r="R102" s="45"/>
      <c r="S102" s="45"/>
      <c r="T102" s="45"/>
      <c r="U102" s="45"/>
      <c r="V102" s="45"/>
      <c r="W102" s="45"/>
      <c r="X102" s="45"/>
      <c r="Y102" s="45"/>
      <c r="Z102" s="45"/>
      <c r="AA102" s="45"/>
      <c r="AB102" s="45"/>
    </row>
    <row r="103" spans="2:28" x14ac:dyDescent="0.2">
      <c r="B103" s="2" t="s">
        <v>228</v>
      </c>
      <c r="F103" s="2" t="s">
        <v>212</v>
      </c>
      <c r="L103" s="45"/>
      <c r="M103" s="45"/>
      <c r="N103" s="46">
        <f>(N63+N34)*(1+$H17)</f>
        <v>1946022457.4791644</v>
      </c>
      <c r="O103" s="46">
        <f>O34+O63</f>
        <v>1977735974.1371641</v>
      </c>
      <c r="P103" s="45"/>
      <c r="Q103" s="45"/>
      <c r="R103" s="45"/>
      <c r="S103" s="45"/>
      <c r="T103" s="45"/>
      <c r="U103" s="45"/>
      <c r="V103" s="45"/>
      <c r="W103" s="45"/>
      <c r="X103" s="45"/>
      <c r="Y103" s="45"/>
      <c r="Z103" s="45"/>
      <c r="AA103" s="45"/>
      <c r="AB103" s="45"/>
    </row>
    <row r="104" spans="2:28" x14ac:dyDescent="0.2">
      <c r="B104" s="2" t="s">
        <v>229</v>
      </c>
      <c r="F104" s="2" t="s">
        <v>213</v>
      </c>
      <c r="L104" s="45"/>
      <c r="M104" s="45"/>
      <c r="N104" s="45"/>
      <c r="O104" s="46">
        <f>(O64+O35)*(1+$H18)</f>
        <v>1914701222.4396589</v>
      </c>
      <c r="P104" s="46">
        <f>P35+P64</f>
        <v>2036978714.3579674</v>
      </c>
      <c r="Q104" s="45"/>
      <c r="R104" s="45"/>
      <c r="S104" s="45"/>
      <c r="T104" s="45"/>
      <c r="U104" s="45"/>
      <c r="V104" s="45"/>
      <c r="W104" s="45"/>
      <c r="X104" s="45"/>
      <c r="Y104" s="45"/>
      <c r="Z104" s="45"/>
      <c r="AA104" s="45"/>
      <c r="AB104" s="45"/>
    </row>
    <row r="105" spans="2:28" x14ac:dyDescent="0.2">
      <c r="B105" s="2" t="s">
        <v>230</v>
      </c>
      <c r="F105" s="2" t="s">
        <v>214</v>
      </c>
      <c r="L105" s="45"/>
      <c r="M105" s="45"/>
      <c r="N105" s="45"/>
      <c r="O105" s="45"/>
      <c r="P105" s="46">
        <f>(P65+P36)*(1+$H19)</f>
        <v>1995426959.0804799</v>
      </c>
      <c r="Q105" s="46">
        <f>Q36+Q65</f>
        <v>2050013408.8235183</v>
      </c>
      <c r="R105" s="45"/>
      <c r="S105" s="45"/>
      <c r="T105" s="45"/>
      <c r="U105" s="45"/>
      <c r="V105" s="45"/>
      <c r="W105" s="45"/>
      <c r="X105" s="45"/>
      <c r="Y105" s="45"/>
      <c r="Z105" s="45"/>
      <c r="AA105" s="45"/>
      <c r="AB105" s="45"/>
    </row>
    <row r="106" spans="2:28" x14ac:dyDescent="0.2">
      <c r="B106" s="2" t="s">
        <v>231</v>
      </c>
      <c r="F106" s="2" t="s">
        <v>215</v>
      </c>
      <c r="L106" s="45"/>
      <c r="M106" s="45"/>
      <c r="N106" s="45"/>
      <c r="O106" s="45"/>
      <c r="P106" s="45"/>
      <c r="Q106" s="26">
        <f>(Q66+Q37+Q49+Q$78)*(1+$H20)</f>
        <v>2215927840.2690129</v>
      </c>
      <c r="R106" s="46">
        <f>R37+R49+R66+R$78</f>
        <v>2064661940.9020367</v>
      </c>
      <c r="S106" s="45"/>
      <c r="T106" s="45"/>
      <c r="U106" s="45"/>
      <c r="V106" s="45"/>
      <c r="W106" s="45"/>
      <c r="X106" s="45"/>
      <c r="Y106" s="45"/>
      <c r="Z106" s="45"/>
      <c r="AA106" s="45"/>
      <c r="AB106" s="45"/>
    </row>
    <row r="107" spans="2:28" x14ac:dyDescent="0.2">
      <c r="B107" s="2" t="s">
        <v>232</v>
      </c>
      <c r="F107" s="2" t="s">
        <v>216</v>
      </c>
      <c r="L107" s="45"/>
      <c r="M107" s="45"/>
      <c r="N107" s="45"/>
      <c r="O107" s="45"/>
      <c r="P107" s="45"/>
      <c r="Q107" s="45"/>
      <c r="R107" s="46">
        <f>(R67+R38+R50+R$78)*(1+$H21)</f>
        <v>2122565927.4620728</v>
      </c>
      <c r="S107" s="46">
        <f>S38+S50+S67+S$78</f>
        <v>2148979135.8933506</v>
      </c>
      <c r="T107" s="45"/>
      <c r="U107" s="45"/>
      <c r="V107" s="45"/>
      <c r="W107" s="45"/>
      <c r="X107" s="45"/>
      <c r="Y107" s="45"/>
      <c r="Z107" s="45"/>
      <c r="AA107" s="45"/>
      <c r="AB107" s="45"/>
    </row>
    <row r="108" spans="2:28" x14ac:dyDescent="0.2">
      <c r="B108" s="2" t="s">
        <v>233</v>
      </c>
      <c r="F108" s="2" t="s">
        <v>217</v>
      </c>
      <c r="L108" s="45"/>
      <c r="M108" s="45"/>
      <c r="N108" s="45"/>
      <c r="O108" s="45"/>
      <c r="P108" s="45"/>
      <c r="Q108" s="45"/>
      <c r="R108" s="45"/>
      <c r="S108" s="46">
        <f>(S68+S39+S51+S$78)*(1+$H22)</f>
        <v>2232986854.1687136</v>
      </c>
      <c r="T108" s="46">
        <f>T39+T51+T68+T$78</f>
        <v>2278561891.6270866</v>
      </c>
      <c r="U108" s="45"/>
      <c r="V108" s="45"/>
      <c r="W108" s="45"/>
      <c r="X108" s="45"/>
      <c r="Y108" s="45"/>
      <c r="Z108" s="45"/>
      <c r="AA108" s="45"/>
      <c r="AB108" s="45"/>
    </row>
    <row r="109" spans="2:28" x14ac:dyDescent="0.2">
      <c r="B109" s="2" t="s">
        <v>234</v>
      </c>
      <c r="F109" s="2" t="s">
        <v>218</v>
      </c>
      <c r="L109" s="45"/>
      <c r="M109" s="45"/>
      <c r="N109" s="45"/>
      <c r="O109" s="45"/>
      <c r="P109" s="45"/>
      <c r="Q109" s="45"/>
      <c r="R109" s="45"/>
      <c r="S109" s="45"/>
      <c r="T109" s="46">
        <f>(T69+T40+T52-T$79)*(1+$H23)</f>
        <v>2307925431.8811755</v>
      </c>
      <c r="U109" s="46">
        <f>U40+U52+U69-U$79</f>
        <v>2270133260.963232</v>
      </c>
      <c r="V109" s="45"/>
      <c r="W109" s="45"/>
      <c r="X109" s="45"/>
      <c r="Y109" s="45"/>
      <c r="Z109" s="45"/>
      <c r="AA109" s="45"/>
      <c r="AB109" s="45"/>
    </row>
    <row r="110" spans="2:28" x14ac:dyDescent="0.2">
      <c r="B110" s="2" t="s">
        <v>235</v>
      </c>
      <c r="F110" s="2" t="s">
        <v>219</v>
      </c>
      <c r="L110" s="45"/>
      <c r="M110" s="45"/>
      <c r="N110" s="45"/>
      <c r="O110" s="45"/>
      <c r="P110" s="45"/>
      <c r="Q110" s="45"/>
      <c r="R110" s="45"/>
      <c r="S110" s="45"/>
      <c r="T110" s="45"/>
      <c r="U110" s="46">
        <f>(U70+U41+U53-U$79)*(1+$H24)</f>
        <v>2211948296.5144658</v>
      </c>
      <c r="V110" s="46">
        <f>V41+V53+V70-V$79</f>
        <v>2134726456.4391074</v>
      </c>
      <c r="W110" s="45"/>
      <c r="X110" s="45"/>
      <c r="Y110" s="45"/>
      <c r="Z110" s="45"/>
      <c r="AA110" s="45"/>
      <c r="AB110" s="45"/>
    </row>
    <row r="111" spans="2:28" x14ac:dyDescent="0.2">
      <c r="B111" s="2" t="s">
        <v>236</v>
      </c>
      <c r="F111" s="2" t="s">
        <v>220</v>
      </c>
      <c r="L111" s="45"/>
      <c r="M111" s="45"/>
      <c r="N111" s="45"/>
      <c r="O111" s="45"/>
      <c r="P111" s="45"/>
      <c r="Q111" s="45"/>
      <c r="R111" s="45"/>
      <c r="S111" s="45"/>
      <c r="T111" s="45"/>
      <c r="U111" s="45"/>
      <c r="V111" s="46">
        <f>(V71+V42+V54-V$79)*(1+$H25)</f>
        <v>2026554047.4175842</v>
      </c>
      <c r="W111" s="26">
        <f>W42+W54+W71-W$79</f>
        <v>2018595602.2370713</v>
      </c>
      <c r="X111" s="45"/>
      <c r="Y111" s="45"/>
      <c r="Z111" s="45"/>
      <c r="AA111" s="45"/>
      <c r="AB111" s="45"/>
    </row>
    <row r="112" spans="2:28" x14ac:dyDescent="0.2">
      <c r="B112" s="2" t="s">
        <v>237</v>
      </c>
      <c r="F112" s="2" t="s">
        <v>221</v>
      </c>
      <c r="L112" s="45"/>
      <c r="M112" s="45"/>
      <c r="N112" s="45"/>
      <c r="O112" s="45"/>
      <c r="P112" s="45"/>
      <c r="Q112" s="45"/>
      <c r="R112" s="45"/>
      <c r="S112" s="45"/>
      <c r="T112" s="45"/>
      <c r="U112" s="45"/>
      <c r="V112" s="45"/>
      <c r="W112" s="46">
        <f>(W72+W43+W55)*(1+$H26)-W$78</f>
        <v>2034951282.5157135</v>
      </c>
      <c r="X112" s="46">
        <f>X43+X55+X72-X$78</f>
        <v>2011476940.761241</v>
      </c>
      <c r="Y112" s="45"/>
      <c r="Z112" s="45"/>
      <c r="AA112" s="45"/>
      <c r="AB112" s="45"/>
    </row>
    <row r="113" spans="2:28" x14ac:dyDescent="0.2">
      <c r="B113" s="2" t="s">
        <v>238</v>
      </c>
      <c r="F113" s="2" t="s">
        <v>222</v>
      </c>
      <c r="L113" s="45"/>
      <c r="M113" s="45"/>
      <c r="N113" s="45"/>
      <c r="O113" s="45"/>
      <c r="P113" s="45"/>
      <c r="Q113" s="45"/>
      <c r="R113" s="45"/>
      <c r="S113" s="45"/>
      <c r="T113" s="45"/>
      <c r="U113" s="45"/>
      <c r="V113" s="45"/>
      <c r="W113" s="45"/>
      <c r="X113" s="46">
        <f>(X73+X44+X56)*(1+$H27)-X$78</f>
        <v>2019636495.7290719</v>
      </c>
      <c r="Y113" s="46">
        <f>Y44+Y56+Y73-Y$78</f>
        <v>2053894351.53883</v>
      </c>
      <c r="Z113" s="45"/>
      <c r="AA113" s="45"/>
      <c r="AB113" s="45"/>
    </row>
    <row r="114" spans="2:28" x14ac:dyDescent="0.2">
      <c r="B114" s="2" t="s">
        <v>239</v>
      </c>
      <c r="F114" s="2" t="s">
        <v>223</v>
      </c>
      <c r="L114" s="45"/>
      <c r="M114" s="45"/>
      <c r="N114" s="45"/>
      <c r="O114" s="45"/>
      <c r="P114" s="45"/>
      <c r="Q114" s="45"/>
      <c r="R114" s="45"/>
      <c r="S114" s="45"/>
      <c r="T114" s="45"/>
      <c r="U114" s="45"/>
      <c r="V114" s="45"/>
      <c r="W114" s="45"/>
      <c r="X114" s="45"/>
      <c r="Y114" s="46">
        <f>(Y74+Y45+Y57)*(1+$H28)-Y$78</f>
        <v>2075405385.923173</v>
      </c>
      <c r="Z114" s="46">
        <f>Z45+Z57+Z74-Z$78</f>
        <v>2133457359.9515102</v>
      </c>
      <c r="AA114" s="45"/>
      <c r="AB114" s="45"/>
    </row>
    <row r="115" spans="2:28" x14ac:dyDescent="0.2">
      <c r="B115" s="2" t="s">
        <v>240</v>
      </c>
      <c r="F115" s="2" t="s">
        <v>224</v>
      </c>
      <c r="L115" s="45"/>
      <c r="M115" s="45"/>
      <c r="N115" s="45"/>
      <c r="O115" s="45"/>
      <c r="P115" s="45"/>
      <c r="Q115" s="45"/>
      <c r="R115" s="45"/>
      <c r="S115" s="45"/>
      <c r="T115" s="45"/>
      <c r="U115" s="45"/>
      <c r="V115" s="45"/>
      <c r="W115" s="45"/>
      <c r="X115" s="45"/>
      <c r="Y115" s="45"/>
      <c r="Z115" s="46">
        <f>(Z75+Z46+Z58)*(1+$H29)-Z$78</f>
        <v>2152934125.0890517</v>
      </c>
      <c r="AA115" s="46">
        <f>AA46+AA58+AA75-AA$78</f>
        <v>2242697126.8501148</v>
      </c>
      <c r="AB115" s="45"/>
    </row>
    <row r="116" spans="2:28" x14ac:dyDescent="0.2">
      <c r="B116" s="2" t="s">
        <v>335</v>
      </c>
      <c r="F116" s="2" t="s">
        <v>336</v>
      </c>
      <c r="L116" s="45"/>
      <c r="M116" s="45"/>
      <c r="N116" s="45"/>
      <c r="O116" s="45"/>
      <c r="P116" s="45"/>
      <c r="Q116" s="45"/>
      <c r="R116" s="45"/>
      <c r="S116" s="45"/>
      <c r="T116" s="45"/>
      <c r="U116" s="45"/>
      <c r="V116" s="45"/>
      <c r="W116" s="45"/>
      <c r="X116" s="45"/>
      <c r="Y116" s="45"/>
      <c r="Z116" s="45"/>
      <c r="AA116" s="46">
        <f>(AA76+AA47+AA59)*(1+$H30)-AA$78</f>
        <v>2280981949.4243474</v>
      </c>
      <c r="AB116" s="46">
        <f>AB47+AB59+AB76-AB$78</f>
        <v>2360962077.8187881</v>
      </c>
    </row>
    <row r="118" spans="2:28" s="7" customFormat="1" x14ac:dyDescent="0.2">
      <c r="B118" s="7" t="s">
        <v>241</v>
      </c>
    </row>
    <row r="120" spans="2:28" x14ac:dyDescent="0.2">
      <c r="B120" s="2" t="s">
        <v>242</v>
      </c>
      <c r="F120" s="2" t="s">
        <v>209</v>
      </c>
      <c r="L120" s="38"/>
      <c r="M120" s="42">
        <f>1-(M101/M81)/(L101/L81)</f>
        <v>3.4511099087738528E-2</v>
      </c>
      <c r="N120" s="42">
        <f>1-(N102/N82)/(M102/M82)</f>
        <v>2.0263312020231572E-2</v>
      </c>
      <c r="O120" s="42">
        <f>1-(O103/O83)/(N103/N83)</f>
        <v>-4.4977983556795387E-3</v>
      </c>
      <c r="P120" s="42">
        <f>1-(P104/P84)/(O104/O84)</f>
        <v>-5.4841836649097031E-2</v>
      </c>
      <c r="Q120" s="42">
        <f>1-(Q105/Q85)/(P105/P85)</f>
        <v>-2.5731946074064593E-2</v>
      </c>
      <c r="R120" s="42">
        <f>1-(R106/R86)/(Q106/Q86)</f>
        <v>6.4236156458680416E-2</v>
      </c>
      <c r="S120" s="42">
        <f>1-(S107/S87)/(R107/R87)</f>
        <v>-1.1506090111796929E-3</v>
      </c>
      <c r="T120" s="42">
        <f>1-(T108/T88)/(S108/S88)</f>
        <v>-1.909190063919608E-2</v>
      </c>
      <c r="U120" s="42">
        <f>1-(U109/U89)/(T109/T89)</f>
        <v>1.4284239734369208E-2</v>
      </c>
      <c r="V120" s="42">
        <f>1-(V110/V90)/(U110/U90)</f>
        <v>3.384485400774262E-2</v>
      </c>
      <c r="W120" s="42">
        <f>1-(W111/W91)/(V111/V91)</f>
        <v>1.2020696961099087E-2</v>
      </c>
      <c r="X120" s="42">
        <f>1-(X112/X92)/(W112/W92)</f>
        <v>2.9675713432863571E-2</v>
      </c>
      <c r="Y120" s="42">
        <f>1-(Y113/Y93)/(X113/X93)</f>
        <v>-1.4075035912251455E-2</v>
      </c>
      <c r="Z120" s="42">
        <f>1-(Z114/Z94)/(Y114/Y94)</f>
        <v>-1.2814870929051425E-2</v>
      </c>
      <c r="AA120" s="42">
        <f>1-(AA115/AA95)/(Z115/Z95)</f>
        <v>-2.6476150838703694E-2</v>
      </c>
      <c r="AB120" s="42">
        <f>1-(AB116/AB96)/(AA116/AA96)</f>
        <v>-2.8971990468924735E-2</v>
      </c>
    </row>
    <row r="122" spans="2:28" x14ac:dyDescent="0.2">
      <c r="B122" s="2" t="s">
        <v>243</v>
      </c>
      <c r="F122" s="2" t="s">
        <v>208</v>
      </c>
      <c r="L122" s="38"/>
      <c r="M122" s="48">
        <f>1+M120</f>
        <v>1.0345110990877386</v>
      </c>
      <c r="N122" s="48">
        <f t="shared" ref="N122:AB122" si="0">1+N120</f>
        <v>1.0202633120202316</v>
      </c>
      <c r="O122" s="48">
        <f t="shared" si="0"/>
        <v>0.99550220164432046</v>
      </c>
      <c r="P122" s="48">
        <f t="shared" si="0"/>
        <v>0.94515816335090297</v>
      </c>
      <c r="Q122" s="48">
        <f t="shared" si="0"/>
        <v>0.97426805392593541</v>
      </c>
      <c r="R122" s="48">
        <f t="shared" si="0"/>
        <v>1.0642361564586804</v>
      </c>
      <c r="S122" s="48">
        <f t="shared" si="0"/>
        <v>0.99884939098882031</v>
      </c>
      <c r="T122" s="48">
        <f t="shared" si="0"/>
        <v>0.98090809936080392</v>
      </c>
      <c r="U122" s="48">
        <f t="shared" si="0"/>
        <v>1.0142842397343692</v>
      </c>
      <c r="V122" s="48">
        <f t="shared" si="0"/>
        <v>1.0338448540077425</v>
      </c>
      <c r="W122" s="48">
        <f t="shared" si="0"/>
        <v>1.0120206969610992</v>
      </c>
      <c r="X122" s="48">
        <f t="shared" si="0"/>
        <v>1.0296757134328636</v>
      </c>
      <c r="Y122" s="48">
        <f t="shared" si="0"/>
        <v>0.98592496408774855</v>
      </c>
      <c r="Z122" s="48">
        <f t="shared" si="0"/>
        <v>0.98718512907094857</v>
      </c>
      <c r="AA122" s="48">
        <f t="shared" si="0"/>
        <v>0.97352384916129631</v>
      </c>
      <c r="AB122" s="48">
        <f t="shared" si="0"/>
        <v>0.97102800953107526</v>
      </c>
    </row>
    <row r="124" spans="2:28" x14ac:dyDescent="0.2">
      <c r="B124" s="2" t="s">
        <v>244</v>
      </c>
      <c r="F124" s="2" t="s">
        <v>209</v>
      </c>
      <c r="H124" s="49">
        <f>GEOMEAN(M122:AB122)-1</f>
        <v>8.8756134879797166E-4</v>
      </c>
    </row>
    <row r="126" spans="2:28" x14ac:dyDescent="0.2">
      <c r="L126" s="53"/>
    </row>
    <row r="127" spans="2:28" ht="15" x14ac:dyDescent="0.2">
      <c r="L127" s="54"/>
    </row>
    <row r="128" spans="2:28" x14ac:dyDescent="0.2">
      <c r="M128" s="55"/>
      <c r="N128" s="55"/>
      <c r="O128" s="55"/>
      <c r="P128" s="55"/>
      <c r="Q128" s="55"/>
      <c r="R128" s="55"/>
      <c r="S128" s="55"/>
      <c r="T128" s="55"/>
      <c r="U128" s="55"/>
      <c r="V128" s="55"/>
      <c r="W128" s="55"/>
      <c r="X128" s="55"/>
      <c r="Y128" s="55"/>
      <c r="Z128" s="55"/>
      <c r="AA128" s="55"/>
      <c r="AB128" s="55"/>
    </row>
    <row r="129" spans="12:28" ht="15" x14ac:dyDescent="0.2">
      <c r="L129" s="54"/>
      <c r="M129" s="31"/>
      <c r="N129" s="31"/>
    </row>
    <row r="130" spans="12:28" x14ac:dyDescent="0.2">
      <c r="M130" s="55"/>
      <c r="N130" s="55"/>
      <c r="O130" s="55"/>
      <c r="P130" s="55"/>
      <c r="Q130" s="55"/>
      <c r="R130" s="55"/>
      <c r="S130" s="55"/>
      <c r="T130" s="55"/>
      <c r="U130" s="55"/>
      <c r="V130" s="55"/>
      <c r="W130" s="55"/>
      <c r="X130" s="55"/>
      <c r="Y130" s="55"/>
      <c r="Z130" s="55"/>
      <c r="AA130" s="55"/>
      <c r="AB130" s="55"/>
    </row>
    <row r="132" spans="12:28" x14ac:dyDescent="0.2">
      <c r="L132" s="56"/>
    </row>
    <row r="133" spans="12:28" x14ac:dyDescent="0.2">
      <c r="L133" s="53"/>
      <c r="M133" s="53"/>
      <c r="N133" s="53"/>
      <c r="O133" s="53"/>
      <c r="P133" s="53"/>
      <c r="Q133" s="53"/>
      <c r="R133" s="53"/>
      <c r="S133" s="53"/>
      <c r="T133" s="53"/>
      <c r="U133" s="53"/>
      <c r="V133" s="53"/>
      <c r="W133" s="53"/>
      <c r="X133" s="53"/>
      <c r="Y133" s="53"/>
      <c r="Z133" s="53"/>
      <c r="AA133" s="53"/>
      <c r="AB133" s="53"/>
    </row>
    <row r="134" spans="12:28" x14ac:dyDescent="0.2">
      <c r="M134" s="53"/>
      <c r="N134" s="53"/>
      <c r="O134" s="53"/>
      <c r="P134" s="53"/>
      <c r="Q134" s="53"/>
      <c r="R134" s="53"/>
      <c r="S134" s="53"/>
      <c r="T134" s="53"/>
      <c r="U134" s="53"/>
      <c r="V134" s="53"/>
      <c r="W134" s="53"/>
      <c r="X134" s="53"/>
      <c r="Y134" s="53"/>
      <c r="Z134" s="53"/>
      <c r="AA134" s="53"/>
      <c r="AB134" s="53"/>
    </row>
    <row r="135" spans="12:28" x14ac:dyDescent="0.2">
      <c r="L135" s="53"/>
      <c r="N135" s="53"/>
      <c r="O135" s="53"/>
      <c r="P135" s="53"/>
      <c r="Q135" s="53"/>
      <c r="R135" s="53"/>
      <c r="S135" s="53"/>
      <c r="T135" s="53"/>
      <c r="U135" s="53"/>
      <c r="V135" s="53"/>
      <c r="W135" s="53"/>
      <c r="X135" s="53"/>
      <c r="Y135" s="53"/>
      <c r="Z135" s="53"/>
      <c r="AA135" s="53"/>
      <c r="AB135" s="53"/>
    </row>
    <row r="136" spans="12:28" x14ac:dyDescent="0.2">
      <c r="L136" s="53"/>
      <c r="M136" s="53"/>
      <c r="O136" s="53"/>
      <c r="P136" s="53"/>
      <c r="Q136" s="53"/>
      <c r="R136" s="53"/>
      <c r="S136" s="53"/>
      <c r="T136" s="53"/>
      <c r="U136" s="53"/>
      <c r="V136" s="53"/>
      <c r="W136" s="53"/>
      <c r="X136" s="53"/>
      <c r="Y136" s="53"/>
      <c r="Z136" s="53"/>
      <c r="AA136" s="53"/>
      <c r="AB136" s="53"/>
    </row>
    <row r="137" spans="12:28" x14ac:dyDescent="0.2">
      <c r="L137" s="53"/>
      <c r="M137" s="53"/>
      <c r="N137" s="53"/>
      <c r="P137" s="53"/>
      <c r="Q137" s="53"/>
      <c r="R137" s="53"/>
      <c r="S137" s="53"/>
      <c r="T137" s="53"/>
      <c r="U137" s="53"/>
      <c r="V137" s="53"/>
      <c r="W137" s="53"/>
      <c r="X137" s="53"/>
      <c r="Y137" s="53"/>
      <c r="Z137" s="53"/>
      <c r="AA137" s="53"/>
      <c r="AB137" s="53"/>
    </row>
    <row r="138" spans="12:28" x14ac:dyDescent="0.2">
      <c r="L138" s="53"/>
      <c r="M138" s="53"/>
      <c r="N138" s="53"/>
      <c r="O138" s="53"/>
      <c r="Q138" s="53"/>
      <c r="R138" s="53"/>
      <c r="S138" s="53"/>
      <c r="T138" s="53"/>
      <c r="U138" s="53"/>
      <c r="V138" s="53"/>
      <c r="W138" s="53"/>
      <c r="X138" s="53"/>
      <c r="Y138" s="53"/>
      <c r="Z138" s="53"/>
      <c r="AA138" s="53"/>
      <c r="AB138" s="53"/>
    </row>
    <row r="139" spans="12:28" x14ac:dyDescent="0.2">
      <c r="L139" s="53"/>
      <c r="M139" s="53"/>
      <c r="N139" s="53"/>
      <c r="O139" s="53"/>
      <c r="P139" s="53"/>
      <c r="R139" s="53"/>
      <c r="S139" s="53"/>
      <c r="T139" s="53"/>
      <c r="U139" s="53"/>
      <c r="V139" s="53"/>
      <c r="W139" s="53"/>
      <c r="X139" s="53"/>
      <c r="Y139" s="53"/>
      <c r="Z139" s="53"/>
      <c r="AA139" s="53"/>
      <c r="AB139" s="53"/>
    </row>
    <row r="140" spans="12:28" x14ac:dyDescent="0.2">
      <c r="L140" s="53"/>
      <c r="M140" s="53"/>
      <c r="N140" s="53"/>
      <c r="O140" s="53"/>
      <c r="P140" s="53"/>
      <c r="Q140" s="53"/>
      <c r="R140" s="53"/>
      <c r="S140" s="53"/>
      <c r="T140" s="53"/>
      <c r="U140" s="53"/>
      <c r="V140" s="53"/>
      <c r="W140" s="53"/>
      <c r="X140" s="53"/>
      <c r="Y140" s="53"/>
      <c r="Z140" s="53"/>
      <c r="AA140" s="53"/>
      <c r="AB140" s="53"/>
    </row>
    <row r="141" spans="12:28" x14ac:dyDescent="0.2">
      <c r="L141" s="53"/>
      <c r="M141" s="53"/>
      <c r="N141" s="53"/>
      <c r="O141" s="53"/>
      <c r="P141" s="53"/>
      <c r="Q141" s="53"/>
      <c r="R141" s="53"/>
      <c r="T141" s="53"/>
      <c r="U141" s="53"/>
      <c r="V141" s="53"/>
      <c r="W141" s="53"/>
      <c r="X141" s="53"/>
      <c r="Y141" s="53"/>
      <c r="Z141" s="53"/>
      <c r="AA141" s="53"/>
      <c r="AB141" s="53"/>
    </row>
    <row r="142" spans="12:28" x14ac:dyDescent="0.2">
      <c r="L142" s="53"/>
      <c r="M142" s="53"/>
      <c r="N142" s="53"/>
      <c r="O142" s="53"/>
      <c r="P142" s="53"/>
      <c r="Q142" s="53"/>
      <c r="R142" s="53"/>
      <c r="S142" s="53"/>
      <c r="T142" s="53"/>
      <c r="U142" s="53"/>
      <c r="V142" s="53"/>
      <c r="W142" s="53"/>
      <c r="X142" s="53"/>
      <c r="Y142" s="53"/>
      <c r="Z142" s="53"/>
      <c r="AA142" s="53"/>
      <c r="AB142" s="53"/>
    </row>
    <row r="143" spans="12:28" x14ac:dyDescent="0.2">
      <c r="L143" s="53"/>
      <c r="M143" s="53"/>
      <c r="N143" s="53"/>
      <c r="O143" s="53"/>
      <c r="P143" s="53"/>
      <c r="Q143" s="53"/>
      <c r="R143" s="53"/>
      <c r="S143" s="53"/>
      <c r="T143" s="53"/>
      <c r="U143" s="53"/>
      <c r="V143" s="53"/>
      <c r="W143" s="53"/>
      <c r="X143" s="53"/>
      <c r="Y143" s="53"/>
      <c r="Z143" s="53"/>
      <c r="AA143" s="53"/>
      <c r="AB143" s="53"/>
    </row>
    <row r="144" spans="12:28" x14ac:dyDescent="0.2">
      <c r="L144" s="53"/>
      <c r="M144" s="53"/>
      <c r="N144" s="53"/>
      <c r="O144" s="53"/>
      <c r="P144" s="53"/>
      <c r="Q144" s="53"/>
      <c r="R144" s="53"/>
      <c r="S144" s="53"/>
      <c r="T144" s="53"/>
      <c r="U144" s="53"/>
      <c r="W144" s="53"/>
      <c r="X144" s="53"/>
      <c r="Y144" s="53"/>
      <c r="Z144" s="53"/>
      <c r="AA144" s="53"/>
      <c r="AB144" s="53"/>
    </row>
    <row r="145" spans="12:28" x14ac:dyDescent="0.2">
      <c r="L145" s="53"/>
      <c r="M145" s="53"/>
      <c r="N145" s="53"/>
      <c r="O145" s="53"/>
      <c r="P145" s="53"/>
      <c r="Q145" s="53"/>
      <c r="R145" s="53"/>
      <c r="S145" s="53"/>
      <c r="T145" s="53"/>
      <c r="U145" s="53"/>
      <c r="V145" s="53"/>
      <c r="W145" s="53"/>
      <c r="X145" s="53"/>
      <c r="Y145" s="53"/>
      <c r="Z145" s="53"/>
      <c r="AA145" s="53"/>
      <c r="AB145" s="53"/>
    </row>
    <row r="146" spans="12:28" x14ac:dyDescent="0.2">
      <c r="L146" s="53"/>
      <c r="M146" s="53"/>
      <c r="N146" s="53"/>
      <c r="O146" s="53"/>
      <c r="P146" s="53"/>
      <c r="Q146" s="53"/>
      <c r="R146" s="53"/>
      <c r="S146" s="53"/>
      <c r="T146" s="53"/>
      <c r="U146" s="53"/>
      <c r="V146" s="53"/>
      <c r="W146" s="53"/>
      <c r="X146" s="53"/>
      <c r="Y146" s="53"/>
      <c r="Z146" s="53"/>
      <c r="AA146" s="53"/>
      <c r="AB146" s="53"/>
    </row>
    <row r="147" spans="12:28" x14ac:dyDescent="0.2">
      <c r="L147" s="53"/>
      <c r="M147" s="53"/>
      <c r="N147" s="53"/>
      <c r="O147" s="53"/>
      <c r="P147" s="53"/>
      <c r="Q147" s="53"/>
      <c r="R147" s="53"/>
      <c r="S147" s="53"/>
      <c r="T147" s="53"/>
      <c r="U147" s="53"/>
      <c r="V147" s="53"/>
      <c r="W147" s="53"/>
      <c r="X147" s="53"/>
      <c r="Y147" s="53"/>
      <c r="Z147" s="53"/>
      <c r="AA147" s="53"/>
      <c r="AB147" s="53"/>
    </row>
    <row r="148" spans="12:28" x14ac:dyDescent="0.2">
      <c r="L148" s="53"/>
      <c r="M148" s="53"/>
      <c r="N148" s="53"/>
      <c r="O148" s="53"/>
      <c r="P148" s="53"/>
      <c r="Q148" s="53"/>
      <c r="R148" s="53"/>
      <c r="S148" s="53"/>
      <c r="T148" s="53"/>
      <c r="U148" s="53"/>
      <c r="V148" s="53"/>
      <c r="W148" s="53"/>
      <c r="X148" s="53"/>
      <c r="Y148" s="53"/>
      <c r="Z148" s="53"/>
      <c r="AA148" s="53"/>
      <c r="AB148" s="53"/>
    </row>
    <row r="149" spans="12:28" x14ac:dyDescent="0.2">
      <c r="L149" s="53"/>
      <c r="M149" s="53"/>
      <c r="N149" s="53"/>
      <c r="O149" s="53"/>
      <c r="P149" s="53"/>
      <c r="Q149" s="53"/>
      <c r="R149" s="53"/>
      <c r="S149" s="53"/>
      <c r="T149" s="53"/>
      <c r="U149" s="53"/>
      <c r="V149" s="53"/>
      <c r="W149" s="53"/>
      <c r="X149" s="53"/>
      <c r="Y149" s="53"/>
      <c r="Z149" s="53"/>
      <c r="AA149" s="53"/>
      <c r="AB149" s="53"/>
    </row>
    <row r="150" spans="12:28" x14ac:dyDescent="0.2">
      <c r="L150" s="53"/>
      <c r="M150" s="53"/>
      <c r="N150" s="53"/>
      <c r="O150" s="53"/>
      <c r="P150" s="53"/>
      <c r="Q150" s="53"/>
      <c r="R150" s="53"/>
      <c r="S150" s="53"/>
      <c r="T150" s="53"/>
      <c r="U150" s="53"/>
      <c r="V150" s="53"/>
      <c r="W150" s="53"/>
      <c r="X150" s="53"/>
      <c r="Y150" s="53"/>
      <c r="Z150" s="53"/>
      <c r="AA150" s="53"/>
      <c r="AB150" s="53"/>
    </row>
    <row r="151" spans="12:28" x14ac:dyDescent="0.2">
      <c r="L151" s="53"/>
      <c r="M151" s="53"/>
      <c r="N151" s="53"/>
      <c r="O151" s="53"/>
      <c r="P151" s="53"/>
      <c r="Q151" s="53"/>
      <c r="R151" s="53"/>
      <c r="S151" s="53"/>
      <c r="T151" s="53"/>
      <c r="U151" s="53"/>
      <c r="V151" s="53"/>
      <c r="W151" s="53"/>
      <c r="X151" s="53"/>
      <c r="Y151" s="53"/>
      <c r="Z151" s="53"/>
      <c r="AA151" s="53"/>
      <c r="AB151" s="53"/>
    </row>
    <row r="152" spans="12:28" x14ac:dyDescent="0.2">
      <c r="L152" s="53"/>
      <c r="M152" s="53"/>
      <c r="N152" s="53"/>
      <c r="O152" s="53"/>
      <c r="P152" s="53"/>
      <c r="Q152" s="53"/>
      <c r="R152" s="53"/>
      <c r="S152" s="53"/>
      <c r="T152" s="53"/>
      <c r="U152" s="53"/>
      <c r="V152" s="53"/>
      <c r="W152" s="53"/>
      <c r="X152" s="53"/>
      <c r="Y152" s="53"/>
      <c r="Z152" s="53"/>
      <c r="AA152" s="53"/>
      <c r="AB152" s="53"/>
    </row>
    <row r="153" spans="12:28" ht="15" x14ac:dyDescent="0.2">
      <c r="L153" s="54"/>
      <c r="M153" s="53"/>
      <c r="N153" s="53"/>
      <c r="O153" s="53"/>
      <c r="P153" s="53"/>
      <c r="Q153" s="53"/>
      <c r="R153" s="53"/>
      <c r="S153" s="53"/>
      <c r="T153" s="53"/>
      <c r="U153" s="53"/>
      <c r="V153" s="53"/>
      <c r="W153" s="53"/>
      <c r="X153" s="53"/>
      <c r="Y153" s="53"/>
      <c r="Z153" s="53"/>
      <c r="AA153" s="53"/>
      <c r="AB153" s="53"/>
    </row>
    <row r="154" spans="12:28" x14ac:dyDescent="0.2">
      <c r="L154" s="53"/>
      <c r="M154" s="53"/>
      <c r="N154" s="53"/>
      <c r="O154" s="53"/>
      <c r="P154" s="53"/>
      <c r="Q154" s="53"/>
      <c r="R154" s="53"/>
      <c r="S154" s="53"/>
      <c r="T154" s="53"/>
      <c r="U154" s="53"/>
      <c r="V154" s="53"/>
      <c r="W154" s="53"/>
      <c r="X154" s="53"/>
      <c r="Y154" s="53"/>
      <c r="Z154" s="53"/>
      <c r="AA154" s="53"/>
      <c r="AB154" s="53"/>
    </row>
    <row r="155" spans="12:28" x14ac:dyDescent="0.2">
      <c r="L155" s="53"/>
      <c r="M155" s="53"/>
      <c r="N155" s="53"/>
      <c r="O155" s="53"/>
      <c r="P155" s="53"/>
      <c r="Q155" s="53"/>
      <c r="R155" s="53"/>
      <c r="S155" s="53"/>
      <c r="T155" s="53"/>
      <c r="U155" s="53"/>
      <c r="V155" s="53"/>
      <c r="W155" s="53"/>
      <c r="X155" s="53"/>
      <c r="Y155" s="53"/>
      <c r="Z155" s="53"/>
      <c r="AA155" s="53"/>
      <c r="AB155" s="53"/>
    </row>
    <row r="156" spans="12:28" x14ac:dyDescent="0.2">
      <c r="L156" s="53"/>
      <c r="M156" s="53"/>
      <c r="N156" s="53"/>
      <c r="O156" s="53"/>
      <c r="P156" s="53"/>
      <c r="Q156" s="53"/>
      <c r="R156" s="53"/>
      <c r="S156" s="53"/>
      <c r="T156" s="53"/>
      <c r="U156" s="53"/>
      <c r="V156" s="53"/>
      <c r="W156" s="53"/>
      <c r="X156" s="53"/>
      <c r="Y156" s="53"/>
      <c r="Z156" s="53"/>
      <c r="AA156" s="53"/>
      <c r="AB156" s="53"/>
    </row>
    <row r="157" spans="12:28" x14ac:dyDescent="0.2">
      <c r="L157" s="53"/>
      <c r="M157" s="53"/>
      <c r="N157" s="53"/>
      <c r="O157" s="53"/>
      <c r="P157" s="53"/>
      <c r="Q157" s="53"/>
      <c r="R157" s="53"/>
      <c r="S157" s="53"/>
      <c r="T157" s="53"/>
      <c r="U157" s="53"/>
      <c r="V157" s="53"/>
      <c r="W157" s="53"/>
      <c r="X157" s="53"/>
      <c r="Y157" s="53"/>
      <c r="Z157" s="53"/>
      <c r="AA157" s="53"/>
      <c r="AB157" s="53"/>
    </row>
    <row r="158" spans="12:28" x14ac:dyDescent="0.2">
      <c r="L158" s="53"/>
      <c r="M158" s="53"/>
      <c r="N158" s="53"/>
      <c r="O158" s="53"/>
      <c r="P158" s="53"/>
      <c r="Q158" s="53"/>
      <c r="R158" s="53"/>
      <c r="S158" s="53"/>
      <c r="T158" s="53"/>
      <c r="U158" s="53"/>
      <c r="V158" s="53"/>
      <c r="W158" s="53"/>
      <c r="X158" s="53"/>
      <c r="Y158" s="53"/>
      <c r="Z158" s="53"/>
      <c r="AA158" s="53"/>
      <c r="AB158" s="53"/>
    </row>
    <row r="159" spans="12:28" x14ac:dyDescent="0.2">
      <c r="L159" s="53"/>
      <c r="M159" s="53"/>
      <c r="N159" s="53"/>
      <c r="O159" s="53"/>
      <c r="P159" s="53"/>
      <c r="Q159" s="53"/>
      <c r="R159" s="53"/>
      <c r="S159" s="53"/>
      <c r="T159" s="53"/>
      <c r="U159" s="53"/>
      <c r="V159" s="53"/>
      <c r="W159" s="53"/>
      <c r="X159" s="53"/>
      <c r="Y159" s="53"/>
      <c r="Z159" s="53"/>
      <c r="AA159" s="53"/>
      <c r="AB159" s="53"/>
    </row>
    <row r="160" spans="12:28" x14ac:dyDescent="0.2">
      <c r="L160" s="53"/>
      <c r="M160" s="53"/>
      <c r="N160" s="53"/>
      <c r="O160" s="53"/>
      <c r="P160" s="53"/>
      <c r="Q160" s="53"/>
      <c r="R160" s="53"/>
      <c r="S160" s="53"/>
      <c r="T160" s="53"/>
      <c r="U160" s="53"/>
      <c r="V160" s="53"/>
      <c r="W160" s="53"/>
      <c r="X160" s="53"/>
      <c r="Y160" s="53"/>
      <c r="Z160" s="53"/>
      <c r="AA160" s="53"/>
      <c r="AB160" s="53"/>
    </row>
    <row r="161" spans="12:28" x14ac:dyDescent="0.2">
      <c r="L161" s="53"/>
      <c r="M161" s="53"/>
      <c r="N161" s="53"/>
      <c r="O161" s="53"/>
      <c r="P161" s="53"/>
      <c r="Q161" s="53"/>
      <c r="R161" s="53"/>
      <c r="S161" s="53"/>
      <c r="T161" s="53"/>
      <c r="U161" s="53"/>
      <c r="V161" s="53"/>
      <c r="W161" s="53"/>
      <c r="X161" s="53"/>
      <c r="Y161" s="53"/>
      <c r="Z161" s="53"/>
      <c r="AA161" s="53"/>
      <c r="AB161" s="53"/>
    </row>
    <row r="162" spans="12:28" x14ac:dyDescent="0.2">
      <c r="L162" s="53"/>
      <c r="M162" s="53"/>
      <c r="N162" s="53"/>
      <c r="O162" s="53"/>
      <c r="P162" s="53"/>
      <c r="Q162" s="53"/>
      <c r="R162" s="53"/>
      <c r="S162" s="53"/>
      <c r="T162" s="53"/>
      <c r="U162" s="53"/>
      <c r="V162" s="53"/>
      <c r="W162" s="53"/>
      <c r="X162" s="53"/>
      <c r="Y162" s="53"/>
      <c r="Z162" s="53"/>
      <c r="AA162" s="53"/>
      <c r="AB162" s="53"/>
    </row>
    <row r="163" spans="12:28" x14ac:dyDescent="0.2">
      <c r="L163" s="53"/>
      <c r="M163" s="53"/>
      <c r="N163" s="53"/>
      <c r="O163" s="53"/>
      <c r="P163" s="53"/>
      <c r="Q163" s="53"/>
      <c r="R163" s="53"/>
      <c r="S163" s="53"/>
      <c r="T163" s="53"/>
      <c r="U163" s="53"/>
      <c r="V163" s="53"/>
      <c r="W163" s="53"/>
      <c r="X163" s="53"/>
      <c r="Y163" s="53"/>
      <c r="Z163" s="53"/>
      <c r="AA163" s="53"/>
      <c r="AB163" s="53"/>
    </row>
    <row r="164" spans="12:28" x14ac:dyDescent="0.2">
      <c r="L164" s="53"/>
      <c r="M164" s="53"/>
      <c r="N164" s="53"/>
      <c r="O164" s="53"/>
      <c r="P164" s="53"/>
      <c r="Q164" s="53"/>
      <c r="R164" s="53"/>
      <c r="S164" s="53"/>
      <c r="T164" s="53"/>
      <c r="U164" s="53"/>
      <c r="V164" s="53"/>
      <c r="W164" s="53"/>
      <c r="X164" s="53"/>
      <c r="Y164" s="53"/>
      <c r="Z164" s="53"/>
      <c r="AA164" s="53"/>
      <c r="AB164" s="53"/>
    </row>
    <row r="165" spans="12:28" x14ac:dyDescent="0.2">
      <c r="L165" s="53"/>
      <c r="M165" s="53"/>
      <c r="N165" s="53"/>
      <c r="O165" s="53"/>
      <c r="P165" s="53"/>
      <c r="Q165" s="53"/>
      <c r="R165" s="53"/>
      <c r="S165" s="53"/>
      <c r="T165" s="53"/>
      <c r="U165" s="53"/>
      <c r="V165" s="53"/>
      <c r="W165" s="53"/>
      <c r="X165" s="53"/>
      <c r="Y165" s="53"/>
      <c r="Z165" s="53"/>
      <c r="AA165" s="53"/>
      <c r="AB165" s="53"/>
    </row>
    <row r="166" spans="12:28" x14ac:dyDescent="0.2">
      <c r="L166" s="53"/>
      <c r="M166" s="53"/>
      <c r="N166" s="53"/>
      <c r="O166" s="53"/>
      <c r="P166" s="53"/>
      <c r="Q166" s="53"/>
      <c r="R166" s="53"/>
      <c r="S166" s="53"/>
      <c r="T166" s="53"/>
      <c r="U166" s="53"/>
      <c r="V166" s="53"/>
      <c r="W166" s="53"/>
      <c r="X166" s="53"/>
      <c r="Y166" s="53"/>
      <c r="Z166" s="53"/>
      <c r="AA166" s="53"/>
      <c r="AB166" s="53"/>
    </row>
    <row r="167" spans="12:28" x14ac:dyDescent="0.2">
      <c r="L167" s="53"/>
      <c r="M167" s="53"/>
      <c r="N167" s="53"/>
      <c r="O167" s="53"/>
      <c r="P167" s="53"/>
      <c r="Q167" s="53"/>
      <c r="R167" s="53"/>
      <c r="S167" s="53"/>
      <c r="T167" s="53"/>
      <c r="U167" s="53"/>
      <c r="V167" s="53"/>
      <c r="W167" s="53"/>
      <c r="X167" s="53"/>
      <c r="Y167" s="53"/>
      <c r="Z167" s="53"/>
      <c r="AA167" s="53"/>
      <c r="AB167" s="53"/>
    </row>
    <row r="168" spans="12:28" x14ac:dyDescent="0.2">
      <c r="L168" s="53"/>
      <c r="M168" s="53"/>
      <c r="N168" s="53"/>
      <c r="O168" s="53"/>
      <c r="P168" s="53"/>
      <c r="Q168" s="53"/>
      <c r="R168" s="53"/>
      <c r="S168" s="53"/>
      <c r="T168" s="53"/>
      <c r="U168" s="53"/>
      <c r="V168" s="53"/>
      <c r="W168" s="53"/>
      <c r="X168" s="53"/>
      <c r="Y168" s="53"/>
      <c r="Z168" s="53"/>
      <c r="AA168" s="53"/>
      <c r="AB168" s="53"/>
    </row>
    <row r="169" spans="12:28" x14ac:dyDescent="0.2">
      <c r="W169" s="53"/>
      <c r="X169" s="53"/>
    </row>
    <row r="170" spans="12:28" x14ac:dyDescent="0.2">
      <c r="X170" s="53"/>
      <c r="Y170" s="53"/>
    </row>
    <row r="171" spans="12:28" x14ac:dyDescent="0.2">
      <c r="Y171" s="53"/>
      <c r="Z171" s="53"/>
    </row>
    <row r="172" spans="12:28" x14ac:dyDescent="0.2">
      <c r="Z172" s="53"/>
      <c r="AA172" s="53"/>
      <c r="AB172" s="53"/>
    </row>
  </sheetData>
  <phoneticPr fontId="29"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B2:B3"/>
  <sheetViews>
    <sheetView showGridLines="0" zoomScale="85" zoomScaleNormal="85" workbookViewId="0"/>
  </sheetViews>
  <sheetFormatPr defaultRowHeight="12.75" x14ac:dyDescent="0.2"/>
  <cols>
    <col min="1" max="1" width="5.7109375" style="17" customWidth="1"/>
    <col min="2" max="16384" width="9.140625" style="17"/>
  </cols>
  <sheetData>
    <row r="2" spans="2:2" x14ac:dyDescent="0.2">
      <c r="B2" s="37"/>
    </row>
    <row r="3" spans="2:2" x14ac:dyDescent="0.2">
      <c r="B3" s="37"/>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D856C-CE78-4619-B59C-5E428A2434D9}">
  <sheetPr>
    <tabColor rgb="FFE1FFE1"/>
  </sheetPr>
  <dimension ref="B2:Y87"/>
  <sheetViews>
    <sheetView showGridLines="0" zoomScale="85" zoomScaleNormal="85" workbookViewId="0">
      <pane xSplit="6" ySplit="12" topLeftCell="G13" activePane="bottomRight" state="frozen"/>
      <selection activeCell="B6" sqref="B6"/>
      <selection pane="topRight" activeCell="B6" sqref="B6"/>
      <selection pane="bottomLeft" activeCell="B6" sqref="B6"/>
      <selection pane="bottomRight" activeCell="G13" sqref="G13"/>
    </sheetView>
  </sheetViews>
  <sheetFormatPr defaultRowHeight="12.75" x14ac:dyDescent="0.2"/>
  <cols>
    <col min="1" max="1" width="5.7109375" style="2" customWidth="1"/>
    <col min="2" max="2" width="41.42578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22" width="2.7109375" style="2" customWidth="1"/>
    <col min="23" max="23" width="70.42578125" style="2" customWidth="1"/>
    <col min="24" max="24" width="2.7109375" style="2" customWidth="1"/>
    <col min="25" max="25" width="30.7109375" style="2" customWidth="1"/>
    <col min="26" max="26" width="2.7109375" style="2" customWidth="1"/>
    <col min="27" max="41" width="13.7109375" style="2" customWidth="1"/>
    <col min="42" max="16384" width="9.140625" style="2"/>
  </cols>
  <sheetData>
    <row r="2" spans="2:25" s="14" customFormat="1" ht="18" x14ac:dyDescent="0.2">
      <c r="B2" s="14" t="s">
        <v>271</v>
      </c>
    </row>
    <row r="4" spans="2:25" x14ac:dyDescent="0.2">
      <c r="B4" s="22" t="s">
        <v>84</v>
      </c>
      <c r="C4" s="1"/>
      <c r="D4" s="1"/>
      <c r="L4"/>
    </row>
    <row r="5" spans="2:25" x14ac:dyDescent="0.2">
      <c r="B5" s="18" t="s">
        <v>278</v>
      </c>
      <c r="C5" s="18"/>
      <c r="D5" s="18"/>
      <c r="H5" s="15"/>
    </row>
    <row r="6" spans="2:25" x14ac:dyDescent="0.2">
      <c r="B6" s="18"/>
      <c r="C6" s="18"/>
      <c r="D6" s="18"/>
      <c r="H6" s="15"/>
    </row>
    <row r="7" spans="2:25" x14ac:dyDescent="0.2">
      <c r="B7" s="23" t="s">
        <v>69</v>
      </c>
      <c r="C7" s="18"/>
      <c r="D7" s="18"/>
      <c r="H7" s="15"/>
    </row>
    <row r="8" spans="2:25" x14ac:dyDescent="0.2">
      <c r="B8" s="23" t="s">
        <v>366</v>
      </c>
      <c r="C8" s="18"/>
      <c r="D8" s="18"/>
    </row>
    <row r="9" spans="2:25" x14ac:dyDescent="0.2">
      <c r="B9" s="23" t="s">
        <v>365</v>
      </c>
    </row>
    <row r="11" spans="2:25" s="7" customFormat="1" x14ac:dyDescent="0.2">
      <c r="B11" s="7" t="s">
        <v>70</v>
      </c>
      <c r="F11" s="7" t="s">
        <v>71</v>
      </c>
      <c r="H11" s="7" t="s">
        <v>72</v>
      </c>
      <c r="J11" s="7" t="s">
        <v>73</v>
      </c>
      <c r="L11" s="7" t="s">
        <v>74</v>
      </c>
      <c r="M11" s="7" t="s">
        <v>75</v>
      </c>
      <c r="N11" s="7" t="s">
        <v>76</v>
      </c>
      <c r="O11" s="7" t="s">
        <v>77</v>
      </c>
      <c r="P11" s="7" t="s">
        <v>78</v>
      </c>
      <c r="Q11" s="7" t="s">
        <v>79</v>
      </c>
      <c r="R11" s="7" t="s">
        <v>80</v>
      </c>
      <c r="S11" s="7" t="s">
        <v>81</v>
      </c>
      <c r="T11" s="7" t="s">
        <v>82</v>
      </c>
      <c r="U11" s="7" t="s">
        <v>83</v>
      </c>
      <c r="W11" s="7" t="s">
        <v>85</v>
      </c>
      <c r="Y11" s="7" t="s">
        <v>0</v>
      </c>
    </row>
    <row r="14" spans="2:25" s="7" customFormat="1" x14ac:dyDescent="0.2">
      <c r="B14" s="7" t="s">
        <v>89</v>
      </c>
    </row>
    <row r="16" spans="2:25" x14ac:dyDescent="0.2">
      <c r="B16" s="2" t="s">
        <v>90</v>
      </c>
      <c r="H16" s="43">
        <v>2.1000000000000001E-2</v>
      </c>
      <c r="W16" s="2" t="s">
        <v>270</v>
      </c>
    </row>
    <row r="17" spans="2:8" x14ac:dyDescent="0.2">
      <c r="B17" s="2" t="s">
        <v>91</v>
      </c>
      <c r="H17" s="43">
        <v>1.0999999999999999E-2</v>
      </c>
    </row>
    <row r="18" spans="2:8" x14ac:dyDescent="0.2">
      <c r="B18" s="2" t="s">
        <v>92</v>
      </c>
      <c r="H18" s="43">
        <v>1.7999999999999999E-2</v>
      </c>
    </row>
    <row r="19" spans="2:8" x14ac:dyDescent="0.2">
      <c r="B19" s="2" t="s">
        <v>93</v>
      </c>
      <c r="H19" s="43">
        <v>1.4E-2</v>
      </c>
    </row>
    <row r="20" spans="2:8" x14ac:dyDescent="0.2">
      <c r="B20" s="2" t="s">
        <v>94</v>
      </c>
      <c r="H20" s="43">
        <v>1.0999999999999999E-2</v>
      </c>
    </row>
    <row r="21" spans="2:8" x14ac:dyDescent="0.2">
      <c r="B21" s="2" t="s">
        <v>95</v>
      </c>
      <c r="H21" s="43">
        <v>3.2000000000000001E-2</v>
      </c>
    </row>
    <row r="22" spans="2:8" x14ac:dyDescent="0.2">
      <c r="B22" s="2" t="s">
        <v>96</v>
      </c>
      <c r="H22" s="43">
        <v>3.0000000000000001E-3</v>
      </c>
    </row>
    <row r="23" spans="2:8" x14ac:dyDescent="0.2">
      <c r="B23" s="2" t="s">
        <v>97</v>
      </c>
      <c r="H23" s="43">
        <v>1.4999999999999999E-2</v>
      </c>
    </row>
    <row r="24" spans="2:8" x14ac:dyDescent="0.2">
      <c r="B24" s="2" t="s">
        <v>98</v>
      </c>
      <c r="H24" s="43">
        <v>2.5999999999999999E-2</v>
      </c>
    </row>
    <row r="25" spans="2:8" x14ac:dyDescent="0.2">
      <c r="B25" s="2" t="s">
        <v>99</v>
      </c>
      <c r="H25" s="43">
        <v>2.3E-2</v>
      </c>
    </row>
    <row r="26" spans="2:8" x14ac:dyDescent="0.2">
      <c r="B26" s="2" t="s">
        <v>100</v>
      </c>
      <c r="H26" s="43">
        <v>2.8000000000000001E-2</v>
      </c>
    </row>
    <row r="27" spans="2:8" x14ac:dyDescent="0.2">
      <c r="B27" s="2" t="s">
        <v>101</v>
      </c>
      <c r="H27" s="43">
        <v>0.01</v>
      </c>
    </row>
    <row r="28" spans="2:8" x14ac:dyDescent="0.2">
      <c r="B28" s="2" t="s">
        <v>102</v>
      </c>
      <c r="H28" s="43">
        <v>8.0000000000000002E-3</v>
      </c>
    </row>
    <row r="29" spans="2:8" x14ac:dyDescent="0.2">
      <c r="B29" s="2" t="s">
        <v>103</v>
      </c>
      <c r="H29" s="43">
        <v>2E-3</v>
      </c>
    </row>
    <row r="30" spans="2:8" x14ac:dyDescent="0.2">
      <c r="B30" s="2" t="s">
        <v>104</v>
      </c>
      <c r="H30" s="43">
        <v>1.4E-2</v>
      </c>
    </row>
    <row r="31" spans="2:8" x14ac:dyDescent="0.2">
      <c r="B31" s="2" t="s">
        <v>105</v>
      </c>
      <c r="H31" s="43">
        <v>2.1000000000000001E-2</v>
      </c>
    </row>
    <row r="32" spans="2:8" x14ac:dyDescent="0.2">
      <c r="B32" s="2" t="s">
        <v>337</v>
      </c>
      <c r="H32" s="43">
        <v>2.8000000000000001E-2</v>
      </c>
    </row>
    <row r="34" spans="2:23" s="7" customFormat="1" x14ac:dyDescent="0.2">
      <c r="B34" s="7" t="s">
        <v>437</v>
      </c>
    </row>
    <row r="36" spans="2:23" x14ac:dyDescent="0.2">
      <c r="B36" s="2" t="s">
        <v>283</v>
      </c>
      <c r="H36" s="57">
        <v>0.5</v>
      </c>
    </row>
    <row r="38" spans="2:23" x14ac:dyDescent="0.2">
      <c r="B38" s="2" t="s">
        <v>281</v>
      </c>
      <c r="H38" s="43">
        <v>8.8999999999999996E-2</v>
      </c>
      <c r="W38" s="2" t="s">
        <v>426</v>
      </c>
    </row>
    <row r="39" spans="2:23" x14ac:dyDescent="0.2">
      <c r="B39" s="2" t="s">
        <v>282</v>
      </c>
      <c r="H39" s="43">
        <v>2.1999999999999999E-2</v>
      </c>
      <c r="W39" s="2" t="s">
        <v>427</v>
      </c>
    </row>
    <row r="41" spans="2:23" x14ac:dyDescent="0.2">
      <c r="B41" s="2" t="s">
        <v>255</v>
      </c>
      <c r="H41" s="43">
        <v>5.8000000000000003E-2</v>
      </c>
      <c r="W41" s="2" t="s">
        <v>407</v>
      </c>
    </row>
    <row r="42" spans="2:23" x14ac:dyDescent="0.2">
      <c r="B42" s="2" t="s">
        <v>269</v>
      </c>
      <c r="H42" s="43">
        <v>1.2500000000000001E-2</v>
      </c>
      <c r="W42" s="2" t="s">
        <v>408</v>
      </c>
    </row>
    <row r="44" spans="2:23" x14ac:dyDescent="0.2">
      <c r="B44" s="2" t="s">
        <v>249</v>
      </c>
      <c r="H44" s="43">
        <v>6.6000000000000003E-2</v>
      </c>
      <c r="W44" s="2" t="s">
        <v>390</v>
      </c>
    </row>
    <row r="45" spans="2:23" x14ac:dyDescent="0.2">
      <c r="B45" s="2" t="s">
        <v>250</v>
      </c>
      <c r="H45" s="43">
        <v>8.1000000000000003E-2</v>
      </c>
      <c r="W45" s="33"/>
    </row>
    <row r="46" spans="2:23" x14ac:dyDescent="0.2">
      <c r="B46" s="2" t="s">
        <v>367</v>
      </c>
      <c r="H46" s="42">
        <f>AVERAGE(H44:H45)</f>
        <v>7.350000000000001E-2</v>
      </c>
      <c r="W46" s="33"/>
    </row>
    <row r="47" spans="2:23" x14ac:dyDescent="0.2">
      <c r="B47" s="2" t="s">
        <v>284</v>
      </c>
      <c r="H47" s="43">
        <v>1.7500000000000002E-2</v>
      </c>
    </row>
    <row r="49" spans="2:23" x14ac:dyDescent="0.2">
      <c r="B49" s="2" t="s">
        <v>251</v>
      </c>
      <c r="H49" s="43">
        <v>6.9000000000000006E-2</v>
      </c>
      <c r="W49" s="2" t="s">
        <v>392</v>
      </c>
    </row>
    <row r="50" spans="2:23" x14ac:dyDescent="0.2">
      <c r="B50" s="2" t="s">
        <v>252</v>
      </c>
      <c r="H50" s="43">
        <v>8.7999999999999995E-2</v>
      </c>
      <c r="W50" s="33"/>
    </row>
    <row r="51" spans="2:23" x14ac:dyDescent="0.2">
      <c r="B51" s="2" t="s">
        <v>286</v>
      </c>
      <c r="H51" s="42">
        <f>AVERAGE(H49:H50)</f>
        <v>7.85E-2</v>
      </c>
    </row>
    <row r="52" spans="2:23" x14ac:dyDescent="0.2">
      <c r="B52" s="2" t="s">
        <v>359</v>
      </c>
      <c r="H52" s="43">
        <v>1.4999999999999999E-2</v>
      </c>
    </row>
    <row r="53" spans="2:23" x14ac:dyDescent="0.2">
      <c r="B53" s="2" t="s">
        <v>360</v>
      </c>
      <c r="H53" s="43">
        <v>1.6E-2</v>
      </c>
    </row>
    <row r="54" spans="2:23" x14ac:dyDescent="0.2">
      <c r="B54" s="2" t="s">
        <v>285</v>
      </c>
      <c r="H54" s="42">
        <f>AVERAGE(H52:H53)</f>
        <v>1.55E-2</v>
      </c>
    </row>
    <row r="56" spans="2:23" x14ac:dyDescent="0.2">
      <c r="B56" s="2" t="s">
        <v>368</v>
      </c>
      <c r="H56" s="43">
        <v>5.6000000000000001E-2</v>
      </c>
      <c r="W56" s="2" t="s">
        <v>391</v>
      </c>
    </row>
    <row r="57" spans="2:23" x14ac:dyDescent="0.2">
      <c r="B57" s="2" t="s">
        <v>361</v>
      </c>
      <c r="H57" s="43">
        <v>0.02</v>
      </c>
      <c r="W57" s="33"/>
    </row>
    <row r="59" spans="2:23" x14ac:dyDescent="0.2">
      <c r="B59" s="2" t="s">
        <v>253</v>
      </c>
      <c r="H59" s="43">
        <v>5.2600000000000001E-2</v>
      </c>
      <c r="W59" s="2" t="s">
        <v>423</v>
      </c>
    </row>
    <row r="60" spans="2:23" x14ac:dyDescent="0.2">
      <c r="B60" s="2" t="s">
        <v>254</v>
      </c>
      <c r="H60" s="43">
        <v>4.4900000000000002E-2</v>
      </c>
      <c r="W60" s="2" t="s">
        <v>424</v>
      </c>
    </row>
    <row r="61" spans="2:23" x14ac:dyDescent="0.2">
      <c r="B61" s="2" t="s">
        <v>362</v>
      </c>
      <c r="H61" s="43">
        <v>7.7000000000000002E-3</v>
      </c>
    </row>
    <row r="62" spans="2:23" x14ac:dyDescent="0.2">
      <c r="B62" s="2" t="s">
        <v>369</v>
      </c>
      <c r="H62" s="42">
        <f>H61-(($H$61-$H$66)/5)</f>
        <v>9.0000000000000011E-3</v>
      </c>
    </row>
    <row r="63" spans="2:23" x14ac:dyDescent="0.2">
      <c r="B63" s="2" t="s">
        <v>370</v>
      </c>
      <c r="H63" s="42">
        <f>H62-(($H$61-$H$66)/5)</f>
        <v>1.0300000000000002E-2</v>
      </c>
    </row>
    <row r="64" spans="2:23" x14ac:dyDescent="0.2">
      <c r="B64" s="2" t="s">
        <v>371</v>
      </c>
      <c r="H64" s="42">
        <f>H63-(($H$61-$H$66)/5)</f>
        <v>1.1600000000000003E-2</v>
      </c>
    </row>
    <row r="65" spans="2:23" x14ac:dyDescent="0.2">
      <c r="B65" s="2" t="s">
        <v>372</v>
      </c>
      <c r="H65" s="42">
        <f>H64-(($H$61-$H$66)/5)</f>
        <v>1.2900000000000003E-2</v>
      </c>
    </row>
    <row r="66" spans="2:23" x14ac:dyDescent="0.2">
      <c r="B66" s="2" t="s">
        <v>363</v>
      </c>
      <c r="H66" s="43">
        <v>1.4200000000000001E-2</v>
      </c>
    </row>
    <row r="67" spans="2:23" x14ac:dyDescent="0.2">
      <c r="B67" s="2" t="s">
        <v>287</v>
      </c>
      <c r="H67" s="42">
        <f>(1+H59)/(1+H61*$H$36)-1</f>
        <v>4.8563032325546818E-2</v>
      </c>
    </row>
    <row r="68" spans="2:23" x14ac:dyDescent="0.2">
      <c r="B68" s="2" t="s">
        <v>288</v>
      </c>
      <c r="H68" s="42">
        <f>(1+H60)/(1+H66*$H$36)-1</f>
        <v>3.7533512064342966E-2</v>
      </c>
    </row>
    <row r="69" spans="2:23" x14ac:dyDescent="0.2">
      <c r="W69" s="33"/>
    </row>
    <row r="70" spans="2:23" x14ac:dyDescent="0.2">
      <c r="B70" s="22" t="s">
        <v>436</v>
      </c>
      <c r="W70" s="33"/>
    </row>
    <row r="71" spans="2:23" x14ac:dyDescent="0.2">
      <c r="B71" s="2" t="s">
        <v>106</v>
      </c>
      <c r="H71" s="42">
        <f>(1+H38)/(1+H39*$H$36)-1</f>
        <v>7.71513353115727E-2</v>
      </c>
    </row>
    <row r="72" spans="2:23" x14ac:dyDescent="0.2">
      <c r="B72" s="2" t="s">
        <v>107</v>
      </c>
      <c r="H72" s="42">
        <f>(1+H38)/(1+H39*$H$36)-1</f>
        <v>7.71513353115727E-2</v>
      </c>
    </row>
    <row r="73" spans="2:23" x14ac:dyDescent="0.2">
      <c r="B73" s="2" t="s">
        <v>108</v>
      </c>
      <c r="H73" s="42">
        <f>(1+H38)/(1+H39*$H$36)-1</f>
        <v>7.71513353115727E-2</v>
      </c>
    </row>
    <row r="74" spans="2:23" x14ac:dyDescent="0.2">
      <c r="B74" s="2" t="s">
        <v>109</v>
      </c>
      <c r="H74" s="70">
        <f>(1+H41)*(1+H42*$H$36)-1</f>
        <v>6.4612500000000184E-2</v>
      </c>
      <c r="W74" s="2" t="s">
        <v>395</v>
      </c>
    </row>
    <row r="75" spans="2:23" x14ac:dyDescent="0.2">
      <c r="B75" s="2" t="s">
        <v>110</v>
      </c>
      <c r="H75" s="42">
        <f>(1+H46)/(1+H47*$H$36)-1</f>
        <v>6.4188351920694053E-2</v>
      </c>
    </row>
    <row r="76" spans="2:23" x14ac:dyDescent="0.2">
      <c r="B76" s="2" t="s">
        <v>111</v>
      </c>
      <c r="H76" s="42">
        <f>(1+H46)/(1+H47*$H$36)-1</f>
        <v>6.4188351920694053E-2</v>
      </c>
    </row>
    <row r="77" spans="2:23" x14ac:dyDescent="0.2">
      <c r="B77" s="2" t="s">
        <v>112</v>
      </c>
      <c r="H77" s="42">
        <f>(1+H46)/(1+H47*$H$36)-1</f>
        <v>6.4188351920694053E-2</v>
      </c>
    </row>
    <row r="78" spans="2:23" x14ac:dyDescent="0.2">
      <c r="B78" s="2" t="s">
        <v>113</v>
      </c>
      <c r="H78" s="42">
        <f>(1+H51)/(1+H54*$H$36)-1</f>
        <v>7.0205904242123696E-2</v>
      </c>
    </row>
    <row r="79" spans="2:23" x14ac:dyDescent="0.2">
      <c r="B79" s="2" t="s">
        <v>114</v>
      </c>
      <c r="H79" s="42">
        <f>(1+H51)/(1+H54*$H$36)-1</f>
        <v>7.0205904242123696E-2</v>
      </c>
    </row>
    <row r="80" spans="2:23" x14ac:dyDescent="0.2">
      <c r="B80" s="2" t="s">
        <v>115</v>
      </c>
      <c r="H80" s="42">
        <f>(1+H51)/(1+H54*$H$36)-1</f>
        <v>7.0205904242123696E-2</v>
      </c>
    </row>
    <row r="81" spans="2:23" x14ac:dyDescent="0.2">
      <c r="B81" s="2" t="s">
        <v>116</v>
      </c>
      <c r="H81" s="42">
        <f>(1+H56)/(1+H57*$H$36)-1</f>
        <v>4.5544554455445585E-2</v>
      </c>
      <c r="W81" s="33"/>
    </row>
    <row r="82" spans="2:23" x14ac:dyDescent="0.2">
      <c r="B82" s="2" t="s">
        <v>117</v>
      </c>
      <c r="H82" s="42">
        <f>(1+H56)/(1+H57*$H$36)-1</f>
        <v>4.5544554455445585E-2</v>
      </c>
      <c r="W82" s="33"/>
    </row>
    <row r="83" spans="2:23" x14ac:dyDescent="0.2">
      <c r="B83" s="2" t="s">
        <v>118</v>
      </c>
      <c r="H83" s="42">
        <f>(1+H56)/(1+H57*$H$36)-1</f>
        <v>4.5544554455445585E-2</v>
      </c>
      <c r="W83" s="33"/>
    </row>
    <row r="84" spans="2:23" x14ac:dyDescent="0.2">
      <c r="B84" s="2" t="s">
        <v>119</v>
      </c>
      <c r="H84" s="42">
        <f>H67-(($H$67-$H$68)/5)</f>
        <v>4.6357128273306049E-2</v>
      </c>
    </row>
    <row r="85" spans="2:23" x14ac:dyDescent="0.2">
      <c r="B85" s="2" t="s">
        <v>120</v>
      </c>
      <c r="H85" s="42">
        <f>H84-(($H$67-$H$68)/5)</f>
        <v>4.415122422106528E-2</v>
      </c>
    </row>
    <row r="86" spans="2:23" x14ac:dyDescent="0.2">
      <c r="B86" s="2" t="s">
        <v>121</v>
      </c>
      <c r="H86" s="42">
        <f>H85-(($H$67-$H$68)/5)</f>
        <v>4.1945320168824511E-2</v>
      </c>
    </row>
    <row r="87" spans="2:23" x14ac:dyDescent="0.2">
      <c r="B87" s="2" t="s">
        <v>332</v>
      </c>
      <c r="H87" s="42">
        <f>H86-(($H$67-$H$68)/5)</f>
        <v>3.9739416116583742E-2</v>
      </c>
    </row>
  </sheetData>
  <phoneticPr fontId="2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8E71C-B8FA-4C28-B7AB-D8E86321AC31}">
  <sheetPr>
    <tabColor rgb="FFE1FFE1"/>
  </sheetPr>
  <dimension ref="B2:AD35"/>
  <sheetViews>
    <sheetView showGridLines="0" zoomScale="85" zoomScaleNormal="85" workbookViewId="0">
      <pane xSplit="6" ySplit="12" topLeftCell="G13" activePane="bottomRight" state="frozen"/>
      <selection activeCell="B6" sqref="B6"/>
      <selection pane="topRight" activeCell="B6" sqref="B6"/>
      <selection pane="bottomLeft" activeCell="B6" sqref="B6"/>
      <selection pane="bottomRight" activeCell="G13" sqref="G13"/>
    </sheetView>
  </sheetViews>
  <sheetFormatPr defaultRowHeight="12.75" x14ac:dyDescent="0.2"/>
  <cols>
    <col min="1" max="1" width="5.7109375" style="2" customWidth="1"/>
    <col min="2" max="2" width="41.42578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3" width="14" style="2" customWidth="1"/>
    <col min="24" max="28" width="15" style="2" bestFit="1" customWidth="1"/>
    <col min="29" max="29" width="2.7109375" style="2" customWidth="1"/>
    <col min="30" max="30" width="32" style="2" customWidth="1"/>
    <col min="31" max="42" width="13.7109375" style="2" customWidth="1"/>
    <col min="43" max="16384" width="9.140625" style="2"/>
  </cols>
  <sheetData>
    <row r="2" spans="2:30" s="14" customFormat="1" ht="18" x14ac:dyDescent="0.2">
      <c r="B2" s="14" t="s">
        <v>126</v>
      </c>
    </row>
    <row r="4" spans="2:30" x14ac:dyDescent="0.2">
      <c r="B4" s="22" t="s">
        <v>84</v>
      </c>
      <c r="C4" s="1"/>
      <c r="D4" s="1"/>
    </row>
    <row r="5" spans="2:30" x14ac:dyDescent="0.2">
      <c r="B5" s="18" t="s">
        <v>339</v>
      </c>
      <c r="C5" s="18"/>
      <c r="D5" s="18"/>
      <c r="H5" s="15"/>
    </row>
    <row r="6" spans="2:30" x14ac:dyDescent="0.2">
      <c r="B6" s="18"/>
      <c r="C6" s="18"/>
      <c r="D6" s="18"/>
      <c r="H6" s="15"/>
    </row>
    <row r="7" spans="2:30" x14ac:dyDescent="0.2">
      <c r="B7" s="23" t="s">
        <v>69</v>
      </c>
      <c r="C7" s="18"/>
      <c r="D7" s="18"/>
      <c r="H7" s="15"/>
    </row>
    <row r="8" spans="2:30" x14ac:dyDescent="0.2">
      <c r="B8" s="23" t="s">
        <v>340</v>
      </c>
      <c r="C8" s="18"/>
      <c r="D8" s="18"/>
    </row>
    <row r="11" spans="2:30" s="7" customFormat="1" x14ac:dyDescent="0.2">
      <c r="B11" s="7" t="s">
        <v>70</v>
      </c>
      <c r="F11" s="7" t="s">
        <v>71</v>
      </c>
      <c r="H11" s="7" t="s">
        <v>72</v>
      </c>
      <c r="J11" s="7" t="s">
        <v>73</v>
      </c>
      <c r="L11" s="7" t="s">
        <v>127</v>
      </c>
      <c r="M11" s="7" t="s">
        <v>128</v>
      </c>
      <c r="N11" s="7" t="s">
        <v>129</v>
      </c>
      <c r="O11" s="7" t="s">
        <v>130</v>
      </c>
      <c r="P11" s="7" t="s">
        <v>131</v>
      </c>
      <c r="Q11" s="7" t="s">
        <v>132</v>
      </c>
      <c r="R11" s="7" t="s">
        <v>133</v>
      </c>
      <c r="S11" s="7" t="s">
        <v>134</v>
      </c>
      <c r="T11" s="7" t="s">
        <v>135</v>
      </c>
      <c r="U11" s="7" t="s">
        <v>136</v>
      </c>
      <c r="V11" s="7" t="s">
        <v>137</v>
      </c>
      <c r="W11" s="7" t="s">
        <v>138</v>
      </c>
      <c r="X11" s="7" t="s">
        <v>139</v>
      </c>
      <c r="Y11" s="7" t="s">
        <v>140</v>
      </c>
      <c r="Z11" s="7" t="s">
        <v>141</v>
      </c>
      <c r="AA11" s="7" t="s">
        <v>142</v>
      </c>
      <c r="AB11" s="7" t="s">
        <v>328</v>
      </c>
      <c r="AD11" s="7" t="s">
        <v>85</v>
      </c>
    </row>
    <row r="14" spans="2:30" s="7" customFormat="1" x14ac:dyDescent="0.2">
      <c r="B14" s="7" t="s">
        <v>430</v>
      </c>
    </row>
    <row r="16" spans="2:30" x14ac:dyDescent="0.2">
      <c r="B16" s="2" t="s">
        <v>373</v>
      </c>
      <c r="F16" s="2" t="s">
        <v>207</v>
      </c>
      <c r="L16" s="28">
        <v>343129313.27325445</v>
      </c>
      <c r="M16" s="28">
        <v>354571298.98455489</v>
      </c>
      <c r="N16" s="28">
        <v>357909721.94230229</v>
      </c>
      <c r="O16" s="28">
        <v>373602350.66145748</v>
      </c>
      <c r="P16" s="28">
        <v>381983526.98848027</v>
      </c>
      <c r="Q16" s="28">
        <v>393809191.89456838</v>
      </c>
      <c r="R16" s="28">
        <v>412023910.67241204</v>
      </c>
      <c r="S16" s="28">
        <v>430025414.89566028</v>
      </c>
      <c r="T16" s="28">
        <v>448375348.63597578</v>
      </c>
      <c r="U16" s="28">
        <v>469957303.75266427</v>
      </c>
      <c r="V16" s="28">
        <v>491256371.89512128</v>
      </c>
      <c r="W16" s="28">
        <v>508900009.51351446</v>
      </c>
      <c r="X16" s="28">
        <v>527803773.11437267</v>
      </c>
      <c r="Y16" s="28">
        <v>523130351.09175336</v>
      </c>
      <c r="Z16" s="28">
        <v>538898311.11717486</v>
      </c>
      <c r="AA16" s="28">
        <v>557348345.90680265</v>
      </c>
      <c r="AB16" s="28">
        <v>581487484.68463004</v>
      </c>
      <c r="AD16" s="2" t="s">
        <v>377</v>
      </c>
    </row>
    <row r="17" spans="2:30" x14ac:dyDescent="0.2">
      <c r="B17" s="2" t="s">
        <v>376</v>
      </c>
      <c r="F17" s="2" t="s">
        <v>207</v>
      </c>
      <c r="L17" s="28">
        <v>8524901112.5026188</v>
      </c>
      <c r="M17" s="28">
        <v>8427042448.7667904</v>
      </c>
      <c r="N17" s="28">
        <v>8412222646.5830574</v>
      </c>
      <c r="O17" s="28">
        <v>8430222205.677309</v>
      </c>
      <c r="P17" s="28">
        <v>8508434649.7591228</v>
      </c>
      <c r="Q17" s="28">
        <v>8655833202.5676022</v>
      </c>
      <c r="R17" s="28">
        <v>8824055403.7439766</v>
      </c>
      <c r="S17" s="28">
        <v>9117757193.4539814</v>
      </c>
      <c r="T17" s="28">
        <v>9396236551.4576225</v>
      </c>
      <c r="U17" s="28">
        <v>9607601397.6383839</v>
      </c>
      <c r="V17" s="28">
        <v>9776525801.1132469</v>
      </c>
      <c r="W17" s="28">
        <v>9950039675.0748005</v>
      </c>
      <c r="X17" s="28">
        <v>10162346050.746775</v>
      </c>
      <c r="Y17" s="28">
        <v>10254416789.368994</v>
      </c>
      <c r="Z17" s="28">
        <v>10454375309.511566</v>
      </c>
      <c r="AA17" s="28">
        <v>10808761342.492493</v>
      </c>
      <c r="AB17" s="28">
        <v>11363819117.179329</v>
      </c>
      <c r="AD17" s="2" t="s">
        <v>380</v>
      </c>
    </row>
    <row r="18" spans="2:30" x14ac:dyDescent="0.2">
      <c r="B18" s="2" t="s">
        <v>375</v>
      </c>
      <c r="F18" s="2" t="s">
        <v>207</v>
      </c>
      <c r="L18" s="28">
        <v>1347125.1674705455</v>
      </c>
      <c r="M18" s="28">
        <v>1361943.5443127214</v>
      </c>
      <c r="N18" s="28">
        <v>1376924.923300161</v>
      </c>
      <c r="O18" s="28">
        <v>1385530.7040707869</v>
      </c>
      <c r="P18" s="28">
        <v>1397654.0977314068</v>
      </c>
      <c r="Q18" s="28">
        <v>1409883.5710865562</v>
      </c>
      <c r="R18" s="28">
        <v>1422220.0523335636</v>
      </c>
      <c r="S18" s="28">
        <v>568988.66117081966</v>
      </c>
      <c r="T18" s="28">
        <v>573398.32329489349</v>
      </c>
      <c r="U18" s="28">
        <v>577842.16030042875</v>
      </c>
      <c r="V18" s="28">
        <v>583620.58190343308</v>
      </c>
      <c r="W18" s="28">
        <v>589456.78772246744</v>
      </c>
      <c r="X18" s="28">
        <v>595351.35559969209</v>
      </c>
      <c r="Y18" s="28">
        <v>598030.43669989076</v>
      </c>
      <c r="Z18" s="28">
        <v>601110.2934488951</v>
      </c>
      <c r="AA18" s="28">
        <v>0</v>
      </c>
      <c r="AB18" s="28">
        <v>0</v>
      </c>
      <c r="AD18" s="2" t="s">
        <v>381</v>
      </c>
    </row>
    <row r="19" spans="2:30" x14ac:dyDescent="0.2">
      <c r="B19" s="2" t="s">
        <v>374</v>
      </c>
      <c r="F19" s="2" t="s">
        <v>207</v>
      </c>
      <c r="L19" s="28">
        <v>12361156.508594483</v>
      </c>
      <c r="M19" s="28">
        <v>11135185.685876299</v>
      </c>
      <c r="N19" s="28">
        <v>9880747.8051207736</v>
      </c>
      <c r="O19" s="28">
        <v>8556971.7748319898</v>
      </c>
      <c r="P19" s="28">
        <v>7234191.1801303634</v>
      </c>
      <c r="Q19" s="28">
        <v>5887606.781869947</v>
      </c>
      <c r="R19" s="28">
        <v>4516903.2888777442</v>
      </c>
      <c r="S19" s="28">
        <v>3982920.6281957268</v>
      </c>
      <c r="T19" s="28">
        <v>3440389.9397693495</v>
      </c>
      <c r="U19" s="28">
        <v>2889210.8015021328</v>
      </c>
      <c r="V19" s="28">
        <v>2334482.3276137211</v>
      </c>
      <c r="W19" s="28">
        <v>1768370.3631673914</v>
      </c>
      <c r="X19" s="28">
        <v>1190702.7111993732</v>
      </c>
      <c r="Y19" s="28">
        <v>598030.43669987959</v>
      </c>
      <c r="Z19" s="28">
        <v>0</v>
      </c>
      <c r="AA19" s="28">
        <v>0</v>
      </c>
      <c r="AB19" s="28">
        <v>0</v>
      </c>
      <c r="AD19" s="2" t="s">
        <v>382</v>
      </c>
    </row>
    <row r="21" spans="2:30" x14ac:dyDescent="0.2">
      <c r="B21" s="2" t="s">
        <v>396</v>
      </c>
      <c r="F21" s="2" t="s">
        <v>207</v>
      </c>
      <c r="L21" s="38"/>
      <c r="M21" s="38"/>
      <c r="N21" s="38"/>
      <c r="O21" s="38"/>
      <c r="P21" s="38"/>
      <c r="Q21" s="38"/>
      <c r="R21" s="38"/>
      <c r="S21" s="38"/>
      <c r="T21" s="38"/>
      <c r="U21" s="38"/>
      <c r="V21" s="38"/>
      <c r="W21" s="38"/>
      <c r="X21" s="38"/>
      <c r="Y21" s="38"/>
      <c r="Z21" s="28">
        <v>1685064.4052628432</v>
      </c>
      <c r="AA21" s="28">
        <v>1367347.2508526316</v>
      </c>
      <c r="AB21" s="28">
        <v>0</v>
      </c>
      <c r="AD21" s="2" t="s">
        <v>398</v>
      </c>
    </row>
    <row r="22" spans="2:30" x14ac:dyDescent="0.2">
      <c r="B22" s="2" t="s">
        <v>397</v>
      </c>
      <c r="F22" s="2" t="s">
        <v>207</v>
      </c>
      <c r="L22" s="38"/>
      <c r="M22" s="38"/>
      <c r="N22" s="38"/>
      <c r="O22" s="38"/>
      <c r="P22" s="38"/>
      <c r="Q22" s="38"/>
      <c r="R22" s="38"/>
      <c r="S22" s="38"/>
      <c r="T22" s="38"/>
      <c r="U22" s="38"/>
      <c r="V22" s="38"/>
      <c r="W22" s="38"/>
      <c r="X22" s="38"/>
      <c r="Y22" s="38"/>
      <c r="Z22" s="28">
        <v>1359462.3691118092</v>
      </c>
      <c r="AA22" s="28">
        <v>0</v>
      </c>
      <c r="AB22" s="28">
        <v>0</v>
      </c>
      <c r="AD22" s="2" t="s">
        <v>399</v>
      </c>
    </row>
    <row r="24" spans="2:30" x14ac:dyDescent="0.2">
      <c r="B24" s="2" t="s">
        <v>125</v>
      </c>
      <c r="F24" s="2" t="s">
        <v>207</v>
      </c>
      <c r="L24" s="36">
        <f>L16-L18</f>
        <v>341782188.10578388</v>
      </c>
      <c r="M24" s="36">
        <f t="shared" ref="M24:AB24" si="0">M16-M18</f>
        <v>353209355.44024217</v>
      </c>
      <c r="N24" s="36">
        <f t="shared" si="0"/>
        <v>356532797.01900214</v>
      </c>
      <c r="O24" s="36">
        <f t="shared" si="0"/>
        <v>372216819.95738667</v>
      </c>
      <c r="P24" s="36">
        <f t="shared" si="0"/>
        <v>380585872.89074886</v>
      </c>
      <c r="Q24" s="36">
        <f t="shared" si="0"/>
        <v>392399308.3234818</v>
      </c>
      <c r="R24" s="36">
        <f t="shared" si="0"/>
        <v>410601690.62007844</v>
      </c>
      <c r="S24" s="36">
        <f t="shared" si="0"/>
        <v>429456426.23448944</v>
      </c>
      <c r="T24" s="36">
        <f t="shared" si="0"/>
        <v>447801950.3126809</v>
      </c>
      <c r="U24" s="36">
        <f t="shared" si="0"/>
        <v>469379461.59236383</v>
      </c>
      <c r="V24" s="36">
        <f t="shared" si="0"/>
        <v>490672751.31321782</v>
      </c>
      <c r="W24" s="36">
        <f t="shared" si="0"/>
        <v>508310552.72579199</v>
      </c>
      <c r="X24" s="36">
        <f t="shared" si="0"/>
        <v>527208421.75877297</v>
      </c>
      <c r="Y24" s="36">
        <f t="shared" si="0"/>
        <v>522532320.6550535</v>
      </c>
      <c r="Z24" s="36">
        <f t="shared" si="0"/>
        <v>538297200.82372594</v>
      </c>
      <c r="AA24" s="36">
        <f t="shared" si="0"/>
        <v>557348345.90680265</v>
      </c>
      <c r="AB24" s="36">
        <f t="shared" si="0"/>
        <v>581487484.68463004</v>
      </c>
    </row>
    <row r="25" spans="2:30" x14ac:dyDescent="0.2">
      <c r="B25" s="2" t="s">
        <v>126</v>
      </c>
      <c r="F25" s="2" t="s">
        <v>207</v>
      </c>
      <c r="L25" s="36">
        <f t="shared" ref="L25:AB25" si="1">L17-L19</f>
        <v>8512539955.9940243</v>
      </c>
      <c r="M25" s="36">
        <f t="shared" si="1"/>
        <v>8415907263.0809145</v>
      </c>
      <c r="N25" s="36">
        <f t="shared" si="1"/>
        <v>8402341898.7779369</v>
      </c>
      <c r="O25" s="36">
        <f t="shared" si="1"/>
        <v>8421665233.9024773</v>
      </c>
      <c r="P25" s="36">
        <f t="shared" si="1"/>
        <v>8501200458.5789928</v>
      </c>
      <c r="Q25" s="36">
        <f t="shared" si="1"/>
        <v>8649945595.7857323</v>
      </c>
      <c r="R25" s="36">
        <f t="shared" si="1"/>
        <v>8819538500.4550991</v>
      </c>
      <c r="S25" s="36">
        <f t="shared" si="1"/>
        <v>9113774272.8257866</v>
      </c>
      <c r="T25" s="36">
        <f t="shared" si="1"/>
        <v>9392796161.5178528</v>
      </c>
      <c r="U25" s="36">
        <f t="shared" si="1"/>
        <v>9604712186.8368816</v>
      </c>
      <c r="V25" s="36">
        <f t="shared" si="1"/>
        <v>9774191318.7856331</v>
      </c>
      <c r="W25" s="36">
        <f t="shared" si="1"/>
        <v>9948271304.7116337</v>
      </c>
      <c r="X25" s="36">
        <f t="shared" si="1"/>
        <v>10161155348.035576</v>
      </c>
      <c r="Y25" s="36">
        <f t="shared" si="1"/>
        <v>10253818758.932293</v>
      </c>
      <c r="Z25" s="36">
        <f t="shared" si="1"/>
        <v>10454375309.511566</v>
      </c>
      <c r="AA25" s="36">
        <f t="shared" si="1"/>
        <v>10808761342.492493</v>
      </c>
      <c r="AB25" s="36">
        <f t="shared" si="1"/>
        <v>11363819117.179329</v>
      </c>
    </row>
    <row r="27" spans="2:30" x14ac:dyDescent="0.2">
      <c r="B27" s="2" t="s">
        <v>384</v>
      </c>
      <c r="F27" s="2" t="s">
        <v>207</v>
      </c>
      <c r="L27" s="51"/>
      <c r="M27" s="51"/>
      <c r="N27" s="51"/>
      <c r="O27" s="51"/>
      <c r="P27" s="51"/>
      <c r="Q27" s="28">
        <v>13103332.76059464</v>
      </c>
      <c r="R27" s="28">
        <v>13748627.430616423</v>
      </c>
      <c r="S27" s="28">
        <v>9460622.7247500308</v>
      </c>
      <c r="T27" s="28">
        <v>10073596.463144638</v>
      </c>
      <c r="U27" s="38"/>
      <c r="V27" s="38"/>
      <c r="W27" s="38"/>
      <c r="X27" s="38"/>
      <c r="Y27" s="38"/>
      <c r="Z27" s="38"/>
      <c r="AA27" s="38"/>
      <c r="AB27" s="38"/>
      <c r="AD27" s="2" t="s">
        <v>383</v>
      </c>
    </row>
    <row r="28" spans="2:30" x14ac:dyDescent="0.2">
      <c r="B28" s="2" t="s">
        <v>385</v>
      </c>
      <c r="F28" s="2" t="s">
        <v>207</v>
      </c>
      <c r="L28" s="38"/>
      <c r="M28" s="38"/>
      <c r="N28" s="38"/>
      <c r="O28" s="38"/>
      <c r="P28" s="38"/>
      <c r="Q28" s="38"/>
      <c r="R28" s="38"/>
      <c r="S28" s="38"/>
      <c r="T28" s="28">
        <v>10069161.191075675</v>
      </c>
      <c r="U28" s="28">
        <v>9877861.8180031534</v>
      </c>
      <c r="V28" s="28">
        <v>8898061.4517361484</v>
      </c>
      <c r="W28" s="28">
        <v>9064872.5174342617</v>
      </c>
      <c r="X28" s="38"/>
      <c r="Y28" s="38"/>
      <c r="Z28" s="38"/>
      <c r="AA28" s="38"/>
      <c r="AB28" s="38"/>
      <c r="AD28" s="2" t="s">
        <v>386</v>
      </c>
    </row>
    <row r="29" spans="2:30" x14ac:dyDescent="0.2">
      <c r="B29" s="52"/>
    </row>
    <row r="30" spans="2:30" x14ac:dyDescent="0.2">
      <c r="B30" s="3" t="s">
        <v>400</v>
      </c>
    </row>
    <row r="31" spans="2:30" x14ac:dyDescent="0.2">
      <c r="B31" s="2" t="s">
        <v>122</v>
      </c>
      <c r="F31" s="2" t="s">
        <v>207</v>
      </c>
      <c r="L31" s="38"/>
      <c r="M31" s="38"/>
      <c r="N31" s="38"/>
      <c r="O31" s="38"/>
      <c r="P31" s="38"/>
      <c r="Q31" s="38"/>
      <c r="R31" s="38"/>
      <c r="S31" s="38"/>
      <c r="T31" s="38"/>
      <c r="U31" s="38"/>
      <c r="V31" s="38"/>
      <c r="W31" s="28">
        <v>12517427.885460485</v>
      </c>
      <c r="X31" s="28">
        <v>12601190.357499994</v>
      </c>
      <c r="Y31" s="28">
        <v>12633312.557518186</v>
      </c>
      <c r="Z31" s="28">
        <v>12410754.951348918</v>
      </c>
      <c r="AA31" s="28">
        <v>12972698.127070708</v>
      </c>
      <c r="AB31" s="28">
        <v>13110482.830000002</v>
      </c>
      <c r="AD31" s="2" t="s">
        <v>387</v>
      </c>
    </row>
    <row r="32" spans="2:30" x14ac:dyDescent="0.2">
      <c r="B32" s="2" t="s">
        <v>123</v>
      </c>
      <c r="F32" s="2" t="s">
        <v>207</v>
      </c>
      <c r="L32" s="38"/>
      <c r="M32" s="38"/>
      <c r="N32" s="38"/>
      <c r="O32" s="38"/>
      <c r="P32" s="38"/>
      <c r="Q32" s="38"/>
      <c r="R32" s="38"/>
      <c r="S32" s="38"/>
      <c r="T32" s="38"/>
      <c r="U32" s="38"/>
      <c r="V32" s="38"/>
      <c r="W32" s="28">
        <v>3453186.0680384301</v>
      </c>
      <c r="X32" s="28">
        <v>3317823.803205627</v>
      </c>
      <c r="Y32" s="28">
        <v>3610425.1827898095</v>
      </c>
      <c r="Z32" s="28">
        <v>3733724.3376423875</v>
      </c>
      <c r="AA32" s="28">
        <v>3752644.2792296978</v>
      </c>
      <c r="AB32" s="28">
        <v>3795034.2763</v>
      </c>
      <c r="AD32" s="2" t="s">
        <v>388</v>
      </c>
    </row>
    <row r="33" spans="2:30" x14ac:dyDescent="0.2">
      <c r="B33" s="2" t="s">
        <v>124</v>
      </c>
      <c r="F33" s="2" t="s">
        <v>207</v>
      </c>
      <c r="L33" s="38"/>
      <c r="M33" s="38"/>
      <c r="N33" s="38"/>
      <c r="O33" s="38"/>
      <c r="P33" s="38"/>
      <c r="Q33" s="38"/>
      <c r="R33" s="38"/>
      <c r="S33" s="38"/>
      <c r="T33" s="38"/>
      <c r="U33" s="38"/>
      <c r="V33" s="38"/>
      <c r="W33" s="28">
        <v>630.70000000000005</v>
      </c>
      <c r="X33" s="28">
        <v>0</v>
      </c>
      <c r="Y33" s="28">
        <v>10453.379999999999</v>
      </c>
      <c r="Z33" s="28">
        <v>213154.5385</v>
      </c>
      <c r="AA33" s="28">
        <v>7063.13</v>
      </c>
      <c r="AB33" s="28">
        <v>118278.04000000001</v>
      </c>
      <c r="AD33" s="2" t="s">
        <v>389</v>
      </c>
    </row>
    <row r="35" spans="2:30" x14ac:dyDescent="0.2">
      <c r="W35" s="44"/>
    </row>
  </sheetData>
  <phoneticPr fontId="2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B2:AD76"/>
  <sheetViews>
    <sheetView showGridLines="0" zoomScale="85" zoomScaleNormal="85" workbookViewId="0">
      <pane xSplit="6" ySplit="12" topLeftCell="G13" activePane="bottomRight" state="frozen"/>
      <selection activeCell="B6" sqref="B6"/>
      <selection pane="topRight" activeCell="B6" sqref="B6"/>
      <selection pane="bottomLeft" activeCell="B6" sqref="B6"/>
      <selection pane="bottomRight" activeCell="G13" sqref="G13"/>
    </sheetView>
  </sheetViews>
  <sheetFormatPr defaultRowHeight="12.75" x14ac:dyDescent="0.2"/>
  <cols>
    <col min="1" max="1" width="5.7109375" style="2" customWidth="1"/>
    <col min="2" max="2" width="41.42578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8" width="14" style="2" customWidth="1"/>
    <col min="29" max="29" width="13.7109375" style="2" customWidth="1"/>
    <col min="30" max="30" width="86.42578125" style="2" customWidth="1"/>
    <col min="31" max="42" width="13.7109375" style="2" customWidth="1"/>
    <col min="43" max="16384" width="9.140625" style="2"/>
  </cols>
  <sheetData>
    <row r="2" spans="2:30" s="14" customFormat="1" ht="18" x14ac:dyDescent="0.2">
      <c r="B2" s="14" t="s">
        <v>272</v>
      </c>
    </row>
    <row r="4" spans="2:30" x14ac:dyDescent="0.2">
      <c r="B4" s="22" t="s">
        <v>84</v>
      </c>
      <c r="C4" s="1"/>
      <c r="D4" s="1"/>
      <c r="L4"/>
    </row>
    <row r="5" spans="2:30" x14ac:dyDescent="0.2">
      <c r="B5" s="18" t="s">
        <v>273</v>
      </c>
      <c r="C5" s="18"/>
      <c r="D5" s="18"/>
      <c r="H5" s="15"/>
    </row>
    <row r="6" spans="2:30" x14ac:dyDescent="0.2">
      <c r="B6" s="18"/>
      <c r="C6" s="18"/>
      <c r="D6" s="18"/>
      <c r="H6" s="15"/>
    </row>
    <row r="7" spans="2:30" x14ac:dyDescent="0.2">
      <c r="B7" s="23" t="s">
        <v>69</v>
      </c>
      <c r="C7" s="18"/>
      <c r="D7" s="18"/>
      <c r="H7" s="15"/>
    </row>
    <row r="8" spans="2:30" x14ac:dyDescent="0.2">
      <c r="B8" s="23" t="s">
        <v>274</v>
      </c>
      <c r="C8" s="18"/>
      <c r="D8" s="18"/>
    </row>
    <row r="11" spans="2:30" s="7" customFormat="1" x14ac:dyDescent="0.2">
      <c r="B11" s="7" t="s">
        <v>70</v>
      </c>
      <c r="F11" s="7" t="s">
        <v>71</v>
      </c>
      <c r="H11" s="7" t="s">
        <v>72</v>
      </c>
      <c r="J11" s="7" t="s">
        <v>73</v>
      </c>
      <c r="L11" s="7" t="s">
        <v>127</v>
      </c>
      <c r="M11" s="7" t="s">
        <v>128</v>
      </c>
      <c r="N11" s="7" t="s">
        <v>129</v>
      </c>
      <c r="O11" s="7" t="s">
        <v>130</v>
      </c>
      <c r="P11" s="7" t="s">
        <v>131</v>
      </c>
      <c r="Q11" s="7" t="s">
        <v>132</v>
      </c>
      <c r="R11" s="7" t="s">
        <v>133</v>
      </c>
      <c r="S11" s="7" t="s">
        <v>134</v>
      </c>
      <c r="T11" s="7" t="s">
        <v>135</v>
      </c>
      <c r="U11" s="7" t="s">
        <v>136</v>
      </c>
      <c r="V11" s="7" t="s">
        <v>137</v>
      </c>
      <c r="W11" s="7" t="s">
        <v>138</v>
      </c>
      <c r="X11" s="7" t="s">
        <v>139</v>
      </c>
      <c r="Y11" s="7" t="s">
        <v>140</v>
      </c>
      <c r="Z11" s="7" t="s">
        <v>141</v>
      </c>
      <c r="AA11" s="7" t="s">
        <v>142</v>
      </c>
      <c r="AB11" s="7" t="s">
        <v>328</v>
      </c>
      <c r="AD11" s="7" t="s">
        <v>85</v>
      </c>
    </row>
    <row r="14" spans="2:30" s="7" customFormat="1" x14ac:dyDescent="0.2">
      <c r="B14" s="7" t="s">
        <v>88</v>
      </c>
    </row>
    <row r="16" spans="2:30" x14ac:dyDescent="0.2">
      <c r="B16" s="2" t="s">
        <v>305</v>
      </c>
      <c r="F16" s="2" t="s">
        <v>207</v>
      </c>
      <c r="L16" s="38"/>
      <c r="M16" s="38"/>
      <c r="N16" s="28">
        <v>1999304729.8190682</v>
      </c>
      <c r="O16" s="28">
        <v>2062017114.5392427</v>
      </c>
      <c r="P16" s="38"/>
      <c r="Q16" s="38"/>
      <c r="R16" s="38"/>
      <c r="S16" s="38"/>
      <c r="T16" s="38"/>
      <c r="U16" s="38"/>
      <c r="V16" s="38"/>
      <c r="W16" s="38"/>
      <c r="X16" s="38"/>
      <c r="Y16" s="38"/>
      <c r="Z16" s="38"/>
      <c r="AA16" s="38"/>
      <c r="AB16" s="38"/>
      <c r="AD16" s="2" t="s">
        <v>311</v>
      </c>
    </row>
    <row r="17" spans="2:30" x14ac:dyDescent="0.2">
      <c r="B17" s="2" t="s">
        <v>306</v>
      </c>
      <c r="F17" s="2" t="s">
        <v>207</v>
      </c>
      <c r="L17" s="38"/>
      <c r="M17" s="38"/>
      <c r="N17" s="38"/>
      <c r="O17" s="26">
        <v>1951789898.8353457</v>
      </c>
      <c r="P17" s="26">
        <v>2031399887.8372173</v>
      </c>
      <c r="Q17" s="38"/>
      <c r="R17" s="38"/>
      <c r="S17" s="38"/>
      <c r="T17" s="38"/>
      <c r="U17" s="38"/>
      <c r="V17" s="38"/>
      <c r="W17" s="38"/>
      <c r="X17" s="38"/>
      <c r="Y17" s="38"/>
      <c r="Z17" s="38"/>
      <c r="AA17" s="38"/>
      <c r="AB17" s="38"/>
      <c r="AD17" s="2" t="s">
        <v>431</v>
      </c>
    </row>
    <row r="18" spans="2:30" x14ac:dyDescent="0.2">
      <c r="B18" s="2" t="s">
        <v>310</v>
      </c>
      <c r="F18" s="2" t="s">
        <v>207</v>
      </c>
      <c r="L18" s="38"/>
      <c r="M18" s="38"/>
      <c r="N18" s="38"/>
      <c r="O18" s="38"/>
      <c r="P18" s="28">
        <v>1937982063.5477803</v>
      </c>
      <c r="Q18" s="28">
        <v>2073963238.0870264</v>
      </c>
      <c r="R18" s="38"/>
      <c r="S18" s="38"/>
      <c r="T18" s="38"/>
      <c r="U18" s="38"/>
      <c r="V18" s="38"/>
      <c r="W18" s="38"/>
      <c r="X18" s="38"/>
      <c r="Y18" s="38"/>
      <c r="Z18" s="38"/>
      <c r="AA18" s="38"/>
      <c r="AB18" s="38"/>
      <c r="AD18" s="2" t="s">
        <v>312</v>
      </c>
    </row>
    <row r="19" spans="2:30" x14ac:dyDescent="0.2">
      <c r="B19" s="2" t="s">
        <v>307</v>
      </c>
      <c r="F19" s="2" t="s">
        <v>308</v>
      </c>
      <c r="L19" s="38"/>
      <c r="M19" s="38"/>
      <c r="N19" s="28">
        <v>1032257.3361062823</v>
      </c>
      <c r="O19" s="28">
        <v>1053441.74199354</v>
      </c>
      <c r="P19" s="38"/>
      <c r="Q19" s="38"/>
      <c r="R19" s="38"/>
      <c r="S19" s="38"/>
      <c r="T19" s="38"/>
      <c r="U19" s="38"/>
      <c r="V19" s="38"/>
      <c r="W19" s="38"/>
      <c r="X19" s="38"/>
      <c r="Y19" s="38"/>
      <c r="Z19" s="38"/>
      <c r="AA19" s="38"/>
      <c r="AB19" s="38"/>
      <c r="AD19" s="2" t="s">
        <v>314</v>
      </c>
    </row>
    <row r="20" spans="2:30" x14ac:dyDescent="0.2">
      <c r="B20" s="2" t="s">
        <v>309</v>
      </c>
      <c r="F20" s="2" t="s">
        <v>308</v>
      </c>
      <c r="L20" s="38"/>
      <c r="M20" s="38"/>
      <c r="N20" s="38"/>
      <c r="O20" s="26">
        <v>972496.88004995638</v>
      </c>
      <c r="P20" s="26">
        <v>922487.97707678436</v>
      </c>
      <c r="Q20" s="38"/>
      <c r="R20" s="38"/>
      <c r="S20" s="38"/>
      <c r="T20" s="38"/>
      <c r="U20" s="38"/>
      <c r="V20" s="38"/>
      <c r="W20" s="38"/>
      <c r="X20" s="38"/>
      <c r="Y20" s="38"/>
      <c r="Z20" s="38"/>
      <c r="AA20" s="38"/>
      <c r="AB20" s="38"/>
      <c r="AD20" s="2" t="s">
        <v>315</v>
      </c>
    </row>
    <row r="21" spans="2:30" x14ac:dyDescent="0.2">
      <c r="B21" s="2" t="s">
        <v>313</v>
      </c>
      <c r="F21" s="2" t="s">
        <v>308</v>
      </c>
      <c r="L21" s="38"/>
      <c r="M21" s="38"/>
      <c r="N21" s="38"/>
      <c r="O21" s="38"/>
      <c r="P21" s="28">
        <v>930692.72829921765</v>
      </c>
      <c r="Q21" s="28">
        <v>971574.88958414213</v>
      </c>
      <c r="R21" s="38"/>
      <c r="S21" s="38"/>
      <c r="T21" s="38"/>
      <c r="U21" s="38"/>
      <c r="V21" s="38"/>
      <c r="W21" s="38"/>
      <c r="X21" s="38"/>
      <c r="Y21" s="38"/>
      <c r="Z21" s="38"/>
      <c r="AA21" s="38"/>
      <c r="AB21" s="38"/>
      <c r="AD21" s="2" t="s">
        <v>316</v>
      </c>
    </row>
    <row r="23" spans="2:30" x14ac:dyDescent="0.2">
      <c r="B23" s="2" t="s">
        <v>177</v>
      </c>
      <c r="F23" s="2" t="s">
        <v>207</v>
      </c>
      <c r="L23" s="26">
        <v>1026699413.5296733</v>
      </c>
      <c r="M23" s="26">
        <v>996720724.72000003</v>
      </c>
      <c r="N23" s="38"/>
      <c r="O23" s="38"/>
      <c r="P23" s="38"/>
      <c r="Q23" s="38"/>
      <c r="R23" s="38"/>
      <c r="S23" s="38"/>
      <c r="T23" s="38"/>
      <c r="U23" s="38"/>
      <c r="V23" s="38"/>
      <c r="W23" s="38"/>
      <c r="X23" s="38"/>
      <c r="Y23" s="38"/>
      <c r="Z23" s="38"/>
      <c r="AA23" s="38"/>
      <c r="AB23" s="38"/>
      <c r="AD23" s="2" t="s">
        <v>258</v>
      </c>
    </row>
    <row r="24" spans="2:30" x14ac:dyDescent="0.2">
      <c r="B24" s="2" t="s">
        <v>178</v>
      </c>
      <c r="F24" s="2" t="s">
        <v>207</v>
      </c>
      <c r="L24" s="38"/>
      <c r="M24" s="26">
        <v>996720724.72000003</v>
      </c>
      <c r="N24" s="26">
        <v>1035580710.8543341</v>
      </c>
      <c r="O24" s="38"/>
      <c r="P24" s="38"/>
      <c r="Q24" s="38"/>
      <c r="R24" s="38"/>
      <c r="S24" s="38"/>
      <c r="T24" s="38"/>
      <c r="U24" s="38"/>
      <c r="V24" s="38"/>
      <c r="W24" s="38"/>
      <c r="X24" s="38"/>
      <c r="Y24" s="38"/>
      <c r="Z24" s="38"/>
      <c r="AA24" s="38"/>
      <c r="AB24" s="38"/>
      <c r="AD24" s="2" t="s">
        <v>264</v>
      </c>
    </row>
    <row r="25" spans="2:30" x14ac:dyDescent="0.2">
      <c r="B25" s="2" t="s">
        <v>179</v>
      </c>
      <c r="F25" s="2" t="s">
        <v>207</v>
      </c>
      <c r="L25" s="38"/>
      <c r="M25" s="38"/>
      <c r="N25" s="36">
        <f>N16-N19*1000</f>
        <v>967047393.71278584</v>
      </c>
      <c r="O25" s="36">
        <f>O16-O19*1000</f>
        <v>1008575372.5457028</v>
      </c>
      <c r="P25" s="38"/>
      <c r="Q25" s="38"/>
      <c r="R25" s="38"/>
      <c r="S25" s="38"/>
      <c r="T25" s="38"/>
      <c r="U25" s="38"/>
      <c r="V25" s="38"/>
      <c r="W25" s="38"/>
      <c r="X25" s="38"/>
      <c r="Y25" s="38"/>
      <c r="Z25" s="38"/>
      <c r="AA25" s="38"/>
      <c r="AB25" s="38"/>
    </row>
    <row r="26" spans="2:30" x14ac:dyDescent="0.2">
      <c r="B26" s="2" t="s">
        <v>180</v>
      </c>
      <c r="F26" s="2" t="s">
        <v>207</v>
      </c>
      <c r="L26" s="38"/>
      <c r="M26" s="38"/>
      <c r="N26" s="38"/>
      <c r="O26" s="36">
        <f>O17-O20*1000</f>
        <v>979293018.78538942</v>
      </c>
      <c r="P26" s="36">
        <f>P17-P20*1000</f>
        <v>1108911910.760433</v>
      </c>
      <c r="Q26" s="38"/>
      <c r="R26" s="38"/>
      <c r="S26" s="38"/>
      <c r="T26" s="38"/>
      <c r="U26" s="38"/>
      <c r="V26" s="38"/>
      <c r="W26" s="38"/>
      <c r="X26" s="38"/>
      <c r="Y26" s="38"/>
      <c r="Z26" s="38"/>
      <c r="AA26" s="38"/>
      <c r="AB26" s="38"/>
    </row>
    <row r="27" spans="2:30" x14ac:dyDescent="0.2">
      <c r="B27" s="2" t="s">
        <v>181</v>
      </c>
      <c r="F27" s="2" t="s">
        <v>207</v>
      </c>
      <c r="L27" s="38"/>
      <c r="M27" s="38"/>
      <c r="N27" s="38"/>
      <c r="O27" s="38"/>
      <c r="P27" s="36">
        <f>P18-P21*1000</f>
        <v>1007289335.2485626</v>
      </c>
      <c r="Q27" s="36">
        <f>Q18-Q21*1000</f>
        <v>1102388348.5028844</v>
      </c>
      <c r="R27" s="38"/>
      <c r="S27" s="38"/>
      <c r="T27" s="38"/>
      <c r="U27" s="38"/>
      <c r="V27" s="38"/>
      <c r="W27" s="38"/>
      <c r="X27" s="38"/>
      <c r="Y27" s="38"/>
      <c r="Z27" s="38"/>
      <c r="AA27" s="38"/>
      <c r="AB27" s="38"/>
    </row>
    <row r="28" spans="2:30" x14ac:dyDescent="0.2">
      <c r="B28" s="2" t="s">
        <v>182</v>
      </c>
      <c r="F28" s="2" t="s">
        <v>207</v>
      </c>
      <c r="L28" s="38"/>
      <c r="M28" s="38"/>
      <c r="N28" s="38"/>
      <c r="O28" s="38"/>
      <c r="P28" s="38"/>
      <c r="Q28" s="28">
        <v>1106197821.241219</v>
      </c>
      <c r="R28" s="28">
        <v>986667889.14870226</v>
      </c>
      <c r="S28" s="38"/>
      <c r="T28" s="38"/>
      <c r="U28" s="38"/>
      <c r="V28" s="38"/>
      <c r="W28" s="38"/>
      <c r="X28" s="38"/>
      <c r="Y28" s="38"/>
      <c r="Z28" s="38"/>
      <c r="AA28" s="38"/>
      <c r="AB28" s="38"/>
      <c r="AD28" s="2" t="s">
        <v>265</v>
      </c>
    </row>
    <row r="29" spans="2:30" x14ac:dyDescent="0.2">
      <c r="B29" s="2" t="s">
        <v>183</v>
      </c>
      <c r="F29" s="2" t="s">
        <v>207</v>
      </c>
      <c r="L29" s="38"/>
      <c r="M29" s="38"/>
      <c r="N29" s="38"/>
      <c r="O29" s="38"/>
      <c r="P29" s="38"/>
      <c r="Q29" s="38"/>
      <c r="R29" s="28">
        <v>986667889.14870226</v>
      </c>
      <c r="S29" s="28">
        <v>994621293.40497577</v>
      </c>
      <c r="T29" s="38"/>
      <c r="U29" s="38"/>
      <c r="V29" s="38"/>
      <c r="W29" s="38"/>
      <c r="X29" s="38"/>
      <c r="Y29" s="38"/>
      <c r="Z29" s="38"/>
      <c r="AA29" s="38"/>
      <c r="AB29" s="38"/>
      <c r="AD29" s="2" t="s">
        <v>266</v>
      </c>
    </row>
    <row r="30" spans="2:30" x14ac:dyDescent="0.2">
      <c r="B30" s="2" t="s">
        <v>184</v>
      </c>
      <c r="F30" s="2" t="s">
        <v>207</v>
      </c>
      <c r="L30" s="38"/>
      <c r="M30" s="38"/>
      <c r="N30" s="38"/>
      <c r="O30" s="38"/>
      <c r="P30" s="38"/>
      <c r="Q30" s="38"/>
      <c r="R30" s="38"/>
      <c r="S30" s="28">
        <v>994621293.40497577</v>
      </c>
      <c r="T30" s="28">
        <v>1057530791.7916498</v>
      </c>
      <c r="U30" s="38"/>
      <c r="V30" s="38"/>
      <c r="W30" s="38"/>
      <c r="X30" s="38"/>
      <c r="Y30" s="38"/>
      <c r="Z30" s="38"/>
      <c r="AA30" s="38"/>
      <c r="AB30" s="38"/>
      <c r="AD30" s="2" t="s">
        <v>267</v>
      </c>
    </row>
    <row r="31" spans="2:30" x14ac:dyDescent="0.2">
      <c r="B31" s="2" t="s">
        <v>185</v>
      </c>
      <c r="F31" s="2" t="s">
        <v>207</v>
      </c>
      <c r="L31" s="38"/>
      <c r="M31" s="38"/>
      <c r="N31" s="38"/>
      <c r="O31" s="38"/>
      <c r="P31" s="38"/>
      <c r="Q31" s="38"/>
      <c r="R31" s="38"/>
      <c r="S31" s="38"/>
      <c r="T31" s="28">
        <v>1057381092.3412584</v>
      </c>
      <c r="U31" s="28">
        <v>1041876188.0245111</v>
      </c>
      <c r="V31" s="38"/>
      <c r="W31" s="38"/>
      <c r="X31" s="38"/>
      <c r="Y31" s="38"/>
      <c r="Z31" s="38"/>
      <c r="AA31" s="38"/>
      <c r="AB31" s="38"/>
      <c r="AD31" s="2" t="s">
        <v>324</v>
      </c>
    </row>
    <row r="32" spans="2:30" x14ac:dyDescent="0.2">
      <c r="B32" s="2" t="s">
        <v>186</v>
      </c>
      <c r="F32" s="2" t="s">
        <v>207</v>
      </c>
      <c r="L32" s="38"/>
      <c r="M32" s="38"/>
      <c r="N32" s="38"/>
      <c r="O32" s="38"/>
      <c r="P32" s="38"/>
      <c r="Q32" s="38"/>
      <c r="R32" s="38"/>
      <c r="S32" s="38"/>
      <c r="T32" s="38"/>
      <c r="U32" s="28">
        <v>1041876188.0245111</v>
      </c>
      <c r="V32" s="28">
        <v>993126645.51743424</v>
      </c>
      <c r="W32" s="38"/>
      <c r="X32" s="38"/>
      <c r="Y32" s="38"/>
      <c r="Z32" s="38"/>
      <c r="AA32" s="38"/>
      <c r="AB32" s="38"/>
      <c r="AD32" s="2" t="s">
        <v>325</v>
      </c>
    </row>
    <row r="33" spans="2:30" x14ac:dyDescent="0.2">
      <c r="B33" s="2" t="s">
        <v>187</v>
      </c>
      <c r="F33" s="2" t="s">
        <v>207</v>
      </c>
      <c r="L33" s="38"/>
      <c r="M33" s="38"/>
      <c r="N33" s="38"/>
      <c r="O33" s="38"/>
      <c r="P33" s="38"/>
      <c r="Q33" s="38"/>
      <c r="R33" s="38"/>
      <c r="S33" s="38"/>
      <c r="T33" s="38"/>
      <c r="U33" s="38"/>
      <c r="V33" s="28">
        <v>985411720.43456352</v>
      </c>
      <c r="W33" s="28">
        <v>971525040.26440775</v>
      </c>
      <c r="X33" s="38"/>
      <c r="Y33" s="38"/>
      <c r="Z33" s="38"/>
      <c r="AA33" s="38"/>
      <c r="AB33" s="38"/>
      <c r="AD33" s="2" t="s">
        <v>326</v>
      </c>
    </row>
    <row r="34" spans="2:30" x14ac:dyDescent="0.2">
      <c r="B34" s="2" t="s">
        <v>188</v>
      </c>
      <c r="F34" s="2" t="s">
        <v>207</v>
      </c>
      <c r="L34" s="38"/>
      <c r="M34" s="38"/>
      <c r="N34" s="38"/>
      <c r="O34" s="38"/>
      <c r="P34" s="38"/>
      <c r="Q34" s="38"/>
      <c r="R34" s="38"/>
      <c r="S34" s="38"/>
      <c r="T34" s="38"/>
      <c r="U34" s="38"/>
      <c r="V34" s="38"/>
      <c r="W34" s="28">
        <v>973124864.26440775</v>
      </c>
      <c r="X34" s="28">
        <v>911305549.99349415</v>
      </c>
      <c r="Y34" s="38"/>
      <c r="Z34" s="38"/>
      <c r="AA34" s="38"/>
      <c r="AB34" s="38"/>
      <c r="AD34" s="2" t="s">
        <v>401</v>
      </c>
    </row>
    <row r="35" spans="2:30" x14ac:dyDescent="0.2">
      <c r="B35" s="2" t="s">
        <v>189</v>
      </c>
      <c r="F35" s="2" t="s">
        <v>207</v>
      </c>
      <c r="L35" s="38"/>
      <c r="M35" s="38"/>
      <c r="N35" s="38"/>
      <c r="O35" s="38"/>
      <c r="P35" s="38"/>
      <c r="Q35" s="38"/>
      <c r="R35" s="38"/>
      <c r="S35" s="38"/>
      <c r="T35" s="38"/>
      <c r="U35" s="38"/>
      <c r="V35" s="38"/>
      <c r="W35" s="38"/>
      <c r="X35" s="28">
        <v>911305549.99349415</v>
      </c>
      <c r="Y35" s="28">
        <v>963234682.88586998</v>
      </c>
      <c r="Z35" s="38"/>
      <c r="AA35" s="38"/>
      <c r="AB35" s="38"/>
      <c r="AD35" s="2" t="s">
        <v>402</v>
      </c>
    </row>
    <row r="36" spans="2:30" x14ac:dyDescent="0.2">
      <c r="B36" s="2" t="s">
        <v>190</v>
      </c>
      <c r="F36" s="2" t="s">
        <v>207</v>
      </c>
      <c r="L36" s="38"/>
      <c r="M36" s="38"/>
      <c r="N36" s="38"/>
      <c r="O36" s="38"/>
      <c r="P36" s="38"/>
      <c r="Q36" s="38"/>
      <c r="R36" s="38"/>
      <c r="S36" s="38"/>
      <c r="T36" s="38"/>
      <c r="U36" s="38"/>
      <c r="V36" s="38"/>
      <c r="W36" s="38"/>
      <c r="X36" s="38"/>
      <c r="Y36" s="28">
        <v>963234682.88586998</v>
      </c>
      <c r="Z36" s="28">
        <v>1009971433.9997885</v>
      </c>
      <c r="AA36" s="38"/>
      <c r="AB36" s="38"/>
      <c r="AD36" s="2" t="s">
        <v>403</v>
      </c>
    </row>
    <row r="37" spans="2:30" x14ac:dyDescent="0.2">
      <c r="B37" s="2" t="s">
        <v>191</v>
      </c>
      <c r="F37" s="2" t="s">
        <v>207</v>
      </c>
      <c r="L37" s="38"/>
      <c r="M37" s="38"/>
      <c r="N37" s="38"/>
      <c r="O37" s="38"/>
      <c r="P37" s="38"/>
      <c r="Q37" s="38"/>
      <c r="R37" s="38"/>
      <c r="S37" s="38"/>
      <c r="T37" s="38"/>
      <c r="U37" s="38"/>
      <c r="V37" s="38"/>
      <c r="W37" s="38"/>
      <c r="X37" s="38"/>
      <c r="Y37" s="38"/>
      <c r="Z37" s="28">
        <v>1009971433.9997885</v>
      </c>
      <c r="AA37" s="28">
        <v>1087441866.6401911</v>
      </c>
      <c r="AB37" s="38"/>
      <c r="AD37" s="2" t="s">
        <v>404</v>
      </c>
    </row>
    <row r="38" spans="2:30" x14ac:dyDescent="0.2">
      <c r="B38" s="2" t="s">
        <v>327</v>
      </c>
      <c r="F38" s="2" t="s">
        <v>207</v>
      </c>
      <c r="L38" s="38"/>
      <c r="M38" s="38"/>
      <c r="N38" s="38"/>
      <c r="O38" s="38"/>
      <c r="P38" s="38"/>
      <c r="Q38" s="38"/>
      <c r="R38" s="38"/>
      <c r="S38" s="38"/>
      <c r="T38" s="38"/>
      <c r="U38" s="38"/>
      <c r="V38" s="38"/>
      <c r="W38" s="38"/>
      <c r="X38" s="38"/>
      <c r="Y38" s="38"/>
      <c r="Z38" s="38"/>
      <c r="AA38" s="28">
        <v>1087441866.6401911</v>
      </c>
      <c r="AB38" s="28">
        <v>1162233747.3752635</v>
      </c>
      <c r="AD38" s="2" t="s">
        <v>405</v>
      </c>
    </row>
    <row r="40" spans="2:30" s="7" customFormat="1" x14ac:dyDescent="0.2">
      <c r="B40" s="7" t="s">
        <v>289</v>
      </c>
    </row>
    <row r="42" spans="2:30" x14ac:dyDescent="0.2">
      <c r="B42" s="2" t="s">
        <v>290</v>
      </c>
      <c r="F42" s="2" t="s">
        <v>207</v>
      </c>
      <c r="L42" s="38"/>
      <c r="M42" s="38"/>
      <c r="N42" s="38"/>
      <c r="O42" s="38"/>
      <c r="P42" s="38"/>
      <c r="Q42" s="28">
        <v>168580391.64641124</v>
      </c>
      <c r="R42" s="28">
        <v>113490347.51854995</v>
      </c>
      <c r="S42" s="38"/>
      <c r="T42" s="38"/>
      <c r="U42" s="38"/>
      <c r="V42" s="38"/>
      <c r="W42" s="38"/>
      <c r="X42" s="38"/>
      <c r="Y42" s="38"/>
      <c r="Z42" s="38"/>
      <c r="AA42" s="38"/>
      <c r="AB42" s="38"/>
      <c r="AD42" s="2" t="s">
        <v>317</v>
      </c>
    </row>
    <row r="43" spans="2:30" x14ac:dyDescent="0.2">
      <c r="B43" s="2" t="s">
        <v>291</v>
      </c>
      <c r="F43" s="2" t="s">
        <v>207</v>
      </c>
      <c r="L43" s="38"/>
      <c r="M43" s="38"/>
      <c r="N43" s="38"/>
      <c r="O43" s="38"/>
      <c r="P43" s="38"/>
      <c r="Q43" s="38"/>
      <c r="R43" s="28">
        <v>113490347.51854995</v>
      </c>
      <c r="S43" s="28">
        <v>119816581.86251201</v>
      </c>
      <c r="T43" s="38"/>
      <c r="U43" s="38"/>
      <c r="V43" s="38"/>
      <c r="W43" s="38"/>
      <c r="X43" s="38"/>
      <c r="Y43" s="38"/>
      <c r="Z43" s="38"/>
      <c r="AA43" s="38"/>
      <c r="AB43" s="38"/>
      <c r="AD43" s="2" t="s">
        <v>318</v>
      </c>
    </row>
    <row r="44" spans="2:30" x14ac:dyDescent="0.2">
      <c r="B44" s="2" t="s">
        <v>292</v>
      </c>
      <c r="F44" s="2" t="s">
        <v>207</v>
      </c>
      <c r="L44" s="38"/>
      <c r="M44" s="38"/>
      <c r="N44" s="38"/>
      <c r="O44" s="38"/>
      <c r="P44" s="38"/>
      <c r="Q44" s="38"/>
      <c r="R44" s="38"/>
      <c r="S44" s="28">
        <v>119816581.86251201</v>
      </c>
      <c r="T44" s="28">
        <v>121505998.104591</v>
      </c>
      <c r="U44" s="38"/>
      <c r="V44" s="38"/>
      <c r="W44" s="38"/>
      <c r="X44" s="38"/>
      <c r="Y44" s="38"/>
      <c r="Z44" s="38"/>
      <c r="AA44" s="38"/>
      <c r="AB44" s="38"/>
      <c r="AD44" s="2" t="s">
        <v>319</v>
      </c>
    </row>
    <row r="45" spans="2:30" x14ac:dyDescent="0.2">
      <c r="B45" s="2" t="s">
        <v>293</v>
      </c>
      <c r="F45" s="2" t="s">
        <v>207</v>
      </c>
      <c r="L45" s="38"/>
      <c r="M45" s="38"/>
      <c r="N45" s="38"/>
      <c r="O45" s="38"/>
      <c r="P45" s="38"/>
      <c r="Q45" s="38"/>
      <c r="R45" s="38"/>
      <c r="S45" s="38"/>
      <c r="T45" s="28">
        <v>121407995.93212065</v>
      </c>
      <c r="U45" s="28">
        <v>113080898.39697435</v>
      </c>
      <c r="V45" s="38"/>
      <c r="W45" s="38"/>
      <c r="X45" s="38"/>
      <c r="Y45" s="38"/>
      <c r="Z45" s="38"/>
      <c r="AA45" s="38"/>
      <c r="AB45" s="38"/>
      <c r="AD45" s="2" t="s">
        <v>321</v>
      </c>
    </row>
    <row r="46" spans="2:30" x14ac:dyDescent="0.2">
      <c r="B46" s="2" t="s">
        <v>294</v>
      </c>
      <c r="F46" s="2" t="s">
        <v>207</v>
      </c>
      <c r="L46" s="38"/>
      <c r="M46" s="38"/>
      <c r="N46" s="38"/>
      <c r="O46" s="38"/>
      <c r="P46" s="38"/>
      <c r="Q46" s="38"/>
      <c r="R46" s="38"/>
      <c r="S46" s="38"/>
      <c r="T46" s="38"/>
      <c r="U46" s="28">
        <v>113080898.39697435</v>
      </c>
      <c r="V46" s="28">
        <v>96796880.786573187</v>
      </c>
      <c r="W46" s="38"/>
      <c r="X46" s="38"/>
      <c r="Y46" s="38"/>
      <c r="Z46" s="38"/>
      <c r="AA46" s="38"/>
      <c r="AB46" s="38"/>
      <c r="AD46" s="2" t="s">
        <v>323</v>
      </c>
    </row>
    <row r="47" spans="2:30" x14ac:dyDescent="0.2">
      <c r="B47" s="2" t="s">
        <v>295</v>
      </c>
      <c r="F47" s="2" t="s">
        <v>207</v>
      </c>
      <c r="L47" s="38"/>
      <c r="M47" s="38"/>
      <c r="N47" s="38"/>
      <c r="O47" s="38"/>
      <c r="P47" s="38"/>
      <c r="Q47" s="38"/>
      <c r="R47" s="38"/>
      <c r="S47" s="38"/>
      <c r="T47" s="38"/>
      <c r="U47" s="38"/>
      <c r="V47" s="28">
        <v>96796880.786573187</v>
      </c>
      <c r="W47" s="28">
        <v>94735297.589320034</v>
      </c>
      <c r="X47" s="38"/>
      <c r="Y47" s="38"/>
      <c r="Z47" s="38"/>
      <c r="AA47" s="38"/>
      <c r="AB47" s="38"/>
      <c r="AD47" s="2" t="s">
        <v>322</v>
      </c>
    </row>
    <row r="48" spans="2:30" x14ac:dyDescent="0.2">
      <c r="B48" s="2" t="s">
        <v>296</v>
      </c>
      <c r="F48" s="2" t="s">
        <v>207</v>
      </c>
      <c r="L48" s="38"/>
      <c r="M48" s="38"/>
      <c r="N48" s="38"/>
      <c r="O48" s="38"/>
      <c r="P48" s="38"/>
      <c r="Q48" s="38"/>
      <c r="R48" s="38"/>
      <c r="S48" s="38"/>
      <c r="T48" s="38"/>
      <c r="U48" s="38"/>
      <c r="V48" s="38"/>
      <c r="W48" s="28">
        <v>93340746.863857359</v>
      </c>
      <c r="X48" s="28">
        <v>119461042.48441979</v>
      </c>
      <c r="Y48" s="38"/>
      <c r="Z48" s="38"/>
      <c r="AA48" s="38"/>
      <c r="AB48" s="38"/>
      <c r="AD48" s="2" t="s">
        <v>415</v>
      </c>
    </row>
    <row r="49" spans="2:30" x14ac:dyDescent="0.2">
      <c r="B49" s="2" t="s">
        <v>297</v>
      </c>
      <c r="F49" s="2" t="s">
        <v>207</v>
      </c>
      <c r="L49" s="38"/>
      <c r="M49" s="38"/>
      <c r="N49" s="38"/>
      <c r="O49" s="38"/>
      <c r="P49" s="38"/>
      <c r="Q49" s="38"/>
      <c r="R49" s="38"/>
      <c r="S49" s="38"/>
      <c r="T49" s="38"/>
      <c r="U49" s="38"/>
      <c r="V49" s="38"/>
      <c r="W49" s="38"/>
      <c r="X49" s="28">
        <v>119461042.48441979</v>
      </c>
      <c r="Y49" s="28">
        <v>105989089.58187632</v>
      </c>
      <c r="Z49" s="38"/>
      <c r="AA49" s="38"/>
      <c r="AB49" s="38"/>
      <c r="AD49" s="2" t="s">
        <v>416</v>
      </c>
    </row>
    <row r="50" spans="2:30" x14ac:dyDescent="0.2">
      <c r="B50" s="2" t="s">
        <v>298</v>
      </c>
      <c r="F50" s="2" t="s">
        <v>207</v>
      </c>
      <c r="L50" s="38"/>
      <c r="M50" s="38"/>
      <c r="N50" s="38"/>
      <c r="O50" s="38"/>
      <c r="P50" s="38"/>
      <c r="Q50" s="38"/>
      <c r="R50" s="38"/>
      <c r="S50" s="38"/>
      <c r="T50" s="38"/>
      <c r="U50" s="38"/>
      <c r="V50" s="38"/>
      <c r="W50" s="38"/>
      <c r="X50" s="38"/>
      <c r="Y50" s="28">
        <v>105989089.58187632</v>
      </c>
      <c r="Z50" s="28">
        <v>120974767.46933956</v>
      </c>
      <c r="AA50" s="38"/>
      <c r="AB50" s="38"/>
      <c r="AD50" s="2" t="s">
        <v>417</v>
      </c>
    </row>
    <row r="51" spans="2:30" x14ac:dyDescent="0.2">
      <c r="B51" s="2" t="s">
        <v>299</v>
      </c>
      <c r="F51" s="2" t="s">
        <v>207</v>
      </c>
      <c r="L51" s="38"/>
      <c r="M51" s="38"/>
      <c r="N51" s="38"/>
      <c r="O51" s="38"/>
      <c r="P51" s="38"/>
      <c r="Q51" s="38"/>
      <c r="R51" s="38"/>
      <c r="S51" s="38"/>
      <c r="T51" s="38"/>
      <c r="U51" s="38"/>
      <c r="V51" s="38"/>
      <c r="W51" s="38"/>
      <c r="X51" s="38"/>
      <c r="Y51" s="38"/>
      <c r="Z51" s="28">
        <v>120974767.46933956</v>
      </c>
      <c r="AA51" s="28">
        <v>143202878.16999993</v>
      </c>
      <c r="AB51" s="38"/>
      <c r="AD51" s="2" t="s">
        <v>418</v>
      </c>
    </row>
    <row r="52" spans="2:30" x14ac:dyDescent="0.2">
      <c r="B52" s="2" t="s">
        <v>329</v>
      </c>
      <c r="F52" s="2" t="s">
        <v>207</v>
      </c>
      <c r="L52" s="38"/>
      <c r="M52" s="38"/>
      <c r="N52" s="38"/>
      <c r="O52" s="38"/>
      <c r="P52" s="38"/>
      <c r="Q52" s="38"/>
      <c r="R52" s="38"/>
      <c r="S52" s="38"/>
      <c r="T52" s="38"/>
      <c r="U52" s="38"/>
      <c r="V52" s="38"/>
      <c r="W52" s="38"/>
      <c r="X52" s="38"/>
      <c r="Y52" s="38"/>
      <c r="Z52" s="38"/>
      <c r="AA52" s="28">
        <v>143202878.16999993</v>
      </c>
      <c r="AB52" s="28">
        <v>162549288.46165749</v>
      </c>
      <c r="AD52" s="2" t="s">
        <v>419</v>
      </c>
    </row>
    <row r="54" spans="2:30" s="7" customFormat="1" x14ac:dyDescent="0.2">
      <c r="B54" s="7" t="s">
        <v>158</v>
      </c>
    </row>
    <row r="56" spans="2:30" x14ac:dyDescent="0.2">
      <c r="B56" s="2" t="s">
        <v>192</v>
      </c>
      <c r="F56" s="2" t="s">
        <v>208</v>
      </c>
      <c r="L56" s="28">
        <v>2080934082.6104553</v>
      </c>
      <c r="M56" s="28">
        <v>2104489748.7992513</v>
      </c>
      <c r="N56" s="38"/>
      <c r="O56" s="38"/>
      <c r="P56" s="38"/>
      <c r="Q56" s="38"/>
      <c r="R56" s="38"/>
      <c r="S56" s="38"/>
      <c r="T56" s="38"/>
      <c r="U56" s="38"/>
      <c r="V56" s="38"/>
      <c r="W56" s="38"/>
      <c r="X56" s="38"/>
      <c r="Y56" s="38"/>
      <c r="Z56" s="38"/>
      <c r="AA56" s="38"/>
      <c r="AB56" s="38"/>
      <c r="AD56" s="2" t="s">
        <v>262</v>
      </c>
    </row>
    <row r="57" spans="2:30" x14ac:dyDescent="0.2">
      <c r="B57" s="2" t="s">
        <v>193</v>
      </c>
      <c r="F57" s="2" t="s">
        <v>208</v>
      </c>
      <c r="L57" s="38"/>
      <c r="M57" s="28">
        <v>2104489748.7992513</v>
      </c>
      <c r="N57" s="28">
        <v>2153451865.0281816</v>
      </c>
      <c r="O57" s="38"/>
      <c r="P57" s="38"/>
      <c r="Q57" s="38"/>
      <c r="R57" s="38"/>
      <c r="S57" s="38"/>
      <c r="T57" s="38"/>
      <c r="U57" s="38"/>
      <c r="V57" s="38"/>
      <c r="W57" s="38"/>
      <c r="X57" s="38"/>
      <c r="Y57" s="38"/>
      <c r="Z57" s="38"/>
      <c r="AA57" s="38"/>
      <c r="AB57" s="38"/>
      <c r="AD57" s="2" t="s">
        <v>263</v>
      </c>
    </row>
    <row r="58" spans="2:30" x14ac:dyDescent="0.2">
      <c r="B58" s="2" t="s">
        <v>194</v>
      </c>
      <c r="F58" s="2" t="s">
        <v>208</v>
      </c>
      <c r="L58" s="38"/>
      <c r="M58" s="38"/>
      <c r="N58" s="28">
        <v>2153538627.5189409</v>
      </c>
      <c r="O58" s="28">
        <v>2178833992.7330661</v>
      </c>
      <c r="P58" s="38"/>
      <c r="Q58" s="38"/>
      <c r="R58" s="38"/>
      <c r="S58" s="38"/>
      <c r="T58" s="38"/>
      <c r="U58" s="38"/>
      <c r="V58" s="38"/>
      <c r="W58" s="38"/>
      <c r="X58" s="38"/>
      <c r="Y58" s="38"/>
      <c r="Z58" s="38"/>
      <c r="AA58" s="38"/>
      <c r="AB58" s="38"/>
      <c r="AD58" s="2" t="s">
        <v>432</v>
      </c>
    </row>
    <row r="59" spans="2:30" x14ac:dyDescent="0.2">
      <c r="B59" s="2" t="s">
        <v>195</v>
      </c>
      <c r="F59" s="2" t="s">
        <v>208</v>
      </c>
      <c r="L59" s="38"/>
      <c r="M59" s="38"/>
      <c r="N59" s="38"/>
      <c r="O59" s="26">
        <v>2113963178.3716698</v>
      </c>
      <c r="P59" s="26">
        <v>2132040981.7431898</v>
      </c>
      <c r="Q59" s="38"/>
      <c r="R59" s="38"/>
      <c r="S59" s="38"/>
      <c r="T59" s="38"/>
      <c r="U59" s="38"/>
      <c r="V59" s="38"/>
      <c r="W59" s="38"/>
      <c r="X59" s="38"/>
      <c r="Y59" s="38"/>
      <c r="Z59" s="38"/>
      <c r="AA59" s="38"/>
      <c r="AB59" s="38"/>
      <c r="AD59" s="2" t="s">
        <v>433</v>
      </c>
    </row>
    <row r="60" spans="2:30" x14ac:dyDescent="0.2">
      <c r="B60" s="2" t="s">
        <v>196</v>
      </c>
      <c r="F60" s="2" t="s">
        <v>208</v>
      </c>
      <c r="L60" s="38"/>
      <c r="M60" s="38"/>
      <c r="N60" s="38"/>
      <c r="O60" s="38"/>
      <c r="P60" s="28">
        <v>2154671761.0645566</v>
      </c>
      <c r="Q60" s="28">
        <v>2158082805.3167639</v>
      </c>
      <c r="R60" s="38"/>
      <c r="S60" s="38"/>
      <c r="T60" s="38"/>
      <c r="U60" s="38"/>
      <c r="V60" s="38"/>
      <c r="W60" s="38"/>
      <c r="X60" s="38"/>
      <c r="Y60" s="38"/>
      <c r="Z60" s="38"/>
      <c r="AA60" s="38"/>
      <c r="AB60" s="38"/>
      <c r="AD60" s="2" t="s">
        <v>434</v>
      </c>
    </row>
    <row r="61" spans="2:30" x14ac:dyDescent="0.2">
      <c r="B61" s="2" t="s">
        <v>197</v>
      </c>
      <c r="F61" s="2" t="s">
        <v>208</v>
      </c>
      <c r="L61" s="38"/>
      <c r="M61" s="38"/>
      <c r="N61" s="38"/>
      <c r="O61" s="38"/>
      <c r="P61" s="38"/>
      <c r="Q61" s="28">
        <v>2963825205.9578171</v>
      </c>
      <c r="R61" s="28">
        <v>2951071044.2270489</v>
      </c>
      <c r="S61" s="38"/>
      <c r="T61" s="38"/>
      <c r="U61" s="38"/>
      <c r="V61" s="38"/>
      <c r="W61" s="38"/>
      <c r="X61" s="38"/>
      <c r="Y61" s="38"/>
      <c r="Z61" s="38"/>
      <c r="AA61" s="38"/>
      <c r="AB61" s="38"/>
      <c r="AD61" s="2" t="s">
        <v>353</v>
      </c>
    </row>
    <row r="62" spans="2:30" x14ac:dyDescent="0.2">
      <c r="B62" s="2" t="s">
        <v>198</v>
      </c>
      <c r="F62" s="2" t="s">
        <v>208</v>
      </c>
      <c r="L62" s="38"/>
      <c r="M62" s="38"/>
      <c r="N62" s="38"/>
      <c r="O62" s="38"/>
      <c r="P62" s="38"/>
      <c r="Q62" s="38"/>
      <c r="R62" s="28">
        <v>2951071044.2270489</v>
      </c>
      <c r="S62" s="28">
        <v>2984360337.6652484</v>
      </c>
      <c r="T62" s="38"/>
      <c r="U62" s="38"/>
      <c r="V62" s="38"/>
      <c r="W62" s="38"/>
      <c r="X62" s="38"/>
      <c r="Y62" s="38"/>
      <c r="Z62" s="38"/>
      <c r="AA62" s="38"/>
      <c r="AB62" s="38"/>
      <c r="AD62" s="2" t="s">
        <v>354</v>
      </c>
    </row>
    <row r="63" spans="2:30" x14ac:dyDescent="0.2">
      <c r="B63" s="2" t="s">
        <v>199</v>
      </c>
      <c r="F63" s="2" t="s">
        <v>208</v>
      </c>
      <c r="L63" s="38"/>
      <c r="M63" s="38"/>
      <c r="N63" s="38"/>
      <c r="O63" s="38"/>
      <c r="P63" s="38"/>
      <c r="Q63" s="38"/>
      <c r="R63" s="38"/>
      <c r="S63" s="28">
        <v>2984360337.6652484</v>
      </c>
      <c r="T63" s="28">
        <v>2988220032.5203738</v>
      </c>
      <c r="U63" s="38"/>
      <c r="V63" s="38"/>
      <c r="W63" s="38"/>
      <c r="X63" s="38"/>
      <c r="Y63" s="38"/>
      <c r="Z63" s="38"/>
      <c r="AA63" s="38"/>
      <c r="AB63" s="38"/>
      <c r="AD63" s="2" t="s">
        <v>355</v>
      </c>
    </row>
    <row r="64" spans="2:30" x14ac:dyDescent="0.2">
      <c r="B64" s="2" t="s">
        <v>200</v>
      </c>
      <c r="F64" s="2" t="s">
        <v>208</v>
      </c>
      <c r="L64" s="38"/>
      <c r="M64" s="38"/>
      <c r="N64" s="38"/>
      <c r="O64" s="38"/>
      <c r="P64" s="38"/>
      <c r="Q64" s="38"/>
      <c r="R64" s="38"/>
      <c r="S64" s="38"/>
      <c r="T64" s="28">
        <v>2664532400.8684244</v>
      </c>
      <c r="U64" s="28">
        <v>2658880899.7220988</v>
      </c>
      <c r="V64" s="38"/>
      <c r="W64" s="38"/>
      <c r="X64" s="38"/>
      <c r="Y64" s="38"/>
      <c r="Z64" s="38"/>
      <c r="AA64" s="38"/>
      <c r="AB64" s="38"/>
      <c r="AD64" s="2" t="s">
        <v>356</v>
      </c>
    </row>
    <row r="65" spans="2:30" x14ac:dyDescent="0.2">
      <c r="B65" s="2" t="s">
        <v>201</v>
      </c>
      <c r="F65" s="2" t="s">
        <v>208</v>
      </c>
      <c r="L65" s="38"/>
      <c r="M65" s="38"/>
      <c r="N65" s="38"/>
      <c r="O65" s="38"/>
      <c r="P65" s="38"/>
      <c r="Q65" s="38"/>
      <c r="R65" s="38"/>
      <c r="S65" s="38"/>
      <c r="T65" s="38"/>
      <c r="U65" s="28">
        <v>2658880899.7220988</v>
      </c>
      <c r="V65" s="28">
        <v>2655946203.3686337</v>
      </c>
      <c r="W65" s="38"/>
      <c r="X65" s="38"/>
      <c r="Y65" s="38"/>
      <c r="Z65" s="38"/>
      <c r="AA65" s="38"/>
      <c r="AB65" s="38"/>
      <c r="AD65" s="2" t="s">
        <v>357</v>
      </c>
    </row>
    <row r="66" spans="2:30" x14ac:dyDescent="0.2">
      <c r="B66" s="2" t="s">
        <v>202</v>
      </c>
      <c r="F66" s="2" t="s">
        <v>208</v>
      </c>
      <c r="L66" s="38"/>
      <c r="M66" s="38"/>
      <c r="N66" s="38"/>
      <c r="O66" s="38"/>
      <c r="P66" s="38"/>
      <c r="Q66" s="38"/>
      <c r="R66" s="38"/>
      <c r="S66" s="38"/>
      <c r="T66" s="38"/>
      <c r="U66" s="38"/>
      <c r="V66" s="28">
        <v>2652146858.2672939</v>
      </c>
      <c r="W66" s="28">
        <v>2673873481.2619209</v>
      </c>
      <c r="X66" s="38"/>
      <c r="Y66" s="38"/>
      <c r="Z66" s="38"/>
      <c r="AA66" s="38"/>
      <c r="AB66" s="38"/>
      <c r="AD66" s="2" t="s">
        <v>358</v>
      </c>
    </row>
    <row r="67" spans="2:30" x14ac:dyDescent="0.2">
      <c r="B67" s="2" t="s">
        <v>203</v>
      </c>
      <c r="F67" s="2" t="s">
        <v>208</v>
      </c>
      <c r="L67" s="38"/>
      <c r="M67" s="38"/>
      <c r="N67" s="38"/>
      <c r="O67" s="38"/>
      <c r="P67" s="38"/>
      <c r="Q67" s="38"/>
      <c r="R67" s="38"/>
      <c r="S67" s="38"/>
      <c r="T67" s="38"/>
      <c r="U67" s="38"/>
      <c r="V67" s="38"/>
      <c r="W67" s="28">
        <v>2898248194.9692092</v>
      </c>
      <c r="X67" s="28">
        <v>2952430710.9893508</v>
      </c>
      <c r="Y67" s="38"/>
      <c r="Z67" s="38"/>
      <c r="AA67" s="38"/>
      <c r="AB67" s="38"/>
      <c r="AD67" s="2" t="s">
        <v>410</v>
      </c>
    </row>
    <row r="68" spans="2:30" x14ac:dyDescent="0.2">
      <c r="B68" s="2" t="s">
        <v>204</v>
      </c>
      <c r="F68" s="2" t="s">
        <v>208</v>
      </c>
      <c r="L68" s="38"/>
      <c r="M68" s="38"/>
      <c r="N68" s="38"/>
      <c r="O68" s="38"/>
      <c r="P68" s="38"/>
      <c r="Q68" s="38"/>
      <c r="R68" s="38"/>
      <c r="S68" s="38"/>
      <c r="T68" s="38"/>
      <c r="U68" s="38"/>
      <c r="V68" s="38"/>
      <c r="W68" s="38"/>
      <c r="X68" s="28">
        <v>2952430710.9893508</v>
      </c>
      <c r="Y68" s="28">
        <v>2960837094.8159423</v>
      </c>
      <c r="Z68" s="38"/>
      <c r="AA68" s="38"/>
      <c r="AB68" s="38"/>
      <c r="AD68" s="2" t="s">
        <v>411</v>
      </c>
    </row>
    <row r="69" spans="2:30" x14ac:dyDescent="0.2">
      <c r="B69" s="2" t="s">
        <v>205</v>
      </c>
      <c r="F69" s="2" t="s">
        <v>208</v>
      </c>
      <c r="L69" s="38"/>
      <c r="M69" s="38"/>
      <c r="N69" s="38"/>
      <c r="O69" s="38"/>
      <c r="P69" s="38"/>
      <c r="Q69" s="38"/>
      <c r="R69" s="38"/>
      <c r="S69" s="38"/>
      <c r="T69" s="38"/>
      <c r="U69" s="38"/>
      <c r="V69" s="38"/>
      <c r="W69" s="38"/>
      <c r="X69" s="38"/>
      <c r="Y69" s="28">
        <v>2960837094.8159423</v>
      </c>
      <c r="Z69" s="28">
        <v>3005145275.901782</v>
      </c>
      <c r="AA69" s="38"/>
      <c r="AB69" s="38"/>
      <c r="AD69" s="2" t="s">
        <v>412</v>
      </c>
    </row>
    <row r="70" spans="2:30" x14ac:dyDescent="0.2">
      <c r="B70" s="2" t="s">
        <v>206</v>
      </c>
      <c r="F70" s="2" t="s">
        <v>208</v>
      </c>
      <c r="L70" s="38"/>
      <c r="M70" s="38"/>
      <c r="N70" s="38"/>
      <c r="O70" s="38"/>
      <c r="P70" s="38"/>
      <c r="Q70" s="38"/>
      <c r="R70" s="38"/>
      <c r="S70" s="38"/>
      <c r="T70" s="38"/>
      <c r="U70" s="38"/>
      <c r="V70" s="38"/>
      <c r="W70" s="38"/>
      <c r="X70" s="38"/>
      <c r="Y70" s="38"/>
      <c r="Z70" s="28">
        <v>3005145275.901782</v>
      </c>
      <c r="AA70" s="28">
        <v>3049695601.1448069</v>
      </c>
      <c r="AB70" s="38"/>
      <c r="AD70" s="2" t="s">
        <v>413</v>
      </c>
    </row>
    <row r="71" spans="2:30" x14ac:dyDescent="0.2">
      <c r="B71" s="2" t="s">
        <v>330</v>
      </c>
      <c r="F71" s="2" t="s">
        <v>208</v>
      </c>
      <c r="L71" s="38"/>
      <c r="M71" s="38"/>
      <c r="N71" s="38"/>
      <c r="O71" s="38"/>
      <c r="P71" s="38"/>
      <c r="Q71" s="38"/>
      <c r="R71" s="38"/>
      <c r="S71" s="38"/>
      <c r="T71" s="38"/>
      <c r="U71" s="38"/>
      <c r="V71" s="38"/>
      <c r="W71" s="38"/>
      <c r="X71" s="38"/>
      <c r="Y71" s="38"/>
      <c r="Z71" s="38"/>
      <c r="AA71" s="28">
        <v>3049695601.1448069</v>
      </c>
      <c r="AB71" s="28">
        <v>3067750977.8854051</v>
      </c>
      <c r="AD71" s="2" t="s">
        <v>414</v>
      </c>
    </row>
    <row r="72" spans="2:30" x14ac:dyDescent="0.2">
      <c r="AD72" s="50"/>
    </row>
    <row r="73" spans="2:30" s="7" customFormat="1" x14ac:dyDescent="0.2">
      <c r="B73" s="7" t="s">
        <v>277</v>
      </c>
    </row>
    <row r="75" spans="2:30" x14ac:dyDescent="0.2">
      <c r="B75" s="2" t="s">
        <v>331</v>
      </c>
      <c r="F75" s="2" t="s">
        <v>207</v>
      </c>
      <c r="L75" s="38"/>
      <c r="M75" s="38"/>
      <c r="N75" s="38"/>
      <c r="O75" s="38"/>
      <c r="P75" s="38"/>
      <c r="Q75" s="28">
        <v>0</v>
      </c>
      <c r="R75" s="28">
        <v>1539000</v>
      </c>
      <c r="S75" s="28">
        <v>2126000</v>
      </c>
      <c r="T75" s="28">
        <v>2367000</v>
      </c>
      <c r="U75" s="38"/>
      <c r="V75" s="38"/>
      <c r="W75" s="38"/>
      <c r="X75" s="38"/>
      <c r="Y75" s="38"/>
      <c r="Z75" s="38"/>
      <c r="AA75" s="38"/>
      <c r="AB75" s="38"/>
      <c r="AD75" s="2" t="s">
        <v>320</v>
      </c>
    </row>
    <row r="76" spans="2:30" x14ac:dyDescent="0.2">
      <c r="B76" s="2" t="s">
        <v>276</v>
      </c>
      <c r="F76" s="2" t="s">
        <v>207</v>
      </c>
      <c r="L76" s="38"/>
      <c r="M76" s="38"/>
      <c r="N76" s="38"/>
      <c r="O76" s="38"/>
      <c r="P76" s="38"/>
      <c r="Q76" s="38"/>
      <c r="R76" s="38"/>
      <c r="S76" s="38"/>
      <c r="T76" s="28">
        <v>19915034.972114258</v>
      </c>
      <c r="U76" s="28">
        <v>18632929.294842675</v>
      </c>
      <c r="V76" s="28">
        <v>2655324</v>
      </c>
      <c r="W76" s="28">
        <v>0</v>
      </c>
      <c r="X76" s="38"/>
      <c r="Y76" s="38"/>
      <c r="Z76" s="38"/>
      <c r="AA76" s="38"/>
      <c r="AB76" s="38"/>
    </row>
  </sheetData>
  <phoneticPr fontId="29" type="noConversion"/>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B2:B3"/>
  <sheetViews>
    <sheetView showGridLines="0" zoomScale="85" zoomScaleNormal="85" workbookViewId="0"/>
  </sheetViews>
  <sheetFormatPr defaultRowHeight="12.75" x14ac:dyDescent="0.2"/>
  <cols>
    <col min="1" max="1" width="5.7109375" style="17" customWidth="1"/>
    <col min="2" max="16384" width="9.140625" style="17"/>
  </cols>
  <sheetData>
    <row r="2" spans="2:2" x14ac:dyDescent="0.2">
      <c r="B2" s="37"/>
    </row>
    <row r="3" spans="2:2" x14ac:dyDescent="0.2">
      <c r="B3" s="37"/>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44c9b78b1b5f99b81785515933270f61">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682d6accd8b13bfc1b5fd9028b61781a"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ECT67VDXDTCW-640230012-21</_dlc_DocId>
    <_dlc_DocIdUrl xmlns="5e7bef76-b888-41a2-a261-5f525b37d47e">
      <Url>https://intranet.acm.local/project/excellent-in-excel/_layouts/15/DocIdRedir.aspx?ID=ECT67VDXDTCW-640230012-21</Url>
      <Description>ECT67VDXDTCW-640230012-21</Description>
    </_dlc_DocIdUrl>
    <Status xmlns="94b38974-1436-4631-a0be-797faa579778">Actueel</Status>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1CB1C9F-CCF9-4E38-862A-1CB92CDDD7E1}">
  <ds:schemaRefs>
    <ds:schemaRef ds:uri="http://schemas.microsoft.com/sharepoint/v3/contenttype/forms"/>
  </ds:schemaRefs>
</ds:datastoreItem>
</file>

<file path=customXml/itemProps2.xml><?xml version="1.0" encoding="utf-8"?>
<ds:datastoreItem xmlns:ds="http://schemas.openxmlformats.org/officeDocument/2006/customXml" ds:itemID="{6CC6FFD4-6886-43C8-A0FE-6773F44A66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DC4B28-42FD-4275-AD39-0DAE99CBE63F}">
  <ds:schemaRefs>
    <ds:schemaRef ds:uri="5e7bef76-b888-41a2-a261-5f525b37d47e"/>
    <ds:schemaRef ds:uri="http://purl.org/dc/elements/1.1/"/>
    <ds:schemaRef ds:uri="http://schemas.microsoft.com/office/2006/metadata/properties"/>
    <ds:schemaRef ds:uri="http://schemas.openxmlformats.org/package/2006/metadata/core-properties"/>
    <ds:schemaRef ds:uri="94b38974-1436-4631-a0be-797faa579778"/>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BACF5907-5A9C-413A-AB63-8A8AE74C2D6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Titelblad</vt:lpstr>
      <vt:lpstr>Toelichting</vt:lpstr>
      <vt:lpstr>Bronnen en toepassingen</vt:lpstr>
      <vt:lpstr>1) Berekening PV</vt:lpstr>
      <vt:lpstr>Input --&gt;</vt:lpstr>
      <vt:lpstr>2) Parameters</vt:lpstr>
      <vt:lpstr>3) GAW</vt:lpstr>
      <vt:lpstr>4) Overige data</vt:lpstr>
      <vt:lpstr>Berekeningen --&gt;</vt:lpstr>
      <vt:lpstr>5) Berekening kapitaalkosten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2021-06-08T09:19:18Z</dcterms:created>
  <dcterms:modified xsi:type="dcterms:W3CDTF">2021-09-16T11:14:22Z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7b9a7e49-6114-4146-8cc6-356e1063ad5d</vt:lpwstr>
  </property>
</Properties>
</file>