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24226"/>
  <xr:revisionPtr revIDLastSave="0" documentId="13_ncr:1_{22F03E1C-3F4C-4687-952B-0C2E7783DD96}" xr6:coauthVersionLast="46" xr6:coauthVersionMax="46" xr10:uidLastSave="{00000000-0000-0000-0000-000000000000}"/>
  <bookViews>
    <workbookView xWindow="3375" yWindow="3375" windowWidth="21600" windowHeight="11385" tabRatio="934" xr2:uid="{00000000-000D-0000-FFFF-FFFF00000000}"/>
  </bookViews>
  <sheets>
    <sheet name="Titelblad" sheetId="9" r:id="rId1"/>
    <sheet name="Toelichting" sheetId="10" r:id="rId2"/>
    <sheet name="Bronnen en toepassingen" sheetId="11" r:id="rId3"/>
    <sheet name="1) Resultaat" sheetId="34" r:id="rId4"/>
    <sheet name="Input --&gt;" sheetId="13" r:id="rId5"/>
    <sheet name="2) Parameters" sheetId="21" r:id="rId6"/>
    <sheet name="3) Import GAW" sheetId="26" r:id="rId7"/>
    <sheet name="Berekeningen --&gt;" sheetId="15" r:id="rId8"/>
    <sheet name="4) Kapitaalkosten start-GAW" sheetId="30" r:id="rId9"/>
    <sheet name="5) Schatting REG2022" sheetId="32" r:id="rId10"/>
    <sheet name="6) Berekening verschil" sheetId="31" r:id="rId11"/>
    <sheet name="7) Correctie kapitaalkosten" sheetId="33" r:id="rId12"/>
  </sheets>
  <definedNames>
    <definedName name="_GoBack" localSheetId="8">'4) Kapitaalkosten start-GAW'!#REF!</definedName>
    <definedName name="_GoBack" localSheetId="9">'5) Schatting REG2022'!#REF!</definedName>
    <definedName name="_GoBack" localSheetId="10">'6) Berekening verschil'!#REF!</definedName>
    <definedName name="_GoBack" localSheetId="11">'7) Correctie kapitaalkosten'!#REF!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6" i="30" l="1"/>
  <c r="F40" i="33"/>
  <c r="G24" i="32"/>
  <c r="G23" i="32"/>
  <c r="O37" i="21"/>
  <c r="N36" i="21"/>
  <c r="N37" i="21" s="1"/>
  <c r="M35" i="21"/>
  <c r="M36" i="21" s="1"/>
  <c r="M37" i="21" s="1"/>
  <c r="L34" i="21"/>
  <c r="L35" i="21" s="1"/>
  <c r="L36" i="21" s="1"/>
  <c r="L37" i="21" s="1"/>
  <c r="K33" i="21"/>
  <c r="K34" i="21" s="1"/>
  <c r="K35" i="21" s="1"/>
  <c r="K36" i="21" s="1"/>
  <c r="K37" i="21" s="1"/>
  <c r="R30" i="21"/>
  <c r="Q39" i="21" s="1"/>
  <c r="S30" i="21"/>
  <c r="R40" i="21" s="1"/>
  <c r="G29" i="30" s="1"/>
  <c r="T30" i="21"/>
  <c r="S41" i="21" s="1"/>
  <c r="G30" i="30" s="1"/>
  <c r="U30" i="21"/>
  <c r="T42" i="21" s="1"/>
  <c r="G31" i="30" s="1"/>
  <c r="Q30" i="21"/>
  <c r="P38" i="21" s="1"/>
  <c r="J32" i="21"/>
  <c r="J33" i="21" s="1"/>
  <c r="J34" i="21" s="1"/>
  <c r="J35" i="21" s="1"/>
  <c r="J36" i="21" s="1"/>
  <c r="J37" i="21" s="1"/>
  <c r="G16" i="30"/>
  <c r="G17" i="30"/>
  <c r="G18" i="30"/>
  <c r="G19" i="30"/>
  <c r="Q40" i="21" l="1"/>
  <c r="F30" i="33"/>
  <c r="F23" i="33"/>
  <c r="F27" i="33"/>
  <c r="G27" i="30"/>
  <c r="P39" i="21"/>
  <c r="N38" i="21"/>
  <c r="N39" i="21" s="1"/>
  <c r="N40" i="21" s="1"/>
  <c r="N41" i="21" s="1"/>
  <c r="N42" i="21" s="1"/>
  <c r="G28" i="30"/>
  <c r="K38" i="21"/>
  <c r="K39" i="21" s="1"/>
  <c r="K40" i="21" s="1"/>
  <c r="K41" i="21" s="1"/>
  <c r="K42" i="21" s="1"/>
  <c r="O38" i="21"/>
  <c r="O39" i="21" s="1"/>
  <c r="O40" i="21" s="1"/>
  <c r="O41" i="21" s="1"/>
  <c r="O42" i="21" s="1"/>
  <c r="J38" i="21"/>
  <c r="J39" i="21" s="1"/>
  <c r="J40" i="21" s="1"/>
  <c r="J41" i="21" s="1"/>
  <c r="J42" i="21" s="1"/>
  <c r="R41" i="21"/>
  <c r="L38" i="21"/>
  <c r="L39" i="21" s="1"/>
  <c r="L40" i="21"/>
  <c r="L41" i="21" s="1"/>
  <c r="L42" i="21" s="1"/>
  <c r="M38" i="21"/>
  <c r="M39" i="21" s="1"/>
  <c r="M40" i="21" s="1"/>
  <c r="M41" i="21" s="1"/>
  <c r="M42" i="21" s="1"/>
  <c r="S42" i="21"/>
  <c r="F31" i="33" s="1"/>
  <c r="H34" i="34"/>
  <c r="H33" i="34"/>
  <c r="H25" i="34"/>
  <c r="H24" i="34"/>
  <c r="H89" i="33"/>
  <c r="H88" i="33"/>
  <c r="P40" i="21" l="1"/>
  <c r="F19" i="33"/>
  <c r="R42" i="21"/>
  <c r="F29" i="33" s="1"/>
  <c r="F28" i="33"/>
  <c r="Q41" i="21"/>
  <c r="F24" i="33"/>
  <c r="K16" i="21"/>
  <c r="K17" i="21" s="1"/>
  <c r="K18" i="21" s="1"/>
  <c r="K19" i="21" s="1"/>
  <c r="K20" i="21" s="1"/>
  <c r="K21" i="21" s="1"/>
  <c r="K22" i="21" s="1"/>
  <c r="K23" i="21" s="1"/>
  <c r="K24" i="21" s="1"/>
  <c r="K25" i="21" s="1"/>
  <c r="L17" i="21"/>
  <c r="L18" i="21" s="1"/>
  <c r="L19" i="21" s="1"/>
  <c r="L20" i="21" s="1"/>
  <c r="L21" i="21" s="1"/>
  <c r="L22" i="21" s="1"/>
  <c r="L23" i="21" s="1"/>
  <c r="L24" i="21" s="1"/>
  <c r="L25" i="21" s="1"/>
  <c r="M18" i="21"/>
  <c r="M19" i="21" s="1"/>
  <c r="N19" i="21"/>
  <c r="N20" i="21" s="1"/>
  <c r="N21" i="21" s="1"/>
  <c r="N22" i="21" s="1"/>
  <c r="N23" i="21" s="1"/>
  <c r="N24" i="21" s="1"/>
  <c r="N25" i="21" s="1"/>
  <c r="O20" i="21"/>
  <c r="P21" i="21"/>
  <c r="Q22" i="21"/>
  <c r="R23" i="21"/>
  <c r="S24" i="21"/>
  <c r="T25" i="21"/>
  <c r="J15" i="21"/>
  <c r="J16" i="21" s="1"/>
  <c r="J17" i="21" s="1"/>
  <c r="J18" i="21" s="1"/>
  <c r="J19" i="21" s="1"/>
  <c r="J20" i="21" s="1"/>
  <c r="F25" i="33" l="1"/>
  <c r="Q42" i="21"/>
  <c r="F26" i="33" s="1"/>
  <c r="F20" i="33"/>
  <c r="P41" i="21"/>
  <c r="R24" i="21"/>
  <c r="G18" i="32"/>
  <c r="Q23" i="21"/>
  <c r="G17" i="32"/>
  <c r="P22" i="21"/>
  <c r="G16" i="32"/>
  <c r="M20" i="21"/>
  <c r="M21" i="21" s="1"/>
  <c r="M22" i="21" s="1"/>
  <c r="M23" i="21" s="1"/>
  <c r="M24" i="21" s="1"/>
  <c r="M25" i="21" s="1"/>
  <c r="G20" i="32"/>
  <c r="S25" i="21"/>
  <c r="G19" i="32"/>
  <c r="O21" i="21"/>
  <c r="O22" i="21" s="1"/>
  <c r="O23" i="21" s="1"/>
  <c r="O24" i="21" s="1"/>
  <c r="O25" i="21" s="1"/>
  <c r="G25" i="30"/>
  <c r="J21" i="21"/>
  <c r="J22" i="21" s="1"/>
  <c r="J23" i="21" s="1"/>
  <c r="J24" i="21" s="1"/>
  <c r="J25" i="21" s="1"/>
  <c r="P42" i="21" l="1"/>
  <c r="F22" i="33" s="1"/>
  <c r="F21" i="33"/>
  <c r="P23" i="21"/>
  <c r="Q24" i="21"/>
  <c r="R25" i="21"/>
  <c r="H57" i="33"/>
  <c r="H56" i="33"/>
  <c r="H65" i="33"/>
  <c r="H64" i="33"/>
  <c r="H73" i="33"/>
  <c r="H72" i="33"/>
  <c r="H82" i="33"/>
  <c r="H81" i="33"/>
  <c r="H80" i="33"/>
  <c r="H32" i="31"/>
  <c r="H31" i="31"/>
  <c r="H30" i="26"/>
  <c r="H29" i="26"/>
  <c r="H24" i="26"/>
  <c r="H23" i="26"/>
  <c r="H18" i="26"/>
  <c r="H17" i="26"/>
  <c r="H16" i="34"/>
  <c r="H15" i="34"/>
  <c r="Q25" i="21" l="1"/>
  <c r="P24" i="21"/>
  <c r="F37" i="33"/>
  <c r="G20" i="30"/>
  <c r="G15" i="30"/>
  <c r="P25" i="21" l="1"/>
  <c r="F34" i="33" l="1"/>
  <c r="F35" i="33" l="1"/>
  <c r="F36" i="33" l="1"/>
  <c r="G24" i="30"/>
  <c r="G23" i="30"/>
  <c r="R45" i="33" l="1"/>
  <c r="Q45" i="33"/>
  <c r="J45" i="33"/>
  <c r="R69" i="30" l="1"/>
  <c r="R73" i="30" s="1"/>
  <c r="R68" i="30"/>
  <c r="R84" i="30" s="1"/>
  <c r="R93" i="30" s="1"/>
  <c r="R102" i="30" s="1"/>
  <c r="R53" i="30"/>
  <c r="R57" i="30" s="1"/>
  <c r="R52" i="30"/>
  <c r="R56" i="30" s="1"/>
  <c r="R37" i="30"/>
  <c r="R41" i="30" s="1"/>
  <c r="R36" i="30"/>
  <c r="R40" i="30" s="1"/>
  <c r="S69" i="30"/>
  <c r="S68" i="30"/>
  <c r="S53" i="30"/>
  <c r="S57" i="30" s="1"/>
  <c r="S52" i="30"/>
  <c r="S56" i="30" s="1"/>
  <c r="S37" i="30"/>
  <c r="S41" i="30" s="1"/>
  <c r="S36" i="30"/>
  <c r="S40" i="30" s="1"/>
  <c r="K69" i="30"/>
  <c r="K68" i="30"/>
  <c r="K53" i="30"/>
  <c r="K52" i="30"/>
  <c r="K37" i="30"/>
  <c r="K41" i="30" s="1"/>
  <c r="K40" i="30"/>
  <c r="S43" i="30" l="1"/>
  <c r="S44" i="30"/>
  <c r="S47" i="30" s="1"/>
  <c r="S29" i="32" s="1"/>
  <c r="R60" i="30"/>
  <c r="R63" i="30" s="1"/>
  <c r="R32" i="32" s="1"/>
  <c r="R59" i="30"/>
  <c r="R62" i="30" s="1"/>
  <c r="K43" i="30"/>
  <c r="K46" i="30" s="1"/>
  <c r="K44" i="30"/>
  <c r="S60" i="30"/>
  <c r="S63" i="30" s="1"/>
  <c r="S32" i="32" s="1"/>
  <c r="S59" i="30"/>
  <c r="S62" i="30" s="1"/>
  <c r="R43" i="30"/>
  <c r="R44" i="30"/>
  <c r="R47" i="30" s="1"/>
  <c r="R29" i="32" s="1"/>
  <c r="R76" i="30"/>
  <c r="R75" i="30"/>
  <c r="K84" i="30"/>
  <c r="K93" i="30" s="1"/>
  <c r="J49" i="33" s="1"/>
  <c r="J66" i="33" s="1"/>
  <c r="R85" i="30"/>
  <c r="R94" i="30" s="1"/>
  <c r="I53" i="30"/>
  <c r="K57" i="30"/>
  <c r="I52" i="30"/>
  <c r="K56" i="30"/>
  <c r="I36" i="30"/>
  <c r="I68" i="30"/>
  <c r="I37" i="30"/>
  <c r="I69" i="30"/>
  <c r="K73" i="30"/>
  <c r="K72" i="30"/>
  <c r="S72" i="30"/>
  <c r="S84" i="30"/>
  <c r="S93" i="30" s="1"/>
  <c r="R72" i="30"/>
  <c r="I41" i="30"/>
  <c r="S73" i="30"/>
  <c r="K76" i="30" l="1"/>
  <c r="K75" i="30"/>
  <c r="R78" i="30"/>
  <c r="R79" i="30"/>
  <c r="R35" i="32" s="1"/>
  <c r="R40" i="32" s="1"/>
  <c r="R42" i="32" s="1"/>
  <c r="S76" i="30"/>
  <c r="S79" i="30" s="1"/>
  <c r="S35" i="32" s="1"/>
  <c r="S40" i="32" s="1"/>
  <c r="S42" i="32" s="1"/>
  <c r="S75" i="30"/>
  <c r="S78" i="30" s="1"/>
  <c r="K47" i="30"/>
  <c r="I44" i="30"/>
  <c r="K60" i="30"/>
  <c r="K59" i="30"/>
  <c r="I93" i="30"/>
  <c r="K85" i="30"/>
  <c r="K87" i="30" s="1"/>
  <c r="K88" i="30" s="1"/>
  <c r="S85" i="30"/>
  <c r="S94" i="30" s="1"/>
  <c r="R103" i="30"/>
  <c r="R111" i="30" s="1"/>
  <c r="R96" i="30"/>
  <c r="R97" i="30" s="1"/>
  <c r="I57" i="30"/>
  <c r="I72" i="30"/>
  <c r="I40" i="30"/>
  <c r="I56" i="30"/>
  <c r="I84" i="30"/>
  <c r="I73" i="30"/>
  <c r="I43" i="30"/>
  <c r="S46" i="30"/>
  <c r="R46" i="30"/>
  <c r="R48" i="33"/>
  <c r="J48" i="33"/>
  <c r="Q48" i="33"/>
  <c r="S87" i="30" l="1"/>
  <c r="S88" i="30" s="1"/>
  <c r="J59" i="33"/>
  <c r="J58" i="33"/>
  <c r="I47" i="30"/>
  <c r="K29" i="32"/>
  <c r="K62" i="30"/>
  <c r="I62" i="30" s="1"/>
  <c r="I59" i="30"/>
  <c r="K78" i="30"/>
  <c r="I78" i="30" s="1"/>
  <c r="I75" i="30"/>
  <c r="K63" i="30"/>
  <c r="I60" i="30"/>
  <c r="K79" i="30"/>
  <c r="I76" i="30"/>
  <c r="J60" i="33"/>
  <c r="Q61" i="33"/>
  <c r="Q60" i="33"/>
  <c r="Q59" i="33"/>
  <c r="K94" i="30"/>
  <c r="K96" i="30" s="1"/>
  <c r="K97" i="30" s="1"/>
  <c r="R31" i="32"/>
  <c r="S28" i="32"/>
  <c r="R112" i="30"/>
  <c r="R120" i="30" s="1"/>
  <c r="R121" i="30" s="1"/>
  <c r="R129" i="30" s="1"/>
  <c r="R130" i="30" s="1"/>
  <c r="S102" i="30"/>
  <c r="S103" i="30" s="1"/>
  <c r="S111" i="30" s="1"/>
  <c r="S112" i="30" s="1"/>
  <c r="S120" i="30" s="1"/>
  <c r="S121" i="30" s="1"/>
  <c r="S129" i="30" s="1"/>
  <c r="S130" i="30" s="1"/>
  <c r="S96" i="30"/>
  <c r="S97" i="30" s="1"/>
  <c r="H48" i="33"/>
  <c r="J61" i="33"/>
  <c r="R60" i="33"/>
  <c r="R59" i="33"/>
  <c r="R61" i="33"/>
  <c r="R58" i="33"/>
  <c r="I85" i="30"/>
  <c r="R87" i="30"/>
  <c r="R88" i="30" s="1"/>
  <c r="R28" i="32"/>
  <c r="S34" i="32"/>
  <c r="Q50" i="33"/>
  <c r="R49" i="33"/>
  <c r="Q49" i="33"/>
  <c r="I79" i="30" l="1"/>
  <c r="K35" i="32"/>
  <c r="I35" i="32" s="1"/>
  <c r="I63" i="30"/>
  <c r="K32" i="32"/>
  <c r="I32" i="32" s="1"/>
  <c r="I29" i="32"/>
  <c r="I94" i="30"/>
  <c r="K102" i="30"/>
  <c r="R34" i="32"/>
  <c r="R39" i="32" s="1"/>
  <c r="S31" i="32"/>
  <c r="S39" i="32" s="1"/>
  <c r="I46" i="30"/>
  <c r="I97" i="30"/>
  <c r="I96" i="30"/>
  <c r="J68" i="33"/>
  <c r="J67" i="33"/>
  <c r="J69" i="33"/>
  <c r="Q69" i="33"/>
  <c r="Q67" i="33"/>
  <c r="Q68" i="33"/>
  <c r="R66" i="33"/>
  <c r="R69" i="33"/>
  <c r="R67" i="33"/>
  <c r="R68" i="33"/>
  <c r="Q77" i="33"/>
  <c r="Q75" i="33"/>
  <c r="Q76" i="33"/>
  <c r="H58" i="33"/>
  <c r="H49" i="33"/>
  <c r="H59" i="33"/>
  <c r="H60" i="33"/>
  <c r="H61" i="33"/>
  <c r="I87" i="30"/>
  <c r="R105" i="30"/>
  <c r="R106" i="30" s="1"/>
  <c r="S105" i="30"/>
  <c r="K34" i="32"/>
  <c r="K28" i="32"/>
  <c r="K31" i="32"/>
  <c r="K39" i="32" l="1"/>
  <c r="K40" i="32"/>
  <c r="I34" i="32"/>
  <c r="I31" i="32"/>
  <c r="K103" i="30"/>
  <c r="K111" i="30" s="1"/>
  <c r="K112" i="30" s="1"/>
  <c r="K120" i="30" s="1"/>
  <c r="K121" i="30" s="1"/>
  <c r="K129" i="30" s="1"/>
  <c r="K130" i="30" s="1"/>
  <c r="J50" i="33"/>
  <c r="I28" i="32"/>
  <c r="H66" i="33"/>
  <c r="H69" i="33"/>
  <c r="H67" i="33"/>
  <c r="H68" i="33"/>
  <c r="R114" i="30"/>
  <c r="R115" i="30" s="1"/>
  <c r="R123" i="30"/>
  <c r="R124" i="30" s="1"/>
  <c r="I102" i="30"/>
  <c r="I88" i="30"/>
  <c r="R22" i="31"/>
  <c r="Q22" i="31"/>
  <c r="S114" i="30"/>
  <c r="S106" i="30"/>
  <c r="R50" i="33"/>
  <c r="K42" i="32" l="1"/>
  <c r="I42" i="32" s="1"/>
  <c r="I40" i="32"/>
  <c r="I39" i="32"/>
  <c r="R74" i="33"/>
  <c r="R77" i="33"/>
  <c r="R75" i="33"/>
  <c r="R76" i="33"/>
  <c r="R92" i="33" s="1"/>
  <c r="R28" i="34" s="1"/>
  <c r="J76" i="33"/>
  <c r="J77" i="33"/>
  <c r="J74" i="33"/>
  <c r="J90" i="33" s="1"/>
  <c r="J75" i="33"/>
  <c r="H50" i="33"/>
  <c r="K105" i="30"/>
  <c r="K106" i="30" s="1"/>
  <c r="I103" i="30"/>
  <c r="S115" i="30"/>
  <c r="J22" i="31"/>
  <c r="H22" i="31" s="1"/>
  <c r="Q51" i="33"/>
  <c r="G44" i="32" l="1"/>
  <c r="R90" i="33"/>
  <c r="R26" i="34" s="1"/>
  <c r="R93" i="33"/>
  <c r="R29" i="34" s="1"/>
  <c r="J93" i="33"/>
  <c r="J29" i="34" s="1"/>
  <c r="J92" i="33"/>
  <c r="J28" i="34" s="1"/>
  <c r="J91" i="33"/>
  <c r="J27" i="34" s="1"/>
  <c r="R91" i="33"/>
  <c r="R27" i="34" s="1"/>
  <c r="J26" i="34"/>
  <c r="Q85" i="33"/>
  <c r="Q93" i="33" s="1"/>
  <c r="Q84" i="33"/>
  <c r="Q83" i="33"/>
  <c r="Q91" i="33" s="1"/>
  <c r="J51" i="33"/>
  <c r="I111" i="30"/>
  <c r="H76" i="33"/>
  <c r="H74" i="33"/>
  <c r="H77" i="33"/>
  <c r="H75" i="33"/>
  <c r="I105" i="30"/>
  <c r="I106" i="30"/>
  <c r="S123" i="30"/>
  <c r="S124" i="30" s="1"/>
  <c r="R51" i="33"/>
  <c r="Q15" i="31"/>
  <c r="K46" i="32" l="1"/>
  <c r="R46" i="32"/>
  <c r="S46" i="32"/>
  <c r="H26" i="34"/>
  <c r="H90" i="33"/>
  <c r="Q92" i="33"/>
  <c r="Q28" i="34" s="1"/>
  <c r="H28" i="34" s="1"/>
  <c r="H91" i="33"/>
  <c r="Q27" i="34"/>
  <c r="H27" i="34" s="1"/>
  <c r="H83" i="33"/>
  <c r="H85" i="33"/>
  <c r="H51" i="33"/>
  <c r="H84" i="33"/>
  <c r="J15" i="31"/>
  <c r="K114" i="30"/>
  <c r="I112" i="30"/>
  <c r="R15" i="31"/>
  <c r="R47" i="32" l="1"/>
  <c r="Q23" i="31"/>
  <c r="S47" i="32"/>
  <c r="R23" i="31"/>
  <c r="K47" i="32"/>
  <c r="I46" i="32"/>
  <c r="J23" i="31"/>
  <c r="H92" i="33"/>
  <c r="H93" i="33"/>
  <c r="Q29" i="34"/>
  <c r="H29" i="34" s="1"/>
  <c r="H15" i="31"/>
  <c r="I120" i="30"/>
  <c r="I114" i="30"/>
  <c r="K115" i="30"/>
  <c r="S132" i="30"/>
  <c r="Q16" i="31"/>
  <c r="H23" i="31" l="1"/>
  <c r="S48" i="32"/>
  <c r="R24" i="31"/>
  <c r="R33" i="31" s="1"/>
  <c r="R17" i="34" s="1"/>
  <c r="K35" i="34" s="1"/>
  <c r="K48" i="32"/>
  <c r="I47" i="32"/>
  <c r="J24" i="31"/>
  <c r="R48" i="32"/>
  <c r="Q24" i="31"/>
  <c r="I115" i="30"/>
  <c r="J16" i="31"/>
  <c r="K123" i="30"/>
  <c r="I121" i="30"/>
  <c r="R16" i="31"/>
  <c r="S133" i="30"/>
  <c r="R132" i="30"/>
  <c r="R49" i="32" l="1"/>
  <c r="Q25" i="31"/>
  <c r="Q34" i="31" s="1"/>
  <c r="Q18" i="34" s="1"/>
  <c r="N36" i="34" s="1"/>
  <c r="K49" i="32"/>
  <c r="I48" i="32"/>
  <c r="J25" i="31"/>
  <c r="J34" i="31" s="1"/>
  <c r="J18" i="34" s="1"/>
  <c r="J36" i="34" s="1"/>
  <c r="J33" i="31"/>
  <c r="H24" i="31"/>
  <c r="S49" i="32"/>
  <c r="R25" i="31"/>
  <c r="R34" i="31" s="1"/>
  <c r="R18" i="34" s="1"/>
  <c r="K36" i="34" s="1"/>
  <c r="H16" i="31"/>
  <c r="I123" i="30"/>
  <c r="K124" i="30"/>
  <c r="I129" i="30"/>
  <c r="R133" i="30"/>
  <c r="Q17" i="31"/>
  <c r="R17" i="31"/>
  <c r="H33" i="31" l="1"/>
  <c r="J17" i="34"/>
  <c r="K50" i="32"/>
  <c r="I49" i="32"/>
  <c r="J26" i="31"/>
  <c r="S50" i="32"/>
  <c r="R27" i="31" s="1"/>
  <c r="R26" i="31"/>
  <c r="R35" i="31" s="1"/>
  <c r="R19" i="34" s="1"/>
  <c r="K37" i="34" s="1"/>
  <c r="H25" i="31"/>
  <c r="R50" i="32"/>
  <c r="Q27" i="31" s="1"/>
  <c r="Q26" i="31"/>
  <c r="Q35" i="31" s="1"/>
  <c r="H34" i="31"/>
  <c r="I124" i="30"/>
  <c r="J17" i="31"/>
  <c r="H18" i="34"/>
  <c r="I130" i="30"/>
  <c r="K132" i="30"/>
  <c r="R18" i="31"/>
  <c r="J35" i="34" l="1"/>
  <c r="H35" i="34" s="1"/>
  <c r="H17" i="34"/>
  <c r="I50" i="32"/>
  <c r="J27" i="31"/>
  <c r="H27" i="31" s="1"/>
  <c r="H26" i="31"/>
  <c r="J35" i="31"/>
  <c r="J19" i="34" s="1"/>
  <c r="J37" i="34" s="1"/>
  <c r="H17" i="31"/>
  <c r="K133" i="30"/>
  <c r="I132" i="30"/>
  <c r="R36" i="31"/>
  <c r="Q19" i="34"/>
  <c r="Q18" i="31"/>
  <c r="Q36" i="31" s="1"/>
  <c r="H36" i="34" l="1"/>
  <c r="N37" i="34"/>
  <c r="H19" i="34"/>
  <c r="H35" i="31"/>
  <c r="I133" i="30"/>
  <c r="J18" i="31"/>
  <c r="R20" i="34"/>
  <c r="K38" i="34" s="1"/>
  <c r="J36" i="31" l="1"/>
  <c r="H36" i="31" s="1"/>
  <c r="H18" i="31"/>
  <c r="Q20" i="34"/>
  <c r="H37" i="34" l="1"/>
  <c r="N38" i="34"/>
  <c r="J20" i="34"/>
  <c r="J38" i="34" s="1"/>
  <c r="H38" i="34" l="1"/>
  <c r="H20" i="34"/>
  <c r="B49" i="10"/>
  <c r="B37" i="10" l="1"/>
  <c r="B44" i="10" s="1"/>
  <c r="B38" i="10" l="1"/>
  <c r="B39" i="10" l="1"/>
  <c r="B43"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43" authorId="0" shapeId="0" xr:uid="{00000000-0006-0000-04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K35" authorId="0" shapeId="0" xr:uid="{00000000-0006-0000-0600-000001000000}">
      <text>
        <r>
          <rPr>
            <sz val="10"/>
            <color theme="1"/>
            <rFont val="Arial"/>
            <family val="2"/>
          </rPr>
          <t>Enexis inclusief Endinet</t>
        </r>
      </text>
    </comment>
    <comment ref="N36" authorId="0" shapeId="0" xr:uid="{5207D328-760E-44E9-91F3-25B5A2B6D70E}">
      <text>
        <r>
          <rPr>
            <sz val="10"/>
            <color theme="1"/>
            <rFont val="Arial"/>
            <family val="2"/>
          </rPr>
          <t>Stedin inclusief Enduris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J33" authorId="0" shapeId="0" xr:uid="{00000000-0006-0000-0D00-000001000000}">
      <text>
        <r>
          <rPr>
            <sz val="8"/>
            <color indexed="81"/>
            <rFont val="Tahoma"/>
            <family val="2"/>
          </rPr>
          <t>Jaar afschrijvingsklif</t>
        </r>
      </text>
    </comment>
    <comment ref="R33" authorId="0" shapeId="0" xr:uid="{00000000-0006-0000-0D00-000002000000}">
      <text>
        <r>
          <rPr>
            <sz val="8"/>
            <color indexed="81"/>
            <rFont val="Tahoma"/>
            <family val="2"/>
          </rPr>
          <t>Jaar afschrijvingsklif</t>
        </r>
      </text>
    </comment>
    <comment ref="Q34" authorId="0" shapeId="0" xr:uid="{00000000-0006-0000-0D00-000003000000}">
      <text>
        <r>
          <rPr>
            <sz val="8"/>
            <color indexed="81"/>
            <rFont val="Tahoma"/>
            <family val="2"/>
          </rPr>
          <t xml:space="preserve">Jaar afschrijvingsklif
</t>
        </r>
      </text>
    </comment>
  </commentList>
</comments>
</file>

<file path=xl/sharedStrings.xml><?xml version="1.0" encoding="utf-8"?>
<sst xmlns="http://schemas.openxmlformats.org/spreadsheetml/2006/main" count="673" uniqueCount="276">
  <si>
    <t>Voorbeeld</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</si>
  <si>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</si>
  <si>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</si>
  <si>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</si>
  <si>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</si>
  <si>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</si>
  <si>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</si>
  <si>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</si>
  <si>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</si>
  <si>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</si>
  <si>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</si>
  <si>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</si>
  <si>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</si>
  <si>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</si>
  <si>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</si>
  <si>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</si>
  <si>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</si>
  <si>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</si>
  <si>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</si>
  <si>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</si>
  <si>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</si>
  <si>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</si>
  <si>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</si>
  <si>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</si>
  <si>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</si>
  <si>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</si>
  <si>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</si>
  <si>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</si>
  <si>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</si>
  <si>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</si>
  <si>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</si>
  <si>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</si>
  <si>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</si>
  <si>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</si>
  <si>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</si>
  <si>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</si>
  <si>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</si>
  <si>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</si>
  <si>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</si>
  <si>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</si>
  <si>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</si>
  <si>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</si>
  <si>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</si>
  <si>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</si>
  <si>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</si>
  <si>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</si>
  <si>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</si>
  <si>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</si>
  <si>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</si>
  <si>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Rijtotaal</t>
  </si>
  <si>
    <t>Toelichting bij dit bestand</t>
  </si>
  <si>
    <t>Nr.</t>
  </si>
  <si>
    <t xml:space="preserve">Verkorte naam </t>
  </si>
  <si>
    <t>Naam bestand extern</t>
  </si>
  <si>
    <t>Beschrijving berekening</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</si>
  <si>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</si>
  <si>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</si>
  <si>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</si>
  <si>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</si>
  <si>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</si>
  <si>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</si>
  <si>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</si>
  <si>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</si>
  <si>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</si>
  <si>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</si>
  <si>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</si>
  <si>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</si>
  <si>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</si>
  <si>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</si>
  <si>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</si>
  <si>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</si>
  <si>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</si>
  <si>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WACC</t>
  </si>
  <si>
    <t>PV</t>
  </si>
  <si>
    <t>Import GAW</t>
  </si>
  <si>
    <t>Enduris</t>
  </si>
  <si>
    <t>Enexis</t>
  </si>
  <si>
    <t>Liander</t>
  </si>
  <si>
    <t>RENDO</t>
  </si>
  <si>
    <t>Stedin</t>
  </si>
  <si>
    <t>Westland</t>
  </si>
  <si>
    <t>Endinet</t>
  </si>
  <si>
    <t>Start-GAW (excl. bijzonderheden)</t>
  </si>
  <si>
    <t>Afschrijvingen Start-GAW</t>
  </si>
  <si>
    <t>Boekwaarde Start-GAW</t>
  </si>
  <si>
    <t>Afschrijvingen</t>
  </si>
  <si>
    <t>Boekwaarde</t>
  </si>
  <si>
    <t>GAW 2018</t>
  </si>
  <si>
    <t>in EUR, pp 2018</t>
  </si>
  <si>
    <t>GAW 2019</t>
  </si>
  <si>
    <t>in EUR, pp 2019</t>
  </si>
  <si>
    <t>%</t>
  </si>
  <si>
    <t>Kapitaalkosten</t>
  </si>
  <si>
    <t>Vermogenskosten</t>
  </si>
  <si>
    <t>CPI</t>
  </si>
  <si>
    <t>Productiviteitsverandering</t>
  </si>
  <si>
    <t>EUR, pp 2018</t>
  </si>
  <si>
    <t>EUR, pp 2019</t>
  </si>
  <si>
    <t>EUR, pp 2020</t>
  </si>
  <si>
    <t>EUR, pp 2021</t>
  </si>
  <si>
    <t>GAW 2020</t>
  </si>
  <si>
    <t>in EUR, pp 2020</t>
  </si>
  <si>
    <t>Afschrijvingstermijn start-GAW</t>
  </si>
  <si>
    <t>Ophalen parameters voor berekening</t>
  </si>
  <si>
    <t>Ophalen start-GAW gegevens voor berekening</t>
  </si>
  <si>
    <t>Afschrijvingstermijn</t>
  </si>
  <si>
    <t>Berekening kapitaalkosten 2018</t>
  </si>
  <si>
    <t>Start-GAW</t>
  </si>
  <si>
    <t>Berekening kapitaalkosten 2019</t>
  </si>
  <si>
    <t>Berekening kapitaalkosten 2020</t>
  </si>
  <si>
    <t>Afschrjivingen</t>
  </si>
  <si>
    <t xml:space="preserve">Afschrijvingen </t>
  </si>
  <si>
    <t>Berekening kapitaalkosten 2021</t>
  </si>
  <si>
    <t>Berekening kapitaalkosten 2022</t>
  </si>
  <si>
    <t>Berekening kapitaalkosten 2023</t>
  </si>
  <si>
    <t>Berekening kapitaalkosten 2024</t>
  </si>
  <si>
    <t>Berekening kapitaalkosten 2025</t>
  </si>
  <si>
    <t>Berekening kapitaalkosten 2026</t>
  </si>
  <si>
    <t>Kapitaalkosten in regulering</t>
  </si>
  <si>
    <t>Kapitaalkosten 2022</t>
  </si>
  <si>
    <t>Kapitaalkosten 2023</t>
  </si>
  <si>
    <t>Kapitaalkosten 2024</t>
  </si>
  <si>
    <t>Kapitaalkosten 2025</t>
  </si>
  <si>
    <t>Kapitaalkosten 2026</t>
  </si>
  <si>
    <t>Correctie op kapitaalkosten</t>
  </si>
  <si>
    <t>Correctie 2021</t>
  </si>
  <si>
    <t>Correctie 2022</t>
  </si>
  <si>
    <t>Correctie 2023</t>
  </si>
  <si>
    <t>Correctie 2024</t>
  </si>
  <si>
    <t>Correctie 2025</t>
  </si>
  <si>
    <t>Correctie 2026</t>
  </si>
  <si>
    <t>Correctie afschrijvingsklif</t>
  </si>
  <si>
    <t>Kapitaalkosten start-GAW</t>
  </si>
  <si>
    <t>Schatting REG2022</t>
  </si>
  <si>
    <t>De schatting van de kapitaalkosten wordt weergegeven in prijspeil 2021.</t>
  </si>
  <si>
    <t>Op dit tabblad worden de benodigde GAW gegevens opgehaald.</t>
  </si>
  <si>
    <t>Zowel het verschil in eindinkomsten als het totale verschil gedurende de reguleringsperiode zijn relevant als input in het x-factor model.</t>
  </si>
  <si>
    <t>Schatting kapitaalkosten 2021 - begininkomstenjaar</t>
  </si>
  <si>
    <t>Schatting kapitaalkosten 2022</t>
  </si>
  <si>
    <t>Schatting kapitaalkosten 2023</t>
  </si>
  <si>
    <t>Schatting kapitaalkosten 2024</t>
  </si>
  <si>
    <t>Schatting kapitaalkosten 2025</t>
  </si>
  <si>
    <t>Schatting kapitaalkosten 2026</t>
  </si>
  <si>
    <t>Verschil in kapitaalkosten 2021</t>
  </si>
  <si>
    <t>Verschil in kapitaalkosten 2022</t>
  </si>
  <si>
    <t>Verschil in kapitaalkosten 2023</t>
  </si>
  <si>
    <t>Verschil in kapitaalkosten 2024</t>
  </si>
  <si>
    <t>Verschil in kapitaalkosten 2025</t>
  </si>
  <si>
    <t>Verschil in kapitaalkosten 2026</t>
  </si>
  <si>
    <t>Kapitaalkosten n.a.v. vervanging start-GAW in 2021</t>
  </si>
  <si>
    <t>Kapitaalkosten n.a.v. vervanging start-GAW in 2022</t>
  </si>
  <si>
    <t>Correctie n.a.v. vervanging start-GAW in 2023</t>
  </si>
  <si>
    <t>Correctie op verschil in kapitaalkosten</t>
  </si>
  <si>
    <t>Berekening correctie op verschil in kapitaalkosten</t>
  </si>
  <si>
    <t>Berekening verschil in kapitaalkosten</t>
  </si>
  <si>
    <t>Correctie n.a.v. vervanging start-GAW in 2024</t>
  </si>
  <si>
    <t>Verschil kapitaalkosten op basis van gegevens start-GAW en schatting REG2022</t>
  </si>
  <si>
    <t xml:space="preserve">Op dit tabblad worden de benodigde WACC, PV en CPI gegevens opgehaald. </t>
  </si>
  <si>
    <t>Consumentenprijzen; prijsindex 2015=100</t>
  </si>
  <si>
    <t xml:space="preserve"> </t>
  </si>
  <si>
    <t>GAW-bestand Elektriciteit</t>
  </si>
  <si>
    <t>Coteq</t>
  </si>
  <si>
    <t>Bronvermelding</t>
  </si>
  <si>
    <t>WACC bijlage bij ontwerpmethodebesluit 2022-2026</t>
  </si>
  <si>
    <t>WACC REG2022</t>
  </si>
  <si>
    <t>WACC 2021</t>
  </si>
  <si>
    <t>WACC 2022</t>
  </si>
  <si>
    <t>WACC 2023</t>
  </si>
  <si>
    <t>WACC 2024</t>
  </si>
  <si>
    <t>WACC 2025</t>
  </si>
  <si>
    <t>WACC 2026</t>
  </si>
  <si>
    <t>Berekeningsbestand correctie afschrijvingsklif 2022-2026</t>
  </si>
  <si>
    <t>n</t>
  </si>
  <si>
    <t>j</t>
  </si>
  <si>
    <t>Toelichting samenhang tabbladen:</t>
  </si>
  <si>
    <t>Berekeningen</t>
  </si>
  <si>
    <t>Input</t>
  </si>
  <si>
    <t>3) Import GAW</t>
  </si>
  <si>
    <t>4) Kapitaalkosten start-GAW</t>
  </si>
  <si>
    <t>5) Schatting REG2022</t>
  </si>
  <si>
    <t>6) Berekening verschil</t>
  </si>
  <si>
    <t>1) Resultaat</t>
  </si>
  <si>
    <t>Dit bestand bevat de berekening van de hoogte van de correctie voor de afschrijvingsklif voor de regionale netbeheerders elektriciteit.</t>
  </si>
  <si>
    <t>De uitkomst van deze berekening vormt input voor de x-factorberekening van de regionale netbeheerders elektriciteit gedurende de reguleringsperiode 2022-2026.</t>
  </si>
  <si>
    <t>CBS 2015=100</t>
  </si>
  <si>
    <t>GAW sheet E 03s</t>
  </si>
  <si>
    <t>PM</t>
  </si>
  <si>
    <t>Beschrijving resultaat</t>
  </si>
  <si>
    <t>Op dit tabblad wordt het verschil in kapitaalkosten en de correctie op het verschil in deze kapitaalkosten opgehaald. Door de correctie toe te passen op het verschil dat is berekend op het tabblad "6) Berekening verschil", komt de ACM tot de totale omvang van de correctie voor de afschrijvingsklif.</t>
  </si>
  <si>
    <t>De afschrijvingsklif voor Coteq, Enduris en Endinet vindt plaats in respectievelijk 2023, 2024 en 2023.</t>
  </si>
  <si>
    <t>Parameters</t>
  </si>
  <si>
    <t>2) Parameters</t>
  </si>
  <si>
    <t>CPI 2018 -&gt; 2021</t>
  </si>
  <si>
    <t>CPI 2019 -&gt; 2021</t>
  </si>
  <si>
    <t>CPI 2020 -&gt; 2021</t>
  </si>
  <si>
    <t>Kapitaalkosten 2018</t>
  </si>
  <si>
    <t>Kapitaalkosten 2019</t>
  </si>
  <si>
    <t>Ophalen berekende kapitaalkosten 2018-2020</t>
  </si>
  <si>
    <t>Kapitaalkosten 2020</t>
  </si>
  <si>
    <t>Toelichting op bijzonderheden</t>
  </si>
  <si>
    <t>Op dit tabblad worden slechts de gegevens opgehaald vanaf het jaar waarin de eerste afschrijvingsklif plaatsvindt. Dit is het jaar 2023.</t>
  </si>
  <si>
    <t>Ophalen berekende kapitaalkosten start-GAW</t>
  </si>
  <si>
    <t>7) Correctie kapitaalkosten</t>
  </si>
  <si>
    <t>Afschrijvingen op start-GAW in 2023</t>
  </si>
  <si>
    <t>Afschrijvingen op start-GAW in 2024</t>
  </si>
  <si>
    <t>Afschrijvingen op start-GAW in 2021</t>
  </si>
  <si>
    <t xml:space="preserve">Afschrijvingen op start-GAW </t>
  </si>
  <si>
    <t>Ontwerpmethodebesluit RNB-E 2022-2026</t>
  </si>
  <si>
    <t>x-factorbesluit RNB-E 2022-2026</t>
  </si>
  <si>
    <t>x-factor bestand Elektriciteit 2022 - 2026, GAW bestand Elektriciteit</t>
  </si>
  <si>
    <t>Voor uitleg over de noodzaak van deze correctie verwijst de ACM naar het ontwerpmethodebesluit.</t>
  </si>
  <si>
    <t>ACM/19/035362</t>
  </si>
  <si>
    <t>Hoogte van correctie voor afschrijvingsklif gedurende reguleringsperiode</t>
  </si>
  <si>
    <t>Regulering.Energie@acm.nl</t>
  </si>
  <si>
    <t>Regulering Energie</t>
  </si>
  <si>
    <t>CPI jaar</t>
  </si>
  <si>
    <t>CPI van jaar naar 2016</t>
  </si>
  <si>
    <t>CPI van jaar naar 2017</t>
  </si>
  <si>
    <t>CPI van jaar naar 2018</t>
  </si>
  <si>
    <t>CPI van jaar naar 2019</t>
  </si>
  <si>
    <t>CPI van jaar naar 2020</t>
  </si>
  <si>
    <t>CPI van jaar naar 2021</t>
  </si>
  <si>
    <t>CPI van jaar naar 2022</t>
  </si>
  <si>
    <t>CPI van jaar naar 2023</t>
  </si>
  <si>
    <t>CPI van jaar naar 2024</t>
  </si>
  <si>
    <t>CPI van jaar naar 2025</t>
  </si>
  <si>
    <t>CPI van jaar naar 2026</t>
  </si>
  <si>
    <t>CPI 2021 -&gt; 2022</t>
  </si>
  <si>
    <t>CPI 2022 -&gt; 2023</t>
  </si>
  <si>
    <t>CPI 2023 -&gt; 2024</t>
  </si>
  <si>
    <t>CPI 2024 -&gt; 2025</t>
  </si>
  <si>
    <t>CPI 2025 -&gt; 2026</t>
  </si>
  <si>
    <t>EUR, pp 2022</t>
  </si>
  <si>
    <t>EUR, pp 2023</t>
  </si>
  <si>
    <t>EUR, pp 2024</t>
  </si>
  <si>
    <t>EUR, pp 2025</t>
  </si>
  <si>
    <t>EUR, pp 2026</t>
  </si>
  <si>
    <t>Afschrijvingen op start-GAW in 2022</t>
  </si>
  <si>
    <t xml:space="preserve">CPI 2021 -&gt; 2023 </t>
  </si>
  <si>
    <t>CPI 2021 -&gt; 2024</t>
  </si>
  <si>
    <t>CPI 2021 -&gt; 2025</t>
  </si>
  <si>
    <t>CPI 2021 -&gt; 2026</t>
  </si>
  <si>
    <t xml:space="preserve">CPI 2022 -&gt; 2023 </t>
  </si>
  <si>
    <t>CPI 2022 -&gt; 2024</t>
  </si>
  <si>
    <t>CPI 2022 -&gt; 2025</t>
  </si>
  <si>
    <t>CPI 2022 -&gt; 2026</t>
  </si>
  <si>
    <t>CPI 2023 -&gt; 2025</t>
  </si>
  <si>
    <t>CPI 2023 -&gt; 2026</t>
  </si>
  <si>
    <t>CPI 2024 -&gt; 2026</t>
  </si>
  <si>
    <t>Totale correctie</t>
  </si>
  <si>
    <t>Correctie afschrijvingsklif 2021</t>
  </si>
  <si>
    <t>Correctie afschrijvingsklif 2022</t>
  </si>
  <si>
    <t>Correctie afschrijvingsklif 2023</t>
  </si>
  <si>
    <t>Correctie afschrijvingsklif 2024</t>
  </si>
  <si>
    <t>Correctie afschrijvingsklif 2025</t>
  </si>
  <si>
    <t>Correctie afschrijvingsklif 2026</t>
  </si>
  <si>
    <t>CPI t.b.v. indexatie GAW</t>
  </si>
  <si>
    <t>Vanaf 2022 wordt hier de indexatiefactor voor de GAW gebruikt. Deze is gelijk aan de helft van de geschatte inflatie voor de periode 2022-2026.</t>
  </si>
  <si>
    <t>Op dit tabblad wordt de schatting van de kapitaalkosten van de start-GAW voor de jaren gedurende de reguleringsperiode 2022 - 2026 berekend. De schatting in het begininkomstenjaar wordt gebaseerd op het gemiddelde van de kapitaalkosten in de peiljaren. Door middel van de productiviteitsverandering worden de jaarlijkse kapitaalkosten naar het efficiëntieniveau van het begininkomstenjaar gebracht. Vervolgens wordt op basis van de schatting in het begininkomstenjaar de kapitaalkosten in het efficiëntiniveau in de volgende jaren berekend. Deze kosten representeren de schatting die voor de reguleringsperiode wordt gemaakt op basis van de gegevens die bekend zijn voor de peiljaren.</t>
  </si>
  <si>
    <t>Op dit tabblad wordt het verschil berekend tussen de kapitaalkosten gedurende de reguleringsperiode op basis van de gegevens van de start-GAW en de schatting van de kapitaalkosten gedurende de reguleringsperiode op basis van de peiljaren. Dit verschil is relevant omdat de kapitaalkosten van de start-GAW zoals berekend op het tabblad 'Kapitaalkosten start-GAW' het verloop van de start-GAW laten zien. De schatting ber ekend op het tabblad 'Schatting REG2022' laat enkel de schatting zien op basis van de peiljaren. Het verschil is pas relevant wanneer de kosten voor de start-GAW wegvallen, ofwel ten tijde van de afschrijvingsklif. Tot het jaar van de afschrijvingsklif vinden er geen wijzigingen plaats in de regulering.</t>
  </si>
  <si>
    <t>Op het tabblad 'Berekening verschil' wordt het verschil berekend tussen de kapitaalkosten van de start-GAW zoals berekend op het tabblad 'Kapitaalkosten start-GAW' en de schatting van de kapitaalkosten van de start-GAW in de regulering op basis van de peiljaren zoals berekend op het tabblad 'Schatting REG2022'. 
De schatting op basis van de peiljaren wordt in de berekening van het verschil geëlimineerd vanaf het jaar dat de afschrijvingsklif optreedt. Omdat netbeheerders kapitaalkosten hebben voor de vervanging van de activa uit de start-GAW en een eliminatie van de schatting hier geen recht aan doet, corrigeert de ACM het verschil zoals berekend met de kapitaalkosten voor de vervangingsinvesteringen die plaatsvinden vanaf het begininkomsten jaar. 
De correctie vindt plaats vanaf het jaar dat de afschrijvingsklif optreedt. Tot het jaar van de afschrijvingsklif vinden er geen wijzigingen plaats in de regulering.</t>
  </si>
  <si>
    <t>Voor Coteq vindt de afschrijvingsklif plaats in het jaar 2023. Om die reden worden de kosten vanaf 2023 gecorrigeerd voor de start-GAW. Vanaf 2023 heeft Coteq kapitaalkosten voor de vervanging van de start-GAW die niet worden meegenomen in de berekening van het verschil, vanwege de eliminatie van de schatting op basis van de peiljaren. Om deze kapitaalkosten te benaderen berekent de ACM de kapitaalkosten die volgen uit vervangingen die zouden zijn gedaan ter hoogte van de afschrijvingen voor de jaren tot en met de afschrijvingsklif. In het geval van Coteq voor de jaren 2021, 2022 en 2023. In lijn met de standaard methodiek neemt de ACM hierbij aan dat de investeringen halverwege het jaar worden geactiveerd en past zij de productiviteitsverandering toe.</t>
  </si>
  <si>
    <t>Op dit tabblad worden de kapitaalkosten van de start-GAW berekend voor de jaren gedurende de reguleringsperiode 2022 - 2026. Deze kosten representeren de kapitaalkosten van de start-GAW in de regulering voor de jaren 2022 - 2026.</t>
  </si>
  <si>
    <t xml:space="preserve">De kosten voor de jaren 2018, 2019 en 2020 worden met inflatie naar prijspeil 2021 gebracht. </t>
  </si>
  <si>
    <t>Productiviteitsverandering tot 2021</t>
  </si>
  <si>
    <t>Productiviteitsverandering 2021-2026</t>
  </si>
  <si>
    <t xml:space="preserve">Productiviteitsverandering tot 2021 </t>
  </si>
  <si>
    <t>X-factorberekening 2022-2026</t>
  </si>
  <si>
    <t>x-factorberekening 2022-2026, tabblad 5) Productiviteitsverandering, cel H92</t>
  </si>
  <si>
    <t>x-factorberekening 2022-2026, tabblad 4) Berekening op parameters, cel H44</t>
  </si>
  <si>
    <t>WACC BI2021</t>
  </si>
  <si>
    <t>WACC EI2026</t>
  </si>
  <si>
    <t>Kapitaalkosten 2021</t>
  </si>
  <si>
    <t>X-factor voor periode t.b.v. kapitaalkosten</t>
  </si>
  <si>
    <t>WACC bijlage bij Methodebesluit 2022-2026</t>
  </si>
  <si>
    <t>WACC-percentages voor berekening (reëel plus, voor belasting)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</si>
</sst>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0.0%"/>
    <numFmt numFmtId="165" formatCode="_ * #,##0_ ;_ * \-#,##0_ ;_ * &quot;-&quot;??_ ;_ @_ "/>
  </numFmts>
  <fonts count="33"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1"/>
      <color theme="0"/>
      <name val="Arial"/>
      <family val="2"/>
    </font>
    <font>
      <b/>
      <sz val="10"/>
      <color indexed="8"/>
      <name val="Arial"/>
      <family val="2"/>
    </font>
    <font>
      <sz val="8"/>
      <name val="Arial"/>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theme="0"/>
        <bgColor indexed="64"/>
      </patternFill>
    </fill>
  </fills>
  <borders count="2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s>
  <cellStyleXfs count="69">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9" borderId="1">
      <alignment vertical="top"/>
    </xf>
    <xf numFmtId="49" fontId="6" fillId="0" borderId="0">
      <alignment vertical="top"/>
    </xf>
    <xf numFmtId="41" fontId="5" fillId="12" borderId="0">
      <alignment vertical="top"/>
    </xf>
    <xf numFmtId="41" fontId="5" fillId="11" borderId="0">
      <alignment vertical="top"/>
    </xf>
    <xf numFmtId="41" fontId="5" fillId="9" borderId="0">
      <alignment vertical="top"/>
    </xf>
    <xf numFmtId="41" fontId="5" fillId="46" borderId="0">
      <alignment vertical="top"/>
    </xf>
    <xf numFmtId="41" fontId="5" fillId="7" borderId="0">
      <alignment vertical="top"/>
    </xf>
    <xf numFmtId="41" fontId="5" fillId="13" borderId="0">
      <alignment vertical="top"/>
    </xf>
    <xf numFmtId="49" fontId="10" fillId="0" borderId="0">
      <alignment vertical="top"/>
    </xf>
    <xf numFmtId="49" fontId="9" fillId="0" borderId="0">
      <alignment vertical="top"/>
    </xf>
    <xf numFmtId="0" fontId="16" fillId="15" borderId="3" applyNumberFormat="0" applyAlignment="0" applyProtection="0"/>
    <xf numFmtId="0" fontId="17" fillId="16" borderId="4" applyNumberFormat="0" applyAlignment="0" applyProtection="0"/>
    <xf numFmtId="0" fontId="18" fillId="16" borderId="3" applyNumberFormat="0" applyAlignment="0" applyProtection="0"/>
    <xf numFmtId="0" fontId="19" fillId="0" borderId="5" applyNumberFormat="0" applyFill="0" applyAlignment="0" applyProtection="0"/>
    <xf numFmtId="0" fontId="13" fillId="17" borderId="6" applyNumberFormat="0" applyAlignment="0" applyProtection="0"/>
    <xf numFmtId="0" fontId="15" fillId="18" borderId="7" applyNumberFormat="0" applyFont="0" applyAlignment="0" applyProtection="0"/>
    <xf numFmtId="0" fontId="20" fillId="0" borderId="0" applyNumberForma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14"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28" fillId="43" borderId="0" applyNumberFormat="0" applyBorder="0" applyAlignment="0" applyProtection="0"/>
    <xf numFmtId="0" fontId="29" fillId="0" borderId="0" applyNumberFormat="0" applyFill="0" applyBorder="0" applyAlignment="0" applyProtection="0"/>
    <xf numFmtId="49" fontId="21" fillId="0" borderId="0" applyFill="0" applyBorder="0" applyAlignment="0" applyProtection="0"/>
    <xf numFmtId="43" fontId="5" fillId="44" borderId="0" applyNumberFormat="0">
      <alignment vertical="top"/>
    </xf>
    <xf numFmtId="43" fontId="5" fillId="11" borderId="0" applyFont="0" applyFill="0" applyBorder="0" applyAlignment="0" applyProtection="0">
      <alignment vertical="top"/>
    </xf>
    <xf numFmtId="10" fontId="5" fillId="0" borderId="0" applyFont="0" applyFill="0" applyBorder="0" applyAlignment="0" applyProtection="0">
      <alignment vertical="top"/>
    </xf>
    <xf numFmtId="41" fontId="5" fillId="45" borderId="0">
      <alignment vertical="top"/>
    </xf>
    <xf numFmtId="0" fontId="5" fillId="0" borderId="0"/>
    <xf numFmtId="9" fontId="5" fillId="0" borderId="0" applyFont="0" applyFill="0" applyBorder="0" applyAlignment="0" applyProtection="0"/>
    <xf numFmtId="0" fontId="1" fillId="0" borderId="0">
      <alignment vertical="top"/>
    </xf>
  </cellStyleXfs>
  <cellXfs count="106">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9" borderId="1" xfId="6">
      <alignment vertical="top"/>
    </xf>
    <xf numFmtId="0" fontId="5" fillId="0" borderId="0" xfId="4" applyFill="1">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0" fontId="10" fillId="0" borderId="0" xfId="4" applyFont="1" applyFill="1">
      <alignment vertical="top"/>
    </xf>
    <xf numFmtId="0" fontId="5" fillId="6" borderId="0" xfId="4" applyFill="1">
      <alignment vertical="top"/>
    </xf>
    <xf numFmtId="2" fontId="5" fillId="10" borderId="0" xfId="4" applyNumberFormat="1" applyFill="1">
      <alignment vertical="top"/>
    </xf>
    <xf numFmtId="1" fontId="5" fillId="0" borderId="0" xfId="4" applyNumberFormat="1" applyFill="1">
      <alignment vertical="top"/>
    </xf>
    <xf numFmtId="1" fontId="9" fillId="0" borderId="0" xfId="4" applyNumberFormat="1" applyFont="1" applyFill="1">
      <alignment vertical="top"/>
    </xf>
    <xf numFmtId="0" fontId="12" fillId="0" borderId="0" xfId="4" applyFont="1" applyFill="1">
      <alignment vertical="top"/>
    </xf>
    <xf numFmtId="49" fontId="7" fillId="19" borderId="2" xfId="6" applyFont="1" applyBorder="1">
      <alignment vertical="top"/>
    </xf>
    <xf numFmtId="0" fontId="8" fillId="5" borderId="1" xfId="5" applyNumberFormat="1">
      <alignment vertical="top"/>
    </xf>
    <xf numFmtId="0" fontId="14" fillId="0" borderId="0" xfId="4" applyFont="1">
      <alignment vertical="top"/>
    </xf>
    <xf numFmtId="0" fontId="7" fillId="8" borderId="0" xfId="4" applyFont="1" applyFill="1">
      <alignment vertical="top"/>
    </xf>
    <xf numFmtId="0" fontId="5" fillId="14" borderId="0" xfId="4" applyFill="1">
      <alignment vertical="top"/>
    </xf>
    <xf numFmtId="49" fontId="7" fillId="19" borderId="0" xfId="6" applyFont="1" applyBorder="1">
      <alignment vertical="top"/>
    </xf>
    <xf numFmtId="0" fontId="5" fillId="0" borderId="0" xfId="4" applyFont="1">
      <alignment vertical="top"/>
    </xf>
    <xf numFmtId="49" fontId="5" fillId="19" borderId="2" xfId="6" applyFont="1" applyBorder="1">
      <alignment vertical="top"/>
    </xf>
    <xf numFmtId="0" fontId="5" fillId="0" borderId="0" xfId="4" quotePrefix="1">
      <alignment vertical="top"/>
    </xf>
    <xf numFmtId="0" fontId="5" fillId="0" borderId="2" xfId="4" applyFont="1" applyBorder="1">
      <alignment vertical="top"/>
    </xf>
    <xf numFmtId="49" fontId="10" fillId="0" borderId="0" xfId="14">
      <alignment vertical="top"/>
    </xf>
    <xf numFmtId="49" fontId="6" fillId="0" borderId="0" xfId="7">
      <alignment vertical="top"/>
    </xf>
    <xf numFmtId="49" fontId="9" fillId="0" borderId="0" xfId="15">
      <alignment vertical="top"/>
    </xf>
    <xf numFmtId="0" fontId="5" fillId="0" borderId="2" xfId="4" applyFont="1" applyBorder="1" applyAlignment="1">
      <alignment horizontal="left" vertical="top" wrapText="1"/>
    </xf>
    <xf numFmtId="41" fontId="5" fillId="12" borderId="0" xfId="8">
      <alignment vertical="top"/>
    </xf>
    <xf numFmtId="0" fontId="7" fillId="11" borderId="0" xfId="4" applyFont="1" applyFill="1">
      <alignment vertical="top"/>
    </xf>
    <xf numFmtId="9" fontId="5" fillId="0" borderId="0" xfId="4" applyNumberFormat="1">
      <alignment vertical="top"/>
    </xf>
    <xf numFmtId="41" fontId="5" fillId="9" borderId="0" xfId="10">
      <alignment vertical="top"/>
    </xf>
    <xf numFmtId="41" fontId="5" fillId="7" borderId="0" xfId="12">
      <alignment vertical="top"/>
    </xf>
    <xf numFmtId="41" fontId="5" fillId="46" borderId="0" xfId="11">
      <alignment vertical="top"/>
    </xf>
    <xf numFmtId="41" fontId="5" fillId="46" borderId="2" xfId="11" applyBorder="1">
      <alignment vertical="top"/>
    </xf>
    <xf numFmtId="43" fontId="12" fillId="0" borderId="0" xfId="63" applyFont="1" applyFill="1">
      <alignment vertical="top"/>
    </xf>
    <xf numFmtId="0" fontId="5" fillId="0" borderId="2" xfId="4" applyFont="1" applyBorder="1" applyAlignment="1">
      <alignment horizontal="left" vertical="top" wrapText="1"/>
    </xf>
    <xf numFmtId="41" fontId="5" fillId="45" borderId="0" xfId="65">
      <alignment vertical="top"/>
    </xf>
    <xf numFmtId="41" fontId="5" fillId="13" borderId="0" xfId="13">
      <alignment vertical="top"/>
    </xf>
    <xf numFmtId="41" fontId="5" fillId="11" borderId="0" xfId="9">
      <alignment vertical="top"/>
    </xf>
    <xf numFmtId="0" fontId="27" fillId="0" borderId="0" xfId="0" applyFont="1" applyAlignment="1"/>
    <xf numFmtId="0" fontId="6" fillId="0" borderId="0" xfId="0" applyFont="1" applyAlignment="1"/>
    <xf numFmtId="0" fontId="1" fillId="0" borderId="0" xfId="0" applyFont="1" applyAlignment="1"/>
    <xf numFmtId="10" fontId="5" fillId="46" borderId="0" xfId="64" applyFill="1">
      <alignment vertical="top"/>
    </xf>
    <xf numFmtId="10" fontId="5" fillId="0" borderId="0" xfId="64" applyFill="1">
      <alignment vertical="top"/>
    </xf>
    <xf numFmtId="0" fontId="0" fillId="0" borderId="0" xfId="0" applyFont="1" applyAlignment="1"/>
    <xf numFmtId="49" fontId="5" fillId="0" borderId="0" xfId="7" applyFont="1">
      <alignment vertical="top"/>
    </xf>
    <xf numFmtId="0" fontId="0" fillId="0" borderId="0" xfId="0" applyFill="1">
      <alignment vertical="top"/>
    </xf>
    <xf numFmtId="0" fontId="5" fillId="0" borderId="0" xfId="66"/>
    <xf numFmtId="10" fontId="5" fillId="13" borderId="0" xfId="66" applyNumberFormat="1" applyFill="1"/>
    <xf numFmtId="10" fontId="5" fillId="0" borderId="0" xfId="67" applyNumberFormat="1" applyFill="1"/>
    <xf numFmtId="10" fontId="5" fillId="11" borderId="0" xfId="66" applyNumberFormat="1" applyFill="1"/>
    <xf numFmtId="10" fontId="5" fillId="13" borderId="0" xfId="64" applyFill="1">
      <alignment vertical="top"/>
    </xf>
    <xf numFmtId="43" fontId="5" fillId="0" borderId="0" xfId="63" applyFill="1">
      <alignment vertical="top"/>
    </xf>
    <xf numFmtId="41" fontId="5" fillId="13" borderId="0" xfId="9" applyFill="1">
      <alignment vertical="top"/>
    </xf>
    <xf numFmtId="41" fontId="5" fillId="44" borderId="0" xfId="62" applyNumberFormat="1">
      <alignment vertical="top"/>
    </xf>
    <xf numFmtId="0" fontId="6" fillId="0" borderId="0" xfId="4" applyFont="1" applyFill="1">
      <alignment vertical="top"/>
    </xf>
    <xf numFmtId="0" fontId="5" fillId="44" borderId="0" xfId="62" applyNumberFormat="1">
      <alignment vertical="top"/>
    </xf>
    <xf numFmtId="41" fontId="5" fillId="0" borderId="0" xfId="13" applyFill="1">
      <alignment vertical="top"/>
    </xf>
    <xf numFmtId="0" fontId="5" fillId="0" borderId="0" xfId="62" applyNumberFormat="1" applyFill="1">
      <alignment vertical="top"/>
    </xf>
    <xf numFmtId="0" fontId="5" fillId="0" borderId="0" xfId="4" applyFont="1" applyFill="1">
      <alignment vertical="top"/>
    </xf>
    <xf numFmtId="41" fontId="5" fillId="0" borderId="0" xfId="12" applyFill="1">
      <alignment vertical="top"/>
    </xf>
    <xf numFmtId="49" fontId="30" fillId="5" borderId="1" xfId="5" applyFont="1">
      <alignment vertical="top"/>
    </xf>
    <xf numFmtId="49" fontId="9" fillId="0" borderId="0" xfId="7" applyFont="1">
      <alignment vertical="top"/>
    </xf>
    <xf numFmtId="49" fontId="21" fillId="0" borderId="2" xfId="61" applyBorder="1" applyAlignment="1">
      <alignment vertical="top"/>
    </xf>
    <xf numFmtId="0" fontId="1" fillId="0" borderId="0" xfId="0" applyFont="1">
      <alignment vertical="top"/>
    </xf>
    <xf numFmtId="0" fontId="27" fillId="0" borderId="0" xfId="0" applyFont="1">
      <alignment vertical="top"/>
    </xf>
    <xf numFmtId="0" fontId="0" fillId="0" borderId="0" xfId="0" applyFont="1">
      <alignment vertical="top"/>
    </xf>
    <xf numFmtId="49" fontId="6" fillId="0" borderId="0" xfId="6" applyFill="1" applyBorder="1">
      <alignment vertical="top"/>
    </xf>
    <xf numFmtId="49" fontId="6" fillId="19" borderId="1" xfId="6" applyBorder="1">
      <alignment vertical="top"/>
    </xf>
    <xf numFmtId="49" fontId="6" fillId="0" borderId="0" xfId="6" applyFont="1" applyFill="1" applyBorder="1">
      <alignment vertical="top"/>
    </xf>
    <xf numFmtId="49" fontId="5" fillId="0" borderId="0" xfId="7" applyFont="1" applyAlignment="1">
      <alignment horizontal="left" vertical="top" wrapText="1"/>
    </xf>
    <xf numFmtId="49" fontId="6" fillId="0" borderId="0" xfId="14" applyFont="1">
      <alignment vertical="top"/>
    </xf>
    <xf numFmtId="0" fontId="31" fillId="0" borderId="0" xfId="68" applyFont="1" applyFill="1" applyBorder="1" applyAlignment="1">
      <alignment horizontal="center" vertical="top"/>
    </xf>
    <xf numFmtId="0" fontId="5" fillId="0" borderId="12" xfId="4" applyBorder="1">
      <alignment vertical="top"/>
    </xf>
    <xf numFmtId="0" fontId="5" fillId="0" borderId="13" xfId="4" applyBorder="1">
      <alignment vertical="top"/>
    </xf>
    <xf numFmtId="0" fontId="5" fillId="0" borderId="14" xfId="4" applyBorder="1">
      <alignment vertical="top"/>
    </xf>
    <xf numFmtId="0" fontId="5" fillId="0" borderId="15" xfId="4" applyBorder="1">
      <alignment vertical="top"/>
    </xf>
    <xf numFmtId="0" fontId="5" fillId="46" borderId="0" xfId="4" applyFill="1" applyBorder="1" applyAlignment="1">
      <alignment horizontal="center" vertical="top"/>
    </xf>
    <xf numFmtId="0" fontId="5" fillId="0" borderId="16" xfId="4" applyBorder="1">
      <alignment vertical="top"/>
    </xf>
    <xf numFmtId="0" fontId="5" fillId="11" borderId="0" xfId="4" applyFill="1" applyBorder="1" applyAlignment="1">
      <alignment horizontal="center" vertical="top"/>
    </xf>
    <xf numFmtId="0" fontId="5" fillId="0" borderId="17" xfId="4" applyBorder="1">
      <alignment vertical="top"/>
    </xf>
    <xf numFmtId="0" fontId="5" fillId="0" borderId="18" xfId="4" applyBorder="1">
      <alignment vertical="top"/>
    </xf>
    <xf numFmtId="0" fontId="5" fillId="0" borderId="19" xfId="4" applyBorder="1">
      <alignment vertical="top"/>
    </xf>
    <xf numFmtId="0" fontId="5" fillId="0" borderId="0" xfId="4" applyBorder="1">
      <alignment vertical="top"/>
    </xf>
    <xf numFmtId="0" fontId="5" fillId="11" borderId="0" xfId="4" applyFont="1" applyFill="1" applyBorder="1" applyAlignment="1">
      <alignment horizontal="center" vertical="top"/>
    </xf>
    <xf numFmtId="0" fontId="5" fillId="12" borderId="0" xfId="4" applyFill="1" applyBorder="1" applyAlignment="1">
      <alignment horizontal="center" vertical="top"/>
    </xf>
    <xf numFmtId="49" fontId="10" fillId="0" borderId="2" xfId="14" applyBorder="1">
      <alignment vertical="top"/>
    </xf>
    <xf numFmtId="0" fontId="6" fillId="19" borderId="1" xfId="6" applyNumberFormat="1">
      <alignment vertical="top"/>
    </xf>
    <xf numFmtId="0" fontId="5" fillId="47" borderId="0" xfId="4" applyFill="1">
      <alignment vertical="top"/>
    </xf>
    <xf numFmtId="0" fontId="0" fillId="47" borderId="0" xfId="0" applyFont="1" applyFill="1" applyAlignment="1"/>
    <xf numFmtId="10" fontId="5" fillId="47" borderId="0" xfId="64" applyFill="1">
      <alignment vertical="top"/>
    </xf>
    <xf numFmtId="10" fontId="5" fillId="9" borderId="0" xfId="64" applyFill="1">
      <alignment vertical="top"/>
    </xf>
    <xf numFmtId="41" fontId="5" fillId="0" borderId="0" xfId="9" applyFill="1">
      <alignment vertical="top"/>
    </xf>
    <xf numFmtId="164" fontId="5" fillId="11" borderId="0" xfId="64" applyNumberFormat="1" applyFill="1">
      <alignment vertical="top"/>
    </xf>
    <xf numFmtId="41" fontId="5" fillId="0" borderId="0" xfId="4" applyNumberFormat="1">
      <alignment vertical="top"/>
    </xf>
    <xf numFmtId="165" fontId="5" fillId="0" borderId="0" xfId="63" applyNumberFormat="1" applyFill="1">
      <alignment vertical="top"/>
    </xf>
    <xf numFmtId="10" fontId="5" fillId="46" borderId="0" xfId="64" applyNumberFormat="1" applyFill="1">
      <alignment vertical="top"/>
    </xf>
    <xf numFmtId="41" fontId="5" fillId="9" borderId="0" xfId="10" applyNumberFormat="1">
      <alignment vertical="top"/>
    </xf>
    <xf numFmtId="0" fontId="5" fillId="0" borderId="0" xfId="4" applyFont="1" applyAlignment="1">
      <alignment horizontal="left" vertical="top" wrapText="1"/>
    </xf>
    <xf numFmtId="0" fontId="9" fillId="0" borderId="0" xfId="4" applyFont="1" applyAlignment="1">
      <alignment horizontal="left" vertical="top" wrapText="1"/>
    </xf>
    <xf numFmtId="49" fontId="5" fillId="0" borderId="0" xfId="7" applyFont="1" applyAlignment="1">
      <alignment horizontal="left" vertical="top" wrapText="1"/>
    </xf>
    <xf numFmtId="49" fontId="9" fillId="0" borderId="0" xfId="7" applyFont="1" applyAlignment="1">
      <alignment horizontal="left" vertical="top" wrapText="1"/>
    </xf>
  </cellXfs>
  <cellStyles count="69">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D000000}"/>
    <cellStyle name="Cel Berekening" xfId="9" xr:uid="{00000000-0005-0000-0000-00001E000000}"/>
    <cellStyle name="Cel Bijzonderheid" xfId="10" xr:uid="{00000000-0005-0000-0000-00001F000000}"/>
    <cellStyle name="Cel Dataverzoek" xfId="65" xr:uid="{00000000-0005-0000-0000-000020000000}"/>
    <cellStyle name="Cel Input" xfId="11" xr:uid="{00000000-0005-0000-0000-000021000000}"/>
    <cellStyle name="Cel n.v.t. (leeg)" xfId="62" xr:uid="{00000000-0005-0000-0000-000022000000}"/>
    <cellStyle name="Cel PM extern" xfId="12" xr:uid="{00000000-0005-0000-0000-000023000000}"/>
    <cellStyle name="Cel Verwijzing" xfId="13" xr:uid="{00000000-0005-0000-0000-000024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9000000}"/>
    <cellStyle name="Procent" xfId="27" builtinId="5" hidden="1"/>
    <cellStyle name="Procent" xfId="64" builtinId="5"/>
    <cellStyle name="Procent 2" xfId="67" xr:uid="{00000000-0005-0000-0000-00003D000000}"/>
    <cellStyle name="Standaard" xfId="0" builtinId="0" customBuiltin="1"/>
    <cellStyle name="Standaard 2 2" xfId="66" xr:uid="{00000000-0005-0000-0000-00003E000000}"/>
    <cellStyle name="Standaard 33" xfId="68" xr:uid="{00000000-0005-0000-0000-00003F000000}"/>
    <cellStyle name="Standaard ACM-DE" xfId="4" xr:uid="{00000000-0005-0000-0000-000040000000}"/>
    <cellStyle name="Titel" xfId="28" builtinId="15" hidden="1"/>
    <cellStyle name="Toelichting" xfId="15" xr:uid="{00000000-0005-0000-0000-000042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2">
    <dxf>
      <font>
        <color theme="0"/>
      </font>
      <fill>
        <patternFill>
          <bgColor theme="3"/>
        </patternFill>
      </fill>
    </dxf>
    <dxf>
      <font>
        <color theme="0"/>
      </font>
      <fill>
        <patternFill>
          <bgColor theme="3"/>
        </patternFill>
      </fill>
    </dxf>
  </dxfs>
  <tableStyles count="0" defaultTableStyle="TableStyleMedium2" defaultPivotStyle="PivotStyleLight16"/>
  <colors>
    <mruColors>
      <color rgb="FFE1FFE1"/>
      <color rgb="FFFFCCFF"/>
      <color rgb="FFCCFFFF"/>
      <color rgb="FFFFCC99"/>
      <color rgb="FF99FF99"/>
      <color rgb="FFFFFFCC"/>
      <color rgb="FFCCC8D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178593</xdr:colOff>
      <xdr:row>19</xdr:row>
      <xdr:rowOff>77391</xdr:rowOff>
    </xdr:from>
    <xdr:to>
      <xdr:col>9</xdr:col>
      <xdr:colOff>1363266</xdr:colOff>
      <xdr:row>19</xdr:row>
      <xdr:rowOff>77391</xdr:rowOff>
    </xdr:to>
    <xdr:cxnSp macro="">
      <xdr:nvCxnSpPr>
        <xdr:cNvPr id="3" name="Rechte verbindingslijn met pijl 2">
          <a:extLst>
            <a:ext uri="{FF2B5EF4-FFF2-40B4-BE49-F238E27FC236}">
              <a16:creationId xmlns:a16="http://schemas.microsoft.com/office/drawing/2014/main" id="{00000000-0008-0000-0400-000003000000}"/>
            </a:ext>
          </a:extLst>
        </xdr:cNvPr>
        <xdr:cNvCxnSpPr/>
      </xdr:nvCxnSpPr>
      <xdr:spPr>
        <a:xfrm>
          <a:off x="9122568" y="5659041"/>
          <a:ext cx="136564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179614</xdr:colOff>
      <xdr:row>18</xdr:row>
      <xdr:rowOff>87086</xdr:rowOff>
    </xdr:from>
    <xdr:to>
      <xdr:col>6</xdr:col>
      <xdr:colOff>0</xdr:colOff>
      <xdr:row>18</xdr:row>
      <xdr:rowOff>87086</xdr:rowOff>
    </xdr:to>
    <xdr:cxnSp macro="">
      <xdr:nvCxnSpPr>
        <xdr:cNvPr id="5" name="Rechte verbindingslijn met pijl 4">
          <a:extLst>
            <a:ext uri="{FF2B5EF4-FFF2-40B4-BE49-F238E27FC236}">
              <a16:creationId xmlns:a16="http://schemas.microsoft.com/office/drawing/2014/main" id="{00000000-0008-0000-0400-000005000000}"/>
            </a:ext>
          </a:extLst>
        </xdr:cNvPr>
        <xdr:cNvCxnSpPr/>
      </xdr:nvCxnSpPr>
      <xdr:spPr>
        <a:xfrm>
          <a:off x="4665889" y="5506811"/>
          <a:ext cx="138248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174172</xdr:colOff>
      <xdr:row>19</xdr:row>
      <xdr:rowOff>0</xdr:rowOff>
    </xdr:from>
    <xdr:to>
      <xdr:col>5</xdr:col>
      <xdr:colOff>1366158</xdr:colOff>
      <xdr:row>23</xdr:row>
      <xdr:rowOff>125185</xdr:rowOff>
    </xdr:to>
    <xdr:cxnSp macro="">
      <xdr:nvCxnSpPr>
        <xdr:cNvPr id="6" name="Rechte verbindingslijn met pijl 5">
          <a:extLst>
            <a:ext uri="{FF2B5EF4-FFF2-40B4-BE49-F238E27FC236}">
              <a16:creationId xmlns:a16="http://schemas.microsoft.com/office/drawing/2014/main" id="{00000000-0008-0000-0400-000006000000}"/>
            </a:ext>
          </a:extLst>
        </xdr:cNvPr>
        <xdr:cNvCxnSpPr/>
      </xdr:nvCxnSpPr>
      <xdr:spPr>
        <a:xfrm flipV="1">
          <a:off x="4660447" y="5581650"/>
          <a:ext cx="1372961" cy="77288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179614</xdr:colOff>
      <xdr:row>19</xdr:row>
      <xdr:rowOff>70757</xdr:rowOff>
    </xdr:from>
    <xdr:to>
      <xdr:col>6</xdr:col>
      <xdr:colOff>10886</xdr:colOff>
      <xdr:row>23</xdr:row>
      <xdr:rowOff>163285</xdr:rowOff>
    </xdr:to>
    <xdr:cxnSp macro="">
      <xdr:nvCxnSpPr>
        <xdr:cNvPr id="8" name="Rechte verbindingslijn met pijl 7">
          <a:extLst>
            <a:ext uri="{FF2B5EF4-FFF2-40B4-BE49-F238E27FC236}">
              <a16:creationId xmlns:a16="http://schemas.microsoft.com/office/drawing/2014/main" id="{00000000-0008-0000-0400-000008000000}"/>
            </a:ext>
          </a:extLst>
        </xdr:cNvPr>
        <xdr:cNvCxnSpPr/>
      </xdr:nvCxnSpPr>
      <xdr:spPr>
        <a:xfrm>
          <a:off x="4665889" y="5652407"/>
          <a:ext cx="1393372" cy="74022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2432958</xdr:colOff>
      <xdr:row>16</xdr:row>
      <xdr:rowOff>21771</xdr:rowOff>
    </xdr:from>
    <xdr:to>
      <xdr:col>3</xdr:col>
      <xdr:colOff>2432958</xdr:colOff>
      <xdr:row>17</xdr:row>
      <xdr:rowOff>157842</xdr:rowOff>
    </xdr:to>
    <xdr:cxnSp macro="">
      <xdr:nvCxnSpPr>
        <xdr:cNvPr id="15" name="Rechte verbindingslijn 14">
          <a:extLst>
            <a:ext uri="{FF2B5EF4-FFF2-40B4-BE49-F238E27FC236}">
              <a16:creationId xmlns:a16="http://schemas.microsoft.com/office/drawing/2014/main" id="{00000000-0008-0000-0400-00000F000000}"/>
            </a:ext>
          </a:extLst>
        </xdr:cNvPr>
        <xdr:cNvCxnSpPr/>
      </xdr:nvCxnSpPr>
      <xdr:spPr>
        <a:xfrm flipV="1">
          <a:off x="4204608" y="5117646"/>
          <a:ext cx="0" cy="29799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2438400</xdr:colOff>
      <xdr:row>16</xdr:row>
      <xdr:rowOff>5443</xdr:rowOff>
    </xdr:from>
    <xdr:to>
      <xdr:col>13</xdr:col>
      <xdr:colOff>440872</xdr:colOff>
      <xdr:row>16</xdr:row>
      <xdr:rowOff>5443</xdr:rowOff>
    </xdr:to>
    <xdr:cxnSp macro="">
      <xdr:nvCxnSpPr>
        <xdr:cNvPr id="16" name="Rechte verbindingslijn 15">
          <a:extLst>
            <a:ext uri="{FF2B5EF4-FFF2-40B4-BE49-F238E27FC236}">
              <a16:creationId xmlns:a16="http://schemas.microsoft.com/office/drawing/2014/main" id="{00000000-0008-0000-0400-000010000000}"/>
            </a:ext>
          </a:extLst>
        </xdr:cNvPr>
        <xdr:cNvCxnSpPr/>
      </xdr:nvCxnSpPr>
      <xdr:spPr>
        <a:xfrm>
          <a:off x="4210050" y="5101318"/>
          <a:ext cx="1008017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437029</xdr:colOff>
      <xdr:row>16</xdr:row>
      <xdr:rowOff>10886</xdr:rowOff>
    </xdr:from>
    <xdr:to>
      <xdr:col>13</xdr:col>
      <xdr:colOff>457200</xdr:colOff>
      <xdr:row>24</xdr:row>
      <xdr:rowOff>22411</xdr:rowOff>
    </xdr:to>
    <xdr:cxnSp macro="">
      <xdr:nvCxnSpPr>
        <xdr:cNvPr id="17" name="Rechte verbindingslijn 16">
          <a:extLst>
            <a:ext uri="{FF2B5EF4-FFF2-40B4-BE49-F238E27FC236}">
              <a16:creationId xmlns:a16="http://schemas.microsoft.com/office/drawing/2014/main" id="{00000000-0008-0000-0400-000011000000}"/>
            </a:ext>
          </a:extLst>
        </xdr:cNvPr>
        <xdr:cNvCxnSpPr/>
      </xdr:nvCxnSpPr>
      <xdr:spPr>
        <a:xfrm flipH="1">
          <a:off x="13996147" y="2599445"/>
          <a:ext cx="20171" cy="126658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156563</xdr:colOff>
      <xdr:row>24</xdr:row>
      <xdr:rowOff>29776</xdr:rowOff>
    </xdr:from>
    <xdr:to>
      <xdr:col>13</xdr:col>
      <xdr:colOff>439912</xdr:colOff>
      <xdr:row>24</xdr:row>
      <xdr:rowOff>29776</xdr:rowOff>
    </xdr:to>
    <xdr:cxnSp macro="">
      <xdr:nvCxnSpPr>
        <xdr:cNvPr id="18" name="Rechte verbindingslijn met pijl 17">
          <a:extLst>
            <a:ext uri="{FF2B5EF4-FFF2-40B4-BE49-F238E27FC236}">
              <a16:creationId xmlns:a16="http://schemas.microsoft.com/office/drawing/2014/main" id="{00000000-0008-0000-0400-000012000000}"/>
            </a:ext>
          </a:extLst>
        </xdr:cNvPr>
        <xdr:cNvCxnSpPr/>
      </xdr:nvCxnSpPr>
      <xdr:spPr>
        <a:xfrm flipH="1">
          <a:off x="13536387" y="3873394"/>
          <a:ext cx="46264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7327</xdr:colOff>
      <xdr:row>19</xdr:row>
      <xdr:rowOff>117230</xdr:rowOff>
    </xdr:from>
    <xdr:to>
      <xdr:col>14</xdr:col>
      <xdr:colOff>0</xdr:colOff>
      <xdr:row>19</xdr:row>
      <xdr:rowOff>117230</xdr:rowOff>
    </xdr:to>
    <xdr:cxnSp macro="">
      <xdr:nvCxnSpPr>
        <xdr:cNvPr id="28" name="Rechte verbindingslijn met pijl 27">
          <a:extLst>
            <a:ext uri="{FF2B5EF4-FFF2-40B4-BE49-F238E27FC236}">
              <a16:creationId xmlns:a16="http://schemas.microsoft.com/office/drawing/2014/main" id="{00000000-0008-0000-0400-00001C000000}"/>
            </a:ext>
          </a:extLst>
        </xdr:cNvPr>
        <xdr:cNvCxnSpPr/>
      </xdr:nvCxnSpPr>
      <xdr:spPr>
        <a:xfrm>
          <a:off x="13856677" y="5698880"/>
          <a:ext cx="137379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147038</xdr:colOff>
      <xdr:row>26</xdr:row>
      <xdr:rowOff>15128</xdr:rowOff>
    </xdr:from>
    <xdr:to>
      <xdr:col>4</xdr:col>
      <xdr:colOff>147038</xdr:colOff>
      <xdr:row>27</xdr:row>
      <xdr:rowOff>25053</xdr:rowOff>
    </xdr:to>
    <xdr:cxnSp macro="">
      <xdr:nvCxnSpPr>
        <xdr:cNvPr id="30" name="Rechte verbindingslijn 29">
          <a:extLst>
            <a:ext uri="{FF2B5EF4-FFF2-40B4-BE49-F238E27FC236}">
              <a16:creationId xmlns:a16="http://schemas.microsoft.com/office/drawing/2014/main" id="{00000000-0008-0000-0400-00001E000000}"/>
            </a:ext>
          </a:extLst>
        </xdr:cNvPr>
        <xdr:cNvCxnSpPr/>
      </xdr:nvCxnSpPr>
      <xdr:spPr>
        <a:xfrm>
          <a:off x="4629391" y="4172510"/>
          <a:ext cx="0" cy="1668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147358</xdr:colOff>
      <xdr:row>27</xdr:row>
      <xdr:rowOff>37539</xdr:rowOff>
    </xdr:from>
    <xdr:to>
      <xdr:col>11</xdr:col>
      <xdr:colOff>1546172</xdr:colOff>
      <xdr:row>27</xdr:row>
      <xdr:rowOff>37539</xdr:rowOff>
    </xdr:to>
    <xdr:cxnSp macro="">
      <xdr:nvCxnSpPr>
        <xdr:cNvPr id="31" name="Rechte verbindingslijn 30">
          <a:extLst>
            <a:ext uri="{FF2B5EF4-FFF2-40B4-BE49-F238E27FC236}">
              <a16:creationId xmlns:a16="http://schemas.microsoft.com/office/drawing/2014/main" id="{00000000-0008-0000-0400-00001F000000}"/>
            </a:ext>
          </a:extLst>
        </xdr:cNvPr>
        <xdr:cNvCxnSpPr/>
      </xdr:nvCxnSpPr>
      <xdr:spPr>
        <a:xfrm flipV="1">
          <a:off x="4629711" y="4351804"/>
          <a:ext cx="758446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1546172</xdr:colOff>
      <xdr:row>26</xdr:row>
      <xdr:rowOff>26333</xdr:rowOff>
    </xdr:from>
    <xdr:to>
      <xdr:col>11</xdr:col>
      <xdr:colOff>1546172</xdr:colOff>
      <xdr:row>27</xdr:row>
      <xdr:rowOff>31774</xdr:rowOff>
    </xdr:to>
    <xdr:cxnSp macro="">
      <xdr:nvCxnSpPr>
        <xdr:cNvPr id="32" name="Rechte verbindingslijn met pijl 31">
          <a:extLst>
            <a:ext uri="{FF2B5EF4-FFF2-40B4-BE49-F238E27FC236}">
              <a16:creationId xmlns:a16="http://schemas.microsoft.com/office/drawing/2014/main" id="{00000000-0008-0000-0400-000020000000}"/>
            </a:ext>
          </a:extLst>
        </xdr:cNvPr>
        <xdr:cNvCxnSpPr/>
      </xdr:nvCxnSpPr>
      <xdr:spPr>
        <a:xfrm flipV="1">
          <a:off x="12214172" y="4183715"/>
          <a:ext cx="0" cy="16232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19</xdr:row>
      <xdr:rowOff>145673</xdr:rowOff>
    </xdr:from>
    <xdr:to>
      <xdr:col>9</xdr:col>
      <xdr:colOff>1371280</xdr:colOff>
      <xdr:row>24</xdr:row>
      <xdr:rowOff>113975</xdr:rowOff>
    </xdr:to>
    <xdr:cxnSp macro="">
      <xdr:nvCxnSpPr>
        <xdr:cNvPr id="22" name="Rechte verbindingslijn met pijl 21">
          <a:extLst>
            <a:ext uri="{FF2B5EF4-FFF2-40B4-BE49-F238E27FC236}">
              <a16:creationId xmlns:a16="http://schemas.microsoft.com/office/drawing/2014/main" id="{00000000-0008-0000-0400-000016000000}"/>
            </a:ext>
          </a:extLst>
        </xdr:cNvPr>
        <xdr:cNvCxnSpPr/>
      </xdr:nvCxnSpPr>
      <xdr:spPr>
        <a:xfrm flipV="1">
          <a:off x="9110382" y="3204879"/>
          <a:ext cx="1371280" cy="75271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20</xdr:row>
      <xdr:rowOff>11200</xdr:rowOff>
    </xdr:from>
    <xdr:to>
      <xdr:col>10</xdr:col>
      <xdr:colOff>10566</xdr:colOff>
      <xdr:row>24</xdr:row>
      <xdr:rowOff>103727</xdr:rowOff>
    </xdr:to>
    <xdr:cxnSp macro="">
      <xdr:nvCxnSpPr>
        <xdr:cNvPr id="23" name="Rechte verbindingslijn met pijl 22">
          <a:extLst>
            <a:ext uri="{FF2B5EF4-FFF2-40B4-BE49-F238E27FC236}">
              <a16:creationId xmlns:a16="http://schemas.microsoft.com/office/drawing/2014/main" id="{00000000-0008-0000-0400-000017000000}"/>
            </a:ext>
          </a:extLst>
        </xdr:cNvPr>
        <xdr:cNvCxnSpPr/>
      </xdr:nvCxnSpPr>
      <xdr:spPr>
        <a:xfrm>
          <a:off x="9110382" y="3227288"/>
          <a:ext cx="1388890" cy="72005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6723</xdr:colOff>
      <xdr:row>20</xdr:row>
      <xdr:rowOff>56030</xdr:rowOff>
    </xdr:from>
    <xdr:to>
      <xdr:col>14</xdr:col>
      <xdr:colOff>0</xdr:colOff>
      <xdr:row>23</xdr:row>
      <xdr:rowOff>131905</xdr:rowOff>
    </xdr:to>
    <xdr:cxnSp macro="">
      <xdr:nvCxnSpPr>
        <xdr:cNvPr id="24" name="Rechte verbindingslijn met pijl 23">
          <a:extLst>
            <a:ext uri="{FF2B5EF4-FFF2-40B4-BE49-F238E27FC236}">
              <a16:creationId xmlns:a16="http://schemas.microsoft.com/office/drawing/2014/main" id="{00000000-0008-0000-0400-000018000000}"/>
            </a:ext>
          </a:extLst>
        </xdr:cNvPr>
        <xdr:cNvCxnSpPr/>
      </xdr:nvCxnSpPr>
      <xdr:spPr>
        <a:xfrm flipV="1">
          <a:off x="13565841" y="3272118"/>
          <a:ext cx="1371600" cy="54652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1355911</xdr:colOff>
      <xdr:row>21</xdr:row>
      <xdr:rowOff>11205</xdr:rowOff>
    </xdr:from>
    <xdr:to>
      <xdr:col>7</xdr:col>
      <xdr:colOff>1355911</xdr:colOff>
      <xdr:row>22</xdr:row>
      <xdr:rowOff>145676</xdr:rowOff>
    </xdr:to>
    <xdr:cxnSp macro="">
      <xdr:nvCxnSpPr>
        <xdr:cNvPr id="10" name="Rechte verbindingslijn met pijl 9">
          <a:extLst>
            <a:ext uri="{FF2B5EF4-FFF2-40B4-BE49-F238E27FC236}">
              <a16:creationId xmlns:a16="http://schemas.microsoft.com/office/drawing/2014/main" id="{E2E0B918-3B4B-4CEE-9069-1875D02B9059}"/>
            </a:ext>
          </a:extLst>
        </xdr:cNvPr>
        <xdr:cNvCxnSpPr/>
      </xdr:nvCxnSpPr>
      <xdr:spPr>
        <a:xfrm>
          <a:off x="7575176" y="3384176"/>
          <a:ext cx="0" cy="29135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opendata.cbs.nl/statline/"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C41"/>
  <sheetViews>
    <sheetView showGridLines="0" tabSelected="1"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39.85546875" style="2" customWidth="1"/>
    <col min="3" max="3" width="91.85546875" style="2" customWidth="1"/>
    <col min="4" max="16384" width="9.140625" style="2"/>
  </cols>
  <sheetData>
    <row r="2" spans="2:3" s="6" customFormat="1" ht="18" x14ac:dyDescent="0.2">
      <c r="B2" s="6" t="s">
        <v>171</v>
      </c>
    </row>
    <row r="6" spans="2:3" x14ac:dyDescent="0.2">
      <c r="B6" s="3"/>
    </row>
    <row r="13" spans="2:3" s="7" customFormat="1" x14ac:dyDescent="0.2">
      <c r="B13" s="7" t="s">
        <v>1</v>
      </c>
    </row>
    <row r="14" spans="2:3" s="8" customFormat="1" x14ac:dyDescent="0.2"/>
    <row r="15" spans="2:3" x14ac:dyDescent="0.2">
      <c r="B15" s="9" t="s">
        <v>2</v>
      </c>
      <c r="C15" s="10" t="s">
        <v>211</v>
      </c>
    </row>
    <row r="16" spans="2:3" x14ac:dyDescent="0.2">
      <c r="B16" s="9" t="s">
        <v>3</v>
      </c>
      <c r="C16" s="10" t="s">
        <v>171</v>
      </c>
    </row>
    <row r="17" spans="2:3" x14ac:dyDescent="0.2">
      <c r="B17" s="9" t="s">
        <v>4</v>
      </c>
      <c r="C17" s="10" t="s">
        <v>212</v>
      </c>
    </row>
    <row r="18" spans="2:3" x14ac:dyDescent="0.2">
      <c r="B18" s="9" t="s">
        <v>5</v>
      </c>
      <c r="C18" s="10" t="s">
        <v>208</v>
      </c>
    </row>
    <row r="19" spans="2:3" x14ac:dyDescent="0.2">
      <c r="B19" s="9" t="s">
        <v>6</v>
      </c>
      <c r="C19" s="10" t="s">
        <v>207</v>
      </c>
    </row>
    <row r="20" spans="2:3" x14ac:dyDescent="0.2">
      <c r="B20" s="9" t="s">
        <v>7</v>
      </c>
      <c r="C20" s="10"/>
    </row>
    <row r="21" spans="2:3" x14ac:dyDescent="0.2">
      <c r="B21" s="9" t="s">
        <v>8</v>
      </c>
      <c r="C21" s="10" t="s">
        <v>209</v>
      </c>
    </row>
    <row r="22" spans="2:3" x14ac:dyDescent="0.2">
      <c r="B22" s="9" t="s">
        <v>9</v>
      </c>
      <c r="C22" s="10"/>
    </row>
    <row r="25" spans="2:3" s="7" customFormat="1" x14ac:dyDescent="0.2">
      <c r="B25" s="7" t="s">
        <v>10</v>
      </c>
    </row>
    <row r="27" spans="2:3" x14ac:dyDescent="0.2">
      <c r="B27" s="9" t="s">
        <v>11</v>
      </c>
      <c r="C27" s="10" t="s">
        <v>173</v>
      </c>
    </row>
    <row r="28" spans="2:3" x14ac:dyDescent="0.2">
      <c r="B28" s="39" t="s">
        <v>65</v>
      </c>
      <c r="C28" s="10" t="s">
        <v>173</v>
      </c>
    </row>
    <row r="29" spans="2:3" ht="25.5" x14ac:dyDescent="0.2">
      <c r="B29" s="9" t="s">
        <v>12</v>
      </c>
      <c r="C29" s="10" t="s">
        <v>173</v>
      </c>
    </row>
    <row r="30" spans="2:3" x14ac:dyDescent="0.2">
      <c r="B30" s="30" t="s">
        <v>64</v>
      </c>
      <c r="C30" s="10" t="s">
        <v>172</v>
      </c>
    </row>
    <row r="31" spans="2:3" x14ac:dyDescent="0.2">
      <c r="B31" s="9" t="s">
        <v>13</v>
      </c>
      <c r="C31" s="10"/>
    </row>
    <row r="32" spans="2:3" x14ac:dyDescent="0.2">
      <c r="B32" s="9" t="s">
        <v>9</v>
      </c>
      <c r="C32" s="10"/>
    </row>
    <row r="35" spans="2:2" s="7" customFormat="1" x14ac:dyDescent="0.2">
      <c r="B35" s="7" t="s">
        <v>14</v>
      </c>
    </row>
    <row r="37" spans="2:2" x14ac:dyDescent="0.2">
      <c r="B37" s="75" t="s">
        <v>214</v>
      </c>
    </row>
    <row r="38" spans="2:2" x14ac:dyDescent="0.2">
      <c r="B38" s="23" t="s">
        <v>213</v>
      </c>
    </row>
    <row r="39" spans="2:2" x14ac:dyDescent="0.2">
      <c r="B39" s="4"/>
    </row>
    <row r="41" spans="2:2" s="7" customFormat="1" x14ac:dyDescent="0.2">
      <c r="B41" s="7" t="s">
        <v>15</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sheetPr>
  <dimension ref="B2:U63"/>
  <sheetViews>
    <sheetView showGridLines="0" zoomScale="85" zoomScaleNormal="85" workbookViewId="0">
      <pane xSplit="5" ySplit="11" topLeftCell="F12" activePane="bottomRight" state="frozen"/>
      <selection activeCell="R6" sqref="R6"/>
      <selection pane="topRight" activeCell="R6" sqref="R6"/>
      <selection pane="bottomLeft" activeCell="R6" sqref="R6"/>
      <selection pane="bottomRight" activeCell="F12" sqref="F12"/>
    </sheetView>
  </sheetViews>
  <sheetFormatPr defaultRowHeight="12.75" x14ac:dyDescent="0.2"/>
  <cols>
    <col min="1" max="1" width="2.7109375" style="2" customWidth="1"/>
    <col min="2" max="2" width="62.28515625" style="2" customWidth="1"/>
    <col min="3" max="3" width="19.5703125" style="2" customWidth="1"/>
    <col min="4" max="4" width="2.7109375" style="2" customWidth="1"/>
    <col min="5" max="5" width="13.7109375" style="2" customWidth="1"/>
    <col min="6" max="6" width="2.7109375" style="2" customWidth="1"/>
    <col min="7" max="7" width="16.5703125" style="2" bestFit="1" customWidth="1"/>
    <col min="8" max="8" width="2.7109375" style="2" customWidth="1"/>
    <col min="9" max="9" width="13.7109375" style="2" customWidth="1"/>
    <col min="10" max="10" width="2.7109375" style="2" customWidth="1"/>
    <col min="11" max="12" width="12.5703125" style="2" customWidth="1"/>
    <col min="13" max="13" width="11.140625" style="2" customWidth="1"/>
    <col min="14" max="14" width="12.5703125" style="2" customWidth="1"/>
    <col min="15" max="15" width="11.7109375" style="2" customWidth="1"/>
    <col min="16" max="16" width="12.5703125" style="2" customWidth="1"/>
    <col min="17" max="17" width="2.7109375" style="2" customWidth="1"/>
    <col min="18" max="18" width="12.5703125" style="2" customWidth="1"/>
    <col min="19" max="19" width="13.5703125" style="2" customWidth="1"/>
    <col min="20" max="20" width="2.7109375" style="2" customWidth="1"/>
    <col min="21" max="24" width="13.7109375" style="2" customWidth="1"/>
    <col min="25" max="25" width="2.85546875" style="2" customWidth="1"/>
    <col min="26" max="26" width="13.7109375" style="2" customWidth="1"/>
    <col min="27" max="27" width="3.28515625" style="2" customWidth="1"/>
    <col min="28" max="32" width="13.7109375" style="2" customWidth="1"/>
    <col min="33" max="16384" width="9.140625" style="2"/>
  </cols>
  <sheetData>
    <row r="2" spans="2:21" s="18" customFormat="1" ht="18" x14ac:dyDescent="0.2">
      <c r="B2" s="18" t="s">
        <v>133</v>
      </c>
    </row>
    <row r="4" spans="2:21" x14ac:dyDescent="0.2">
      <c r="B4" s="28" t="s">
        <v>54</v>
      </c>
      <c r="C4" s="28"/>
    </row>
    <row r="5" spans="2:21" ht="93.75" customHeight="1" x14ac:dyDescent="0.2">
      <c r="B5" s="104" t="s">
        <v>258</v>
      </c>
      <c r="C5" s="104"/>
      <c r="D5" s="104"/>
      <c r="E5" s="104"/>
    </row>
    <row r="6" spans="2:21" x14ac:dyDescent="0.2">
      <c r="B6" s="49"/>
      <c r="C6" s="49"/>
    </row>
    <row r="7" spans="2:21" s="29" customFormat="1" x14ac:dyDescent="0.2">
      <c r="B7" s="29" t="s">
        <v>31</v>
      </c>
    </row>
    <row r="8" spans="2:21" x14ac:dyDescent="0.2">
      <c r="B8" s="66" t="s">
        <v>134</v>
      </c>
      <c r="C8" s="66"/>
    </row>
    <row r="9" spans="2:21" x14ac:dyDescent="0.2">
      <c r="B9" s="28"/>
      <c r="C9" s="28"/>
    </row>
    <row r="10" spans="2:21" s="7" customFormat="1" x14ac:dyDescent="0.2">
      <c r="B10" s="7" t="s">
        <v>46</v>
      </c>
      <c r="E10" s="7" t="s">
        <v>28</v>
      </c>
      <c r="G10" s="7" t="s">
        <v>29</v>
      </c>
      <c r="I10" s="7" t="s">
        <v>49</v>
      </c>
      <c r="K10" s="7" t="s">
        <v>161</v>
      </c>
      <c r="L10" s="7" t="s">
        <v>76</v>
      </c>
      <c r="M10" s="7" t="s">
        <v>77</v>
      </c>
      <c r="N10" s="7" t="s">
        <v>78</v>
      </c>
      <c r="O10" s="7" t="s">
        <v>79</v>
      </c>
      <c r="P10" s="7" t="s">
        <v>80</v>
      </c>
      <c r="R10" s="7" t="s">
        <v>75</v>
      </c>
      <c r="S10" s="7" t="s">
        <v>81</v>
      </c>
      <c r="U10" s="7" t="s">
        <v>48</v>
      </c>
    </row>
    <row r="13" spans="2:21" s="72" customFormat="1" x14ac:dyDescent="0.2">
      <c r="B13" s="72" t="s">
        <v>103</v>
      </c>
    </row>
    <row r="14" spans="2:21" s="71" customFormat="1" x14ac:dyDescent="0.2"/>
    <row r="15" spans="2:21" s="71" customFormat="1" x14ac:dyDescent="0.2">
      <c r="B15" s="73" t="s">
        <v>94</v>
      </c>
      <c r="C15" s="73"/>
    </row>
    <row r="16" spans="2:21" x14ac:dyDescent="0.2">
      <c r="B16" s="48" t="s">
        <v>227</v>
      </c>
      <c r="C16" s="48"/>
      <c r="G16" s="55">
        <f>'2) Parameters'!P21</f>
        <v>1.7999999999999999E-2</v>
      </c>
    </row>
    <row r="17" spans="2:19" x14ac:dyDescent="0.2">
      <c r="B17" s="48" t="s">
        <v>228</v>
      </c>
      <c r="C17" s="48"/>
      <c r="G17" s="55">
        <f>'2) Parameters'!Q22</f>
        <v>1.7999999999999999E-2</v>
      </c>
    </row>
    <row r="18" spans="2:19" x14ac:dyDescent="0.2">
      <c r="B18" s="48" t="s">
        <v>229</v>
      </c>
      <c r="C18" s="48"/>
      <c r="G18" s="55">
        <f>'2) Parameters'!R23</f>
        <v>1.7999999999999999E-2</v>
      </c>
    </row>
    <row r="19" spans="2:19" x14ac:dyDescent="0.2">
      <c r="B19" s="48" t="s">
        <v>230</v>
      </c>
      <c r="C19" s="48"/>
      <c r="G19" s="55">
        <f>'2) Parameters'!S24</f>
        <v>1.7999999999999999E-2</v>
      </c>
    </row>
    <row r="20" spans="2:19" x14ac:dyDescent="0.2">
      <c r="B20" s="48" t="s">
        <v>231</v>
      </c>
      <c r="C20" s="48"/>
      <c r="G20" s="55">
        <f>'2) Parameters'!T25</f>
        <v>1.7999999999999999E-2</v>
      </c>
    </row>
    <row r="21" spans="2:19" s="92" customFormat="1" x14ac:dyDescent="0.2">
      <c r="B21" s="93"/>
      <c r="C21" s="93"/>
      <c r="G21" s="94"/>
    </row>
    <row r="22" spans="2:19" s="71" customFormat="1" x14ac:dyDescent="0.2">
      <c r="B22" s="73" t="s">
        <v>95</v>
      </c>
      <c r="C22" s="73"/>
    </row>
    <row r="23" spans="2:19" x14ac:dyDescent="0.2">
      <c r="B23" s="2" t="s">
        <v>264</v>
      </c>
      <c r="G23" s="55">
        <f>'2) Parameters'!F46</f>
        <v>1.0479928178634967E-3</v>
      </c>
    </row>
    <row r="24" spans="2:19" x14ac:dyDescent="0.2">
      <c r="B24" s="2" t="s">
        <v>265</v>
      </c>
      <c r="G24" s="55">
        <f>'2) Parameters'!F47</f>
        <v>2.5715359201648382E-3</v>
      </c>
    </row>
    <row r="26" spans="2:19" s="7" customFormat="1" x14ac:dyDescent="0.2">
      <c r="B26" s="7" t="s">
        <v>197</v>
      </c>
    </row>
    <row r="28" spans="2:19" x14ac:dyDescent="0.2">
      <c r="B28" s="63" t="s">
        <v>195</v>
      </c>
      <c r="C28" s="63" t="s">
        <v>270</v>
      </c>
      <c r="E28" s="2" t="s">
        <v>99</v>
      </c>
      <c r="I28" s="42">
        <f>SUM(K28:P28,R28:S28)</f>
        <v>22969887.98999973</v>
      </c>
      <c r="K28" s="41">
        <f>'4) Kapitaalkosten start-GAW'!K46</f>
        <v>2973639.4005707586</v>
      </c>
      <c r="L28" s="60"/>
      <c r="M28" s="60"/>
      <c r="N28" s="60"/>
      <c r="O28" s="60"/>
      <c r="P28" s="60"/>
      <c r="R28" s="41">
        <f>'4) Kapitaalkosten start-GAW'!R46</f>
        <v>12603797.073818382</v>
      </c>
      <c r="S28" s="41">
        <f>'4) Kapitaalkosten start-GAW'!S46</f>
        <v>7392451.5156105896</v>
      </c>
    </row>
    <row r="29" spans="2:19" x14ac:dyDescent="0.2">
      <c r="B29" s="63" t="s">
        <v>195</v>
      </c>
      <c r="C29" s="63" t="s">
        <v>271</v>
      </c>
      <c r="E29" s="2" t="s">
        <v>99</v>
      </c>
      <c r="I29" s="42">
        <f>SUM(K29:P29,R29:S29)</f>
        <v>22660492.885999225</v>
      </c>
      <c r="K29" s="41">
        <f>'4) Kapitaalkosten start-GAW'!K47</f>
        <v>2935611.5639705993</v>
      </c>
      <c r="L29" s="60"/>
      <c r="M29" s="60"/>
      <c r="N29" s="60"/>
      <c r="O29" s="60"/>
      <c r="P29" s="60"/>
      <c r="R29" s="41">
        <f>'4) Kapitaalkosten start-GAW'!R47</f>
        <v>12418132.19842693</v>
      </c>
      <c r="S29" s="41">
        <f>'4) Kapitaalkosten start-GAW'!S47</f>
        <v>7306749.1236016946</v>
      </c>
    </row>
    <row r="30" spans="2:19" s="8" customFormat="1" x14ac:dyDescent="0.2">
      <c r="B30" s="63"/>
      <c r="C30" s="63"/>
      <c r="I30" s="96"/>
      <c r="K30" s="61"/>
      <c r="L30" s="62"/>
      <c r="M30" s="62"/>
      <c r="N30" s="62"/>
      <c r="O30" s="62"/>
      <c r="P30" s="62"/>
      <c r="R30" s="61"/>
      <c r="S30" s="61"/>
    </row>
    <row r="31" spans="2:19" s="8" customFormat="1" x14ac:dyDescent="0.2">
      <c r="B31" s="63" t="s">
        <v>196</v>
      </c>
      <c r="C31" s="63" t="s">
        <v>270</v>
      </c>
      <c r="E31" s="2" t="s">
        <v>99</v>
      </c>
      <c r="I31" s="42">
        <f>SUM(K31:P31,R31:S31)</f>
        <v>22514466.197665151</v>
      </c>
      <c r="K31" s="41">
        <f>'4) Kapitaalkosten start-GAW'!K62</f>
        <v>2914354.491396361</v>
      </c>
      <c r="L31" s="60"/>
      <c r="M31" s="60"/>
      <c r="N31" s="60"/>
      <c r="O31" s="60"/>
      <c r="P31" s="60"/>
      <c r="R31" s="41">
        <f>'4) Kapitaalkosten start-GAW'!R62</f>
        <v>12356467.471424198</v>
      </c>
      <c r="S31" s="41">
        <f>'4) Kapitaalkosten start-GAW'!S62</f>
        <v>7243644.2348445924</v>
      </c>
    </row>
    <row r="32" spans="2:19" s="8" customFormat="1" x14ac:dyDescent="0.2">
      <c r="B32" s="63" t="s">
        <v>196</v>
      </c>
      <c r="C32" s="63" t="s">
        <v>271</v>
      </c>
      <c r="E32" s="2" t="s">
        <v>99</v>
      </c>
      <c r="I32" s="42">
        <f>SUM(K32:P32,R32:S32)</f>
        <v>22267174.065346636</v>
      </c>
      <c r="K32" s="41">
        <f>'4) Kapitaalkosten start-GAW'!K63</f>
        <v>2884410.9605927104</v>
      </c>
      <c r="L32" s="60"/>
      <c r="M32" s="60"/>
      <c r="N32" s="60"/>
      <c r="O32" s="60"/>
      <c r="P32" s="60"/>
      <c r="R32" s="41">
        <f>'4) Kapitaalkosten start-GAW'!R63</f>
        <v>12204529.359995591</v>
      </c>
      <c r="S32" s="41">
        <f>'4) Kapitaalkosten start-GAW'!S63</f>
        <v>7178233.7447583321</v>
      </c>
    </row>
    <row r="33" spans="2:19" s="8" customFormat="1" x14ac:dyDescent="0.2">
      <c r="B33" s="63"/>
      <c r="C33" s="63"/>
      <c r="I33" s="96"/>
      <c r="K33" s="61"/>
      <c r="L33" s="62"/>
      <c r="M33" s="62"/>
      <c r="N33" s="62"/>
      <c r="O33" s="62"/>
      <c r="P33" s="62"/>
      <c r="R33" s="61"/>
      <c r="S33" s="61"/>
    </row>
    <row r="34" spans="2:19" x14ac:dyDescent="0.2">
      <c r="B34" s="63" t="s">
        <v>198</v>
      </c>
      <c r="C34" s="63" t="s">
        <v>270</v>
      </c>
      <c r="E34" s="2" t="s">
        <v>99</v>
      </c>
      <c r="I34" s="42">
        <f>SUM(K34:P34,R34:S34)</f>
        <v>22059044.405330569</v>
      </c>
      <c r="K34" s="41">
        <f>'4) Kapitaalkosten start-GAW'!K78</f>
        <v>2855069.5822219625</v>
      </c>
      <c r="L34" s="60"/>
      <c r="M34" s="60"/>
      <c r="N34" s="60"/>
      <c r="O34" s="60"/>
      <c r="P34" s="60"/>
      <c r="R34" s="41">
        <f>'4) Kapitaalkosten start-GAW'!R78</f>
        <v>12109137.869030014</v>
      </c>
      <c r="S34" s="41">
        <f>'4) Kapitaalkosten start-GAW'!S78</f>
        <v>7094836.9540785942</v>
      </c>
    </row>
    <row r="35" spans="2:19" x14ac:dyDescent="0.2">
      <c r="B35" s="63" t="s">
        <v>198</v>
      </c>
      <c r="C35" s="63" t="s">
        <v>271</v>
      </c>
      <c r="E35" s="2" t="s">
        <v>99</v>
      </c>
      <c r="I35" s="42">
        <f>SUM(K35:P35,R35:S35)</f>
        <v>21873855.244694039</v>
      </c>
      <c r="K35" s="41">
        <f>'4) Kapitaalkosten start-GAW'!K79</f>
        <v>2833210.357214821</v>
      </c>
      <c r="L35" s="60"/>
      <c r="M35" s="60"/>
      <c r="N35" s="60"/>
      <c r="O35" s="60"/>
      <c r="P35" s="60"/>
      <c r="R35" s="41">
        <f>'4) Kapitaalkosten start-GAW'!R79</f>
        <v>11990926.521564249</v>
      </c>
      <c r="S35" s="41">
        <f>'4) Kapitaalkosten start-GAW'!S79</f>
        <v>7049718.3659149706</v>
      </c>
    </row>
    <row r="37" spans="2:19" s="7" customFormat="1" x14ac:dyDescent="0.2">
      <c r="B37" s="7" t="s">
        <v>118</v>
      </c>
    </row>
    <row r="39" spans="2:19" x14ac:dyDescent="0.2">
      <c r="B39" s="2" t="s">
        <v>272</v>
      </c>
      <c r="C39" s="2" t="s">
        <v>270</v>
      </c>
      <c r="E39" s="2" t="s">
        <v>99</v>
      </c>
      <c r="I39" s="42">
        <f>SUM(K39:P39,R39:S39)</f>
        <v>22466991.47529823</v>
      </c>
      <c r="K39" s="42">
        <f>(K28*(1-$G$23)^3+K31*(1-$G$23)^2+K34*(1-$G$23))/3</f>
        <v>2908208.9578478024</v>
      </c>
      <c r="L39" s="60"/>
      <c r="M39" s="60"/>
      <c r="N39" s="60"/>
      <c r="O39" s="60"/>
      <c r="P39" s="60"/>
      <c r="R39" s="42">
        <f>(R28*(1-$G$23)^3+R31*(1-$G$23)^2+R34*(1-$G$23))/3</f>
        <v>12330414.054763697</v>
      </c>
      <c r="S39" s="42">
        <f>(S28*(1-$G$23)^3+S31*(1-$G$23)^2+S34*(1-$G$23))/3</f>
        <v>7228368.4626867315</v>
      </c>
    </row>
    <row r="40" spans="2:19" x14ac:dyDescent="0.2">
      <c r="B40" s="2" t="s">
        <v>272</v>
      </c>
      <c r="C40" s="2" t="s">
        <v>271</v>
      </c>
      <c r="E40" s="2" t="s">
        <v>99</v>
      </c>
      <c r="I40" s="42">
        <f>SUM(K40:P40,R40:S40)</f>
        <v>22220260.622496486</v>
      </c>
      <c r="K40" s="42">
        <f>(K29*(1-$G$23)^3+K32*(1-$G$23)^2+K35*(1-$G$23))/3</f>
        <v>2878333.7837376953</v>
      </c>
      <c r="L40" s="60"/>
      <c r="M40" s="60"/>
      <c r="N40" s="60"/>
      <c r="O40" s="60"/>
      <c r="P40" s="60"/>
      <c r="R40" s="42">
        <f>(R29*(1-$G$23)^3+R32*(1-$G$23)^2+R35*(1-$G$23))/3</f>
        <v>12178817.707572004</v>
      </c>
      <c r="S40" s="42">
        <f>(S29*(1-$G$23)^3+S32*(1-$G$23)^2+S35*(1-$G$23))/3</f>
        <v>7163109.131186787</v>
      </c>
    </row>
    <row r="41" spans="2:19" s="8" customFormat="1" x14ac:dyDescent="0.2">
      <c r="I41" s="96"/>
      <c r="K41" s="96"/>
      <c r="L41" s="62"/>
      <c r="M41" s="62"/>
      <c r="N41" s="62"/>
      <c r="O41" s="62"/>
      <c r="P41" s="62"/>
      <c r="R41" s="96"/>
      <c r="S41" s="96"/>
    </row>
    <row r="42" spans="2:19" s="8" customFormat="1" x14ac:dyDescent="0.2">
      <c r="B42" s="8" t="s">
        <v>123</v>
      </c>
      <c r="C42" s="8" t="s">
        <v>271</v>
      </c>
      <c r="E42" s="8" t="s">
        <v>236</v>
      </c>
      <c r="I42" s="42">
        <f>SUM(K42:P42,R42:S42)</f>
        <v>23982631.095174644</v>
      </c>
      <c r="K42" s="42">
        <f>K40*(1+$G$16)^5*(1-$G$24)^5</f>
        <v>3106625.006651416</v>
      </c>
      <c r="L42" s="60"/>
      <c r="M42" s="60"/>
      <c r="N42" s="60"/>
      <c r="O42" s="60"/>
      <c r="P42" s="60"/>
      <c r="R42" s="42">
        <f t="shared" ref="R42:S42" si="0">R40*(1+$G$16)^5*(1-$G$24)^5</f>
        <v>13144764.466010308</v>
      </c>
      <c r="S42" s="42">
        <f t="shared" si="0"/>
        <v>7731241.6225129198</v>
      </c>
    </row>
    <row r="43" spans="2:19" s="8" customFormat="1" x14ac:dyDescent="0.2">
      <c r="I43" s="96"/>
      <c r="K43" s="96"/>
      <c r="R43" s="96"/>
      <c r="S43" s="96"/>
    </row>
    <row r="44" spans="2:19" s="8" customFormat="1" x14ac:dyDescent="0.2">
      <c r="B44" s="8" t="s">
        <v>273</v>
      </c>
      <c r="G44" s="97">
        <f>(1+$G$16-(I42/I39)^(1/5))</f>
        <v>4.8578557663265798E-3</v>
      </c>
    </row>
    <row r="45" spans="2:19" s="8" customFormat="1" x14ac:dyDescent="0.2">
      <c r="I45" s="96"/>
      <c r="K45" s="96"/>
      <c r="L45" s="62"/>
      <c r="M45" s="62"/>
      <c r="N45" s="62"/>
      <c r="O45" s="62"/>
      <c r="P45" s="62"/>
      <c r="R45" s="96"/>
      <c r="S45" s="96"/>
    </row>
    <row r="46" spans="2:19" x14ac:dyDescent="0.2">
      <c r="B46" s="2" t="s">
        <v>119</v>
      </c>
      <c r="E46" s="2" t="s">
        <v>232</v>
      </c>
      <c r="I46" s="42">
        <f>SUM(K46:P46,R46:S46)</f>
        <v>22762255.917763311</v>
      </c>
      <c r="K46" s="42">
        <f>K39*(1+$G16-$G$44)</f>
        <v>2946429.0594334994</v>
      </c>
      <c r="L46" s="60"/>
      <c r="M46" s="60"/>
      <c r="N46" s="60"/>
      <c r="O46" s="60"/>
      <c r="P46" s="60"/>
      <c r="R46" s="42">
        <f>R39*(1+$G16-$G$44)</f>
        <v>12492462.134732315</v>
      </c>
      <c r="S46" s="42">
        <f>S39*(1+$G16-$G$44)</f>
        <v>7323364.7235974967</v>
      </c>
    </row>
    <row r="47" spans="2:19" x14ac:dyDescent="0.2">
      <c r="B47" s="2" t="s">
        <v>120</v>
      </c>
      <c r="E47" s="2" t="s">
        <v>233</v>
      </c>
      <c r="I47" s="42">
        <f t="shared" ref="I47:I49" si="1">SUM(K47:P47,R47:S47)</f>
        <v>23061400.768118344</v>
      </c>
      <c r="K47" s="42">
        <f>K46*(1+$G17-$G$44)</f>
        <v>2985151.455106861</v>
      </c>
      <c r="L47" s="60"/>
      <c r="M47" s="60"/>
      <c r="N47" s="60"/>
      <c r="O47" s="60"/>
      <c r="P47" s="60"/>
      <c r="R47" s="42">
        <f>R46*(1+$G17-$G$44)</f>
        <v>12656639.873940671</v>
      </c>
      <c r="S47" s="42">
        <f>S46*(1+$G17-$G$44)</f>
        <v>7419609.4390708115</v>
      </c>
    </row>
    <row r="48" spans="2:19" x14ac:dyDescent="0.2">
      <c r="B48" s="2" t="s">
        <v>121</v>
      </c>
      <c r="E48" s="2" t="s">
        <v>234</v>
      </c>
      <c r="I48" s="42">
        <f t="shared" si="1"/>
        <v>23364477.023243502</v>
      </c>
      <c r="K48" s="42">
        <f t="shared" ref="K48:K50" si="2">K47*(1+$G18-$G$44)</f>
        <v>3024382.7460892354</v>
      </c>
      <c r="L48" s="60"/>
      <c r="M48" s="60"/>
      <c r="N48" s="60"/>
      <c r="O48" s="60"/>
      <c r="P48" s="60"/>
      <c r="R48" s="42">
        <f t="shared" ref="R48:S50" si="3">R47*(1+$G18-$G$44)</f>
        <v>12822975.260677662</v>
      </c>
      <c r="S48" s="42">
        <f t="shared" si="3"/>
        <v>7517119.0164766051</v>
      </c>
    </row>
    <row r="49" spans="2:19" x14ac:dyDescent="0.2">
      <c r="B49" s="2" t="s">
        <v>122</v>
      </c>
      <c r="E49" s="2" t="s">
        <v>235</v>
      </c>
      <c r="I49" s="42">
        <f t="shared" si="1"/>
        <v>23671536.350227319</v>
      </c>
      <c r="K49" s="42">
        <f t="shared" si="2"/>
        <v>3064129.6203561737</v>
      </c>
      <c r="L49" s="60"/>
      <c r="M49" s="60"/>
      <c r="N49" s="60"/>
      <c r="O49" s="60"/>
      <c r="P49" s="60"/>
      <c r="R49" s="42">
        <f t="shared" si="3"/>
        <v>12991496.651058314</v>
      </c>
      <c r="S49" s="42">
        <f t="shared" si="3"/>
        <v>7615910.0788128302</v>
      </c>
    </row>
    <row r="50" spans="2:19" x14ac:dyDescent="0.2">
      <c r="B50" s="2" t="s">
        <v>123</v>
      </c>
      <c r="E50" s="2" t="s">
        <v>236</v>
      </c>
      <c r="I50" s="42">
        <f>SUM(K50:P50,R50:S50)</f>
        <v>23982631.095174648</v>
      </c>
      <c r="K50" s="42">
        <f t="shared" si="2"/>
        <v>3104398.8537775655</v>
      </c>
      <c r="L50" s="60"/>
      <c r="M50" s="60"/>
      <c r="N50" s="60"/>
      <c r="O50" s="60"/>
      <c r="P50" s="60"/>
      <c r="R50" s="42">
        <f t="shared" si="3"/>
        <v>13162232.773857808</v>
      </c>
      <c r="S50" s="42">
        <f t="shared" si="3"/>
        <v>7715999.467539276</v>
      </c>
    </row>
    <row r="63" spans="2:19" x14ac:dyDescent="0.2">
      <c r="G63" s="56"/>
    </row>
  </sheetData>
  <mergeCells count="1">
    <mergeCell ref="B5:E5"/>
  </mergeCells>
  <phoneticPr fontId="32"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sheetPr>
  <dimension ref="B2:T38"/>
  <sheetViews>
    <sheetView showGridLines="0" zoomScale="85" zoomScaleNormal="85" workbookViewId="0">
      <pane xSplit="4" ySplit="11" topLeftCell="E12" activePane="bottomRight" state="frozen"/>
      <selection activeCell="R6" sqref="R6"/>
      <selection pane="topRight" activeCell="R6" sqref="R6"/>
      <selection pane="bottomLeft" activeCell="R6" sqref="R6"/>
      <selection pane="bottomRight" activeCell="E12" sqref="E12"/>
    </sheetView>
  </sheetViews>
  <sheetFormatPr defaultRowHeight="12.75" x14ac:dyDescent="0.2"/>
  <cols>
    <col min="1" max="1" width="2.7109375" style="2" customWidth="1"/>
    <col min="2" max="2" width="65.5703125" style="2" customWidth="1"/>
    <col min="3" max="3" width="2.7109375" style="2" customWidth="1"/>
    <col min="4" max="4" width="13.7109375" style="2" customWidth="1"/>
    <col min="5" max="5" width="2.7109375" style="2" customWidth="1"/>
    <col min="6" max="6" width="16.5703125" style="2" bestFit="1" customWidth="1"/>
    <col min="7" max="7" width="2.7109375" style="2" customWidth="1"/>
    <col min="8" max="8" width="13.7109375" style="2" customWidth="1"/>
    <col min="9" max="9" width="2.7109375" style="2" customWidth="1"/>
    <col min="10" max="11" width="12.5703125" style="2" customWidth="1"/>
    <col min="12" max="12" width="11.140625" style="2" customWidth="1"/>
    <col min="13" max="13" width="12.5703125" style="2" customWidth="1"/>
    <col min="14" max="14" width="11.7109375" style="2" customWidth="1"/>
    <col min="15" max="15" width="12.5703125" style="2" customWidth="1"/>
    <col min="16" max="16" width="2.7109375" style="2" customWidth="1"/>
    <col min="17" max="17" width="12.5703125" style="2" customWidth="1"/>
    <col min="18" max="18" width="13.5703125" style="2" customWidth="1"/>
    <col min="19" max="19" width="2.7109375" style="2" customWidth="1"/>
    <col min="20" max="23" width="13.7109375" style="2" customWidth="1"/>
    <col min="24" max="24" width="2.85546875" style="2" customWidth="1"/>
    <col min="25" max="25" width="13.7109375" style="2" customWidth="1"/>
    <col min="26" max="26" width="3.28515625" style="2" customWidth="1"/>
    <col min="27" max="31" width="13.7109375" style="2" customWidth="1"/>
    <col min="32" max="16384" width="9.140625" style="2"/>
  </cols>
  <sheetData>
    <row r="2" spans="2:20" s="18" customFormat="1" ht="18" x14ac:dyDescent="0.2">
      <c r="B2" s="18" t="s">
        <v>154</v>
      </c>
    </row>
    <row r="4" spans="2:20" x14ac:dyDescent="0.2">
      <c r="B4" s="28" t="s">
        <v>54</v>
      </c>
    </row>
    <row r="5" spans="2:20" ht="104.25" customHeight="1" x14ac:dyDescent="0.2">
      <c r="B5" s="104" t="s">
        <v>259</v>
      </c>
      <c r="C5" s="104"/>
      <c r="D5" s="104"/>
    </row>
    <row r="6" spans="2:20" x14ac:dyDescent="0.2">
      <c r="B6" s="49"/>
    </row>
    <row r="7" spans="2:20" x14ac:dyDescent="0.2">
      <c r="B7" s="66" t="s">
        <v>199</v>
      </c>
    </row>
    <row r="8" spans="2:20" ht="26.25" customHeight="1" x14ac:dyDescent="0.2">
      <c r="B8" s="105" t="s">
        <v>200</v>
      </c>
      <c r="C8" s="105"/>
      <c r="D8" s="105"/>
    </row>
    <row r="10" spans="2:20" s="7" customFormat="1" x14ac:dyDescent="0.2">
      <c r="B10" s="7" t="s">
        <v>46</v>
      </c>
      <c r="D10" s="7" t="s">
        <v>28</v>
      </c>
      <c r="F10" s="7" t="s">
        <v>29</v>
      </c>
      <c r="H10" s="7" t="s">
        <v>49</v>
      </c>
      <c r="J10" s="7" t="s">
        <v>161</v>
      </c>
      <c r="K10" s="7" t="s">
        <v>76</v>
      </c>
      <c r="L10" s="7" t="s">
        <v>77</v>
      </c>
      <c r="M10" s="7" t="s">
        <v>78</v>
      </c>
      <c r="N10" s="7" t="s">
        <v>79</v>
      </c>
      <c r="O10" s="7" t="s">
        <v>80</v>
      </c>
      <c r="Q10" s="7" t="s">
        <v>75</v>
      </c>
      <c r="R10" s="7" t="s">
        <v>81</v>
      </c>
      <c r="T10" s="7" t="s">
        <v>48</v>
      </c>
    </row>
    <row r="13" spans="2:20" s="7" customFormat="1" x14ac:dyDescent="0.2">
      <c r="B13" s="7" t="s">
        <v>201</v>
      </c>
    </row>
    <row r="15" spans="2:20" x14ac:dyDescent="0.2">
      <c r="B15" s="2" t="s">
        <v>120</v>
      </c>
      <c r="D15" s="2" t="s">
        <v>233</v>
      </c>
      <c r="H15" s="42">
        <f>SUM(J15:O15,Q15:R15)</f>
        <v>15031213.537598185</v>
      </c>
      <c r="J15" s="41">
        <f>'4) Kapitaalkosten start-GAW'!K106</f>
        <v>1931168.4650883495</v>
      </c>
      <c r="K15" s="60"/>
      <c r="L15" s="60"/>
      <c r="M15" s="60"/>
      <c r="N15" s="60"/>
      <c r="O15" s="60"/>
      <c r="Q15" s="41">
        <f>'4) Kapitaalkosten start-GAW'!R106</f>
        <v>11561119.154639307</v>
      </c>
      <c r="R15" s="41">
        <f>'4) Kapitaalkosten start-GAW'!S106</f>
        <v>1538925.9178705295</v>
      </c>
    </row>
    <row r="16" spans="2:20" x14ac:dyDescent="0.2">
      <c r="B16" s="2" t="s">
        <v>121</v>
      </c>
      <c r="D16" s="2" t="s">
        <v>234</v>
      </c>
      <c r="H16" s="42">
        <f t="shared" ref="H16:H18" si="0">SUM(J16:O16,Q16:R16)</f>
        <v>5831681.6799881039</v>
      </c>
      <c r="J16" s="41">
        <f>'4) Kapitaalkosten start-GAW'!K115</f>
        <v>0</v>
      </c>
      <c r="K16" s="60"/>
      <c r="L16" s="60"/>
      <c r="M16" s="60"/>
      <c r="N16" s="60"/>
      <c r="O16" s="60"/>
      <c r="Q16" s="41">
        <f>'4) Kapitaalkosten start-GAW'!R115</f>
        <v>5831681.6799881039</v>
      </c>
      <c r="R16" s="41">
        <f>'4) Kapitaalkosten start-GAW'!S115</f>
        <v>0</v>
      </c>
    </row>
    <row r="17" spans="2:18" x14ac:dyDescent="0.2">
      <c r="B17" s="2" t="s">
        <v>122</v>
      </c>
      <c r="D17" s="2" t="s">
        <v>235</v>
      </c>
      <c r="H17" s="42">
        <f t="shared" si="0"/>
        <v>0</v>
      </c>
      <c r="J17" s="41">
        <f>'4) Kapitaalkosten start-GAW'!K124</f>
        <v>0</v>
      </c>
      <c r="K17" s="60"/>
      <c r="L17" s="60"/>
      <c r="M17" s="60"/>
      <c r="N17" s="60"/>
      <c r="O17" s="60"/>
      <c r="Q17" s="41">
        <f>'4) Kapitaalkosten start-GAW'!R124</f>
        <v>0</v>
      </c>
      <c r="R17" s="41">
        <f>'4) Kapitaalkosten start-GAW'!S124</f>
        <v>0</v>
      </c>
    </row>
    <row r="18" spans="2:18" x14ac:dyDescent="0.2">
      <c r="B18" s="2" t="s">
        <v>123</v>
      </c>
      <c r="D18" s="2" t="s">
        <v>236</v>
      </c>
      <c r="H18" s="42">
        <f t="shared" si="0"/>
        <v>0</v>
      </c>
      <c r="J18" s="41">
        <f>'4) Kapitaalkosten start-GAW'!K133</f>
        <v>0</v>
      </c>
      <c r="K18" s="60"/>
      <c r="L18" s="60"/>
      <c r="M18" s="60"/>
      <c r="N18" s="60"/>
      <c r="O18" s="60"/>
      <c r="Q18" s="41">
        <f>'4) Kapitaalkosten start-GAW'!R133</f>
        <v>0</v>
      </c>
      <c r="R18" s="41">
        <f>'4) Kapitaalkosten start-GAW'!S133</f>
        <v>0</v>
      </c>
    </row>
    <row r="19" spans="2:18" x14ac:dyDescent="0.2">
      <c r="B19" s="59"/>
    </row>
    <row r="20" spans="2:18" s="7" customFormat="1" x14ac:dyDescent="0.2">
      <c r="B20" s="7" t="s">
        <v>133</v>
      </c>
    </row>
    <row r="21" spans="2:18" x14ac:dyDescent="0.2">
      <c r="B21" s="59"/>
    </row>
    <row r="22" spans="2:18" x14ac:dyDescent="0.2">
      <c r="B22" s="2" t="s">
        <v>137</v>
      </c>
      <c r="D22" s="2" t="s">
        <v>99</v>
      </c>
      <c r="H22" s="42">
        <f t="shared" ref="H22:H27" si="1">SUM(J22:O22,Q22:R22)</f>
        <v>22466991.47529823</v>
      </c>
      <c r="J22" s="41">
        <f>'5) Schatting REG2022'!K39</f>
        <v>2908208.9578478024</v>
      </c>
      <c r="K22" s="60"/>
      <c r="L22" s="60"/>
      <c r="M22" s="60"/>
      <c r="N22" s="60"/>
      <c r="O22" s="60"/>
      <c r="Q22" s="41">
        <f>'5) Schatting REG2022'!R39</f>
        <v>12330414.054763697</v>
      </c>
      <c r="R22" s="41">
        <f>'5) Schatting REG2022'!S39</f>
        <v>7228368.4626867315</v>
      </c>
    </row>
    <row r="23" spans="2:18" x14ac:dyDescent="0.2">
      <c r="B23" s="2" t="s">
        <v>138</v>
      </c>
      <c r="D23" s="2" t="s">
        <v>232</v>
      </c>
      <c r="H23" s="42">
        <f t="shared" si="1"/>
        <v>22762255.917763311</v>
      </c>
      <c r="J23" s="41">
        <f>'5) Schatting REG2022'!K46</f>
        <v>2946429.0594334994</v>
      </c>
      <c r="K23" s="60"/>
      <c r="L23" s="60"/>
      <c r="M23" s="60"/>
      <c r="N23" s="60"/>
      <c r="O23" s="60"/>
      <c r="Q23" s="41">
        <f>'5) Schatting REG2022'!R46</f>
        <v>12492462.134732315</v>
      </c>
      <c r="R23" s="41">
        <f>'5) Schatting REG2022'!S46</f>
        <v>7323364.7235974967</v>
      </c>
    </row>
    <row r="24" spans="2:18" x14ac:dyDescent="0.2">
      <c r="B24" s="2" t="s">
        <v>139</v>
      </c>
      <c r="D24" s="2" t="s">
        <v>233</v>
      </c>
      <c r="H24" s="42">
        <f t="shared" si="1"/>
        <v>23061400.768118344</v>
      </c>
      <c r="J24" s="41">
        <f>'5) Schatting REG2022'!K47</f>
        <v>2985151.455106861</v>
      </c>
      <c r="K24" s="60"/>
      <c r="L24" s="60"/>
      <c r="M24" s="60"/>
      <c r="N24" s="60"/>
      <c r="O24" s="60"/>
      <c r="Q24" s="41">
        <f>'5) Schatting REG2022'!R47</f>
        <v>12656639.873940671</v>
      </c>
      <c r="R24" s="41">
        <f>'5) Schatting REG2022'!S47</f>
        <v>7419609.4390708115</v>
      </c>
    </row>
    <row r="25" spans="2:18" x14ac:dyDescent="0.2">
      <c r="B25" s="2" t="s">
        <v>140</v>
      </c>
      <c r="D25" s="2" t="s">
        <v>234</v>
      </c>
      <c r="H25" s="42">
        <f t="shared" si="1"/>
        <v>23364477.023243502</v>
      </c>
      <c r="J25" s="41">
        <f>'5) Schatting REG2022'!K48</f>
        <v>3024382.7460892354</v>
      </c>
      <c r="K25" s="60"/>
      <c r="L25" s="60"/>
      <c r="M25" s="60"/>
      <c r="N25" s="60"/>
      <c r="O25" s="60"/>
      <c r="Q25" s="41">
        <f>'5) Schatting REG2022'!R48</f>
        <v>12822975.260677662</v>
      </c>
      <c r="R25" s="41">
        <f>'5) Schatting REG2022'!S48</f>
        <v>7517119.0164766051</v>
      </c>
    </row>
    <row r="26" spans="2:18" x14ac:dyDescent="0.2">
      <c r="B26" s="2" t="s">
        <v>141</v>
      </c>
      <c r="D26" s="2" t="s">
        <v>235</v>
      </c>
      <c r="H26" s="42">
        <f t="shared" si="1"/>
        <v>23671536.350227319</v>
      </c>
      <c r="J26" s="41">
        <f>'5) Schatting REG2022'!K49</f>
        <v>3064129.6203561737</v>
      </c>
      <c r="K26" s="60"/>
      <c r="L26" s="60"/>
      <c r="M26" s="60"/>
      <c r="N26" s="60"/>
      <c r="O26" s="60"/>
      <c r="Q26" s="41">
        <f>'5) Schatting REG2022'!R49</f>
        <v>12991496.651058314</v>
      </c>
      <c r="R26" s="41">
        <f>'5) Schatting REG2022'!S49</f>
        <v>7615910.0788128302</v>
      </c>
    </row>
    <row r="27" spans="2:18" x14ac:dyDescent="0.2">
      <c r="B27" s="2" t="s">
        <v>142</v>
      </c>
      <c r="D27" s="2" t="s">
        <v>236</v>
      </c>
      <c r="H27" s="42">
        <f t="shared" si="1"/>
        <v>23982631.095174648</v>
      </c>
      <c r="J27" s="41">
        <f>'5) Schatting REG2022'!K50</f>
        <v>3104398.8537775655</v>
      </c>
      <c r="K27" s="60"/>
      <c r="L27" s="60"/>
      <c r="M27" s="60"/>
      <c r="N27" s="60"/>
      <c r="O27" s="60"/>
      <c r="Q27" s="41">
        <f>'5) Schatting REG2022'!R50</f>
        <v>13162232.773857808</v>
      </c>
      <c r="R27" s="41">
        <f>'5) Schatting REG2022'!S50</f>
        <v>7715999.467539276</v>
      </c>
    </row>
    <row r="28" spans="2:18" x14ac:dyDescent="0.2">
      <c r="B28" s="59"/>
    </row>
    <row r="29" spans="2:18" s="7" customFormat="1" x14ac:dyDescent="0.2">
      <c r="B29" s="7" t="s">
        <v>156</v>
      </c>
    </row>
    <row r="30" spans="2:18" x14ac:dyDescent="0.2">
      <c r="B30" s="59"/>
    </row>
    <row r="31" spans="2:18" x14ac:dyDescent="0.2">
      <c r="B31" s="63" t="s">
        <v>143</v>
      </c>
      <c r="D31" s="2" t="s">
        <v>99</v>
      </c>
      <c r="H31" s="42">
        <f t="shared" ref="H31:H36" si="2">SUM(J31:O31,Q31:R31)</f>
        <v>0</v>
      </c>
      <c r="J31" s="58"/>
      <c r="K31" s="60"/>
      <c r="L31" s="60"/>
      <c r="M31" s="60"/>
      <c r="N31" s="60"/>
      <c r="O31" s="60"/>
      <c r="Q31" s="60"/>
      <c r="R31" s="60"/>
    </row>
    <row r="32" spans="2:18" x14ac:dyDescent="0.2">
      <c r="B32" s="63" t="s">
        <v>144</v>
      </c>
      <c r="D32" s="2" t="s">
        <v>232</v>
      </c>
      <c r="H32" s="42">
        <f t="shared" si="2"/>
        <v>0</v>
      </c>
      <c r="J32" s="58"/>
      <c r="K32" s="60"/>
      <c r="L32" s="60"/>
      <c r="M32" s="60"/>
      <c r="N32" s="60"/>
      <c r="O32" s="60"/>
      <c r="Q32" s="58"/>
      <c r="R32" s="58"/>
    </row>
    <row r="33" spans="2:18" x14ac:dyDescent="0.2">
      <c r="B33" s="63" t="s">
        <v>145</v>
      </c>
      <c r="D33" s="2" t="s">
        <v>233</v>
      </c>
      <c r="H33" s="42">
        <f t="shared" si="2"/>
        <v>6934666.5112187937</v>
      </c>
      <c r="J33" s="34">
        <f>J24-J15</f>
        <v>1053982.9900185114</v>
      </c>
      <c r="K33" s="60"/>
      <c r="L33" s="60"/>
      <c r="M33" s="60"/>
      <c r="N33" s="60"/>
      <c r="O33" s="60"/>
      <c r="Q33" s="58"/>
      <c r="R33" s="34">
        <f>R24-R15</f>
        <v>5880683.5212002825</v>
      </c>
    </row>
    <row r="34" spans="2:18" x14ac:dyDescent="0.2">
      <c r="B34" s="63" t="s">
        <v>146</v>
      </c>
      <c r="D34" s="2" t="s">
        <v>234</v>
      </c>
      <c r="H34" s="42">
        <f t="shared" si="2"/>
        <v>17532795.343255401</v>
      </c>
      <c r="J34" s="42">
        <f>J25-J16</f>
        <v>3024382.7460892354</v>
      </c>
      <c r="K34" s="60"/>
      <c r="L34" s="60"/>
      <c r="M34" s="60"/>
      <c r="N34" s="60"/>
      <c r="O34" s="60"/>
      <c r="Q34" s="34">
        <f>Q25-Q16</f>
        <v>6991293.5806895578</v>
      </c>
      <c r="R34" s="42">
        <f>R25-R16</f>
        <v>7517119.0164766051</v>
      </c>
    </row>
    <row r="35" spans="2:18" x14ac:dyDescent="0.2">
      <c r="B35" s="63" t="s">
        <v>147</v>
      </c>
      <c r="D35" s="2" t="s">
        <v>235</v>
      </c>
      <c r="H35" s="42">
        <f t="shared" si="2"/>
        <v>23671536.350227319</v>
      </c>
      <c r="J35" s="42">
        <f>J26-J17</f>
        <v>3064129.6203561737</v>
      </c>
      <c r="K35" s="60"/>
      <c r="L35" s="60"/>
      <c r="M35" s="60"/>
      <c r="N35" s="60"/>
      <c r="O35" s="60"/>
      <c r="Q35" s="42">
        <f>Q26-Q17</f>
        <v>12991496.651058314</v>
      </c>
      <c r="R35" s="42">
        <f>R26-R17</f>
        <v>7615910.0788128302</v>
      </c>
    </row>
    <row r="36" spans="2:18" x14ac:dyDescent="0.2">
      <c r="B36" s="63" t="s">
        <v>148</v>
      </c>
      <c r="D36" s="2" t="s">
        <v>236</v>
      </c>
      <c r="H36" s="42">
        <f t="shared" si="2"/>
        <v>23982631.095174648</v>
      </c>
      <c r="J36" s="42">
        <f>J27-J18</f>
        <v>3104398.8537775655</v>
      </c>
      <c r="K36" s="60"/>
      <c r="L36" s="60"/>
      <c r="M36" s="60"/>
      <c r="N36" s="60"/>
      <c r="O36" s="60"/>
      <c r="Q36" s="42">
        <f>Q27-Q18</f>
        <v>13162232.773857808</v>
      </c>
      <c r="R36" s="42">
        <f>R27-R18</f>
        <v>7715999.467539276</v>
      </c>
    </row>
    <row r="37" spans="2:18" x14ac:dyDescent="0.2">
      <c r="B37" s="59"/>
    </row>
    <row r="38" spans="2:18" x14ac:dyDescent="0.2">
      <c r="B38" s="59"/>
    </row>
  </sheetData>
  <mergeCells count="2">
    <mergeCell ref="B5:D5"/>
    <mergeCell ref="B8:D8"/>
  </mergeCells>
  <phoneticPr fontId="32" type="noConversion"/>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CC"/>
  </sheetPr>
  <dimension ref="B2:T94"/>
  <sheetViews>
    <sheetView showGridLines="0" zoomScale="85" zoomScaleNormal="85" workbookViewId="0">
      <pane xSplit="4" ySplit="14" topLeftCell="E15" activePane="bottomRight" state="frozen"/>
      <selection activeCell="R6" sqref="R6"/>
      <selection pane="topRight" activeCell="R6" sqref="R6"/>
      <selection pane="bottomLeft" activeCell="R6" sqref="R6"/>
      <selection pane="bottomRight" activeCell="E15" sqref="E15"/>
    </sheetView>
  </sheetViews>
  <sheetFormatPr defaultRowHeight="12.75" x14ac:dyDescent="0.2"/>
  <cols>
    <col min="1" max="1" width="2.7109375" style="2" customWidth="1"/>
    <col min="2" max="2" width="41.5703125" style="2" customWidth="1"/>
    <col min="3" max="3" width="2.7109375" style="2" customWidth="1"/>
    <col min="4" max="4" width="13.7109375" style="2" customWidth="1"/>
    <col min="5" max="5" width="2.7109375" style="2" customWidth="1"/>
    <col min="6" max="6" width="16.5703125" style="2" bestFit="1" customWidth="1"/>
    <col min="7" max="7" width="2.7109375" style="2" customWidth="1"/>
    <col min="8" max="8" width="13.7109375" style="2" customWidth="1"/>
    <col min="9" max="9" width="2.7109375" style="2" customWidth="1"/>
    <col min="10" max="11" width="12.5703125" style="2" customWidth="1"/>
    <col min="12" max="12" width="11.140625" style="2" customWidth="1"/>
    <col min="13" max="13" width="12.5703125" style="2" customWidth="1"/>
    <col min="14" max="14" width="11.7109375" style="2" customWidth="1"/>
    <col min="15" max="15" width="12.5703125" style="2" customWidth="1"/>
    <col min="16" max="16" width="2.7109375" style="2" customWidth="1"/>
    <col min="17" max="17" width="12.5703125" style="2" customWidth="1"/>
    <col min="18" max="18" width="13.5703125" style="2" customWidth="1"/>
    <col min="19" max="19" width="2.7109375" style="2" customWidth="1"/>
    <col min="20" max="23" width="13.7109375" style="2" customWidth="1"/>
    <col min="24" max="24" width="2.85546875" style="2" customWidth="1"/>
    <col min="25" max="25" width="13.7109375" style="2" customWidth="1"/>
    <col min="26" max="26" width="3.28515625" style="2" customWidth="1"/>
    <col min="27" max="31" width="13.7109375" style="2" customWidth="1"/>
    <col min="32" max="16384" width="9.140625" style="2"/>
  </cols>
  <sheetData>
    <row r="2" spans="2:20" s="18" customFormat="1" ht="18" x14ac:dyDescent="0.2">
      <c r="B2" s="18" t="s">
        <v>153</v>
      </c>
    </row>
    <row r="4" spans="2:20" x14ac:dyDescent="0.2">
      <c r="B4" s="28" t="s">
        <v>54</v>
      </c>
    </row>
    <row r="5" spans="2:20" ht="116.25" customHeight="1" x14ac:dyDescent="0.2">
      <c r="B5" s="104" t="s">
        <v>260</v>
      </c>
      <c r="C5" s="104"/>
      <c r="D5" s="104"/>
      <c r="E5" s="104"/>
      <c r="F5" s="104"/>
      <c r="G5" s="104"/>
      <c r="H5" s="104"/>
    </row>
    <row r="6" spans="2:20" ht="11.25" customHeight="1" x14ac:dyDescent="0.2">
      <c r="B6" s="74"/>
      <c r="C6" s="74"/>
      <c r="D6" s="74"/>
      <c r="E6" s="74"/>
      <c r="F6" s="74"/>
      <c r="G6" s="74"/>
      <c r="H6" s="74"/>
    </row>
    <row r="7" spans="2:20" x14ac:dyDescent="0.2">
      <c r="B7" s="66" t="s">
        <v>0</v>
      </c>
    </row>
    <row r="8" spans="2:20" ht="90" customHeight="1" x14ac:dyDescent="0.2">
      <c r="B8" s="104" t="s">
        <v>261</v>
      </c>
      <c r="C8" s="104"/>
      <c r="D8" s="104"/>
      <c r="E8" s="104"/>
      <c r="F8" s="104"/>
      <c r="G8" s="104"/>
      <c r="H8" s="104"/>
    </row>
    <row r="9" spans="2:20" x14ac:dyDescent="0.2">
      <c r="B9" s="49"/>
    </row>
    <row r="10" spans="2:20" x14ac:dyDescent="0.2">
      <c r="B10" s="29" t="s">
        <v>31</v>
      </c>
    </row>
    <row r="11" spans="2:20" ht="28.5" customHeight="1" x14ac:dyDescent="0.2">
      <c r="B11" s="105" t="s">
        <v>136</v>
      </c>
      <c r="C11" s="105"/>
      <c r="D11" s="105"/>
      <c r="E11" s="105"/>
      <c r="F11" s="105"/>
      <c r="G11" s="105"/>
      <c r="H11" s="105"/>
    </row>
    <row r="13" spans="2:20" s="7" customFormat="1" x14ac:dyDescent="0.2">
      <c r="B13" s="7" t="s">
        <v>46</v>
      </c>
      <c r="D13" s="7" t="s">
        <v>28</v>
      </c>
      <c r="F13" s="7" t="s">
        <v>29</v>
      </c>
      <c r="H13" s="7" t="s">
        <v>49</v>
      </c>
      <c r="J13" s="7" t="s">
        <v>161</v>
      </c>
      <c r="K13" s="7" t="s">
        <v>76</v>
      </c>
      <c r="L13" s="7" t="s">
        <v>77</v>
      </c>
      <c r="M13" s="7" t="s">
        <v>78</v>
      </c>
      <c r="N13" s="7" t="s">
        <v>79</v>
      </c>
      <c r="O13" s="7" t="s">
        <v>80</v>
      </c>
      <c r="Q13" s="7" t="s">
        <v>75</v>
      </c>
      <c r="R13" s="7" t="s">
        <v>81</v>
      </c>
      <c r="T13" s="7" t="s">
        <v>48</v>
      </c>
    </row>
    <row r="16" spans="2:20" s="7" customFormat="1" x14ac:dyDescent="0.2">
      <c r="B16" s="7" t="s">
        <v>103</v>
      </c>
    </row>
    <row r="18" spans="2:10" x14ac:dyDescent="0.2">
      <c r="B18" s="1" t="s">
        <v>256</v>
      </c>
    </row>
    <row r="19" spans="2:10" x14ac:dyDescent="0.2">
      <c r="B19" s="2" t="s">
        <v>238</v>
      </c>
      <c r="D19" s="2" t="s">
        <v>91</v>
      </c>
      <c r="F19" s="55">
        <f>'2) Parameters'!P39</f>
        <v>1.8080999999999792E-2</v>
      </c>
    </row>
    <row r="20" spans="2:10" x14ac:dyDescent="0.2">
      <c r="B20" s="2" t="s">
        <v>239</v>
      </c>
      <c r="D20" s="2" t="s">
        <v>91</v>
      </c>
      <c r="F20" s="55">
        <f>'2) Parameters'!P40</f>
        <v>2.7243728999999606E-2</v>
      </c>
    </row>
    <row r="21" spans="2:10" x14ac:dyDescent="0.2">
      <c r="B21" s="2" t="s">
        <v>240</v>
      </c>
      <c r="D21" s="2" t="s">
        <v>91</v>
      </c>
      <c r="F21" s="55">
        <f>'2) Parameters'!P41</f>
        <v>3.6488922560999448E-2</v>
      </c>
    </row>
    <row r="22" spans="2:10" x14ac:dyDescent="0.2">
      <c r="B22" s="2" t="s">
        <v>241</v>
      </c>
      <c r="D22" s="2" t="s">
        <v>91</v>
      </c>
      <c r="F22" s="55">
        <f>'2) Parameters'!P42</f>
        <v>4.5817322864048382E-2</v>
      </c>
    </row>
    <row r="23" spans="2:10" x14ac:dyDescent="0.2">
      <c r="B23" s="2" t="s">
        <v>242</v>
      </c>
      <c r="D23" s="2" t="s">
        <v>91</v>
      </c>
      <c r="F23" s="55">
        <f>'2) Parameters'!Q39</f>
        <v>9.0000000000000011E-3</v>
      </c>
    </row>
    <row r="24" spans="2:10" x14ac:dyDescent="0.2">
      <c r="B24" s="2" t="s">
        <v>243</v>
      </c>
      <c r="D24" s="2" t="s">
        <v>91</v>
      </c>
      <c r="F24" s="55">
        <f>'2) Parameters'!Q40</f>
        <v>1.8080999999999792E-2</v>
      </c>
    </row>
    <row r="25" spans="2:10" x14ac:dyDescent="0.2">
      <c r="B25" s="2" t="s">
        <v>244</v>
      </c>
      <c r="D25" s="2" t="s">
        <v>91</v>
      </c>
      <c r="F25" s="55">
        <f>'2) Parameters'!Q41</f>
        <v>2.7243728999999606E-2</v>
      </c>
    </row>
    <row r="26" spans="2:10" x14ac:dyDescent="0.2">
      <c r="B26" s="2" t="s">
        <v>245</v>
      </c>
      <c r="D26" s="2" t="s">
        <v>91</v>
      </c>
      <c r="F26" s="55">
        <f>'2) Parameters'!Q42</f>
        <v>3.6488922560999448E-2</v>
      </c>
    </row>
    <row r="27" spans="2:10" x14ac:dyDescent="0.2">
      <c r="B27" s="2" t="s">
        <v>229</v>
      </c>
      <c r="D27" s="2" t="s">
        <v>91</v>
      </c>
      <c r="F27" s="55">
        <f>'2) Parameters'!R40</f>
        <v>9.0000000000000011E-3</v>
      </c>
    </row>
    <row r="28" spans="2:10" x14ac:dyDescent="0.2">
      <c r="B28" s="2" t="s">
        <v>246</v>
      </c>
      <c r="D28" s="2" t="s">
        <v>91</v>
      </c>
      <c r="F28" s="55">
        <f>'2) Parameters'!R41</f>
        <v>1.8080999999999792E-2</v>
      </c>
    </row>
    <row r="29" spans="2:10" x14ac:dyDescent="0.2">
      <c r="B29" s="2" t="s">
        <v>247</v>
      </c>
      <c r="D29" s="2" t="s">
        <v>91</v>
      </c>
      <c r="F29" s="55">
        <f>'2) Parameters'!R42</f>
        <v>2.7243728999999606E-2</v>
      </c>
    </row>
    <row r="30" spans="2:10" x14ac:dyDescent="0.2">
      <c r="B30" s="2" t="s">
        <v>230</v>
      </c>
      <c r="D30" s="2" t="s">
        <v>91</v>
      </c>
      <c r="F30" s="55">
        <f>'2) Parameters'!S41</f>
        <v>9.0000000000000011E-3</v>
      </c>
      <c r="J30" s="25"/>
    </row>
    <row r="31" spans="2:10" x14ac:dyDescent="0.2">
      <c r="B31" s="2" t="s">
        <v>248</v>
      </c>
      <c r="D31" s="2" t="s">
        <v>91</v>
      </c>
      <c r="F31" s="55">
        <f>'2) Parameters'!S42</f>
        <v>1.8080999999999792E-2</v>
      </c>
    </row>
    <row r="33" spans="2:18" x14ac:dyDescent="0.2">
      <c r="B33" s="1" t="s">
        <v>164</v>
      </c>
    </row>
    <row r="34" spans="2:18" x14ac:dyDescent="0.2">
      <c r="B34" s="2" t="s">
        <v>167</v>
      </c>
      <c r="F34" s="55">
        <f>'2) Parameters'!R52</f>
        <v>0.02</v>
      </c>
    </row>
    <row r="35" spans="2:18" x14ac:dyDescent="0.2">
      <c r="B35" s="2" t="s">
        <v>168</v>
      </c>
      <c r="F35" s="55">
        <f>'2) Parameters'!S52</f>
        <v>1.9E-2</v>
      </c>
    </row>
    <row r="36" spans="2:18" x14ac:dyDescent="0.2">
      <c r="B36" s="2" t="s">
        <v>169</v>
      </c>
      <c r="F36" s="55">
        <f>'2) Parameters'!T52</f>
        <v>1.9E-2</v>
      </c>
    </row>
    <row r="37" spans="2:18" x14ac:dyDescent="0.2">
      <c r="B37" s="2" t="s">
        <v>170</v>
      </c>
      <c r="F37" s="55">
        <f>'2) Parameters'!U52</f>
        <v>1.9E-2</v>
      </c>
    </row>
    <row r="38" spans="2:18" s="8" customFormat="1" x14ac:dyDescent="0.2">
      <c r="F38" s="47"/>
    </row>
    <row r="39" spans="2:18" s="8" customFormat="1" x14ac:dyDescent="0.2">
      <c r="B39" s="59" t="s">
        <v>95</v>
      </c>
      <c r="F39" s="47"/>
    </row>
    <row r="40" spans="2:18" x14ac:dyDescent="0.2">
      <c r="B40" s="2" t="s">
        <v>265</v>
      </c>
      <c r="F40" s="55">
        <f>'2) Parameters'!F47</f>
        <v>2.5715359201648382E-3</v>
      </c>
    </row>
    <row r="42" spans="2:18" s="7" customFormat="1" x14ac:dyDescent="0.2">
      <c r="B42" s="7" t="s">
        <v>104</v>
      </c>
    </row>
    <row r="44" spans="2:18" x14ac:dyDescent="0.2">
      <c r="B44" s="1" t="s">
        <v>102</v>
      </c>
    </row>
    <row r="45" spans="2:18" x14ac:dyDescent="0.2">
      <c r="B45" s="2" t="s">
        <v>105</v>
      </c>
      <c r="J45" s="41">
        <f>'3) Import GAW'!J12</f>
        <v>22.7039087285122</v>
      </c>
      <c r="K45" s="60"/>
      <c r="L45" s="60"/>
      <c r="M45" s="60"/>
      <c r="N45" s="60"/>
      <c r="O45" s="60"/>
      <c r="Q45" s="41">
        <f>'3) Import GAW'!Q12</f>
        <v>23.504971529317128</v>
      </c>
      <c r="R45" s="41">
        <f>'3) Import GAW'!R12</f>
        <v>22.223477539741737</v>
      </c>
    </row>
    <row r="47" spans="2:18" x14ac:dyDescent="0.2">
      <c r="B47" s="1" t="s">
        <v>206</v>
      </c>
    </row>
    <row r="48" spans="2:18" x14ac:dyDescent="0.2">
      <c r="B48" s="2" t="s">
        <v>205</v>
      </c>
      <c r="D48" s="2" t="s">
        <v>99</v>
      </c>
      <c r="H48" s="42">
        <f t="shared" ref="H48:H51" si="0">SUM(J48:O48,Q48:R48)</f>
        <v>20700990.560662687</v>
      </c>
      <c r="J48" s="41">
        <f>'4) Kapitaalkosten start-GAW'!K84</f>
        <v>2694768.5988362562</v>
      </c>
      <c r="K48" s="60"/>
      <c r="L48" s="60"/>
      <c r="M48" s="60"/>
      <c r="N48" s="60"/>
      <c r="O48" s="60"/>
      <c r="Q48" s="41">
        <f>'4) Kapitaalkosten start-GAW'!R84</f>
        <v>11242254.654281078</v>
      </c>
      <c r="R48" s="41">
        <f>'4) Kapitaalkosten start-GAW'!S84</f>
        <v>6763967.3075453546</v>
      </c>
    </row>
    <row r="49" spans="2:18" x14ac:dyDescent="0.2">
      <c r="B49" s="2" t="s">
        <v>237</v>
      </c>
      <c r="D49" s="2" t="s">
        <v>232</v>
      </c>
      <c r="H49" s="42">
        <f t="shared" si="0"/>
        <v>20887299.475708649</v>
      </c>
      <c r="J49" s="41">
        <f>'4) Kapitaalkosten start-GAW'!K93</f>
        <v>2719021.5162257822</v>
      </c>
      <c r="K49" s="60"/>
      <c r="L49" s="60"/>
      <c r="M49" s="60"/>
      <c r="N49" s="60"/>
      <c r="O49" s="60"/>
      <c r="Q49" s="41">
        <f>'4) Kapitaalkosten start-GAW'!R93</f>
        <v>11343434.946169607</v>
      </c>
      <c r="R49" s="41">
        <f>'4) Kapitaalkosten start-GAW'!S93</f>
        <v>6824843.0133132618</v>
      </c>
    </row>
    <row r="50" spans="2:18" x14ac:dyDescent="0.2">
      <c r="B50" s="2" t="s">
        <v>203</v>
      </c>
      <c r="D50" s="2" t="s">
        <v>233</v>
      </c>
      <c r="H50" s="42">
        <f t="shared" si="0"/>
        <v>14915620.24364401</v>
      </c>
      <c r="J50" s="41">
        <f>'4) Kapitaalkosten start-GAW'!K102</f>
        <v>1931168.4650883495</v>
      </c>
      <c r="K50" s="60"/>
      <c r="L50" s="60"/>
      <c r="M50" s="60"/>
      <c r="N50" s="60"/>
      <c r="O50" s="60"/>
      <c r="Q50" s="41">
        <f>'4) Kapitaalkosten start-GAW'!R102</f>
        <v>11445525.860685132</v>
      </c>
      <c r="R50" s="41">
        <f>'4) Kapitaalkosten start-GAW'!S102</f>
        <v>1538925.9178705295</v>
      </c>
    </row>
    <row r="51" spans="2:18" x14ac:dyDescent="0.2">
      <c r="B51" s="2" t="s">
        <v>204</v>
      </c>
      <c r="D51" s="2" t="s">
        <v>234</v>
      </c>
      <c r="H51" s="42">
        <f t="shared" si="0"/>
        <v>5831681.6799881039</v>
      </c>
      <c r="J51" s="41">
        <f>'4) Kapitaalkosten start-GAW'!K111</f>
        <v>0</v>
      </c>
      <c r="K51" s="60"/>
      <c r="L51" s="60"/>
      <c r="M51" s="60"/>
      <c r="N51" s="60"/>
      <c r="O51" s="60"/>
      <c r="Q51" s="41">
        <f>'4) Kapitaalkosten start-GAW'!R111</f>
        <v>5831681.6799881039</v>
      </c>
      <c r="R51" s="41">
        <f>'4) Kapitaalkosten start-GAW'!S111</f>
        <v>0</v>
      </c>
    </row>
    <row r="52" spans="2:18" x14ac:dyDescent="0.2">
      <c r="B52" s="59"/>
    </row>
    <row r="53" spans="2:18" s="7" customFormat="1" x14ac:dyDescent="0.2">
      <c r="B53" s="7" t="s">
        <v>124</v>
      </c>
    </row>
    <row r="54" spans="2:18" x14ac:dyDescent="0.2">
      <c r="B54" s="59"/>
    </row>
    <row r="55" spans="2:18" x14ac:dyDescent="0.2">
      <c r="B55" s="59" t="s">
        <v>149</v>
      </c>
    </row>
    <row r="56" spans="2:18" x14ac:dyDescent="0.2">
      <c r="B56" s="63" t="s">
        <v>125</v>
      </c>
      <c r="D56" s="64" t="s">
        <v>99</v>
      </c>
      <c r="H56" s="42">
        <f t="shared" ref="H56:H61" si="1">SUM(J56:O56,Q56:R56)</f>
        <v>0</v>
      </c>
      <c r="J56" s="58"/>
      <c r="K56" s="60"/>
      <c r="L56" s="60"/>
      <c r="M56" s="60"/>
      <c r="N56" s="60"/>
      <c r="O56" s="60"/>
      <c r="Q56" s="58"/>
      <c r="R56" s="58"/>
    </row>
    <row r="57" spans="2:18" x14ac:dyDescent="0.2">
      <c r="B57" s="63" t="s">
        <v>126</v>
      </c>
      <c r="D57" s="64" t="s">
        <v>232</v>
      </c>
      <c r="H57" s="42">
        <f t="shared" si="1"/>
        <v>0</v>
      </c>
      <c r="J57" s="58"/>
      <c r="K57" s="60"/>
      <c r="L57" s="60"/>
      <c r="M57" s="60"/>
      <c r="N57" s="60"/>
      <c r="O57" s="60"/>
      <c r="Q57" s="58"/>
      <c r="R57" s="58"/>
    </row>
    <row r="58" spans="2:18" x14ac:dyDescent="0.2">
      <c r="B58" s="63" t="s">
        <v>127</v>
      </c>
      <c r="D58" s="64" t="s">
        <v>233</v>
      </c>
      <c r="H58" s="42">
        <f>SUM(J58:O58,Q58:R58)</f>
        <v>598671.53371024202</v>
      </c>
      <c r="J58" s="42">
        <f>(($J$48*(1+$F19)-($J$48*(1+$F19)/$J$45*2.5))*$F$34+($J$48*(1+$F19)/$J$45))*(1-$F$40)^2</f>
        <v>168794.3798470177</v>
      </c>
      <c r="K58" s="60"/>
      <c r="L58" s="60"/>
      <c r="M58" s="60"/>
      <c r="N58" s="60"/>
      <c r="O58" s="60"/>
      <c r="Q58" s="58"/>
      <c r="R58" s="42">
        <f>(($R$48*(1+$F19)-($R$48*(1+$F19)/$R$45*2.5))*$F$34+($R$48*(1+$F19)/$R$45))*(1-$F$40)^2</f>
        <v>429877.15386322438</v>
      </c>
    </row>
    <row r="59" spans="2:18" x14ac:dyDescent="0.2">
      <c r="B59" s="63" t="s">
        <v>128</v>
      </c>
      <c r="D59" s="64" t="s">
        <v>234</v>
      </c>
      <c r="H59" s="42">
        <f t="shared" si="1"/>
        <v>1258603.8555958108</v>
      </c>
      <c r="J59" s="42">
        <f>(($J$48*(1+$F20)-($J$48*(1+$F20)/$J$45*3.5))*$F$35+($J$48*(1+$F20)/$J$45))*(1-$F$40)^3</f>
        <v>165132.38866763323</v>
      </c>
      <c r="K59" s="60"/>
      <c r="L59" s="60"/>
      <c r="M59" s="60"/>
      <c r="N59" s="60"/>
      <c r="O59" s="60"/>
      <c r="Q59" s="42">
        <f>(($Q$48*(1+$F20)-($Q$48*(1+$F20)/$Q$45*3.5))*$F$35+($Q$48*(1+$F20)/$Q$45))*(1-$F$40)^3</f>
        <v>672854.6732869338</v>
      </c>
      <c r="R59" s="42">
        <f>(($R$48*(1+$F20)-($R$48*(1+$F20)/$R$45*3.5))*$F$35+($R$48*(1+$F20)/$R$45))*(1-$F$40)^3</f>
        <v>420616.79364124389</v>
      </c>
    </row>
    <row r="60" spans="2:18" x14ac:dyDescent="0.2">
      <c r="B60" s="63" t="s">
        <v>129</v>
      </c>
      <c r="D60" s="64" t="s">
        <v>235</v>
      </c>
      <c r="H60" s="42">
        <f t="shared" si="1"/>
        <v>1249097.033283687</v>
      </c>
      <c r="J60" s="42">
        <f>(($J$48*(1+$F21)-($J$48*(1+$F21)/$J$45*4.5))*$F$36+($J$48*(1+$F21)/$J$45))*(1-$F$40)^4</f>
        <v>163876.63240708486</v>
      </c>
      <c r="K60" s="60"/>
      <c r="L60" s="60"/>
      <c r="M60" s="60"/>
      <c r="N60" s="60"/>
      <c r="O60" s="60"/>
      <c r="Q60" s="42">
        <f>(($Q$48*(1+$F21)-($Q$48*(1+$F21)/$Q$45*4.5))*$F$36+($Q$48*(1+$F21)/$Q$45))*(1-$F$40)^4</f>
        <v>667841.88141326362</v>
      </c>
      <c r="R60" s="42">
        <f>(($R$48*(1+$F21)-($R$48*(1+$F21)/$R$45*4.5))*$F$36+($R$48*(1+$F21)/$R$45))*(1-$F$40)^4</f>
        <v>417378.51946333848</v>
      </c>
    </row>
    <row r="61" spans="2:18" x14ac:dyDescent="0.2">
      <c r="B61" s="63" t="s">
        <v>130</v>
      </c>
      <c r="D61" s="64" t="s">
        <v>236</v>
      </c>
      <c r="H61" s="42">
        <f t="shared" si="1"/>
        <v>1239416.7843289294</v>
      </c>
      <c r="J61" s="42">
        <f>(($J$48*(1+$F22)-($J$48*(1+$F22)/$J$45*5.5))*$F$37+($J$48*(1+$F22)/$J$45))*(1-$F$40)^5</f>
        <v>162598.01403179922</v>
      </c>
      <c r="K61" s="60"/>
      <c r="L61" s="60"/>
      <c r="M61" s="60"/>
      <c r="N61" s="60"/>
      <c r="O61" s="60"/>
      <c r="Q61" s="42">
        <f>(($Q$48*(1+$F22)-($Q$48*(1+$F22)/$Q$45*5.5))*$F$37+($Q$48*(1+$F22)/$Q$45))*(1-$F$40)^5</f>
        <v>662737.26649754844</v>
      </c>
      <c r="R61" s="42">
        <f>(($R$48*(1+$F22)-($R$48*(1+$F22)/$R$45*5.5))*$F$37+($R$48*(1+$F22)/$R$45))*(1-$F$40)^5</f>
        <v>414081.50379958161</v>
      </c>
    </row>
    <row r="62" spans="2:18" x14ac:dyDescent="0.2">
      <c r="B62" s="59"/>
      <c r="D62" s="64"/>
    </row>
    <row r="63" spans="2:18" x14ac:dyDescent="0.2">
      <c r="B63" s="59" t="s">
        <v>150</v>
      </c>
      <c r="D63" s="64"/>
    </row>
    <row r="64" spans="2:18" x14ac:dyDescent="0.2">
      <c r="B64" s="63" t="s">
        <v>125</v>
      </c>
      <c r="D64" s="64" t="s">
        <v>99</v>
      </c>
      <c r="H64" s="42">
        <f t="shared" ref="H64:H69" si="2">SUM(J64:O64,Q64:R64)</f>
        <v>0</v>
      </c>
      <c r="J64" s="60"/>
      <c r="K64" s="60"/>
      <c r="L64" s="60"/>
      <c r="M64" s="60"/>
      <c r="N64" s="60"/>
      <c r="O64" s="60"/>
      <c r="Q64" s="60"/>
      <c r="R64" s="60"/>
    </row>
    <row r="65" spans="2:18" x14ac:dyDescent="0.2">
      <c r="B65" s="63" t="s">
        <v>126</v>
      </c>
      <c r="D65" s="64" t="s">
        <v>232</v>
      </c>
      <c r="H65" s="42">
        <f t="shared" si="2"/>
        <v>0</v>
      </c>
      <c r="J65" s="58"/>
      <c r="K65" s="60"/>
      <c r="L65" s="60"/>
      <c r="M65" s="60"/>
      <c r="N65" s="60"/>
      <c r="O65" s="60"/>
      <c r="Q65" s="58"/>
      <c r="R65" s="58"/>
    </row>
    <row r="66" spans="2:18" x14ac:dyDescent="0.2">
      <c r="B66" s="63" t="s">
        <v>127</v>
      </c>
      <c r="D66" s="64" t="s">
        <v>233</v>
      </c>
      <c r="H66" s="42">
        <f t="shared" si="2"/>
        <v>608806.90474033216</v>
      </c>
      <c r="J66" s="42">
        <f>(($J$49*(1+$F23)-($J$49*(1+$F23)/$J$45*1.5))*$F$34+($J$49*(1+$F23)/$J$45))*(1-$F$40)</f>
        <v>171640.1030090015</v>
      </c>
      <c r="K66" s="60"/>
      <c r="L66" s="60"/>
      <c r="M66" s="60"/>
      <c r="N66" s="60"/>
      <c r="O66" s="60"/>
      <c r="Q66" s="58"/>
      <c r="R66" s="42">
        <f>(($R$49*(1+$F23)-($R$49*(1+$F23)/$R$45*1.5))*$F$34+($R$49*(1+$F23)/$R$45))*(1-$F$40)</f>
        <v>437166.80173133069</v>
      </c>
    </row>
    <row r="67" spans="2:18" x14ac:dyDescent="0.2">
      <c r="B67" s="63" t="s">
        <v>128</v>
      </c>
      <c r="D67" s="64" t="s">
        <v>234</v>
      </c>
      <c r="H67" s="42">
        <f t="shared" si="2"/>
        <v>1279350.5183088288</v>
      </c>
      <c r="J67" s="42">
        <f>(($J$49*(1+$F24)-($J$49*(1+$F24)/$J$45*2.5))*$F$35+($J$49*(1+$F24)/$J$45))*(1-$F$40)^2</f>
        <v>167862.8117323617</v>
      </c>
      <c r="K67" s="60"/>
      <c r="L67" s="60"/>
      <c r="M67" s="60"/>
      <c r="N67" s="60"/>
      <c r="O67" s="60"/>
      <c r="Q67" s="42">
        <f>(($Q$49*(1+$F24)-($Q$49*(1+$F24)/$Q$45*2.5))*$F$35+($Q$49*(1+$F24)/$Q$45))*(1-$F$40)^2</f>
        <v>683876.59360597399</v>
      </c>
      <c r="R67" s="42">
        <f>(($R$49*(1+$F24)-($R$49*(1+$F24)/$R$45*2.5))*$F$35+($R$49*(1+$F24)/$R$45))*(1-$F$40)^2</f>
        <v>427611.11297049315</v>
      </c>
    </row>
    <row r="68" spans="2:18" x14ac:dyDescent="0.2">
      <c r="B68" s="63" t="s">
        <v>129</v>
      </c>
      <c r="D68" s="64" t="s">
        <v>235</v>
      </c>
      <c r="H68" s="42">
        <f t="shared" si="2"/>
        <v>1269931.2902961732</v>
      </c>
      <c r="J68" s="42">
        <f>(($J$49*(1+$F25)-($J$49*(1+$F25)/$J$45*3.5))*$F$36+($J$49*(1+$F25)/$J$45))*(1-$F$40)^3</f>
        <v>166618.58016564194</v>
      </c>
      <c r="K68" s="60"/>
      <c r="L68" s="60"/>
      <c r="M68" s="60"/>
      <c r="N68" s="60"/>
      <c r="O68" s="60"/>
      <c r="Q68" s="42">
        <f>(($Q$49*(1+$F25)-($Q$49*(1+$F25)/$Q$45*3.5))*$F$36+($Q$49*(1+$F25)/$Q$45))*(1-$F$40)^3</f>
        <v>678910.36534651625</v>
      </c>
      <c r="R68" s="42">
        <f>(($R$49*(1+$F25)-($R$49*(1+$F25)/$R$45*3.5))*$F$36+($R$49*(1+$F25)/$R$45))*(1-$F$40)^3</f>
        <v>424402.34478401497</v>
      </c>
    </row>
    <row r="69" spans="2:18" x14ac:dyDescent="0.2">
      <c r="B69" s="63" t="s">
        <v>130</v>
      </c>
      <c r="D69" s="64" t="s">
        <v>236</v>
      </c>
      <c r="H69" s="42">
        <f t="shared" si="2"/>
        <v>1260338.90658324</v>
      </c>
      <c r="J69" s="42">
        <f>(($J$49*(1+$F26)-($J$49*(1+$F26)/$J$45*4.5))*$F$37+($J$49*(1+$F26)/$J$45))*(1-$F$40)^4</f>
        <v>165351.52209874862</v>
      </c>
      <c r="K69" s="60"/>
      <c r="L69" s="60"/>
      <c r="M69" s="60"/>
      <c r="N69" s="60"/>
      <c r="O69" s="60"/>
      <c r="Q69" s="42">
        <f>(($Q$49*(1+$F26)-($Q$49*(1+$F26)/$Q$45*4.5))*$F$37+($Q$49*(1+$F26)/$Q$45))*(1-$F$40)^4</f>
        <v>673852.45834598306</v>
      </c>
      <c r="R69" s="42">
        <f>(($R$49*(1+$F26)-($R$49*(1+$F26)/$R$45*4.5))*$F$37+($R$49*(1+$F26)/$R$45))*(1-$F$40)^4</f>
        <v>421134.92613850842</v>
      </c>
    </row>
    <row r="70" spans="2:18" x14ac:dyDescent="0.2">
      <c r="B70" s="59"/>
      <c r="D70" s="64"/>
    </row>
    <row r="71" spans="2:18" x14ac:dyDescent="0.2">
      <c r="B71" s="59" t="s">
        <v>151</v>
      </c>
      <c r="D71" s="64"/>
    </row>
    <row r="72" spans="2:18" x14ac:dyDescent="0.2">
      <c r="B72" s="63" t="s">
        <v>125</v>
      </c>
      <c r="D72" s="64" t="s">
        <v>99</v>
      </c>
      <c r="H72" s="42">
        <f t="shared" ref="H72:H77" si="3">SUM(J72:O72,Q72:R72)</f>
        <v>0</v>
      </c>
      <c r="J72" s="60"/>
      <c r="K72" s="60"/>
      <c r="L72" s="60"/>
      <c r="M72" s="60"/>
      <c r="N72" s="60"/>
      <c r="O72" s="60"/>
      <c r="Q72" s="60"/>
      <c r="R72" s="60"/>
    </row>
    <row r="73" spans="2:18" x14ac:dyDescent="0.2">
      <c r="B73" s="63" t="s">
        <v>126</v>
      </c>
      <c r="D73" s="64" t="s">
        <v>232</v>
      </c>
      <c r="H73" s="42">
        <f t="shared" si="3"/>
        <v>0</v>
      </c>
      <c r="J73" s="60"/>
      <c r="K73" s="60"/>
      <c r="L73" s="60"/>
      <c r="M73" s="60"/>
      <c r="N73" s="60"/>
      <c r="O73" s="60"/>
      <c r="Q73" s="60"/>
      <c r="R73" s="60"/>
    </row>
    <row r="74" spans="2:18" x14ac:dyDescent="0.2">
      <c r="B74" s="63" t="s">
        <v>127</v>
      </c>
      <c r="D74" s="64" t="s">
        <v>233</v>
      </c>
      <c r="H74" s="42">
        <f t="shared" si="3"/>
        <v>145012.12600559095</v>
      </c>
      <c r="J74" s="42">
        <f>($J$50-($J$50/$J$45*0.5))*$F$34+($J$50/$J$45)*0.5</f>
        <v>80302.207919759501</v>
      </c>
      <c r="K74" s="60"/>
      <c r="L74" s="60"/>
      <c r="M74" s="60"/>
      <c r="N74" s="60"/>
      <c r="O74" s="60"/>
      <c r="Q74" s="58"/>
      <c r="R74" s="42">
        <f>($R$50-($R$50/$R$45*0.5))*$F$34+($R$50/$R$45)*0.5</f>
        <v>64709.918085831436</v>
      </c>
    </row>
    <row r="75" spans="2:18" x14ac:dyDescent="0.2">
      <c r="B75" s="63" t="s">
        <v>128</v>
      </c>
      <c r="D75" s="64" t="s">
        <v>234</v>
      </c>
      <c r="H75" s="42">
        <f t="shared" si="3"/>
        <v>912174.06654615409</v>
      </c>
      <c r="J75" s="42">
        <f>(($J$50*(1+$F27)-($J$50*(1+$F27)/$J$45*1.5))*$F$35+($J$50*(1+$F27)/$J$45))*(1-$F$40)</f>
        <v>120091.20467851656</v>
      </c>
      <c r="K75" s="60"/>
      <c r="L75" s="60"/>
      <c r="M75" s="60"/>
      <c r="N75" s="60"/>
      <c r="O75" s="60"/>
      <c r="Q75" s="42">
        <f>(($Q$50*(1+$F27)-($Q$50*(1+$F27)/$Q$45*1.5))*$F$35+($Q$50*(1+$F27)/$Q$45))*(1-$F$40)</f>
        <v>694950.87417652016</v>
      </c>
      <c r="R75" s="42">
        <f>(($R$50*(1+$F27)-($R$50*(1+$F27)/$R$45*1.5))*$F$35+($R$50*(1+$F27)/$R$45))*(1-$F$40)</f>
        <v>97131.987691117305</v>
      </c>
    </row>
    <row r="76" spans="2:18" x14ac:dyDescent="0.2">
      <c r="B76" s="63" t="s">
        <v>129</v>
      </c>
      <c r="D76" s="64" t="s">
        <v>235</v>
      </c>
      <c r="H76" s="42">
        <f t="shared" si="3"/>
        <v>905676.55501308653</v>
      </c>
      <c r="J76" s="42">
        <f>(($J$50*(1+$F28)-($J$50*(1+$F28)/$J$45*2.5))*$F$36+($J$50*(1+$F28)/$J$45))*(1-$F$40)^2</f>
        <v>119223.53925634809</v>
      </c>
      <c r="K76" s="60"/>
      <c r="L76" s="60"/>
      <c r="M76" s="60"/>
      <c r="N76" s="60"/>
      <c r="O76" s="60"/>
      <c r="Q76" s="42">
        <f>(($Q$50*(1+$F28)-($Q$50*(1+$F28)/$Q$45*2.5))*$F$36+($Q$50*(1+$F28)/$Q$45))*(1-$F$40)^2</f>
        <v>690031.48294842779</v>
      </c>
      <c r="R76" s="42">
        <f>(($R$50*(1+$F28)-($R$50*(1+$F28)/$R$45*2.5))*$F$36+($R$50*(1+$F28)/$R$45))*(1-$F$40)^2</f>
        <v>96421.532808310716</v>
      </c>
    </row>
    <row r="77" spans="2:18" x14ac:dyDescent="0.2">
      <c r="B77" s="63" t="s">
        <v>130</v>
      </c>
      <c r="D77" s="64" t="s">
        <v>236</v>
      </c>
      <c r="H77" s="42">
        <f t="shared" si="3"/>
        <v>899058.38140155328</v>
      </c>
      <c r="J77" s="42">
        <f>(($J$50*(1+$F29)-($J$50*(1+$F29)/$J$45*3.5))*$F$37+($J$50*(1+$F29)/$J$45))*(1-$F$40)^3</f>
        <v>118339.83136710264</v>
      </c>
      <c r="K77" s="60"/>
      <c r="L77" s="60"/>
      <c r="M77" s="60"/>
      <c r="N77" s="60"/>
      <c r="O77" s="60"/>
      <c r="Q77" s="42">
        <f>(($Q$50*(1+$F29)-($Q$50*(1+$F29)/$Q$45*3.5))*$F$37+($Q$50*(1+$F29)/$Q$45))*(1-$F$40)^3</f>
        <v>685020.55863463483</v>
      </c>
      <c r="R77" s="42">
        <f>(($R$50*(1+$F29)-($R$50*(1+$F29)/$R$45*3.5))*$F$37+($R$50*(1+$F29)/$R$45))*(1-$F$40)^3</f>
        <v>95697.991399815757</v>
      </c>
    </row>
    <row r="78" spans="2:18" x14ac:dyDescent="0.2">
      <c r="B78" s="59"/>
    </row>
    <row r="79" spans="2:18" x14ac:dyDescent="0.2">
      <c r="B79" s="59" t="s">
        <v>155</v>
      </c>
    </row>
    <row r="80" spans="2:18" x14ac:dyDescent="0.2">
      <c r="B80" s="63" t="s">
        <v>125</v>
      </c>
      <c r="D80" s="64" t="s">
        <v>99</v>
      </c>
      <c r="H80" s="42">
        <f t="shared" ref="H80:H85" si="4">SUM(J80:O80,Q80:R80)</f>
        <v>0</v>
      </c>
      <c r="J80" s="60"/>
      <c r="K80" s="60"/>
      <c r="L80" s="60"/>
      <c r="M80" s="60"/>
      <c r="N80" s="60"/>
      <c r="O80" s="60"/>
      <c r="Q80" s="60"/>
      <c r="R80" s="60"/>
    </row>
    <row r="81" spans="2:18" x14ac:dyDescent="0.2">
      <c r="B81" s="63" t="s">
        <v>126</v>
      </c>
      <c r="D81" s="64" t="s">
        <v>232</v>
      </c>
      <c r="H81" s="42">
        <f t="shared" si="4"/>
        <v>0</v>
      </c>
      <c r="J81" s="60"/>
      <c r="K81" s="60"/>
      <c r="L81" s="60"/>
      <c r="M81" s="60"/>
      <c r="N81" s="60"/>
      <c r="O81" s="60"/>
      <c r="Q81" s="60"/>
      <c r="R81" s="60"/>
    </row>
    <row r="82" spans="2:18" x14ac:dyDescent="0.2">
      <c r="B82" s="63" t="s">
        <v>127</v>
      </c>
      <c r="D82" s="64" t="s">
        <v>233</v>
      </c>
      <c r="H82" s="42">
        <f t="shared" si="4"/>
        <v>0</v>
      </c>
      <c r="J82" s="58"/>
      <c r="K82" s="60"/>
      <c r="L82" s="60"/>
      <c r="M82" s="60"/>
      <c r="N82" s="60"/>
      <c r="O82" s="60"/>
      <c r="Q82" s="60"/>
      <c r="R82" s="60"/>
    </row>
    <row r="83" spans="2:18" x14ac:dyDescent="0.2">
      <c r="B83" s="63" t="s">
        <v>128</v>
      </c>
      <c r="D83" s="64" t="s">
        <v>234</v>
      </c>
      <c r="H83" s="42">
        <f t="shared" si="4"/>
        <v>232497.05205918127</v>
      </c>
      <c r="J83" s="58"/>
      <c r="K83" s="60"/>
      <c r="L83" s="60"/>
      <c r="M83" s="60"/>
      <c r="N83" s="60"/>
      <c r="O83" s="60"/>
      <c r="Q83" s="42">
        <f>($Q$51-($Q$51/$Q$45*0.5))*$F$35+($Q$51/$Q$45)*0.5</f>
        <v>232497.05205918127</v>
      </c>
      <c r="R83" s="60"/>
    </row>
    <row r="84" spans="2:18" x14ac:dyDescent="0.2">
      <c r="B84" s="63" t="s">
        <v>129</v>
      </c>
      <c r="D84" s="64" t="s">
        <v>235</v>
      </c>
      <c r="H84" s="42">
        <f t="shared" si="4"/>
        <v>354088.77938477992</v>
      </c>
      <c r="J84" s="58"/>
      <c r="K84" s="60"/>
      <c r="L84" s="60"/>
      <c r="M84" s="60"/>
      <c r="N84" s="60"/>
      <c r="O84" s="60"/>
      <c r="Q84" s="42">
        <f>(($Q$51*(1+$F30)-($Q$51*(1+$F30)/$Q$45*1.5))*$F$36+($Q$51*(1+$F30)/$Q$45))*(1-$F$40)</f>
        <v>354088.77938477992</v>
      </c>
      <c r="R84" s="60"/>
    </row>
    <row r="85" spans="2:18" x14ac:dyDescent="0.2">
      <c r="B85" s="63" t="s">
        <v>130</v>
      </c>
      <c r="D85" s="64" t="s">
        <v>236</v>
      </c>
      <c r="H85" s="42">
        <f t="shared" si="4"/>
        <v>351582.26950041496</v>
      </c>
      <c r="J85" s="58"/>
      <c r="K85" s="60"/>
      <c r="L85" s="60"/>
      <c r="M85" s="60"/>
      <c r="N85" s="60"/>
      <c r="O85" s="60"/>
      <c r="Q85" s="42">
        <f>(($Q$51*(1+$F31)-($Q$51*(1+$F31)/$Q$45*2.5))*$F$37+($Q$51*(1+$F31)/$Q$45))*(1-$F$40)^2</f>
        <v>351582.26950041496</v>
      </c>
      <c r="R85" s="60"/>
    </row>
    <row r="86" spans="2:18" x14ac:dyDescent="0.2">
      <c r="B86" s="59"/>
    </row>
    <row r="87" spans="2:18" x14ac:dyDescent="0.2">
      <c r="B87" s="59" t="s">
        <v>249</v>
      </c>
    </row>
    <row r="88" spans="2:18" x14ac:dyDescent="0.2">
      <c r="B88" s="63" t="s">
        <v>125</v>
      </c>
      <c r="D88" s="64" t="s">
        <v>99</v>
      </c>
      <c r="H88" s="42">
        <f t="shared" ref="H88:H93" si="5">SUM(J88:O88,Q88:R88)</f>
        <v>0</v>
      </c>
      <c r="J88" s="60"/>
      <c r="K88" s="60"/>
      <c r="L88" s="60"/>
      <c r="M88" s="60"/>
      <c r="N88" s="60"/>
      <c r="O88" s="60"/>
      <c r="Q88" s="60"/>
      <c r="R88" s="60"/>
    </row>
    <row r="89" spans="2:18" x14ac:dyDescent="0.2">
      <c r="B89" s="63" t="s">
        <v>126</v>
      </c>
      <c r="D89" s="64" t="s">
        <v>232</v>
      </c>
      <c r="H89" s="42">
        <f t="shared" si="5"/>
        <v>0</v>
      </c>
      <c r="J89" s="60"/>
      <c r="K89" s="60"/>
      <c r="L89" s="60"/>
      <c r="M89" s="60"/>
      <c r="N89" s="60"/>
      <c r="O89" s="60"/>
      <c r="Q89" s="60"/>
      <c r="R89" s="60"/>
    </row>
    <row r="90" spans="2:18" x14ac:dyDescent="0.2">
      <c r="B90" s="63" t="s">
        <v>127</v>
      </c>
      <c r="D90" s="64" t="s">
        <v>233</v>
      </c>
      <c r="H90" s="42">
        <f t="shared" si="5"/>
        <v>1352490.5644561651</v>
      </c>
      <c r="J90" s="42">
        <f>J58+J66+J74+J82</f>
        <v>420736.69077577867</v>
      </c>
      <c r="K90" s="60"/>
      <c r="L90" s="60"/>
      <c r="M90" s="60"/>
      <c r="N90" s="60"/>
      <c r="O90" s="60"/>
      <c r="Q90" s="58"/>
      <c r="R90" s="42">
        <f>R58+R66+R74+R82</f>
        <v>931753.87368038646</v>
      </c>
    </row>
    <row r="91" spans="2:18" x14ac:dyDescent="0.2">
      <c r="B91" s="63" t="s">
        <v>128</v>
      </c>
      <c r="D91" s="64" t="s">
        <v>234</v>
      </c>
      <c r="H91" s="42">
        <f t="shared" si="5"/>
        <v>3682625.4925099751</v>
      </c>
      <c r="J91" s="42">
        <f>J59+J67+J75+J83</f>
        <v>453086.40507851151</v>
      </c>
      <c r="K91" s="60"/>
      <c r="L91" s="60"/>
      <c r="M91" s="60"/>
      <c r="N91" s="60"/>
      <c r="O91" s="60"/>
      <c r="Q91" s="42">
        <f>Q59+Q67+Q75+Q83</f>
        <v>2284179.1931286091</v>
      </c>
      <c r="R91" s="42">
        <f>R59+R67+R75+R83</f>
        <v>945359.89430285443</v>
      </c>
    </row>
    <row r="92" spans="2:18" x14ac:dyDescent="0.2">
      <c r="B92" s="63" t="s">
        <v>129</v>
      </c>
      <c r="D92" s="64" t="s">
        <v>235</v>
      </c>
      <c r="H92" s="42">
        <f t="shared" si="5"/>
        <v>3778793.6579777263</v>
      </c>
      <c r="J92" s="42">
        <f>J60+J68+J76+J84</f>
        <v>449718.75182907487</v>
      </c>
      <c r="K92" s="60"/>
      <c r="L92" s="60"/>
      <c r="M92" s="60"/>
      <c r="N92" s="60"/>
      <c r="O92" s="60"/>
      <c r="Q92" s="42">
        <f>Q60+Q68+Q76+Q84</f>
        <v>2390872.5090929875</v>
      </c>
      <c r="R92" s="42">
        <f t="shared" ref="R92" si="6">R60+R68+R76+R84</f>
        <v>938202.39705566422</v>
      </c>
    </row>
    <row r="93" spans="2:18" x14ac:dyDescent="0.2">
      <c r="B93" s="63" t="s">
        <v>130</v>
      </c>
      <c r="D93" s="64" t="s">
        <v>236</v>
      </c>
      <c r="H93" s="42">
        <f t="shared" si="5"/>
        <v>3750396.3418141375</v>
      </c>
      <c r="J93" s="42">
        <f>J61+J69+J77+J85</f>
        <v>446289.3674976505</v>
      </c>
      <c r="K93" s="60"/>
      <c r="L93" s="60"/>
      <c r="M93" s="60"/>
      <c r="N93" s="60"/>
      <c r="O93" s="60"/>
      <c r="Q93" s="42">
        <f>Q61+Q69+Q77+Q85</f>
        <v>2373192.5529785813</v>
      </c>
      <c r="R93" s="42">
        <f>R61+R69+R77+R85</f>
        <v>930914.42133790581</v>
      </c>
    </row>
    <row r="94" spans="2:18" x14ac:dyDescent="0.2">
      <c r="B94" s="63"/>
      <c r="D94" s="64"/>
    </row>
  </sheetData>
  <mergeCells count="3">
    <mergeCell ref="B5:H5"/>
    <mergeCell ref="B8:H8"/>
    <mergeCell ref="B11:H11"/>
  </mergeCells>
  <phoneticPr fontId="3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A2:Q62"/>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19.140625" style="2" customWidth="1"/>
    <col min="3" max="3" width="2.7109375" style="2" customWidth="1"/>
    <col min="4" max="4" width="40.7109375" style="2" customWidth="1"/>
    <col min="5" max="5" width="2.7109375" style="2" customWidth="1"/>
    <col min="6" max="6" width="20.7109375" style="2" customWidth="1"/>
    <col min="7" max="7" width="2.7109375" style="2" customWidth="1"/>
    <col min="8" max="8" width="40.7109375" style="2" customWidth="1"/>
    <col min="9" max="9" width="2.7109375" style="2" customWidth="1"/>
    <col min="10" max="10" width="20.7109375" style="2" customWidth="1"/>
    <col min="11" max="11" width="2.7109375" style="2" customWidth="1"/>
    <col min="12" max="12" width="40.7109375" style="2" customWidth="1"/>
    <col min="13" max="13" width="2.7109375" style="2" customWidth="1"/>
    <col min="14" max="14" width="20.7109375" style="2" customWidth="1"/>
    <col min="15" max="15" width="2.7109375" style="2" customWidth="1"/>
    <col min="16" max="16" width="40.7109375" style="2" customWidth="1"/>
    <col min="17" max="17" width="2.7109375" style="2" customWidth="1"/>
    <col min="18" max="16384" width="9.140625" style="2"/>
  </cols>
  <sheetData>
    <row r="2" spans="1:16" s="6" customFormat="1" ht="18" x14ac:dyDescent="0.2">
      <c r="B2" s="6" t="s">
        <v>50</v>
      </c>
    </row>
    <row r="4" spans="1:16" s="7" customFormat="1" x14ac:dyDescent="0.2">
      <c r="B4" s="7" t="s">
        <v>16</v>
      </c>
    </row>
    <row r="6" spans="1:16" x14ac:dyDescent="0.2">
      <c r="B6" s="23" t="s">
        <v>182</v>
      </c>
    </row>
    <row r="7" spans="1:16" ht="13.5" customHeight="1" x14ac:dyDescent="0.2">
      <c r="B7" s="23" t="s">
        <v>183</v>
      </c>
    </row>
    <row r="8" spans="1:16" x14ac:dyDescent="0.2">
      <c r="B8" s="2" t="s">
        <v>210</v>
      </c>
      <c r="H8" s="33"/>
    </row>
    <row r="10" spans="1:16" s="7" customFormat="1" x14ac:dyDescent="0.2">
      <c r="B10" s="7" t="s">
        <v>56</v>
      </c>
    </row>
    <row r="11" spans="1:16" x14ac:dyDescent="0.2">
      <c r="A11" s="8"/>
    </row>
    <row r="12" spans="1:16" x14ac:dyDescent="0.2">
      <c r="A12" s="8"/>
      <c r="B12" s="2" t="s">
        <v>174</v>
      </c>
    </row>
    <row r="13" spans="1:16" x14ac:dyDescent="0.2">
      <c r="A13" s="8"/>
    </row>
    <row r="14" spans="1:16" x14ac:dyDescent="0.2">
      <c r="A14" s="8"/>
      <c r="D14" s="76" t="s">
        <v>176</v>
      </c>
      <c r="J14" s="76" t="s">
        <v>175</v>
      </c>
      <c r="P14" s="76" t="s">
        <v>34</v>
      </c>
    </row>
    <row r="15" spans="1:16" x14ac:dyDescent="0.2">
      <c r="A15" s="8"/>
      <c r="D15" s="76"/>
    </row>
    <row r="16" spans="1:16" x14ac:dyDescent="0.2">
      <c r="A16" s="8"/>
      <c r="D16" s="76"/>
    </row>
    <row r="17" spans="1:17" x14ac:dyDescent="0.2">
      <c r="A17" s="8"/>
      <c r="D17" s="76"/>
    </row>
    <row r="18" spans="1:17" x14ac:dyDescent="0.2">
      <c r="A18" s="8"/>
      <c r="D18" s="76"/>
    </row>
    <row r="19" spans="1:17" x14ac:dyDescent="0.2">
      <c r="A19" s="8"/>
      <c r="C19" s="77"/>
      <c r="D19" s="78"/>
      <c r="E19" s="79"/>
      <c r="G19" s="77"/>
      <c r="H19" s="78"/>
      <c r="I19" s="79"/>
      <c r="K19" s="77"/>
      <c r="L19" s="78"/>
      <c r="M19" s="79"/>
      <c r="O19" s="77"/>
      <c r="P19" s="78"/>
      <c r="Q19" s="79"/>
    </row>
    <row r="20" spans="1:17" x14ac:dyDescent="0.2">
      <c r="A20" s="8"/>
      <c r="C20" s="80"/>
      <c r="D20" s="81" t="s">
        <v>191</v>
      </c>
      <c r="E20" s="82"/>
      <c r="G20" s="80"/>
      <c r="H20" s="83" t="s">
        <v>178</v>
      </c>
      <c r="I20" s="82"/>
      <c r="K20" s="80"/>
      <c r="L20" s="83" t="s">
        <v>180</v>
      </c>
      <c r="M20" s="82"/>
      <c r="O20" s="80"/>
      <c r="P20" s="89" t="s">
        <v>181</v>
      </c>
      <c r="Q20" s="82"/>
    </row>
    <row r="21" spans="1:17" x14ac:dyDescent="0.2">
      <c r="A21" s="8"/>
      <c r="C21" s="84"/>
      <c r="D21" s="85"/>
      <c r="E21" s="86"/>
      <c r="G21" s="84"/>
      <c r="H21" s="85"/>
      <c r="I21" s="86"/>
      <c r="K21" s="84"/>
      <c r="L21" s="85"/>
      <c r="M21" s="86"/>
      <c r="O21" s="84"/>
      <c r="P21" s="85"/>
      <c r="Q21" s="86"/>
    </row>
    <row r="22" spans="1:17" x14ac:dyDescent="0.2">
      <c r="A22" s="8"/>
      <c r="C22" s="87"/>
      <c r="D22" s="87"/>
      <c r="E22" s="87"/>
      <c r="G22" s="87"/>
      <c r="H22" s="87"/>
      <c r="I22" s="87"/>
    </row>
    <row r="23" spans="1:17" x14ac:dyDescent="0.2">
      <c r="A23" s="8"/>
      <c r="C23" s="87"/>
      <c r="D23" s="87"/>
      <c r="E23" s="87"/>
      <c r="G23" s="87"/>
      <c r="H23" s="87"/>
      <c r="I23" s="87"/>
    </row>
    <row r="24" spans="1:17" x14ac:dyDescent="0.2">
      <c r="A24" s="8"/>
      <c r="C24" s="77"/>
      <c r="D24" s="78"/>
      <c r="E24" s="79"/>
      <c r="G24" s="77"/>
      <c r="H24" s="78"/>
      <c r="I24" s="79"/>
      <c r="K24" s="77"/>
      <c r="L24" s="78"/>
      <c r="M24" s="79"/>
    </row>
    <row r="25" spans="1:17" x14ac:dyDescent="0.2">
      <c r="A25" s="8"/>
      <c r="C25" s="80"/>
      <c r="D25" s="81" t="s">
        <v>177</v>
      </c>
      <c r="E25" s="82"/>
      <c r="G25" s="80"/>
      <c r="H25" s="88" t="s">
        <v>179</v>
      </c>
      <c r="I25" s="82"/>
      <c r="K25" s="80"/>
      <c r="L25" s="88" t="s">
        <v>202</v>
      </c>
      <c r="M25" s="82"/>
    </row>
    <row r="26" spans="1:17" x14ac:dyDescent="0.2">
      <c r="A26" s="8"/>
      <c r="C26" s="84"/>
      <c r="D26" s="85"/>
      <c r="E26" s="86"/>
      <c r="G26" s="84"/>
      <c r="H26" s="85"/>
      <c r="I26" s="86"/>
      <c r="K26" s="84"/>
      <c r="L26" s="85"/>
      <c r="M26" s="86"/>
    </row>
    <row r="27" spans="1:17" x14ac:dyDescent="0.2">
      <c r="A27" s="8"/>
      <c r="C27" s="87"/>
      <c r="D27" s="87"/>
      <c r="E27" s="87"/>
      <c r="G27" s="87"/>
      <c r="H27" s="87"/>
      <c r="I27" s="87"/>
    </row>
    <row r="28" spans="1:17" x14ac:dyDescent="0.2">
      <c r="A28" s="8"/>
      <c r="C28" s="87"/>
      <c r="D28" s="87"/>
      <c r="E28" s="87"/>
      <c r="G28" s="87"/>
      <c r="H28" s="87"/>
      <c r="I28" s="87"/>
    </row>
    <row r="29" spans="1:17" x14ac:dyDescent="0.2">
      <c r="A29" s="8"/>
      <c r="C29" s="87"/>
      <c r="D29" s="87"/>
      <c r="E29" s="87"/>
      <c r="G29" s="87"/>
      <c r="H29" s="87"/>
      <c r="I29" s="87"/>
    </row>
    <row r="30" spans="1:17" x14ac:dyDescent="0.2">
      <c r="A30" s="8"/>
    </row>
    <row r="32" spans="1:17" s="7" customFormat="1" x14ac:dyDescent="0.2">
      <c r="B32" s="7" t="s">
        <v>17</v>
      </c>
    </row>
    <row r="33" spans="2:7" x14ac:dyDescent="0.2">
      <c r="C33" s="8"/>
    </row>
    <row r="34" spans="2:7" x14ac:dyDescent="0.2">
      <c r="B34" s="28" t="s">
        <v>40</v>
      </c>
      <c r="C34" s="8"/>
      <c r="D34" s="28" t="s">
        <v>18</v>
      </c>
      <c r="F34" s="11"/>
    </row>
    <row r="35" spans="2:7" x14ac:dyDescent="0.2">
      <c r="C35" s="8"/>
    </row>
    <row r="36" spans="2:7" x14ac:dyDescent="0.2">
      <c r="B36" s="36">
        <v>123</v>
      </c>
      <c r="C36" s="8"/>
      <c r="D36" s="23" t="s">
        <v>66</v>
      </c>
    </row>
    <row r="37" spans="2:7" x14ac:dyDescent="0.2">
      <c r="B37" s="41">
        <f>B36</f>
        <v>123</v>
      </c>
      <c r="C37" s="8"/>
      <c r="D37" s="2" t="s">
        <v>19</v>
      </c>
    </row>
    <row r="38" spans="2:7" x14ac:dyDescent="0.2">
      <c r="B38" s="42">
        <f>B37+B36</f>
        <v>246</v>
      </c>
      <c r="C38" s="8"/>
      <c r="D38" s="2" t="s">
        <v>20</v>
      </c>
    </row>
    <row r="39" spans="2:7" x14ac:dyDescent="0.2">
      <c r="B39" s="31">
        <f>B37+B38</f>
        <v>369</v>
      </c>
      <c r="C39" s="8"/>
      <c r="D39" s="23" t="s">
        <v>67</v>
      </c>
      <c r="E39" s="11"/>
      <c r="F39" s="4"/>
    </row>
    <row r="40" spans="2:7" x14ac:dyDescent="0.2">
      <c r="B40" s="12"/>
      <c r="C40" s="8"/>
      <c r="D40" s="23" t="s">
        <v>21</v>
      </c>
      <c r="E40" s="11"/>
    </row>
    <row r="41" spans="2:7" x14ac:dyDescent="0.2">
      <c r="B41" s="8"/>
      <c r="C41" s="8"/>
    </row>
    <row r="42" spans="2:7" x14ac:dyDescent="0.2">
      <c r="B42" s="29" t="s">
        <v>22</v>
      </c>
      <c r="C42" s="8"/>
    </row>
    <row r="43" spans="2:7" x14ac:dyDescent="0.2">
      <c r="B43" s="34">
        <f>B39+16</f>
        <v>385</v>
      </c>
      <c r="C43" s="8"/>
      <c r="D43" s="2" t="s">
        <v>68</v>
      </c>
    </row>
    <row r="44" spans="2:7" x14ac:dyDescent="0.2">
      <c r="B44" s="35">
        <f>B37*PI()</f>
        <v>386.41589639154455</v>
      </c>
      <c r="C44" s="14"/>
      <c r="D44" s="2" t="s">
        <v>23</v>
      </c>
    </row>
    <row r="45" spans="2:7" x14ac:dyDescent="0.2">
      <c r="B45" s="14"/>
      <c r="C45" s="14"/>
    </row>
    <row r="46" spans="2:7" x14ac:dyDescent="0.2">
      <c r="B46" s="29" t="s">
        <v>24</v>
      </c>
      <c r="C46" s="15"/>
    </row>
    <row r="47" spans="2:7" x14ac:dyDescent="0.2">
      <c r="B47" s="40">
        <v>123</v>
      </c>
      <c r="C47" s="15"/>
      <c r="D47" s="23" t="s">
        <v>69</v>
      </c>
      <c r="G47" s="11"/>
    </row>
    <row r="48" spans="2:7" x14ac:dyDescent="0.2">
      <c r="B48" s="37">
        <v>124</v>
      </c>
      <c r="C48" s="15"/>
      <c r="D48" s="23" t="s">
        <v>71</v>
      </c>
    </row>
    <row r="49" spans="2:4" x14ac:dyDescent="0.2">
      <c r="B49" s="38">
        <f>B47-B48</f>
        <v>-1</v>
      </c>
      <c r="C49" s="16"/>
      <c r="D49" s="2" t="s">
        <v>55</v>
      </c>
    </row>
    <row r="52" spans="2:4" x14ac:dyDescent="0.2">
      <c r="B52" s="28" t="s">
        <v>35</v>
      </c>
    </row>
    <row r="53" spans="2:4" x14ac:dyDescent="0.2">
      <c r="B53" s="1"/>
    </row>
    <row r="54" spans="2:4" x14ac:dyDescent="0.2">
      <c r="B54" s="29" t="s">
        <v>41</v>
      </c>
    </row>
    <row r="55" spans="2:4" x14ac:dyDescent="0.2">
      <c r="B55" s="20" t="s">
        <v>34</v>
      </c>
      <c r="C55" s="8"/>
      <c r="D55" s="3" t="s">
        <v>44</v>
      </c>
    </row>
    <row r="56" spans="2:4" x14ac:dyDescent="0.2">
      <c r="B56" s="36" t="s">
        <v>32</v>
      </c>
      <c r="C56" s="8"/>
      <c r="D56" s="3" t="s">
        <v>36</v>
      </c>
    </row>
    <row r="57" spans="2:4" x14ac:dyDescent="0.2">
      <c r="B57" s="32" t="s">
        <v>33</v>
      </c>
      <c r="C57" s="8"/>
      <c r="D57" s="3" t="s">
        <v>37</v>
      </c>
    </row>
    <row r="58" spans="2:4" x14ac:dyDescent="0.2">
      <c r="B58" s="13" t="s">
        <v>33</v>
      </c>
      <c r="C58" s="8"/>
      <c r="D58" s="3" t="s">
        <v>39</v>
      </c>
    </row>
    <row r="59" spans="2:4" x14ac:dyDescent="0.2">
      <c r="C59" s="8"/>
      <c r="D59" s="3"/>
    </row>
    <row r="60" spans="2:4" x14ac:dyDescent="0.2">
      <c r="B60" s="29" t="s">
        <v>43</v>
      </c>
      <c r="C60" s="8"/>
      <c r="D60" s="3"/>
    </row>
    <row r="61" spans="2:4" x14ac:dyDescent="0.2">
      <c r="B61" s="21" t="s">
        <v>38</v>
      </c>
      <c r="C61" s="8"/>
      <c r="D61" s="3" t="s">
        <v>45</v>
      </c>
    </row>
    <row r="62" spans="2:4" x14ac:dyDescent="0.2">
      <c r="B62" s="22" t="s">
        <v>42</v>
      </c>
      <c r="D62" s="23" t="s">
        <v>70</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C8D9"/>
  </sheetPr>
  <dimension ref="B2:G14"/>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7.5703125" style="2" customWidth="1"/>
    <col min="3" max="3" width="44.85546875" style="2" bestFit="1" customWidth="1"/>
    <col min="4" max="4" width="47.5703125" style="2" bestFit="1" customWidth="1"/>
    <col min="5" max="5" width="36.28515625" style="2" customWidth="1"/>
    <col min="6" max="6" width="40.7109375" style="2" customWidth="1"/>
    <col min="7" max="7" width="4.5703125" style="2" customWidth="1"/>
    <col min="8" max="8" width="43.42578125" style="2" customWidth="1"/>
    <col min="9" max="9" width="28.7109375" style="2" customWidth="1"/>
    <col min="10" max="10" width="18.42578125" style="2" customWidth="1"/>
    <col min="11" max="12" width="58.42578125" style="2" customWidth="1"/>
    <col min="13" max="16384" width="9.140625" style="2"/>
  </cols>
  <sheetData>
    <row r="2" spans="2:7" s="6" customFormat="1" ht="18" x14ac:dyDescent="0.2">
      <c r="B2" s="6" t="s">
        <v>25</v>
      </c>
    </row>
    <row r="4" spans="2:7" s="7" customFormat="1" x14ac:dyDescent="0.2">
      <c r="B4" s="7" t="s">
        <v>26</v>
      </c>
    </row>
    <row r="6" spans="2:7" x14ac:dyDescent="0.2">
      <c r="B6" s="29" t="s">
        <v>61</v>
      </c>
    </row>
    <row r="7" spans="2:7" x14ac:dyDescent="0.2">
      <c r="B7" s="29" t="s">
        <v>62</v>
      </c>
    </row>
    <row r="9" spans="2:7" ht="15" x14ac:dyDescent="0.2">
      <c r="B9" s="65" t="s">
        <v>51</v>
      </c>
      <c r="C9" s="65" t="s">
        <v>52</v>
      </c>
      <c r="D9" s="65" t="s">
        <v>53</v>
      </c>
      <c r="E9" s="65" t="s">
        <v>60</v>
      </c>
      <c r="F9" s="65" t="s">
        <v>57</v>
      </c>
    </row>
    <row r="10" spans="2:7" x14ac:dyDescent="0.2">
      <c r="B10" s="17"/>
      <c r="C10" s="24" t="s">
        <v>59</v>
      </c>
      <c r="D10" s="24" t="s">
        <v>27</v>
      </c>
      <c r="E10" s="24" t="s">
        <v>63</v>
      </c>
      <c r="F10" s="24" t="s">
        <v>58</v>
      </c>
    </row>
    <row r="11" spans="2:7" x14ac:dyDescent="0.2">
      <c r="B11" s="26">
        <v>1</v>
      </c>
      <c r="C11" s="5" t="s">
        <v>184</v>
      </c>
      <c r="D11" s="67" t="s">
        <v>158</v>
      </c>
      <c r="E11" s="5"/>
      <c r="F11" s="67"/>
      <c r="G11" s="2" t="s">
        <v>159</v>
      </c>
    </row>
    <row r="12" spans="2:7" x14ac:dyDescent="0.2">
      <c r="B12" s="5">
        <v>2</v>
      </c>
      <c r="C12" s="5" t="s">
        <v>160</v>
      </c>
      <c r="D12" s="5" t="s">
        <v>185</v>
      </c>
      <c r="E12" s="27"/>
      <c r="F12" s="5"/>
      <c r="G12" s="2" t="s">
        <v>159</v>
      </c>
    </row>
    <row r="13" spans="2:7" x14ac:dyDescent="0.2">
      <c r="B13" s="5">
        <v>3</v>
      </c>
      <c r="C13" s="5" t="s">
        <v>267</v>
      </c>
      <c r="D13" s="5" t="s">
        <v>267</v>
      </c>
      <c r="E13" s="5" t="s">
        <v>186</v>
      </c>
      <c r="F13" s="5"/>
    </row>
    <row r="14" spans="2:7" ht="13.5" customHeight="1" x14ac:dyDescent="0.2">
      <c r="B14" s="5">
        <v>4</v>
      </c>
      <c r="C14" s="5" t="s">
        <v>163</v>
      </c>
      <c r="D14" s="5" t="s">
        <v>163</v>
      </c>
      <c r="E14" s="90"/>
      <c r="F14" s="5"/>
    </row>
  </sheetData>
  <hyperlinks>
    <hyperlink ref="D11" r:id="rId1" location="/CBS/nl/dataset/83131ned/table?fromstatweb" xr:uid="{00000000-0004-0000-0500-000001000000}"/>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sheetPr>
  <dimension ref="B2:T43"/>
  <sheetViews>
    <sheetView showGridLines="0" zoomScale="85" zoomScaleNormal="85" workbookViewId="0">
      <pane xSplit="4" ySplit="11" topLeftCell="E12" activePane="bottomRight" state="frozen"/>
      <selection activeCell="O39" sqref="O39"/>
      <selection pane="topRight" activeCell="O39" sqref="O39"/>
      <selection pane="bottomLeft" activeCell="O39" sqref="O39"/>
      <selection pane="bottomRight" activeCell="E12" sqref="E12"/>
    </sheetView>
  </sheetViews>
  <sheetFormatPr defaultRowHeight="12.75" x14ac:dyDescent="0.2"/>
  <cols>
    <col min="1" max="1" width="2.7109375" style="2" customWidth="1"/>
    <col min="2" max="2" width="64.7109375" style="2" customWidth="1"/>
    <col min="3" max="3" width="2.7109375" style="2" customWidth="1"/>
    <col min="4" max="4" width="14.28515625" style="2" customWidth="1"/>
    <col min="5" max="5" width="2.7109375" style="2" customWidth="1"/>
    <col min="6" max="6" width="13.7109375" style="2" customWidth="1"/>
    <col min="7" max="7" width="2.7109375" style="2" customWidth="1"/>
    <col min="8" max="8" width="13.7109375" style="2" customWidth="1"/>
    <col min="9" max="9" width="2.7109375" style="2" customWidth="1"/>
    <col min="10" max="10" width="12.5703125" style="2" customWidth="1"/>
    <col min="11" max="13" width="14" style="2" bestFit="1" customWidth="1"/>
    <col min="14" max="14" width="14" style="2" customWidth="1"/>
    <col min="15" max="15" width="14" style="2" bestFit="1" customWidth="1"/>
    <col min="16" max="16" width="3.28515625" style="2" customWidth="1"/>
    <col min="17" max="17" width="13" style="2" customWidth="1"/>
    <col min="18" max="18" width="17.140625" style="2" customWidth="1"/>
    <col min="19" max="19" width="2.7109375" style="2" customWidth="1"/>
    <col min="20" max="30" width="13.7109375" style="2" customWidth="1"/>
    <col min="31" max="16384" width="9.140625" style="2"/>
  </cols>
  <sheetData>
    <row r="2" spans="2:20" s="18" customFormat="1" ht="18" x14ac:dyDescent="0.2">
      <c r="B2" s="18" t="s">
        <v>34</v>
      </c>
    </row>
    <row r="4" spans="2:20" x14ac:dyDescent="0.2">
      <c r="B4" s="28" t="s">
        <v>187</v>
      </c>
      <c r="J4"/>
    </row>
    <row r="5" spans="2:20" ht="54" customHeight="1" x14ac:dyDescent="0.2">
      <c r="B5" s="102" t="s">
        <v>188</v>
      </c>
      <c r="C5" s="102"/>
      <c r="D5" s="102"/>
      <c r="F5" s="19"/>
      <c r="N5" s="50"/>
      <c r="O5" s="50"/>
    </row>
    <row r="6" spans="2:20" x14ac:dyDescent="0.2">
      <c r="B6" s="23"/>
      <c r="F6" s="19"/>
    </row>
    <row r="7" spans="2:20" x14ac:dyDescent="0.2">
      <c r="B7" s="29" t="s">
        <v>31</v>
      </c>
      <c r="F7" s="27"/>
    </row>
    <row r="8" spans="2:20" ht="25.5" customHeight="1" x14ac:dyDescent="0.2">
      <c r="B8" s="103" t="s">
        <v>189</v>
      </c>
      <c r="C8" s="103"/>
      <c r="D8" s="103"/>
    </row>
    <row r="10" spans="2:20" s="7" customFormat="1" x14ac:dyDescent="0.2">
      <c r="B10" s="7" t="s">
        <v>46</v>
      </c>
      <c r="D10" s="7" t="s">
        <v>28</v>
      </c>
      <c r="F10" s="7" t="s">
        <v>29</v>
      </c>
      <c r="H10" s="7" t="s">
        <v>49</v>
      </c>
      <c r="J10" s="7" t="s">
        <v>161</v>
      </c>
      <c r="K10" s="7" t="s">
        <v>76</v>
      </c>
      <c r="L10" s="7" t="s">
        <v>77</v>
      </c>
      <c r="M10" s="7" t="s">
        <v>78</v>
      </c>
      <c r="N10" s="7" t="s">
        <v>79</v>
      </c>
      <c r="O10" s="7" t="s">
        <v>80</v>
      </c>
      <c r="Q10" s="7" t="s">
        <v>75</v>
      </c>
      <c r="R10" s="7" t="s">
        <v>81</v>
      </c>
      <c r="T10" s="7" t="s">
        <v>48</v>
      </c>
    </row>
    <row r="13" spans="2:20" s="7" customFormat="1" x14ac:dyDescent="0.2">
      <c r="B13" s="7" t="s">
        <v>156</v>
      </c>
    </row>
    <row r="14" spans="2:20" x14ac:dyDescent="0.2">
      <c r="B14" s="59"/>
    </row>
    <row r="15" spans="2:20" x14ac:dyDescent="0.2">
      <c r="B15" s="63" t="s">
        <v>143</v>
      </c>
      <c r="D15" s="2" t="s">
        <v>99</v>
      </c>
      <c r="H15" s="42">
        <f t="shared" ref="H15:H20" si="0">SUM(J15:O15,Q15:R15)</f>
        <v>0</v>
      </c>
      <c r="J15" s="58"/>
      <c r="K15" s="60"/>
      <c r="L15" s="60"/>
      <c r="M15" s="60"/>
      <c r="N15" s="60"/>
      <c r="O15" s="60"/>
      <c r="Q15" s="60"/>
      <c r="R15" s="60"/>
    </row>
    <row r="16" spans="2:20" x14ac:dyDescent="0.2">
      <c r="B16" s="63" t="s">
        <v>144</v>
      </c>
      <c r="D16" s="2" t="s">
        <v>232</v>
      </c>
      <c r="H16" s="42">
        <f t="shared" si="0"/>
        <v>0</v>
      </c>
      <c r="J16" s="58"/>
      <c r="K16" s="60"/>
      <c r="L16" s="60"/>
      <c r="M16" s="60"/>
      <c r="N16" s="60"/>
      <c r="O16" s="60"/>
      <c r="Q16" s="58"/>
      <c r="R16" s="58"/>
    </row>
    <row r="17" spans="2:18" x14ac:dyDescent="0.2">
      <c r="B17" s="63" t="s">
        <v>145</v>
      </c>
      <c r="D17" s="2" t="s">
        <v>233</v>
      </c>
      <c r="H17" s="42">
        <f t="shared" si="0"/>
        <v>6934666.5112187937</v>
      </c>
      <c r="J17" s="41">
        <f>'6) Berekening verschil'!J33</f>
        <v>1053982.9900185114</v>
      </c>
      <c r="K17" s="60"/>
      <c r="L17" s="60"/>
      <c r="M17" s="60"/>
      <c r="N17" s="60"/>
      <c r="O17" s="60"/>
      <c r="Q17" s="58"/>
      <c r="R17" s="41">
        <f>'6) Berekening verschil'!R33</f>
        <v>5880683.5212002825</v>
      </c>
    </row>
    <row r="18" spans="2:18" x14ac:dyDescent="0.2">
      <c r="B18" s="63" t="s">
        <v>146</v>
      </c>
      <c r="D18" s="2" t="s">
        <v>234</v>
      </c>
      <c r="H18" s="42">
        <f t="shared" si="0"/>
        <v>17532795.343255401</v>
      </c>
      <c r="J18" s="41">
        <f>'6) Berekening verschil'!J34</f>
        <v>3024382.7460892354</v>
      </c>
      <c r="K18" s="60"/>
      <c r="L18" s="60"/>
      <c r="M18" s="60"/>
      <c r="N18" s="60"/>
      <c r="O18" s="60"/>
      <c r="Q18" s="41">
        <f>'6) Berekening verschil'!Q34</f>
        <v>6991293.5806895578</v>
      </c>
      <c r="R18" s="41">
        <f>'6) Berekening verschil'!R34</f>
        <v>7517119.0164766051</v>
      </c>
    </row>
    <row r="19" spans="2:18" x14ac:dyDescent="0.2">
      <c r="B19" s="63" t="s">
        <v>147</v>
      </c>
      <c r="D19" s="2" t="s">
        <v>235</v>
      </c>
      <c r="H19" s="42">
        <f t="shared" si="0"/>
        <v>23671536.350227319</v>
      </c>
      <c r="J19" s="41">
        <f>'6) Berekening verschil'!J35</f>
        <v>3064129.6203561737</v>
      </c>
      <c r="K19" s="60"/>
      <c r="L19" s="60"/>
      <c r="M19" s="60"/>
      <c r="N19" s="60"/>
      <c r="O19" s="60"/>
      <c r="Q19" s="41">
        <f>'6) Berekening verschil'!Q35</f>
        <v>12991496.651058314</v>
      </c>
      <c r="R19" s="41">
        <f>'6) Berekening verschil'!R35</f>
        <v>7615910.0788128302</v>
      </c>
    </row>
    <row r="20" spans="2:18" x14ac:dyDescent="0.2">
      <c r="B20" s="63" t="s">
        <v>148</v>
      </c>
      <c r="D20" s="2" t="s">
        <v>236</v>
      </c>
      <c r="H20" s="42">
        <f t="shared" si="0"/>
        <v>23982631.095174648</v>
      </c>
      <c r="J20" s="41">
        <f>'6) Berekening verschil'!J36</f>
        <v>3104398.8537775655</v>
      </c>
      <c r="K20" s="60"/>
      <c r="L20" s="60"/>
      <c r="M20" s="60"/>
      <c r="N20" s="60"/>
      <c r="O20" s="60"/>
      <c r="Q20" s="41">
        <f>'6) Berekening verschil'!Q36</f>
        <v>13162232.773857808</v>
      </c>
      <c r="R20" s="41">
        <f>'6) Berekening verschil'!R36</f>
        <v>7715999.467539276</v>
      </c>
    </row>
    <row r="21" spans="2:18" x14ac:dyDescent="0.2">
      <c r="B21" s="59"/>
    </row>
    <row r="22" spans="2:18" s="7" customFormat="1" x14ac:dyDescent="0.2">
      <c r="B22" s="7" t="s">
        <v>152</v>
      </c>
    </row>
    <row r="24" spans="2:18" x14ac:dyDescent="0.2">
      <c r="B24" s="63" t="s">
        <v>125</v>
      </c>
      <c r="D24" s="64" t="s">
        <v>99</v>
      </c>
      <c r="H24" s="42">
        <f t="shared" ref="H24:H29" si="1">SUM(J24:O24,Q24:R24)</f>
        <v>0</v>
      </c>
      <c r="J24" s="58"/>
      <c r="K24" s="60"/>
      <c r="L24" s="60"/>
      <c r="M24" s="60"/>
      <c r="N24" s="60"/>
      <c r="O24" s="60"/>
      <c r="Q24" s="60"/>
      <c r="R24" s="60"/>
    </row>
    <row r="25" spans="2:18" x14ac:dyDescent="0.2">
      <c r="B25" s="63" t="s">
        <v>126</v>
      </c>
      <c r="D25" s="64" t="s">
        <v>232</v>
      </c>
      <c r="H25" s="42">
        <f t="shared" si="1"/>
        <v>0</v>
      </c>
      <c r="J25" s="58"/>
      <c r="K25" s="60"/>
      <c r="L25" s="60"/>
      <c r="M25" s="60"/>
      <c r="N25" s="60"/>
      <c r="O25" s="60"/>
      <c r="Q25" s="58"/>
      <c r="R25" s="58"/>
    </row>
    <row r="26" spans="2:18" x14ac:dyDescent="0.2">
      <c r="B26" s="63" t="s">
        <v>127</v>
      </c>
      <c r="D26" s="64" t="s">
        <v>233</v>
      </c>
      <c r="H26" s="42">
        <f t="shared" si="1"/>
        <v>1352490.5644561651</v>
      </c>
      <c r="J26" s="41">
        <f>'7) Correctie kapitaalkosten'!J90</f>
        <v>420736.69077577867</v>
      </c>
      <c r="K26" s="60"/>
      <c r="L26" s="60"/>
      <c r="M26" s="60"/>
      <c r="N26" s="60"/>
      <c r="O26" s="60"/>
      <c r="Q26" s="58"/>
      <c r="R26" s="41">
        <f>'7) Correctie kapitaalkosten'!R90</f>
        <v>931753.87368038646</v>
      </c>
    </row>
    <row r="27" spans="2:18" x14ac:dyDescent="0.2">
      <c r="B27" s="63" t="s">
        <v>128</v>
      </c>
      <c r="D27" s="64" t="s">
        <v>234</v>
      </c>
      <c r="H27" s="42">
        <f t="shared" si="1"/>
        <v>3682625.4925099751</v>
      </c>
      <c r="J27" s="41">
        <f>'7) Correctie kapitaalkosten'!J91</f>
        <v>453086.40507851151</v>
      </c>
      <c r="K27" s="60"/>
      <c r="L27" s="60"/>
      <c r="M27" s="60"/>
      <c r="N27" s="60"/>
      <c r="O27" s="60"/>
      <c r="Q27" s="41">
        <f>'7) Correctie kapitaalkosten'!Q91</f>
        <v>2284179.1931286091</v>
      </c>
      <c r="R27" s="41">
        <f>'7) Correctie kapitaalkosten'!R91</f>
        <v>945359.89430285443</v>
      </c>
    </row>
    <row r="28" spans="2:18" x14ac:dyDescent="0.2">
      <c r="B28" s="63" t="s">
        <v>129</v>
      </c>
      <c r="D28" s="64" t="s">
        <v>235</v>
      </c>
      <c r="H28" s="42">
        <f t="shared" si="1"/>
        <v>3778793.6579777263</v>
      </c>
      <c r="J28" s="41">
        <f>'7) Correctie kapitaalkosten'!J92</f>
        <v>449718.75182907487</v>
      </c>
      <c r="K28" s="60"/>
      <c r="L28" s="60"/>
      <c r="M28" s="60"/>
      <c r="N28" s="60"/>
      <c r="O28" s="60"/>
      <c r="Q28" s="41">
        <f>'7) Correctie kapitaalkosten'!Q92</f>
        <v>2390872.5090929875</v>
      </c>
      <c r="R28" s="41">
        <f>'7) Correctie kapitaalkosten'!R92</f>
        <v>938202.39705566422</v>
      </c>
    </row>
    <row r="29" spans="2:18" x14ac:dyDescent="0.2">
      <c r="B29" s="63" t="s">
        <v>130</v>
      </c>
      <c r="D29" s="64" t="s">
        <v>236</v>
      </c>
      <c r="H29" s="42">
        <f t="shared" si="1"/>
        <v>3750396.3418141375</v>
      </c>
      <c r="J29" s="41">
        <f>'7) Correctie kapitaalkosten'!J93</f>
        <v>446289.3674976505</v>
      </c>
      <c r="K29" s="60"/>
      <c r="L29" s="60"/>
      <c r="M29" s="60"/>
      <c r="N29" s="60"/>
      <c r="O29" s="60"/>
      <c r="Q29" s="41">
        <f>'7) Correctie kapitaalkosten'!Q93</f>
        <v>2373192.5529785813</v>
      </c>
      <c r="R29" s="41">
        <f>'7) Correctie kapitaalkosten'!R93</f>
        <v>930914.42133790581</v>
      </c>
    </row>
    <row r="31" spans="2:18" s="7" customFormat="1" x14ac:dyDescent="0.2">
      <c r="B31" s="7" t="s">
        <v>131</v>
      </c>
    </row>
    <row r="33" spans="2:18" x14ac:dyDescent="0.2">
      <c r="B33" s="2" t="s">
        <v>250</v>
      </c>
      <c r="D33" s="64" t="s">
        <v>99</v>
      </c>
      <c r="H33" s="42">
        <f t="shared" ref="H33:H38" si="2">SUM(J33:O33,Q33:R33)</f>
        <v>0</v>
      </c>
      <c r="J33" s="60"/>
      <c r="K33" s="60"/>
      <c r="L33" s="60"/>
      <c r="M33" s="60"/>
      <c r="N33" s="60"/>
      <c r="O33" s="60"/>
      <c r="Q33" s="58"/>
      <c r="R33" s="58"/>
    </row>
    <row r="34" spans="2:18" x14ac:dyDescent="0.2">
      <c r="B34" s="2" t="s">
        <v>251</v>
      </c>
      <c r="D34" s="64" t="s">
        <v>232</v>
      </c>
      <c r="H34" s="42">
        <f t="shared" si="2"/>
        <v>0</v>
      </c>
      <c r="J34" s="60"/>
      <c r="K34" s="60"/>
      <c r="L34" s="60"/>
      <c r="M34" s="60"/>
      <c r="N34" s="60"/>
      <c r="O34" s="60"/>
      <c r="Q34" s="58"/>
      <c r="R34" s="58"/>
    </row>
    <row r="35" spans="2:18" x14ac:dyDescent="0.2">
      <c r="B35" s="2" t="s">
        <v>252</v>
      </c>
      <c r="D35" s="64" t="s">
        <v>233</v>
      </c>
      <c r="H35" s="42">
        <f t="shared" si="2"/>
        <v>5582175.9467626289</v>
      </c>
      <c r="J35" s="31">
        <f>J17-J26</f>
        <v>633246.29924273281</v>
      </c>
      <c r="K35" s="34">
        <f>R17-R26</f>
        <v>4948929.6475198958</v>
      </c>
      <c r="L35" s="60"/>
      <c r="M35" s="60"/>
      <c r="N35" s="60"/>
      <c r="O35" s="60"/>
      <c r="Q35" s="58"/>
      <c r="R35" s="58"/>
    </row>
    <row r="36" spans="2:18" x14ac:dyDescent="0.2">
      <c r="B36" s="2" t="s">
        <v>253</v>
      </c>
      <c r="D36" s="64" t="s">
        <v>234</v>
      </c>
      <c r="H36" s="42">
        <f t="shared" si="2"/>
        <v>13850169.850745423</v>
      </c>
      <c r="J36" s="31">
        <f t="shared" ref="J36:J38" si="3">J18-J27</f>
        <v>2571296.3410107237</v>
      </c>
      <c r="K36" s="34">
        <f t="shared" ref="K36:K38" si="4">R18-R27</f>
        <v>6571759.1221737508</v>
      </c>
      <c r="L36" s="60"/>
      <c r="M36" s="60"/>
      <c r="N36" s="34">
        <f>Q18-Q27</f>
        <v>4707114.3875609487</v>
      </c>
      <c r="O36" s="60"/>
      <c r="Q36" s="58"/>
      <c r="R36" s="58"/>
    </row>
    <row r="37" spans="2:18" x14ac:dyDescent="0.2">
      <c r="B37" s="2" t="s">
        <v>254</v>
      </c>
      <c r="D37" s="64" t="s">
        <v>235</v>
      </c>
      <c r="H37" s="42">
        <f t="shared" si="2"/>
        <v>19892742.692249589</v>
      </c>
      <c r="J37" s="31">
        <f t="shared" si="3"/>
        <v>2614410.868527099</v>
      </c>
      <c r="K37" s="34">
        <f t="shared" si="4"/>
        <v>6677707.6817571661</v>
      </c>
      <c r="L37" s="60"/>
      <c r="M37" s="60"/>
      <c r="N37" s="34">
        <f>Q19-Q28</f>
        <v>10600624.141965326</v>
      </c>
      <c r="O37" s="60"/>
      <c r="Q37" s="58"/>
      <c r="R37" s="58"/>
    </row>
    <row r="38" spans="2:18" x14ac:dyDescent="0.2">
      <c r="B38" s="2" t="s">
        <v>255</v>
      </c>
      <c r="D38" s="64" t="s">
        <v>236</v>
      </c>
      <c r="H38" s="42">
        <f t="shared" si="2"/>
        <v>20232234.753360514</v>
      </c>
      <c r="J38" s="31">
        <f t="shared" si="3"/>
        <v>2658109.4862799151</v>
      </c>
      <c r="K38" s="34">
        <f t="shared" si="4"/>
        <v>6785085.0462013707</v>
      </c>
      <c r="L38" s="60"/>
      <c r="M38" s="60"/>
      <c r="N38" s="101">
        <f>Q20-Q29</f>
        <v>10789040.220879227</v>
      </c>
      <c r="O38" s="60"/>
      <c r="Q38" s="58"/>
      <c r="R38" s="58"/>
    </row>
    <row r="41" spans="2:18" x14ac:dyDescent="0.2">
      <c r="J41" s="98"/>
    </row>
    <row r="43" spans="2:18" x14ac:dyDescent="0.2">
      <c r="J43" s="99"/>
    </row>
  </sheetData>
  <mergeCells count="2">
    <mergeCell ref="B5:D5"/>
    <mergeCell ref="B8:D8"/>
  </mergeCells>
  <phoneticPr fontId="32" type="noConversion"/>
  <conditionalFormatting sqref="N5:O5">
    <cfRule type="cellIs" dxfId="1" priority="1" stopIfTrue="1" operator="notEqual">
      <formula>""</formula>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
  <sheetViews>
    <sheetView showGridLines="0" zoomScale="85" zoomScaleNormal="85" workbookViewId="0"/>
  </sheetViews>
  <sheetFormatPr defaultRowHeight="12.75" x14ac:dyDescent="0.2"/>
  <cols>
    <col min="1" max="16384" width="9.140625" style="21"/>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1FFE1"/>
  </sheetPr>
  <dimension ref="B2:AE52"/>
  <sheetViews>
    <sheetView showGridLines="0" zoomScale="85" zoomScaleNormal="85" workbookViewId="0">
      <pane xSplit="4" ySplit="8" topLeftCell="E9" activePane="bottomRight" state="frozen"/>
      <selection activeCell="O39" sqref="O39"/>
      <selection pane="topRight" activeCell="O39" sqref="O39"/>
      <selection pane="bottomLeft" activeCell="O39" sqref="O39"/>
      <selection pane="bottomRight" activeCell="E9" sqref="E9"/>
    </sheetView>
  </sheetViews>
  <sheetFormatPr defaultRowHeight="12.75" x14ac:dyDescent="0.2"/>
  <cols>
    <col min="1" max="1" width="2.7109375" style="2" customWidth="1"/>
    <col min="2" max="2" width="53.5703125" style="2" customWidth="1"/>
    <col min="3" max="3" width="2.7109375" style="2" customWidth="1"/>
    <col min="4" max="4" width="13.7109375" style="2" customWidth="1"/>
    <col min="5" max="5" width="2.7109375" style="2" customWidth="1"/>
    <col min="6" max="6" width="13.7109375" style="2" customWidth="1"/>
    <col min="7" max="7" width="2.7109375" style="2" customWidth="1"/>
    <col min="8" max="8" width="13.7109375" style="2" customWidth="1"/>
    <col min="9" max="9" width="2.7109375" style="2" customWidth="1"/>
    <col min="10" max="10" width="12.5703125" style="2" customWidth="1"/>
    <col min="11" max="13" width="14" style="2" bestFit="1" customWidth="1"/>
    <col min="14" max="14" width="15" style="2" bestFit="1" customWidth="1"/>
    <col min="15" max="15" width="14" style="2" bestFit="1" customWidth="1"/>
    <col min="16" max="21" width="12.5703125" style="2" customWidth="1"/>
    <col min="22" max="22" width="2.5703125" style="2" customWidth="1"/>
    <col min="23" max="23" width="14" style="2" customWidth="1"/>
    <col min="24" max="24" width="2.7109375" style="2" customWidth="1"/>
    <col min="25" max="25" width="13.7109375" style="2" customWidth="1"/>
    <col min="26" max="26" width="2.7109375" style="2" customWidth="1"/>
    <col min="27" max="41" width="13.7109375" style="2" customWidth="1"/>
    <col min="42" max="16384" width="9.140625" style="2"/>
  </cols>
  <sheetData>
    <row r="2" spans="2:31" s="18" customFormat="1" ht="18" x14ac:dyDescent="0.2">
      <c r="B2" s="18" t="s">
        <v>190</v>
      </c>
    </row>
    <row r="4" spans="2:31" x14ac:dyDescent="0.2">
      <c r="B4" s="28" t="s">
        <v>30</v>
      </c>
      <c r="J4"/>
    </row>
    <row r="5" spans="2:31" x14ac:dyDescent="0.2">
      <c r="B5" s="23" t="s">
        <v>157</v>
      </c>
      <c r="F5" s="19"/>
      <c r="N5" s="50"/>
      <c r="O5" s="50"/>
    </row>
    <row r="7" spans="2:31" s="7" customFormat="1" x14ac:dyDescent="0.2">
      <c r="B7" s="7" t="s">
        <v>46</v>
      </c>
      <c r="D7" s="7" t="s">
        <v>28</v>
      </c>
      <c r="F7" s="7" t="s">
        <v>29</v>
      </c>
      <c r="H7" s="7" t="s">
        <v>49</v>
      </c>
      <c r="J7" s="91">
        <v>2015</v>
      </c>
      <c r="K7" s="91">
        <v>2016</v>
      </c>
      <c r="L7" s="91">
        <v>2017</v>
      </c>
      <c r="M7" s="91">
        <v>2018</v>
      </c>
      <c r="N7" s="91">
        <v>2019</v>
      </c>
      <c r="O7" s="91">
        <v>2020</v>
      </c>
      <c r="P7" s="91">
        <v>2021</v>
      </c>
      <c r="Q7" s="91">
        <v>2022</v>
      </c>
      <c r="R7" s="91">
        <v>2023</v>
      </c>
      <c r="S7" s="91">
        <v>2024</v>
      </c>
      <c r="T7" s="91">
        <v>2025</v>
      </c>
      <c r="U7" s="91">
        <v>2026</v>
      </c>
      <c r="W7" s="7" t="s">
        <v>47</v>
      </c>
      <c r="Y7" s="7" t="s">
        <v>48</v>
      </c>
    </row>
    <row r="10" spans="2:31" s="7" customFormat="1" x14ac:dyDescent="0.2">
      <c r="B10" s="7" t="s">
        <v>94</v>
      </c>
    </row>
    <row r="12" spans="2:31" x14ac:dyDescent="0.2">
      <c r="B12" s="43" t="s">
        <v>94</v>
      </c>
      <c r="C12" s="45"/>
      <c r="D12" s="45"/>
      <c r="E12" s="45"/>
      <c r="F12" s="45"/>
      <c r="G12" s="45"/>
      <c r="H12" s="45"/>
      <c r="I12" s="45"/>
      <c r="J12" s="45"/>
    </row>
    <row r="13" spans="2:31" x14ac:dyDescent="0.2">
      <c r="B13" s="48" t="s">
        <v>215</v>
      </c>
      <c r="C13" s="45"/>
      <c r="D13" s="45" t="s">
        <v>91</v>
      </c>
      <c r="E13" s="45"/>
      <c r="G13" s="45"/>
      <c r="I13" s="45"/>
      <c r="J13" s="45"/>
      <c r="K13" s="46">
        <v>8.0000000000000002E-3</v>
      </c>
      <c r="L13" s="46">
        <v>2E-3</v>
      </c>
      <c r="M13" s="46">
        <v>1.4E-2</v>
      </c>
      <c r="N13" s="46">
        <v>2.1000000000000001E-2</v>
      </c>
      <c r="O13" s="46">
        <v>2.8000000000000001E-2</v>
      </c>
      <c r="P13" s="46">
        <v>7.0000000000000001E-3</v>
      </c>
      <c r="Q13" s="46">
        <v>1.7999999999999999E-2</v>
      </c>
      <c r="R13" s="46">
        <v>1.7999999999999999E-2</v>
      </c>
      <c r="S13" s="46">
        <v>1.7999999999999999E-2</v>
      </c>
      <c r="T13" s="46">
        <v>1.7999999999999999E-2</v>
      </c>
      <c r="U13" s="46">
        <v>1.7999999999999999E-2</v>
      </c>
      <c r="W13" s="2" t="s">
        <v>184</v>
      </c>
    </row>
    <row r="14" spans="2:31" x14ac:dyDescent="0.2">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row>
    <row r="15" spans="2:31" x14ac:dyDescent="0.2">
      <c r="B15" s="45" t="s">
        <v>216</v>
      </c>
      <c r="C15" s="45"/>
      <c r="D15" s="45" t="s">
        <v>91</v>
      </c>
      <c r="E15" s="45"/>
      <c r="F15" s="45"/>
      <c r="G15" s="45"/>
      <c r="H15" s="51"/>
      <c r="I15" s="51"/>
      <c r="J15" s="52">
        <f>K$13</f>
        <v>8.0000000000000002E-3</v>
      </c>
      <c r="K15" s="12"/>
      <c r="L15" s="12"/>
      <c r="M15" s="12"/>
      <c r="N15" s="12"/>
      <c r="O15" s="12"/>
      <c r="P15" s="12"/>
      <c r="Q15" s="12"/>
      <c r="R15" s="12"/>
      <c r="S15" s="12"/>
      <c r="T15" s="12"/>
      <c r="U15" s="12"/>
    </row>
    <row r="16" spans="2:31" x14ac:dyDescent="0.2">
      <c r="B16" s="45" t="s">
        <v>217</v>
      </c>
      <c r="C16" s="45"/>
      <c r="D16" s="45"/>
      <c r="E16" s="45"/>
      <c r="F16" s="45"/>
      <c r="G16" s="45"/>
      <c r="H16" s="51"/>
      <c r="I16" s="51"/>
      <c r="J16" s="54">
        <f>(1+J15)*(1+$L13)-1</f>
        <v>1.0016000000000025E-2</v>
      </c>
      <c r="K16" s="52">
        <f>L$13</f>
        <v>2E-3</v>
      </c>
      <c r="L16" s="12"/>
      <c r="M16" s="12"/>
      <c r="N16" s="12"/>
      <c r="O16" s="12"/>
      <c r="P16" s="12"/>
      <c r="Q16" s="12"/>
      <c r="R16" s="12"/>
      <c r="S16" s="12"/>
      <c r="T16" s="12"/>
      <c r="U16" s="12"/>
    </row>
    <row r="17" spans="2:25" x14ac:dyDescent="0.2">
      <c r="B17" s="45" t="s">
        <v>218</v>
      </c>
      <c r="C17" s="45"/>
      <c r="D17" s="45"/>
      <c r="E17" s="45"/>
      <c r="F17" s="45"/>
      <c r="G17" s="45"/>
      <c r="H17" s="51"/>
      <c r="I17" s="53"/>
      <c r="J17" s="54">
        <f>(1+J16)*(1+$M13)-1</f>
        <v>2.4156223999999948E-2</v>
      </c>
      <c r="K17" s="54">
        <f>(1+K16)*(1+$M13)-1</f>
        <v>1.6027999999999931E-2</v>
      </c>
      <c r="L17" s="52">
        <f t="shared" ref="L17:T25" si="0">M$13</f>
        <v>1.4E-2</v>
      </c>
      <c r="M17" s="12"/>
      <c r="N17" s="12"/>
      <c r="O17" s="12"/>
      <c r="P17" s="12"/>
      <c r="Q17" s="12"/>
      <c r="R17" s="12"/>
      <c r="S17" s="12"/>
      <c r="T17" s="12"/>
      <c r="U17" s="12"/>
    </row>
    <row r="18" spans="2:25" x14ac:dyDescent="0.2">
      <c r="B18" s="45" t="s">
        <v>219</v>
      </c>
      <c r="C18" s="45"/>
      <c r="D18" s="45"/>
      <c r="E18" s="45"/>
      <c r="F18" s="45"/>
      <c r="G18" s="45"/>
      <c r="H18" s="51"/>
      <c r="I18" s="51"/>
      <c r="J18" s="54">
        <f>(1+J17)*(1+$N13)-1</f>
        <v>4.5663504703999935E-2</v>
      </c>
      <c r="K18" s="54">
        <f t="shared" ref="K18:L18" si="1">(1+K17)*(1+$N13)-1</f>
        <v>3.7364587999999754E-2</v>
      </c>
      <c r="L18" s="54">
        <f t="shared" si="1"/>
        <v>3.5293999999999937E-2</v>
      </c>
      <c r="M18" s="52">
        <f t="shared" si="0"/>
        <v>2.1000000000000001E-2</v>
      </c>
      <c r="N18" s="12"/>
      <c r="O18" s="12"/>
      <c r="P18" s="12"/>
      <c r="Q18" s="12"/>
      <c r="R18" s="12"/>
      <c r="S18" s="12"/>
      <c r="T18" s="12"/>
      <c r="U18" s="12"/>
    </row>
    <row r="19" spans="2:25" x14ac:dyDescent="0.2">
      <c r="B19" s="45" t="s">
        <v>220</v>
      </c>
      <c r="C19" s="45"/>
      <c r="D19" s="45"/>
      <c r="E19" s="45"/>
      <c r="F19" s="45"/>
      <c r="G19" s="45"/>
      <c r="H19" s="51"/>
      <c r="I19" s="51"/>
      <c r="J19" s="54">
        <f>(1+J18)*(1+$O13)-1</f>
        <v>7.494208283571191E-2</v>
      </c>
      <c r="K19" s="54">
        <f t="shared" ref="K19:M19" si="2">(1+K18)*(1+$O13)-1</f>
        <v>6.6410796463999722E-2</v>
      </c>
      <c r="L19" s="54">
        <f t="shared" si="2"/>
        <v>6.428223200000005E-2</v>
      </c>
      <c r="M19" s="54">
        <f t="shared" si="2"/>
        <v>4.9587999999999965E-2</v>
      </c>
      <c r="N19" s="52">
        <f t="shared" si="0"/>
        <v>2.8000000000000001E-2</v>
      </c>
      <c r="O19" s="12"/>
      <c r="P19" s="12"/>
      <c r="Q19" s="12"/>
      <c r="R19" s="12"/>
      <c r="S19" s="12"/>
      <c r="T19" s="12"/>
      <c r="U19" s="12"/>
    </row>
    <row r="20" spans="2:25" x14ac:dyDescent="0.2">
      <c r="B20" s="45" t="s">
        <v>221</v>
      </c>
      <c r="C20" s="45"/>
      <c r="D20" s="45"/>
      <c r="E20" s="45"/>
      <c r="F20" s="45"/>
      <c r="G20" s="45"/>
      <c r="H20" s="51"/>
      <c r="I20" s="51"/>
      <c r="J20" s="54">
        <f>(1+J19)*(1+$P13)-1</f>
        <v>8.2466677415561795E-2</v>
      </c>
      <c r="K20" s="54">
        <f t="shared" ref="K20:N20" si="3">(1+K19)*(1+$P13)-1</f>
        <v>7.3875672039247497E-2</v>
      </c>
      <c r="L20" s="54">
        <f t="shared" si="3"/>
        <v>7.17322076239999E-2</v>
      </c>
      <c r="M20" s="54">
        <f>(1+M19)*(1+$P13)-1</f>
        <v>5.6935115999999786E-2</v>
      </c>
      <c r="N20" s="54">
        <f t="shared" si="3"/>
        <v>3.5196000000000005E-2</v>
      </c>
      <c r="O20" s="52">
        <f t="shared" si="0"/>
        <v>7.0000000000000001E-3</v>
      </c>
      <c r="P20" s="12"/>
      <c r="Q20" s="12"/>
      <c r="R20" s="12"/>
      <c r="S20" s="12"/>
      <c r="T20" s="12"/>
      <c r="U20" s="12"/>
    </row>
    <row r="21" spans="2:25" x14ac:dyDescent="0.2">
      <c r="B21" s="45" t="s">
        <v>222</v>
      </c>
      <c r="C21" s="45"/>
      <c r="D21" s="45"/>
      <c r="E21" s="45"/>
      <c r="F21" s="45"/>
      <c r="G21" s="45"/>
      <c r="H21" s="51"/>
      <c r="I21" s="51"/>
      <c r="J21" s="54">
        <f>(1+J20)*(1+$Q13)-1</f>
        <v>0.10195107760904198</v>
      </c>
      <c r="K21" s="54">
        <f t="shared" ref="K21:O21" si="4">(1+K20)*(1+$Q13)-1</f>
        <v>9.3205434135954057E-2</v>
      </c>
      <c r="L21" s="54">
        <f t="shared" si="4"/>
        <v>9.1023387361231833E-2</v>
      </c>
      <c r="M21" s="54">
        <f t="shared" si="4"/>
        <v>7.5959948087999773E-2</v>
      </c>
      <c r="N21" s="54">
        <f t="shared" si="4"/>
        <v>5.3829528000000071E-2</v>
      </c>
      <c r="O21" s="54">
        <f t="shared" si="4"/>
        <v>2.5125999999999982E-2</v>
      </c>
      <c r="P21" s="52">
        <f t="shared" si="0"/>
        <v>1.7999999999999999E-2</v>
      </c>
      <c r="Q21" s="12"/>
      <c r="R21" s="12"/>
      <c r="S21" s="12"/>
      <c r="T21" s="12"/>
      <c r="U21" s="12"/>
    </row>
    <row r="22" spans="2:25" x14ac:dyDescent="0.2">
      <c r="B22" s="45" t="s">
        <v>223</v>
      </c>
      <c r="C22" s="45"/>
      <c r="D22" s="45"/>
      <c r="E22" s="45"/>
      <c r="F22" s="45"/>
      <c r="G22" s="45"/>
      <c r="H22" s="51"/>
      <c r="I22" s="51"/>
      <c r="J22" s="54">
        <f>(1+J21)*(1+$R13)-1</f>
        <v>0.12178619700600479</v>
      </c>
      <c r="K22" s="54">
        <f t="shared" ref="K22:P22" si="5">(1+K21)*(1+$R13)-1</f>
        <v>0.11288313195040134</v>
      </c>
      <c r="L22" s="54">
        <f t="shared" si="5"/>
        <v>0.11066180833373407</v>
      </c>
      <c r="M22" s="54">
        <f t="shared" si="5"/>
        <v>9.5327227153583882E-2</v>
      </c>
      <c r="N22" s="54">
        <f t="shared" si="5"/>
        <v>7.2798459504000101E-2</v>
      </c>
      <c r="O22" s="54">
        <f t="shared" si="5"/>
        <v>4.3578268000000087E-2</v>
      </c>
      <c r="P22" s="54">
        <f t="shared" si="5"/>
        <v>3.6324000000000023E-2</v>
      </c>
      <c r="Q22" s="52">
        <f t="shared" si="0"/>
        <v>1.7999999999999999E-2</v>
      </c>
      <c r="R22" s="12"/>
      <c r="S22" s="12"/>
      <c r="T22" s="12"/>
      <c r="U22" s="12"/>
    </row>
    <row r="23" spans="2:25" x14ac:dyDescent="0.2">
      <c r="B23" s="45" t="s">
        <v>224</v>
      </c>
      <c r="C23" s="45"/>
      <c r="D23" s="45"/>
      <c r="E23" s="45"/>
      <c r="F23" s="45"/>
      <c r="G23" s="45"/>
      <c r="H23" s="51"/>
      <c r="I23" s="51"/>
      <c r="J23" s="54">
        <f>(1+J22)*(1+$S13)-1</f>
        <v>0.14197834855211289</v>
      </c>
      <c r="K23" s="54">
        <f t="shared" ref="K23:Q23" si="6">(1+K22)*(1+$S13)-1</f>
        <v>0.1329150283255085</v>
      </c>
      <c r="L23" s="54">
        <f t="shared" si="6"/>
        <v>0.13065372088374128</v>
      </c>
      <c r="M23" s="54">
        <f t="shared" si="6"/>
        <v>0.1150431172423485</v>
      </c>
      <c r="N23" s="54">
        <f t="shared" si="6"/>
        <v>9.2108831775072231E-2</v>
      </c>
      <c r="O23" s="54">
        <f t="shared" si="6"/>
        <v>6.2362676824000207E-2</v>
      </c>
      <c r="P23" s="54">
        <f t="shared" si="6"/>
        <v>5.497783200000006E-2</v>
      </c>
      <c r="Q23" s="54">
        <f t="shared" si="6"/>
        <v>3.6324000000000023E-2</v>
      </c>
      <c r="R23" s="52">
        <f t="shared" si="0"/>
        <v>1.7999999999999999E-2</v>
      </c>
      <c r="S23" s="12"/>
      <c r="T23" s="12"/>
      <c r="U23" s="12"/>
    </row>
    <row r="24" spans="2:25" x14ac:dyDescent="0.2">
      <c r="B24" s="45" t="s">
        <v>225</v>
      </c>
      <c r="C24" s="45"/>
      <c r="D24" s="45"/>
      <c r="E24" s="45"/>
      <c r="F24" s="45"/>
      <c r="G24" s="45"/>
      <c r="H24" s="51"/>
      <c r="I24" s="51"/>
      <c r="J24" s="54">
        <f>(1+J23)*(1+$T13)-1</f>
        <v>0.16253395882605104</v>
      </c>
      <c r="K24" s="54">
        <f t="shared" ref="K24:R24" si="7">(1+K23)*(1+$T13)-1</f>
        <v>0.15330749883536776</v>
      </c>
      <c r="L24" s="54">
        <f t="shared" si="7"/>
        <v>0.15100548785964873</v>
      </c>
      <c r="M24" s="54">
        <f t="shared" si="7"/>
        <v>0.13511389335271073</v>
      </c>
      <c r="N24" s="54">
        <f t="shared" si="7"/>
        <v>0.11176679074702345</v>
      </c>
      <c r="O24" s="54">
        <f t="shared" si="7"/>
        <v>8.1485205006832206E-2</v>
      </c>
      <c r="P24" s="54">
        <f t="shared" si="7"/>
        <v>7.3967432976000058E-2</v>
      </c>
      <c r="Q24" s="54">
        <f t="shared" si="7"/>
        <v>5.497783200000006E-2</v>
      </c>
      <c r="R24" s="54">
        <f t="shared" si="7"/>
        <v>3.6324000000000023E-2</v>
      </c>
      <c r="S24" s="52">
        <f t="shared" si="0"/>
        <v>1.7999999999999999E-2</v>
      </c>
      <c r="T24" s="12"/>
      <c r="U24" s="12"/>
    </row>
    <row r="25" spans="2:25" x14ac:dyDescent="0.2">
      <c r="B25" s="45" t="s">
        <v>226</v>
      </c>
      <c r="C25" s="45"/>
      <c r="D25" s="45"/>
      <c r="E25" s="45"/>
      <c r="F25" s="45"/>
      <c r="G25" s="45"/>
      <c r="H25" s="51"/>
      <c r="I25" s="51"/>
      <c r="J25" s="54">
        <f>(1+J24)*(1+$U13)-1</f>
        <v>0.18345957008491998</v>
      </c>
      <c r="K25" s="54">
        <f t="shared" ref="K25:S25" si="8">(1+K24)*(1+$U13)-1</f>
        <v>0.17406703381440436</v>
      </c>
      <c r="L25" s="54">
        <f t="shared" si="8"/>
        <v>0.17172358664112242</v>
      </c>
      <c r="M25" s="54">
        <f t="shared" si="8"/>
        <v>0.1555459434330595</v>
      </c>
      <c r="N25" s="54">
        <f t="shared" si="8"/>
        <v>0.13177859298046979</v>
      </c>
      <c r="O25" s="54">
        <f t="shared" si="8"/>
        <v>0.10095193869695529</v>
      </c>
      <c r="P25" s="54">
        <f t="shared" si="8"/>
        <v>9.3298846769568122E-2</v>
      </c>
      <c r="Q25" s="54">
        <f t="shared" si="8"/>
        <v>7.3967432976000058E-2</v>
      </c>
      <c r="R25" s="54">
        <f t="shared" si="8"/>
        <v>5.497783200000006E-2</v>
      </c>
      <c r="S25" s="54">
        <f t="shared" si="8"/>
        <v>3.6324000000000023E-2</v>
      </c>
      <c r="T25" s="52">
        <f t="shared" si="0"/>
        <v>1.7999999999999999E-2</v>
      </c>
      <c r="U25" s="12"/>
    </row>
    <row r="26" spans="2:25" ht="12" customHeight="1" x14ac:dyDescent="0.2"/>
    <row r="27" spans="2:25" s="7" customFormat="1" x14ac:dyDescent="0.2">
      <c r="B27" s="7" t="s">
        <v>256</v>
      </c>
    </row>
    <row r="28" spans="2:25" ht="12" customHeight="1" x14ac:dyDescent="0.2"/>
    <row r="29" spans="2:25" ht="12" customHeight="1" x14ac:dyDescent="0.2">
      <c r="B29" s="43" t="s">
        <v>94</v>
      </c>
      <c r="C29" s="45"/>
      <c r="D29" s="45"/>
      <c r="E29" s="45"/>
      <c r="F29" s="45"/>
      <c r="G29" s="45"/>
      <c r="H29" s="45"/>
      <c r="I29" s="45"/>
      <c r="J29" s="45"/>
    </row>
    <row r="30" spans="2:25" ht="12" customHeight="1" x14ac:dyDescent="0.2">
      <c r="B30" s="48" t="s">
        <v>215</v>
      </c>
      <c r="C30" s="45"/>
      <c r="D30" s="45" t="s">
        <v>91</v>
      </c>
      <c r="E30" s="45"/>
      <c r="G30" s="45"/>
      <c r="I30" s="45"/>
      <c r="J30" s="45"/>
      <c r="K30" s="46">
        <v>8.0000000000000002E-3</v>
      </c>
      <c r="L30" s="46">
        <v>2E-3</v>
      </c>
      <c r="M30" s="46">
        <v>1.4E-2</v>
      </c>
      <c r="N30" s="46">
        <v>2.1000000000000001E-2</v>
      </c>
      <c r="O30" s="46">
        <v>2.8000000000000001E-2</v>
      </c>
      <c r="P30" s="46">
        <v>7.0000000000000001E-3</v>
      </c>
      <c r="Q30" s="95">
        <f>0.9%</f>
        <v>9.0000000000000011E-3</v>
      </c>
      <c r="R30" s="95">
        <f t="shared" ref="R30:U30" si="9">0.9%</f>
        <v>9.0000000000000011E-3</v>
      </c>
      <c r="S30" s="95">
        <f t="shared" si="9"/>
        <v>9.0000000000000011E-3</v>
      </c>
      <c r="T30" s="95">
        <f t="shared" si="9"/>
        <v>9.0000000000000011E-3</v>
      </c>
      <c r="U30" s="95">
        <f t="shared" si="9"/>
        <v>9.0000000000000011E-3</v>
      </c>
      <c r="Y30" s="2" t="s">
        <v>257</v>
      </c>
    </row>
    <row r="31" spans="2:25" ht="12" customHeight="1" x14ac:dyDescent="0.2">
      <c r="B31" s="45"/>
      <c r="C31" s="45"/>
      <c r="D31" s="45"/>
      <c r="E31" s="45"/>
      <c r="F31" s="45"/>
      <c r="G31" s="45"/>
      <c r="H31" s="45"/>
      <c r="I31" s="45"/>
      <c r="J31" s="45"/>
      <c r="K31" s="45"/>
      <c r="L31" s="45"/>
      <c r="M31" s="45"/>
      <c r="N31" s="45"/>
      <c r="O31" s="45"/>
      <c r="P31" s="45"/>
      <c r="Q31" s="45"/>
      <c r="R31" s="45"/>
      <c r="S31" s="45"/>
      <c r="T31" s="45"/>
      <c r="U31" s="45"/>
    </row>
    <row r="32" spans="2:25" ht="12" customHeight="1" x14ac:dyDescent="0.2">
      <c r="B32" s="45" t="s">
        <v>216</v>
      </c>
      <c r="C32" s="45"/>
      <c r="D32" s="45" t="s">
        <v>91</v>
      </c>
      <c r="E32" s="45"/>
      <c r="F32" s="45"/>
      <c r="G32" s="45"/>
      <c r="H32" s="51"/>
      <c r="I32" s="51"/>
      <c r="J32" s="52">
        <f>K$13</f>
        <v>8.0000000000000002E-3</v>
      </c>
      <c r="K32" s="12"/>
      <c r="L32" s="12"/>
      <c r="M32" s="12"/>
      <c r="N32" s="12"/>
      <c r="O32" s="12"/>
      <c r="P32" s="12"/>
      <c r="Q32" s="12"/>
      <c r="R32" s="12"/>
      <c r="S32" s="12"/>
      <c r="T32" s="12"/>
      <c r="U32" s="12"/>
    </row>
    <row r="33" spans="2:23" ht="12" customHeight="1" x14ac:dyDescent="0.2">
      <c r="B33" s="45" t="s">
        <v>217</v>
      </c>
      <c r="C33" s="45"/>
      <c r="D33" s="45"/>
      <c r="E33" s="45"/>
      <c r="F33" s="45"/>
      <c r="G33" s="45"/>
      <c r="H33" s="51"/>
      <c r="I33" s="51"/>
      <c r="J33" s="54">
        <f>(1+J32)*(1+$L30)-1</f>
        <v>1.0016000000000025E-2</v>
      </c>
      <c r="K33" s="52">
        <f>L$30</f>
        <v>2E-3</v>
      </c>
      <c r="L33" s="12"/>
      <c r="M33" s="12"/>
      <c r="N33" s="12"/>
      <c r="O33" s="12"/>
      <c r="P33" s="12"/>
      <c r="Q33" s="12"/>
      <c r="R33" s="12"/>
      <c r="S33" s="12"/>
      <c r="T33" s="12"/>
      <c r="U33" s="12"/>
    </row>
    <row r="34" spans="2:23" ht="12" customHeight="1" x14ac:dyDescent="0.2">
      <c r="B34" s="45" t="s">
        <v>218</v>
      </c>
      <c r="C34" s="45"/>
      <c r="D34" s="45"/>
      <c r="E34" s="45"/>
      <c r="F34" s="45"/>
      <c r="G34" s="45"/>
      <c r="H34" s="51"/>
      <c r="I34" s="53"/>
      <c r="J34" s="54">
        <f>(1+J33)*(1+$M30)-1</f>
        <v>2.4156223999999948E-2</v>
      </c>
      <c r="K34" s="54">
        <f>(1+K33)*(1+$M30)-1</f>
        <v>1.6027999999999931E-2</v>
      </c>
      <c r="L34" s="52">
        <f>M$30</f>
        <v>1.4E-2</v>
      </c>
      <c r="M34" s="12"/>
      <c r="N34" s="12"/>
      <c r="O34" s="12"/>
      <c r="P34" s="12"/>
      <c r="Q34" s="12"/>
      <c r="R34" s="12"/>
      <c r="S34" s="12"/>
      <c r="T34" s="12"/>
      <c r="U34" s="12"/>
    </row>
    <row r="35" spans="2:23" ht="12" customHeight="1" x14ac:dyDescent="0.2">
      <c r="B35" s="45" t="s">
        <v>219</v>
      </c>
      <c r="C35" s="45"/>
      <c r="D35" s="45"/>
      <c r="E35" s="45"/>
      <c r="F35" s="45"/>
      <c r="G35" s="45"/>
      <c r="H35" s="51"/>
      <c r="I35" s="51"/>
      <c r="J35" s="54">
        <f>(1+J34)*(1+$N30)-1</f>
        <v>4.5663504703999935E-2</v>
      </c>
      <c r="K35" s="54">
        <f t="shared" ref="K35:L35" si="10">(1+K34)*(1+$N30)-1</f>
        <v>3.7364587999999754E-2</v>
      </c>
      <c r="L35" s="54">
        <f t="shared" si="10"/>
        <v>3.5293999999999937E-2</v>
      </c>
      <c r="M35" s="52">
        <f>N$30</f>
        <v>2.1000000000000001E-2</v>
      </c>
      <c r="N35" s="12"/>
      <c r="O35" s="12"/>
      <c r="P35" s="12"/>
      <c r="Q35" s="12"/>
      <c r="R35" s="12"/>
      <c r="S35" s="12"/>
      <c r="T35" s="12"/>
      <c r="U35" s="12"/>
    </row>
    <row r="36" spans="2:23" ht="12" customHeight="1" x14ac:dyDescent="0.2">
      <c r="B36" s="45" t="s">
        <v>220</v>
      </c>
      <c r="C36" s="45"/>
      <c r="D36" s="45"/>
      <c r="E36" s="45"/>
      <c r="F36" s="45"/>
      <c r="G36" s="45"/>
      <c r="H36" s="51"/>
      <c r="I36" s="51"/>
      <c r="J36" s="54">
        <f>(1+J35)*(1+$O30)-1</f>
        <v>7.494208283571191E-2</v>
      </c>
      <c r="K36" s="54">
        <f t="shared" ref="K36:M36" si="11">(1+K35)*(1+$O30)-1</f>
        <v>6.6410796463999722E-2</v>
      </c>
      <c r="L36" s="54">
        <f t="shared" si="11"/>
        <v>6.428223200000005E-2</v>
      </c>
      <c r="M36" s="54">
        <f t="shared" si="11"/>
        <v>4.9587999999999965E-2</v>
      </c>
      <c r="N36" s="52">
        <f>O$30</f>
        <v>2.8000000000000001E-2</v>
      </c>
      <c r="O36" s="12"/>
      <c r="P36" s="12"/>
      <c r="Q36" s="12"/>
      <c r="R36" s="12"/>
      <c r="S36" s="12"/>
      <c r="T36" s="12"/>
      <c r="U36" s="12"/>
    </row>
    <row r="37" spans="2:23" ht="12" customHeight="1" x14ac:dyDescent="0.2">
      <c r="B37" s="45" t="s">
        <v>221</v>
      </c>
      <c r="C37" s="45"/>
      <c r="D37" s="45"/>
      <c r="E37" s="45"/>
      <c r="F37" s="45"/>
      <c r="G37" s="45"/>
      <c r="H37" s="51"/>
      <c r="I37" s="51"/>
      <c r="J37" s="54">
        <f>(1+J36)*(1+$P30)-1</f>
        <v>8.2466677415561795E-2</v>
      </c>
      <c r="K37" s="54">
        <f t="shared" ref="K37:L37" si="12">(1+K36)*(1+$P30)-1</f>
        <v>7.3875672039247497E-2</v>
      </c>
      <c r="L37" s="54">
        <f t="shared" si="12"/>
        <v>7.17322076239999E-2</v>
      </c>
      <c r="M37" s="54">
        <f>(1+M36)*(1+$P30)-1</f>
        <v>5.6935115999999786E-2</v>
      </c>
      <c r="N37" s="54">
        <f t="shared" ref="N37" si="13">(1+N36)*(1+$P30)-1</f>
        <v>3.5196000000000005E-2</v>
      </c>
      <c r="O37" s="52">
        <f>P$30</f>
        <v>7.0000000000000001E-3</v>
      </c>
      <c r="P37" s="12"/>
      <c r="Q37" s="12"/>
      <c r="R37" s="12"/>
      <c r="S37" s="12"/>
      <c r="T37" s="12"/>
      <c r="U37" s="12"/>
    </row>
    <row r="38" spans="2:23" ht="12" customHeight="1" x14ac:dyDescent="0.2">
      <c r="B38" s="45" t="s">
        <v>222</v>
      </c>
      <c r="C38" s="45"/>
      <c r="D38" s="45"/>
      <c r="E38" s="45"/>
      <c r="F38" s="45"/>
      <c r="G38" s="45"/>
      <c r="H38" s="51"/>
      <c r="I38" s="51"/>
      <c r="J38" s="54">
        <f>(1+J37)*(1+$Q30)-1</f>
        <v>9.2208877512301779E-2</v>
      </c>
      <c r="K38" s="54">
        <f t="shared" ref="K38:O38" si="14">(1+K37)*(1+$Q30)-1</f>
        <v>8.3540553087600555E-2</v>
      </c>
      <c r="L38" s="54">
        <f t="shared" si="14"/>
        <v>8.1377797492615755E-2</v>
      </c>
      <c r="M38" s="54">
        <f t="shared" si="14"/>
        <v>6.6447532043999669E-2</v>
      </c>
      <c r="N38" s="54">
        <f t="shared" si="14"/>
        <v>4.4512763999999816E-2</v>
      </c>
      <c r="O38" s="54">
        <f t="shared" si="14"/>
        <v>1.6062999999999716E-2</v>
      </c>
      <c r="P38" s="52">
        <f>Q$30</f>
        <v>9.0000000000000011E-3</v>
      </c>
      <c r="Q38" s="12"/>
      <c r="R38" s="12"/>
      <c r="S38" s="12"/>
      <c r="T38" s="12"/>
      <c r="U38" s="12"/>
    </row>
    <row r="39" spans="2:23" ht="12" customHeight="1" x14ac:dyDescent="0.2">
      <c r="B39" s="45" t="s">
        <v>223</v>
      </c>
      <c r="C39" s="45"/>
      <c r="D39" s="45"/>
      <c r="E39" s="45"/>
      <c r="F39" s="45"/>
      <c r="G39" s="45"/>
      <c r="H39" s="51"/>
      <c r="I39" s="51"/>
      <c r="J39" s="54">
        <f>(1+J38)*(1+$R30)-1</f>
        <v>0.10203875740991242</v>
      </c>
      <c r="K39" s="54">
        <f t="shared" ref="K39:O39" si="15">(1+K38)*(1+$R30)-1</f>
        <v>9.3292418065388905E-2</v>
      </c>
      <c r="L39" s="54">
        <f t="shared" si="15"/>
        <v>9.1110197670049242E-2</v>
      </c>
      <c r="M39" s="54">
        <f t="shared" si="15"/>
        <v>7.6045559832395471E-2</v>
      </c>
      <c r="N39" s="54">
        <f t="shared" si="15"/>
        <v>5.3913378875999785E-2</v>
      </c>
      <c r="O39" s="54">
        <f t="shared" si="15"/>
        <v>2.5207566999999598E-2</v>
      </c>
      <c r="P39" s="54">
        <f>(1+P38)*(1+$R30)-1</f>
        <v>1.8080999999999792E-2</v>
      </c>
      <c r="Q39" s="52">
        <f>R$30</f>
        <v>9.0000000000000011E-3</v>
      </c>
      <c r="R39" s="12"/>
      <c r="S39" s="12"/>
      <c r="T39" s="12"/>
      <c r="U39" s="12"/>
    </row>
    <row r="40" spans="2:23" ht="12" customHeight="1" x14ac:dyDescent="0.2">
      <c r="B40" s="45" t="s">
        <v>224</v>
      </c>
      <c r="C40" s="45"/>
      <c r="D40" s="45"/>
      <c r="E40" s="45"/>
      <c r="F40" s="45"/>
      <c r="G40" s="45"/>
      <c r="H40" s="51"/>
      <c r="I40" s="51"/>
      <c r="J40" s="54">
        <f>(1+J39)*(1+$S30)-1</f>
        <v>0.1119571062266016</v>
      </c>
      <c r="K40" s="54">
        <f t="shared" ref="K40:Q40" si="16">(1+K39)*(1+$S30)-1</f>
        <v>0.1031320498279773</v>
      </c>
      <c r="L40" s="54">
        <f t="shared" si="16"/>
        <v>0.1009301894490795</v>
      </c>
      <c r="M40" s="54">
        <f t="shared" si="16"/>
        <v>8.572996987088688E-2</v>
      </c>
      <c r="N40" s="54">
        <f t="shared" si="16"/>
        <v>6.339859928588365E-2</v>
      </c>
      <c r="O40" s="54">
        <f t="shared" si="16"/>
        <v>3.4434435102999483E-2</v>
      </c>
      <c r="P40" s="54">
        <f>(1+P39)*(1+$S30)-1</f>
        <v>2.7243728999999606E-2</v>
      </c>
      <c r="Q40" s="54">
        <f t="shared" si="16"/>
        <v>1.8080999999999792E-2</v>
      </c>
      <c r="R40" s="52">
        <f>S$30</f>
        <v>9.0000000000000011E-3</v>
      </c>
      <c r="S40" s="12"/>
      <c r="T40" s="12"/>
      <c r="U40" s="12"/>
    </row>
    <row r="41" spans="2:23" ht="12" customHeight="1" x14ac:dyDescent="0.2">
      <c r="B41" s="45" t="s">
        <v>225</v>
      </c>
      <c r="C41" s="45"/>
      <c r="D41" s="45"/>
      <c r="E41" s="45"/>
      <c r="F41" s="45"/>
      <c r="G41" s="45"/>
      <c r="H41" s="51"/>
      <c r="I41" s="51"/>
      <c r="J41" s="54">
        <f>(1+J40)*(1+$T30)-1</f>
        <v>0.12196472018264082</v>
      </c>
      <c r="K41" s="54">
        <f t="shared" ref="K41:R41" si="17">(1+K40)*(1+$T30)-1</f>
        <v>0.11306023827642897</v>
      </c>
      <c r="L41" s="54">
        <f t="shared" si="17"/>
        <v>0.11083856115412116</v>
      </c>
      <c r="M41" s="54">
        <f t="shared" si="17"/>
        <v>9.5501539599724738E-2</v>
      </c>
      <c r="N41" s="54">
        <f t="shared" si="17"/>
        <v>7.2969186679456399E-2</v>
      </c>
      <c r="O41" s="54">
        <f t="shared" si="17"/>
        <v>4.3744345018926323E-2</v>
      </c>
      <c r="P41" s="54">
        <f>(1+P40)*(1+$T30)-1</f>
        <v>3.6488922560999448E-2</v>
      </c>
      <c r="Q41" s="54">
        <f t="shared" si="17"/>
        <v>2.7243728999999606E-2</v>
      </c>
      <c r="R41" s="54">
        <f t="shared" si="17"/>
        <v>1.8080999999999792E-2</v>
      </c>
      <c r="S41" s="52">
        <f>T$30</f>
        <v>9.0000000000000011E-3</v>
      </c>
      <c r="T41" s="12"/>
      <c r="U41" s="12"/>
    </row>
    <row r="42" spans="2:23" ht="12" customHeight="1" x14ac:dyDescent="0.2">
      <c r="B42" s="45" t="s">
        <v>226</v>
      </c>
      <c r="C42" s="45"/>
      <c r="D42" s="45"/>
      <c r="E42" s="45"/>
      <c r="F42" s="45"/>
      <c r="G42" s="45"/>
      <c r="H42" s="51"/>
      <c r="I42" s="51"/>
      <c r="J42" s="54">
        <f>(1+J41)*(1+$U30)-1</f>
        <v>0.13206240266428448</v>
      </c>
      <c r="K42" s="54">
        <f t="shared" ref="K42:S42" si="18">(1+K41)*(1+$U30)-1</f>
        <v>0.12307778042091666</v>
      </c>
      <c r="L42" s="54">
        <f t="shared" si="18"/>
        <v>0.12083610820450819</v>
      </c>
      <c r="M42" s="54">
        <f t="shared" si="18"/>
        <v>0.10536105345612223</v>
      </c>
      <c r="N42" s="54">
        <f t="shared" si="18"/>
        <v>8.262590935957137E-2</v>
      </c>
      <c r="O42" s="54">
        <f t="shared" si="18"/>
        <v>5.3138044124096506E-2</v>
      </c>
      <c r="P42" s="54">
        <f>(1+P41)*(1+$U30)-1</f>
        <v>4.5817322864048382E-2</v>
      </c>
      <c r="Q42" s="54">
        <f t="shared" si="18"/>
        <v>3.6488922560999448E-2</v>
      </c>
      <c r="R42" s="54">
        <f t="shared" si="18"/>
        <v>2.7243728999999606E-2</v>
      </c>
      <c r="S42" s="54">
        <f t="shared" si="18"/>
        <v>1.8080999999999792E-2</v>
      </c>
      <c r="T42" s="52">
        <f>U$30</f>
        <v>9.0000000000000011E-3</v>
      </c>
      <c r="U42" s="12"/>
    </row>
    <row r="43" spans="2:23" ht="12" customHeight="1" x14ac:dyDescent="0.2"/>
    <row r="44" spans="2:23" s="7" customFormat="1" x14ac:dyDescent="0.2">
      <c r="B44" s="7" t="s">
        <v>73</v>
      </c>
    </row>
    <row r="46" spans="2:23" x14ac:dyDescent="0.2">
      <c r="B46" s="2" t="s">
        <v>266</v>
      </c>
      <c r="D46" s="2" t="s">
        <v>91</v>
      </c>
      <c r="F46" s="100">
        <v>1.0479928178634967E-3</v>
      </c>
      <c r="H46" s="19"/>
      <c r="W46" s="2" t="s">
        <v>268</v>
      </c>
    </row>
    <row r="47" spans="2:23" x14ac:dyDescent="0.2">
      <c r="B47" s="2" t="s">
        <v>265</v>
      </c>
      <c r="D47" s="2" t="s">
        <v>91</v>
      </c>
      <c r="F47" s="100">
        <v>2.5715359201648382E-3</v>
      </c>
      <c r="W47" s="2" t="s">
        <v>269</v>
      </c>
    </row>
    <row r="49" spans="2:23" s="7" customFormat="1" x14ac:dyDescent="0.2">
      <c r="B49" s="7" t="s">
        <v>72</v>
      </c>
    </row>
    <row r="50" spans="2:23" s="8" customFormat="1" x14ac:dyDescent="0.2">
      <c r="H50" s="47"/>
    </row>
    <row r="51" spans="2:23" s="68" customFormat="1" x14ac:dyDescent="0.2">
      <c r="B51" s="69" t="s">
        <v>275</v>
      </c>
    </row>
    <row r="52" spans="2:23" s="68" customFormat="1" x14ac:dyDescent="0.2">
      <c r="B52" s="70" t="s">
        <v>72</v>
      </c>
      <c r="D52" s="68" t="s">
        <v>91</v>
      </c>
      <c r="P52" s="46">
        <v>2.1999999999999999E-2</v>
      </c>
      <c r="Q52" s="46">
        <v>0.02</v>
      </c>
      <c r="R52" s="46">
        <v>0.02</v>
      </c>
      <c r="S52" s="46">
        <v>1.9E-2</v>
      </c>
      <c r="T52" s="46">
        <v>1.9E-2</v>
      </c>
      <c r="U52" s="46">
        <v>1.9E-2</v>
      </c>
      <c r="W52" s="68" t="s">
        <v>274</v>
      </c>
    </row>
  </sheetData>
  <phoneticPr fontId="32" type="noConversion"/>
  <conditionalFormatting sqref="N5:O5">
    <cfRule type="cellIs" dxfId="0" priority="1" stopIfTrue="1" operator="notEqual">
      <formula>""</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1FFE1"/>
  </sheetPr>
  <dimension ref="B2:V31"/>
  <sheetViews>
    <sheetView showGridLines="0" zoomScale="85" zoomScaleNormal="85" workbookViewId="0">
      <pane xSplit="4" ySplit="8" topLeftCell="E9" activePane="bottomRight" state="frozen"/>
      <selection activeCell="R6" sqref="R6"/>
      <selection pane="topRight" activeCell="R6" sqref="R6"/>
      <selection pane="bottomLeft" activeCell="R6" sqref="R6"/>
      <selection pane="bottomRight" activeCell="E9" sqref="E9"/>
    </sheetView>
  </sheetViews>
  <sheetFormatPr defaultRowHeight="12.75" x14ac:dyDescent="0.2"/>
  <cols>
    <col min="1" max="1" width="2.7109375" style="2" customWidth="1"/>
    <col min="2" max="2" width="55.28515625" style="2" customWidth="1"/>
    <col min="3" max="3" width="2.7109375" style="2" customWidth="1"/>
    <col min="4" max="4" width="13.7109375" style="2" customWidth="1"/>
    <col min="5" max="5" width="2.7109375" style="2" customWidth="1"/>
    <col min="6" max="6" width="13.7109375" style="2" customWidth="1"/>
    <col min="7" max="7" width="2.7109375" style="2" customWidth="1"/>
    <col min="8" max="8" width="15" style="2" bestFit="1" customWidth="1"/>
    <col min="9" max="9" width="2.7109375" style="2" customWidth="1"/>
    <col min="10" max="10" width="12.5703125" style="2" customWidth="1"/>
    <col min="11" max="12" width="14" style="2" bestFit="1" customWidth="1"/>
    <col min="13" max="13" width="12.5703125" style="2" customWidth="1"/>
    <col min="14" max="14" width="14" style="2" bestFit="1" customWidth="1"/>
    <col min="15" max="15" width="12.5703125" style="2" customWidth="1"/>
    <col min="16" max="16" width="2.28515625" style="2" customWidth="1"/>
    <col min="17" max="18" width="12.5703125" style="2" customWidth="1"/>
    <col min="19" max="19" width="2.140625" style="2" customWidth="1"/>
    <col min="20" max="20" width="24" style="2" customWidth="1"/>
    <col min="21" max="21" width="2.7109375" style="2" customWidth="1"/>
    <col min="22" max="36" width="13.7109375" style="2" customWidth="1"/>
    <col min="37" max="16384" width="9.140625" style="2"/>
  </cols>
  <sheetData>
    <row r="2" spans="2:22" s="18" customFormat="1" ht="18" x14ac:dyDescent="0.2">
      <c r="B2" s="18" t="s">
        <v>74</v>
      </c>
    </row>
    <row r="4" spans="2:22" x14ac:dyDescent="0.2">
      <c r="B4" s="28" t="s">
        <v>30</v>
      </c>
    </row>
    <row r="5" spans="2:22" x14ac:dyDescent="0.2">
      <c r="B5" s="23" t="s">
        <v>135</v>
      </c>
      <c r="F5" s="19"/>
    </row>
    <row r="7" spans="2:22" s="7" customFormat="1" x14ac:dyDescent="0.2">
      <c r="B7" s="7" t="s">
        <v>46</v>
      </c>
      <c r="D7" s="7" t="s">
        <v>28</v>
      </c>
      <c r="F7" s="7" t="s">
        <v>29</v>
      </c>
      <c r="H7" s="7" t="s">
        <v>49</v>
      </c>
      <c r="J7" s="7" t="s">
        <v>161</v>
      </c>
      <c r="K7" s="7" t="s">
        <v>76</v>
      </c>
      <c r="L7" s="7" t="s">
        <v>77</v>
      </c>
      <c r="M7" s="7" t="s">
        <v>78</v>
      </c>
      <c r="N7" s="7" t="s">
        <v>79</v>
      </c>
      <c r="O7" s="7" t="s">
        <v>80</v>
      </c>
      <c r="Q7" s="7" t="s">
        <v>75</v>
      </c>
      <c r="R7" s="7" t="s">
        <v>81</v>
      </c>
      <c r="T7" s="7" t="s">
        <v>162</v>
      </c>
      <c r="V7" s="7" t="s">
        <v>48</v>
      </c>
    </row>
    <row r="10" spans="2:22" s="7" customFormat="1" x14ac:dyDescent="0.2">
      <c r="B10" s="7" t="s">
        <v>102</v>
      </c>
    </row>
    <row r="12" spans="2:22" x14ac:dyDescent="0.2">
      <c r="B12" s="2" t="s">
        <v>102</v>
      </c>
      <c r="J12" s="36">
        <v>22.7039087285122</v>
      </c>
      <c r="K12" s="58"/>
      <c r="L12" s="58"/>
      <c r="M12" s="58"/>
      <c r="N12" s="58"/>
      <c r="O12" s="58"/>
      <c r="Q12" s="36">
        <v>23.504971529317128</v>
      </c>
      <c r="R12" s="36">
        <v>22.223477539741737</v>
      </c>
      <c r="T12" s="2" t="s">
        <v>160</v>
      </c>
    </row>
    <row r="14" spans="2:22" s="7" customFormat="1" x14ac:dyDescent="0.2">
      <c r="B14" s="7" t="s">
        <v>87</v>
      </c>
    </row>
    <row r="16" spans="2:22" x14ac:dyDescent="0.2">
      <c r="B16" s="44" t="s">
        <v>82</v>
      </c>
    </row>
    <row r="17" spans="2:20" x14ac:dyDescent="0.2">
      <c r="B17" s="45" t="s">
        <v>83</v>
      </c>
      <c r="D17" s="45" t="s">
        <v>88</v>
      </c>
      <c r="H17" s="42">
        <f>SUM(J17:O17,Q17:R17)</f>
        <v>19585866.95369358</v>
      </c>
      <c r="J17" s="36">
        <v>2549606.4593204954</v>
      </c>
      <c r="K17" s="58"/>
      <c r="L17" s="58"/>
      <c r="M17" s="58"/>
      <c r="N17" s="58"/>
      <c r="O17" s="58"/>
      <c r="Q17" s="36">
        <v>10636655.442793595</v>
      </c>
      <c r="R17" s="36">
        <v>6399605.0515794912</v>
      </c>
      <c r="T17" s="2" t="s">
        <v>160</v>
      </c>
    </row>
    <row r="18" spans="2:20" x14ac:dyDescent="0.2">
      <c r="B18" s="45" t="s">
        <v>84</v>
      </c>
      <c r="D18" s="45" t="s">
        <v>88</v>
      </c>
      <c r="H18" s="42">
        <f>SUM(J18:O18,Q18:R18)</f>
        <v>97576189.656567216</v>
      </c>
      <c r="J18" s="36">
        <v>11993116.078268753</v>
      </c>
      <c r="K18" s="58"/>
      <c r="L18" s="58"/>
      <c r="M18" s="58"/>
      <c r="N18" s="58"/>
      <c r="O18" s="58"/>
      <c r="Q18" s="36">
        <v>58554485.379734658</v>
      </c>
      <c r="R18" s="36">
        <v>27028588.198563792</v>
      </c>
    </row>
    <row r="19" spans="2:20" x14ac:dyDescent="0.2">
      <c r="B19" s="45"/>
      <c r="D19" s="45"/>
    </row>
    <row r="20" spans="2:20" s="7" customFormat="1" x14ac:dyDescent="0.2">
      <c r="B20" s="7" t="s">
        <v>89</v>
      </c>
    </row>
    <row r="22" spans="2:20" x14ac:dyDescent="0.2">
      <c r="B22" s="44" t="s">
        <v>82</v>
      </c>
    </row>
    <row r="23" spans="2:20" x14ac:dyDescent="0.2">
      <c r="B23" s="45" t="s">
        <v>83</v>
      </c>
      <c r="D23" s="45" t="s">
        <v>90</v>
      </c>
      <c r="H23" s="42">
        <f>SUM(J23:O23,Q23:R23)</f>
        <v>19997170.159721144</v>
      </c>
      <c r="J23" s="36">
        <v>2603148.1949662254</v>
      </c>
      <c r="K23" s="58"/>
      <c r="L23" s="58"/>
      <c r="M23" s="58"/>
      <c r="N23" s="58"/>
      <c r="O23" s="58"/>
      <c r="Q23" s="36">
        <v>10860025.207092259</v>
      </c>
      <c r="R23" s="36">
        <v>6533996.7576626595</v>
      </c>
      <c r="T23" s="2" t="s">
        <v>160</v>
      </c>
    </row>
    <row r="24" spans="2:20" x14ac:dyDescent="0.2">
      <c r="B24" s="45" t="s">
        <v>84</v>
      </c>
      <c r="D24" s="45" t="s">
        <v>90</v>
      </c>
      <c r="H24" s="42">
        <f>SUM(J24:O24,Q24:R24)</f>
        <v>79628119.479633942</v>
      </c>
      <c r="J24" s="36">
        <v>9641823.32094617</v>
      </c>
      <c r="K24" s="58"/>
      <c r="L24" s="58"/>
      <c r="M24" s="58"/>
      <c r="N24" s="58"/>
      <c r="O24" s="58"/>
      <c r="Q24" s="36">
        <v>48924104.365616806</v>
      </c>
      <c r="R24" s="36">
        <v>21062191.793070965</v>
      </c>
    </row>
    <row r="25" spans="2:20" x14ac:dyDescent="0.2">
      <c r="B25" s="45"/>
      <c r="D25" s="45"/>
    </row>
    <row r="26" spans="2:20" s="7" customFormat="1" x14ac:dyDescent="0.2">
      <c r="B26" s="7" t="s">
        <v>100</v>
      </c>
    </row>
    <row r="28" spans="2:20" x14ac:dyDescent="0.2">
      <c r="B28" s="44" t="s">
        <v>82</v>
      </c>
    </row>
    <row r="29" spans="2:20" x14ac:dyDescent="0.2">
      <c r="B29" s="45" t="s">
        <v>83</v>
      </c>
      <c r="D29" s="45" t="s">
        <v>101</v>
      </c>
      <c r="H29" s="42">
        <f>SUM(J29:O29,Q29:R29)</f>
        <v>20557090.924193338</v>
      </c>
      <c r="J29" s="36">
        <v>2676036.3444252796</v>
      </c>
      <c r="K29" s="58"/>
      <c r="L29" s="58"/>
      <c r="M29" s="58"/>
      <c r="N29" s="58"/>
      <c r="O29" s="58"/>
      <c r="Q29" s="36">
        <v>11164105.912890844</v>
      </c>
      <c r="R29" s="36">
        <v>6716948.6668772148</v>
      </c>
      <c r="T29" s="2" t="s">
        <v>160</v>
      </c>
    </row>
    <row r="30" spans="2:20" x14ac:dyDescent="0.2">
      <c r="B30" s="45" t="s">
        <v>84</v>
      </c>
      <c r="D30" s="45" t="s">
        <v>101</v>
      </c>
      <c r="H30" s="42">
        <f>SUM(J30:O30,Q30:R30)</f>
        <v>61300615.90087036</v>
      </c>
      <c r="J30" s="36">
        <v>7235758.0295073837</v>
      </c>
      <c r="K30" s="58"/>
      <c r="L30" s="58"/>
      <c r="M30" s="58"/>
      <c r="N30" s="58"/>
      <c r="O30" s="58"/>
      <c r="Q30" s="36">
        <v>39129873.374963239</v>
      </c>
      <c r="R30" s="36">
        <v>14934984.496399738</v>
      </c>
    </row>
    <row r="31" spans="2:20" x14ac:dyDescent="0.2">
      <c r="B31" s="45"/>
      <c r="D31" s="45"/>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1"/>
  <sheetViews>
    <sheetView showGridLines="0" zoomScale="85" zoomScaleNormal="85" workbookViewId="0"/>
  </sheetViews>
  <sheetFormatPr defaultRowHeight="12.75" x14ac:dyDescent="0.2"/>
  <cols>
    <col min="1" max="16384" width="9.140625" style="21"/>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sheetPr>
  <dimension ref="B2:U136"/>
  <sheetViews>
    <sheetView showGridLines="0" zoomScale="85" zoomScaleNormal="85" workbookViewId="0">
      <pane xSplit="5" ySplit="10" topLeftCell="F11" activePane="bottomRight" state="frozen"/>
      <selection activeCell="R6" sqref="R6"/>
      <selection pane="topRight" activeCell="R6" sqref="R6"/>
      <selection pane="bottomLeft" activeCell="R6" sqref="R6"/>
      <selection pane="bottomRight" activeCell="F11" sqref="F11"/>
    </sheetView>
  </sheetViews>
  <sheetFormatPr defaultRowHeight="12.75" x14ac:dyDescent="0.2"/>
  <cols>
    <col min="1" max="1" width="2.7109375" style="2" customWidth="1"/>
    <col min="2" max="2" width="61.7109375" style="2" customWidth="1"/>
    <col min="3" max="3" width="15.42578125" style="2" customWidth="1"/>
    <col min="4" max="4" width="2.7109375" style="2" customWidth="1"/>
    <col min="5" max="5" width="13.7109375" style="2" customWidth="1"/>
    <col min="6" max="6" width="2.7109375" style="2" customWidth="1"/>
    <col min="7" max="7" width="16.5703125" style="2" bestFit="1" customWidth="1"/>
    <col min="8" max="8" width="2.7109375" style="2" customWidth="1"/>
    <col min="9" max="9" width="13.7109375" style="2" customWidth="1"/>
    <col min="10" max="10" width="2.7109375" style="2" customWidth="1"/>
    <col min="11" max="12" width="12.5703125" style="2" customWidth="1"/>
    <col min="13" max="13" width="11.140625" style="2" customWidth="1"/>
    <col min="14" max="14" width="12.5703125" style="2" customWidth="1"/>
    <col min="15" max="15" width="11.7109375" style="2" customWidth="1"/>
    <col min="16" max="16" width="12.5703125" style="2" customWidth="1"/>
    <col min="17" max="17" width="2.7109375" style="2" customWidth="1"/>
    <col min="18" max="18" width="12.5703125" style="2" customWidth="1"/>
    <col min="19" max="19" width="13.5703125" style="2" customWidth="1"/>
    <col min="20" max="20" width="3.42578125" style="2" customWidth="1"/>
    <col min="21" max="24" width="13.7109375" style="2" customWidth="1"/>
    <col min="25" max="25" width="2.85546875" style="2" customWidth="1"/>
    <col min="26" max="26" width="13.7109375" style="2" customWidth="1"/>
    <col min="27" max="27" width="3.28515625" style="2" customWidth="1"/>
    <col min="28" max="32" width="13.7109375" style="2" customWidth="1"/>
    <col min="33" max="16384" width="9.140625" style="2"/>
  </cols>
  <sheetData>
    <row r="2" spans="2:21" s="18" customFormat="1" ht="18" x14ac:dyDescent="0.2">
      <c r="B2" s="18" t="s">
        <v>132</v>
      </c>
    </row>
    <row r="4" spans="2:21" x14ac:dyDescent="0.2">
      <c r="B4" s="28" t="s">
        <v>54</v>
      </c>
      <c r="C4" s="28"/>
    </row>
    <row r="5" spans="2:21" ht="50.25" customHeight="1" x14ac:dyDescent="0.2">
      <c r="B5" s="104" t="s">
        <v>262</v>
      </c>
      <c r="C5" s="104"/>
      <c r="D5" s="104"/>
      <c r="E5" s="104"/>
    </row>
    <row r="6" spans="2:21" x14ac:dyDescent="0.2">
      <c r="B6" s="29" t="s">
        <v>31</v>
      </c>
      <c r="C6" s="29"/>
    </row>
    <row r="7" spans="2:21" x14ac:dyDescent="0.2">
      <c r="B7" s="2" t="s">
        <v>263</v>
      </c>
    </row>
    <row r="8" spans="2:21" x14ac:dyDescent="0.2">
      <c r="B8" s="49"/>
      <c r="C8" s="49"/>
    </row>
    <row r="9" spans="2:21" s="7" customFormat="1" x14ac:dyDescent="0.2">
      <c r="B9" s="7" t="s">
        <v>46</v>
      </c>
      <c r="E9" s="7" t="s">
        <v>28</v>
      </c>
      <c r="G9" s="7" t="s">
        <v>29</v>
      </c>
      <c r="I9" s="7" t="s">
        <v>49</v>
      </c>
      <c r="K9" s="7" t="s">
        <v>161</v>
      </c>
      <c r="L9" s="7" t="s">
        <v>76</v>
      </c>
      <c r="M9" s="7" t="s">
        <v>77</v>
      </c>
      <c r="N9" s="7" t="s">
        <v>78</v>
      </c>
      <c r="O9" s="7" t="s">
        <v>79</v>
      </c>
      <c r="P9" s="7" t="s">
        <v>80</v>
      </c>
      <c r="R9" s="7" t="s">
        <v>75</v>
      </c>
      <c r="S9" s="7" t="s">
        <v>81</v>
      </c>
      <c r="U9" s="7" t="s">
        <v>48</v>
      </c>
    </row>
    <row r="12" spans="2:21" s="7" customFormat="1" x14ac:dyDescent="0.2">
      <c r="B12" s="7" t="s">
        <v>103</v>
      </c>
    </row>
    <row r="14" spans="2:21" x14ac:dyDescent="0.2">
      <c r="B14" s="1" t="s">
        <v>164</v>
      </c>
      <c r="C14" s="1"/>
    </row>
    <row r="15" spans="2:21" x14ac:dyDescent="0.2">
      <c r="B15" s="2" t="s">
        <v>165</v>
      </c>
      <c r="G15" s="55">
        <f>'2) Parameters'!P52</f>
        <v>2.1999999999999999E-2</v>
      </c>
    </row>
    <row r="16" spans="2:21" x14ac:dyDescent="0.2">
      <c r="B16" s="2" t="s">
        <v>166</v>
      </c>
      <c r="G16" s="55">
        <f>'2) Parameters'!Q52</f>
        <v>0.02</v>
      </c>
    </row>
    <row r="17" spans="2:7" x14ac:dyDescent="0.2">
      <c r="B17" s="2" t="s">
        <v>167</v>
      </c>
      <c r="G17" s="55">
        <f>'2) Parameters'!R52</f>
        <v>0.02</v>
      </c>
    </row>
    <row r="18" spans="2:7" x14ac:dyDescent="0.2">
      <c r="B18" s="2" t="s">
        <v>168</v>
      </c>
      <c r="G18" s="55">
        <f>'2) Parameters'!S52</f>
        <v>1.9E-2</v>
      </c>
    </row>
    <row r="19" spans="2:7" x14ac:dyDescent="0.2">
      <c r="B19" s="2" t="s">
        <v>169</v>
      </c>
      <c r="G19" s="55">
        <f>'2) Parameters'!T52</f>
        <v>1.9E-2</v>
      </c>
    </row>
    <row r="20" spans="2:7" x14ac:dyDescent="0.2">
      <c r="B20" s="2" t="s">
        <v>170</v>
      </c>
      <c r="G20" s="55">
        <f>'2) Parameters'!U52</f>
        <v>1.9E-2</v>
      </c>
    </row>
    <row r="22" spans="2:7" x14ac:dyDescent="0.2">
      <c r="B22" s="43" t="s">
        <v>94</v>
      </c>
      <c r="C22" s="43"/>
      <c r="G22" s="47"/>
    </row>
    <row r="23" spans="2:7" x14ac:dyDescent="0.2">
      <c r="B23" s="48" t="s">
        <v>192</v>
      </c>
      <c r="C23" s="48"/>
      <c r="G23" s="55">
        <f>'2) Parameters'!M20</f>
        <v>5.6935115999999786E-2</v>
      </c>
    </row>
    <row r="24" spans="2:7" x14ac:dyDescent="0.2">
      <c r="B24" s="48" t="s">
        <v>193</v>
      </c>
      <c r="C24" s="48"/>
      <c r="G24" s="55">
        <f>'2) Parameters'!N20</f>
        <v>3.5196000000000005E-2</v>
      </c>
    </row>
    <row r="25" spans="2:7" x14ac:dyDescent="0.2">
      <c r="B25" s="48" t="s">
        <v>194</v>
      </c>
      <c r="C25" s="48"/>
      <c r="G25" s="55">
        <f>'2) Parameters'!O20</f>
        <v>7.0000000000000001E-3</v>
      </c>
    </row>
    <row r="26" spans="2:7" s="92" customFormat="1" x14ac:dyDescent="0.2">
      <c r="B26" s="93"/>
      <c r="C26" s="93"/>
      <c r="G26" s="94"/>
    </row>
    <row r="27" spans="2:7" x14ac:dyDescent="0.2">
      <c r="B27" s="48" t="s">
        <v>227</v>
      </c>
      <c r="C27" s="48"/>
      <c r="G27" s="55">
        <f>'2) Parameters'!P38</f>
        <v>9.0000000000000011E-3</v>
      </c>
    </row>
    <row r="28" spans="2:7" x14ac:dyDescent="0.2">
      <c r="B28" s="48" t="s">
        <v>228</v>
      </c>
      <c r="C28" s="48"/>
      <c r="G28" s="55">
        <f>'2) Parameters'!Q39</f>
        <v>9.0000000000000011E-3</v>
      </c>
    </row>
    <row r="29" spans="2:7" x14ac:dyDescent="0.2">
      <c r="B29" s="48" t="s">
        <v>229</v>
      </c>
      <c r="C29" s="48"/>
      <c r="G29" s="55">
        <f>'2) Parameters'!R40</f>
        <v>9.0000000000000011E-3</v>
      </c>
    </row>
    <row r="30" spans="2:7" x14ac:dyDescent="0.2">
      <c r="B30" s="48" t="s">
        <v>230</v>
      </c>
      <c r="C30" s="48"/>
      <c r="G30" s="55">
        <f>'2) Parameters'!S41</f>
        <v>9.0000000000000011E-3</v>
      </c>
    </row>
    <row r="31" spans="2:7" x14ac:dyDescent="0.2">
      <c r="B31" s="48" t="s">
        <v>231</v>
      </c>
      <c r="C31" s="48"/>
      <c r="G31" s="55">
        <f>'2) Parameters'!T42</f>
        <v>9.0000000000000011E-3</v>
      </c>
    </row>
    <row r="33" spans="2:19" s="7" customFormat="1" x14ac:dyDescent="0.2">
      <c r="B33" s="7" t="s">
        <v>106</v>
      </c>
    </row>
    <row r="35" spans="2:19" x14ac:dyDescent="0.2">
      <c r="B35" s="1" t="s">
        <v>107</v>
      </c>
      <c r="C35" s="1"/>
    </row>
    <row r="36" spans="2:19" x14ac:dyDescent="0.2">
      <c r="B36" s="2" t="s">
        <v>85</v>
      </c>
      <c r="E36" s="2" t="s">
        <v>96</v>
      </c>
      <c r="I36" s="42">
        <f>SUM(K36:P36,R36:S36)</f>
        <v>19585866.95369358</v>
      </c>
      <c r="K36" s="41">
        <f>'3) Import GAW'!J17</f>
        <v>2549606.4593204954</v>
      </c>
      <c r="L36" s="60"/>
      <c r="M36" s="60"/>
      <c r="N36" s="60"/>
      <c r="O36" s="60"/>
      <c r="P36" s="60"/>
      <c r="R36" s="41">
        <f>'3) Import GAW'!Q17</f>
        <v>10636655.442793595</v>
      </c>
      <c r="S36" s="41">
        <f>'3) Import GAW'!R17</f>
        <v>6399605.0515794912</v>
      </c>
    </row>
    <row r="37" spans="2:19" x14ac:dyDescent="0.2">
      <c r="B37" s="2" t="s">
        <v>86</v>
      </c>
      <c r="E37" s="2" t="s">
        <v>96</v>
      </c>
      <c r="I37" s="42">
        <f>SUM(K37:P37,R37:S37)</f>
        <v>97576189.656567216</v>
      </c>
      <c r="K37" s="41">
        <f>'3) Import GAW'!J18</f>
        <v>11993116.078268753</v>
      </c>
      <c r="L37" s="60"/>
      <c r="M37" s="60"/>
      <c r="N37" s="60"/>
      <c r="O37" s="60"/>
      <c r="P37" s="60"/>
      <c r="R37" s="41">
        <f>'3) Import GAW'!Q18</f>
        <v>58554485.379734658</v>
      </c>
      <c r="S37" s="41">
        <f>'3) Import GAW'!R18</f>
        <v>27028588.198563792</v>
      </c>
    </row>
    <row r="39" spans="2:19" x14ac:dyDescent="0.2">
      <c r="B39" s="1" t="s">
        <v>107</v>
      </c>
      <c r="C39" s="1"/>
    </row>
    <row r="40" spans="2:19" x14ac:dyDescent="0.2">
      <c r="B40" s="2" t="s">
        <v>85</v>
      </c>
      <c r="E40" s="2" t="s">
        <v>99</v>
      </c>
      <c r="I40" s="42">
        <f t="shared" ref="I40:I41" si="0">SUM(K40:P40,R40:S40)</f>
        <v>20700990.560662687</v>
      </c>
      <c r="K40" s="42">
        <f>K36*(1+$G$23)</f>
        <v>2694768.5988362567</v>
      </c>
      <c r="L40" s="60"/>
      <c r="M40" s="60"/>
      <c r="N40" s="60"/>
      <c r="O40" s="60"/>
      <c r="P40" s="60"/>
      <c r="R40" s="42">
        <f>R36*(1+$G$23)</f>
        <v>11242254.654281078</v>
      </c>
      <c r="S40" s="42">
        <f>S36*(1+$G$23)</f>
        <v>6763967.3075453546</v>
      </c>
    </row>
    <row r="41" spans="2:19" x14ac:dyDescent="0.2">
      <c r="B41" s="2" t="s">
        <v>86</v>
      </c>
      <c r="E41" s="2" t="s">
        <v>99</v>
      </c>
      <c r="I41" s="42">
        <f t="shared" si="0"/>
        <v>103131701.33350183</v>
      </c>
      <c r="K41" s="42">
        <f>K37*(1+$G$23)</f>
        <v>12675945.533386447</v>
      </c>
      <c r="L41" s="60"/>
      <c r="M41" s="60"/>
      <c r="N41" s="60"/>
      <c r="O41" s="60"/>
      <c r="P41" s="60"/>
      <c r="R41" s="42">
        <f>R37*(1+$G$23)</f>
        <v>61888291.797150142</v>
      </c>
      <c r="S41" s="42">
        <f>S37*(1+$G$23)</f>
        <v>28567464.002965245</v>
      </c>
    </row>
    <row r="43" spans="2:19" x14ac:dyDescent="0.2">
      <c r="B43" s="8" t="s">
        <v>93</v>
      </c>
      <c r="C43" s="8" t="s">
        <v>270</v>
      </c>
      <c r="E43" s="2" t="s">
        <v>99</v>
      </c>
      <c r="I43" s="42">
        <f t="shared" ref="I43:I47" si="1">SUM(K43:P43,R43:S43)</f>
        <v>2268897.4293370401</v>
      </c>
      <c r="K43" s="42">
        <f>K41*$G$15</f>
        <v>278870.80173450179</v>
      </c>
      <c r="L43" s="60"/>
      <c r="M43" s="60"/>
      <c r="N43" s="60"/>
      <c r="O43" s="60"/>
      <c r="P43" s="60"/>
      <c r="R43" s="42">
        <f>R41*$G$15</f>
        <v>1361542.419537303</v>
      </c>
      <c r="S43" s="42">
        <f>S41*$G$15</f>
        <v>628484.20806523541</v>
      </c>
    </row>
    <row r="44" spans="2:19" x14ac:dyDescent="0.2">
      <c r="B44" s="8" t="s">
        <v>93</v>
      </c>
      <c r="C44" s="8" t="s">
        <v>271</v>
      </c>
      <c r="E44" s="2" t="s">
        <v>99</v>
      </c>
      <c r="I44" s="42">
        <f t="shared" si="1"/>
        <v>1959502.325336535</v>
      </c>
      <c r="K44" s="42">
        <f>K41*$G$20</f>
        <v>240842.96513434249</v>
      </c>
      <c r="L44" s="60"/>
      <c r="M44" s="60"/>
      <c r="N44" s="60"/>
      <c r="O44" s="60"/>
      <c r="P44" s="60"/>
      <c r="R44" s="42">
        <f>R41*$G$20</f>
        <v>1175877.5441458528</v>
      </c>
      <c r="S44" s="42">
        <f>S41*$G$20</f>
        <v>542781.81605633965</v>
      </c>
    </row>
    <row r="45" spans="2:19" s="8" customFormat="1" x14ac:dyDescent="0.2">
      <c r="I45" s="96"/>
      <c r="K45" s="96"/>
      <c r="L45" s="62"/>
      <c r="M45" s="62"/>
      <c r="N45" s="62"/>
      <c r="O45" s="62"/>
      <c r="P45" s="62"/>
      <c r="R45" s="96"/>
      <c r="S45" s="96"/>
    </row>
    <row r="46" spans="2:19" x14ac:dyDescent="0.2">
      <c r="B46" s="63" t="s">
        <v>92</v>
      </c>
      <c r="C46" s="63" t="s">
        <v>270</v>
      </c>
      <c r="E46" s="2" t="s">
        <v>99</v>
      </c>
      <c r="I46" s="42">
        <f t="shared" si="1"/>
        <v>22969887.98999973</v>
      </c>
      <c r="K46" s="42">
        <f>K43+K40</f>
        <v>2973639.4005707586</v>
      </c>
      <c r="L46" s="60"/>
      <c r="M46" s="60"/>
      <c r="N46" s="60"/>
      <c r="O46" s="60"/>
      <c r="P46" s="60"/>
      <c r="R46" s="42">
        <f>R43+R40</f>
        <v>12603797.073818382</v>
      </c>
      <c r="S46" s="42">
        <f>S43+S40</f>
        <v>7392451.5156105896</v>
      </c>
    </row>
    <row r="47" spans="2:19" x14ac:dyDescent="0.2">
      <c r="B47" s="63" t="s">
        <v>92</v>
      </c>
      <c r="C47" s="63" t="s">
        <v>271</v>
      </c>
      <c r="E47" s="2" t="s">
        <v>99</v>
      </c>
      <c r="I47" s="42">
        <f t="shared" si="1"/>
        <v>22660492.885999225</v>
      </c>
      <c r="K47" s="42">
        <f>K44+K40</f>
        <v>2935611.5639705993</v>
      </c>
      <c r="L47" s="60"/>
      <c r="M47" s="60"/>
      <c r="N47" s="60"/>
      <c r="O47" s="60"/>
      <c r="P47" s="60"/>
      <c r="R47" s="42">
        <f>R44+R40</f>
        <v>12418132.19842693</v>
      </c>
      <c r="S47" s="42">
        <f>S44+S40</f>
        <v>7306749.1236016946</v>
      </c>
    </row>
    <row r="49" spans="2:19" s="7" customFormat="1" x14ac:dyDescent="0.2">
      <c r="B49" s="7" t="s">
        <v>108</v>
      </c>
    </row>
    <row r="51" spans="2:19" x14ac:dyDescent="0.2">
      <c r="B51" s="1" t="s">
        <v>107</v>
      </c>
      <c r="C51" s="1"/>
    </row>
    <row r="52" spans="2:19" x14ac:dyDescent="0.2">
      <c r="B52" s="2" t="s">
        <v>110</v>
      </c>
      <c r="E52" s="2" t="s">
        <v>97</v>
      </c>
      <c r="I52" s="42">
        <f>SUM(K52:P52,R52:S52)</f>
        <v>19997170.159721144</v>
      </c>
      <c r="K52" s="41">
        <f>'3) Import GAW'!J23</f>
        <v>2603148.1949662254</v>
      </c>
      <c r="L52" s="60"/>
      <c r="M52" s="60"/>
      <c r="N52" s="60"/>
      <c r="O52" s="60"/>
      <c r="P52" s="60"/>
      <c r="R52" s="41">
        <f>'3) Import GAW'!Q23</f>
        <v>10860025.207092259</v>
      </c>
      <c r="S52" s="41">
        <f>'3) Import GAW'!R23</f>
        <v>6533996.7576626595</v>
      </c>
    </row>
    <row r="53" spans="2:19" x14ac:dyDescent="0.2">
      <c r="B53" s="2" t="s">
        <v>86</v>
      </c>
      <c r="E53" s="2" t="s">
        <v>97</v>
      </c>
      <c r="I53" s="42">
        <f>SUM(K53:P53,R53:S53)</f>
        <v>79628119.479633942</v>
      </c>
      <c r="K53" s="41">
        <f>'3) Import GAW'!J24</f>
        <v>9641823.32094617</v>
      </c>
      <c r="L53" s="60"/>
      <c r="M53" s="60"/>
      <c r="N53" s="60"/>
      <c r="O53" s="60"/>
      <c r="P53" s="60"/>
      <c r="R53" s="41">
        <f>'3) Import GAW'!Q24</f>
        <v>48924104.365616806</v>
      </c>
      <c r="S53" s="41">
        <f>'3) Import GAW'!R24</f>
        <v>21062191.793070965</v>
      </c>
    </row>
    <row r="54" spans="2:19" s="8" customFormat="1" x14ac:dyDescent="0.2">
      <c r="I54" s="2"/>
      <c r="K54" s="61"/>
      <c r="L54" s="62"/>
      <c r="M54" s="62"/>
      <c r="N54" s="62"/>
      <c r="O54" s="62"/>
      <c r="P54" s="62"/>
      <c r="R54" s="61"/>
      <c r="S54" s="61"/>
    </row>
    <row r="55" spans="2:19" s="8" customFormat="1" x14ac:dyDescent="0.2">
      <c r="B55" s="1" t="s">
        <v>107</v>
      </c>
      <c r="C55" s="1"/>
      <c r="D55" s="2"/>
      <c r="E55" s="2"/>
      <c r="I55" s="2"/>
      <c r="K55" s="61"/>
      <c r="L55" s="62"/>
      <c r="M55" s="62"/>
      <c r="N55" s="62"/>
      <c r="O55" s="62"/>
      <c r="P55" s="62"/>
      <c r="R55" s="61"/>
      <c r="S55" s="61"/>
    </row>
    <row r="56" spans="2:19" s="8" customFormat="1" x14ac:dyDescent="0.2">
      <c r="B56" s="2" t="s">
        <v>85</v>
      </c>
      <c r="C56" s="2"/>
      <c r="D56" s="2"/>
      <c r="E56" s="2" t="s">
        <v>99</v>
      </c>
      <c r="I56" s="42">
        <f t="shared" ref="I56:I57" si="2">SUM(K56:P56,R56:S56)</f>
        <v>20700990.560662687</v>
      </c>
      <c r="K56" s="42">
        <f>K52*(1+$G$24)</f>
        <v>2694768.5988362567</v>
      </c>
      <c r="L56" s="60"/>
      <c r="M56" s="60"/>
      <c r="N56" s="60"/>
      <c r="O56" s="60"/>
      <c r="P56" s="60"/>
      <c r="R56" s="42">
        <f>R52*(1+$G$24)</f>
        <v>11242254.654281078</v>
      </c>
      <c r="S56" s="42">
        <f>S52*(1+$G$24)</f>
        <v>6763967.3075453546</v>
      </c>
    </row>
    <row r="57" spans="2:19" s="8" customFormat="1" x14ac:dyDescent="0.2">
      <c r="B57" s="2" t="s">
        <v>86</v>
      </c>
      <c r="C57" s="2"/>
      <c r="D57" s="2"/>
      <c r="E57" s="2" t="s">
        <v>99</v>
      </c>
      <c r="I57" s="42">
        <f t="shared" si="2"/>
        <v>82430710.772839144</v>
      </c>
      <c r="K57" s="42">
        <f>K53*(1+$G$24)</f>
        <v>9981176.9345501922</v>
      </c>
      <c r="L57" s="60"/>
      <c r="M57" s="60"/>
      <c r="N57" s="60"/>
      <c r="O57" s="60"/>
      <c r="P57" s="60"/>
      <c r="R57" s="42">
        <f>R53*(1+$G$24)</f>
        <v>50646037.142869055</v>
      </c>
      <c r="S57" s="42">
        <f>S53*(1+$G$24)</f>
        <v>21803496.695419889</v>
      </c>
    </row>
    <row r="58" spans="2:19" s="8" customFormat="1" x14ac:dyDescent="0.2">
      <c r="I58" s="2"/>
      <c r="K58" s="61"/>
      <c r="L58" s="62"/>
      <c r="M58" s="62"/>
      <c r="N58" s="62"/>
      <c r="O58" s="62"/>
      <c r="P58" s="62"/>
      <c r="R58" s="61"/>
      <c r="S58" s="61"/>
    </row>
    <row r="59" spans="2:19" x14ac:dyDescent="0.2">
      <c r="B59" s="8" t="s">
        <v>93</v>
      </c>
      <c r="C59" s="8" t="s">
        <v>270</v>
      </c>
      <c r="E59" s="2" t="s">
        <v>99</v>
      </c>
      <c r="I59" s="42">
        <f t="shared" ref="I59:I60" si="3">SUM(K59:P59,R59:S59)</f>
        <v>1813475.6370024609</v>
      </c>
      <c r="K59" s="42">
        <f>K57*$G$15</f>
        <v>219585.89256010423</v>
      </c>
      <c r="L59" s="60"/>
      <c r="M59" s="60"/>
      <c r="N59" s="60"/>
      <c r="O59" s="60"/>
      <c r="P59" s="60"/>
      <c r="R59" s="42">
        <f>R57*$G$15</f>
        <v>1114212.8171431192</v>
      </c>
      <c r="S59" s="42">
        <f>S57*$G$15</f>
        <v>479676.92729923752</v>
      </c>
    </row>
    <row r="60" spans="2:19" x14ac:dyDescent="0.2">
      <c r="B60" s="8" t="s">
        <v>93</v>
      </c>
      <c r="C60" s="8" t="s">
        <v>271</v>
      </c>
      <c r="E60" s="2" t="s">
        <v>99</v>
      </c>
      <c r="I60" s="42">
        <f t="shared" si="3"/>
        <v>1566183.5046839435</v>
      </c>
      <c r="K60" s="42">
        <f>K57*$G$20</f>
        <v>189642.36175645364</v>
      </c>
      <c r="L60" s="60"/>
      <c r="M60" s="60"/>
      <c r="N60" s="60"/>
      <c r="O60" s="60"/>
      <c r="P60" s="60"/>
      <c r="R60" s="42">
        <f>R57*$G$20</f>
        <v>962274.70571451203</v>
      </c>
      <c r="S60" s="42">
        <f>S57*$G$20</f>
        <v>414266.43721297791</v>
      </c>
    </row>
    <row r="61" spans="2:19" s="8" customFormat="1" x14ac:dyDescent="0.2">
      <c r="I61" s="96"/>
      <c r="K61" s="96"/>
      <c r="L61" s="62"/>
      <c r="M61" s="62"/>
      <c r="N61" s="62"/>
      <c r="O61" s="62"/>
      <c r="P61" s="62"/>
      <c r="R61" s="96"/>
      <c r="S61" s="96"/>
    </row>
    <row r="62" spans="2:19" x14ac:dyDescent="0.2">
      <c r="B62" s="63" t="s">
        <v>92</v>
      </c>
      <c r="C62" s="63" t="s">
        <v>270</v>
      </c>
      <c r="E62" s="2" t="s">
        <v>99</v>
      </c>
      <c r="I62" s="42">
        <f t="shared" ref="I62:I63" si="4">SUM(K62:P62,R62:S62)</f>
        <v>22514466.197665151</v>
      </c>
      <c r="K62" s="42">
        <f>K59+K56</f>
        <v>2914354.491396361</v>
      </c>
      <c r="L62" s="60"/>
      <c r="M62" s="60"/>
      <c r="N62" s="60"/>
      <c r="O62" s="60"/>
      <c r="P62" s="60"/>
      <c r="R62" s="42">
        <f>R59+R56</f>
        <v>12356467.471424198</v>
      </c>
      <c r="S62" s="42">
        <f>S59+S56</f>
        <v>7243644.2348445924</v>
      </c>
    </row>
    <row r="63" spans="2:19" x14ac:dyDescent="0.2">
      <c r="B63" s="63" t="s">
        <v>92</v>
      </c>
      <c r="C63" s="63" t="s">
        <v>271</v>
      </c>
      <c r="E63" s="2" t="s">
        <v>99</v>
      </c>
      <c r="I63" s="42">
        <f t="shared" si="4"/>
        <v>22267174.065346636</v>
      </c>
      <c r="K63" s="42">
        <f>K60+K56</f>
        <v>2884410.9605927104</v>
      </c>
      <c r="L63" s="60"/>
      <c r="M63" s="60"/>
      <c r="N63" s="60"/>
      <c r="O63" s="60"/>
      <c r="P63" s="60"/>
      <c r="R63" s="42">
        <f>R60+R56</f>
        <v>12204529.359995591</v>
      </c>
      <c r="S63" s="42">
        <f>S60+S56</f>
        <v>7178233.7447583321</v>
      </c>
    </row>
    <row r="65" spans="2:19" s="7" customFormat="1" x14ac:dyDescent="0.2">
      <c r="B65" s="7" t="s">
        <v>109</v>
      </c>
    </row>
    <row r="67" spans="2:19" x14ac:dyDescent="0.2">
      <c r="B67" s="1" t="s">
        <v>107</v>
      </c>
      <c r="C67" s="1"/>
    </row>
    <row r="68" spans="2:19" x14ac:dyDescent="0.2">
      <c r="B68" s="2" t="s">
        <v>111</v>
      </c>
      <c r="E68" s="2" t="s">
        <v>98</v>
      </c>
      <c r="I68" s="42">
        <f>SUM(K68:P68,R68:S68)</f>
        <v>20557090.924193338</v>
      </c>
      <c r="K68" s="41">
        <f>'3) Import GAW'!J29</f>
        <v>2676036.3444252796</v>
      </c>
      <c r="L68" s="60"/>
      <c r="M68" s="60"/>
      <c r="N68" s="60"/>
      <c r="O68" s="60"/>
      <c r="P68" s="60"/>
      <c r="R68" s="57">
        <f>'3) Import GAW'!Q29</f>
        <v>11164105.912890844</v>
      </c>
      <c r="S68" s="57">
        <f>'3) Import GAW'!R29</f>
        <v>6716948.6668772148</v>
      </c>
    </row>
    <row r="69" spans="2:19" x14ac:dyDescent="0.2">
      <c r="B69" s="2" t="s">
        <v>86</v>
      </c>
      <c r="E69" s="2" t="s">
        <v>98</v>
      </c>
      <c r="I69" s="42">
        <f>SUM(K69:P69,R69:S69)</f>
        <v>61300615.90087036</v>
      </c>
      <c r="K69" s="41">
        <f>'3) Import GAW'!J30</f>
        <v>7235758.0295073837</v>
      </c>
      <c r="L69" s="60"/>
      <c r="M69" s="60"/>
      <c r="N69" s="60"/>
      <c r="O69" s="60"/>
      <c r="P69" s="60"/>
      <c r="R69" s="57">
        <f>'3) Import GAW'!Q30</f>
        <v>39129873.374963239</v>
      </c>
      <c r="S69" s="57">
        <f>'3) Import GAW'!R30</f>
        <v>14934984.496399738</v>
      </c>
    </row>
    <row r="71" spans="2:19" x14ac:dyDescent="0.2">
      <c r="B71" s="1" t="s">
        <v>107</v>
      </c>
      <c r="C71" s="1"/>
    </row>
    <row r="72" spans="2:19" x14ac:dyDescent="0.2">
      <c r="B72" s="2" t="s">
        <v>85</v>
      </c>
      <c r="E72" s="2" t="s">
        <v>99</v>
      </c>
      <c r="I72" s="42">
        <f t="shared" ref="I72:I73" si="5">SUM(K72:P72,R72:S72)</f>
        <v>20700990.560662687</v>
      </c>
      <c r="K72" s="42">
        <f>K68*(1+$G$25)</f>
        <v>2694768.5988362562</v>
      </c>
      <c r="L72" s="60"/>
      <c r="M72" s="60"/>
      <c r="N72" s="60"/>
      <c r="O72" s="60"/>
      <c r="P72" s="60"/>
      <c r="R72" s="42">
        <f>R68*(1+$G$25)</f>
        <v>11242254.654281078</v>
      </c>
      <c r="S72" s="42">
        <f>S68*(1+$G$25)</f>
        <v>6763967.3075453546</v>
      </c>
    </row>
    <row r="73" spans="2:19" x14ac:dyDescent="0.2">
      <c r="B73" s="2" t="s">
        <v>86</v>
      </c>
      <c r="E73" s="2" t="s">
        <v>99</v>
      </c>
      <c r="I73" s="42">
        <f t="shared" si="5"/>
        <v>61729720.21217645</v>
      </c>
      <c r="K73" s="42">
        <f>K69*(1+$G$25)</f>
        <v>7286408.3357139351</v>
      </c>
      <c r="L73" s="60"/>
      <c r="M73" s="60"/>
      <c r="N73" s="60"/>
      <c r="O73" s="60"/>
      <c r="P73" s="60"/>
      <c r="R73" s="42">
        <f>R69*(1+$G$25)</f>
        <v>39403782.488587976</v>
      </c>
      <c r="S73" s="42">
        <f>S69*(1+$G$25)</f>
        <v>15039529.387874534</v>
      </c>
    </row>
    <row r="75" spans="2:19" x14ac:dyDescent="0.2">
      <c r="B75" s="8" t="s">
        <v>93</v>
      </c>
      <c r="C75" s="8" t="s">
        <v>270</v>
      </c>
      <c r="E75" s="2" t="s">
        <v>99</v>
      </c>
      <c r="I75" s="42">
        <f t="shared" ref="I75:I76" si="6">SUM(K75:P75,R75:S75)</f>
        <v>1358053.8446678817</v>
      </c>
      <c r="K75" s="42">
        <f>K73*$G$15</f>
        <v>160300.98338570655</v>
      </c>
      <c r="L75" s="60"/>
      <c r="M75" s="60"/>
      <c r="N75" s="60"/>
      <c r="O75" s="60"/>
      <c r="P75" s="60"/>
      <c r="R75" s="42">
        <f>R73*$G$15</f>
        <v>866883.21474893542</v>
      </c>
      <c r="S75" s="42">
        <f>S73*$G$15</f>
        <v>330869.64653323975</v>
      </c>
    </row>
    <row r="76" spans="2:19" x14ac:dyDescent="0.2">
      <c r="B76" s="8" t="s">
        <v>93</v>
      </c>
      <c r="C76" s="8" t="s">
        <v>271</v>
      </c>
      <c r="E76" s="2" t="s">
        <v>99</v>
      </c>
      <c r="I76" s="42">
        <f t="shared" si="6"/>
        <v>1172864.6840313524</v>
      </c>
      <c r="K76" s="42">
        <f>K73*$G$20</f>
        <v>138441.75837856476</v>
      </c>
      <c r="L76" s="60"/>
      <c r="M76" s="60"/>
      <c r="N76" s="60"/>
      <c r="O76" s="60"/>
      <c r="P76" s="60"/>
      <c r="R76" s="42">
        <f>R73*$G$20</f>
        <v>748671.86728317151</v>
      </c>
      <c r="S76" s="42">
        <f>S73*$G$20</f>
        <v>285751.05836961616</v>
      </c>
    </row>
    <row r="77" spans="2:19" s="8" customFormat="1" x14ac:dyDescent="0.2">
      <c r="I77" s="96"/>
      <c r="K77" s="96"/>
      <c r="L77" s="62"/>
      <c r="M77" s="62"/>
      <c r="N77" s="62"/>
      <c r="O77" s="62"/>
      <c r="P77" s="62"/>
      <c r="R77" s="96"/>
      <c r="S77" s="96"/>
    </row>
    <row r="78" spans="2:19" x14ac:dyDescent="0.2">
      <c r="B78" s="63" t="s">
        <v>92</v>
      </c>
      <c r="C78" s="63" t="s">
        <v>270</v>
      </c>
      <c r="E78" s="2" t="s">
        <v>99</v>
      </c>
      <c r="I78" s="42">
        <f t="shared" ref="I78:I79" si="7">SUM(K78:P78,R78:S78)</f>
        <v>22059044.405330569</v>
      </c>
      <c r="K78" s="42">
        <f>K75+K72</f>
        <v>2855069.5822219625</v>
      </c>
      <c r="L78" s="60"/>
      <c r="M78" s="60"/>
      <c r="N78" s="60"/>
      <c r="O78" s="60"/>
      <c r="P78" s="60"/>
      <c r="R78" s="42">
        <f>R75+R72</f>
        <v>12109137.869030014</v>
      </c>
      <c r="S78" s="42">
        <f>S75+S72</f>
        <v>7094836.9540785942</v>
      </c>
    </row>
    <row r="79" spans="2:19" x14ac:dyDescent="0.2">
      <c r="B79" s="63" t="s">
        <v>92</v>
      </c>
      <c r="C79" s="63" t="s">
        <v>271</v>
      </c>
      <c r="E79" s="2" t="s">
        <v>99</v>
      </c>
      <c r="I79" s="42">
        <f t="shared" si="7"/>
        <v>21873855.244694039</v>
      </c>
      <c r="K79" s="42">
        <f>K76+K72</f>
        <v>2833210.357214821</v>
      </c>
      <c r="L79" s="60"/>
      <c r="M79" s="60"/>
      <c r="N79" s="60"/>
      <c r="O79" s="60"/>
      <c r="P79" s="60"/>
      <c r="R79" s="42">
        <f>R76+R72</f>
        <v>11990926.521564249</v>
      </c>
      <c r="S79" s="42">
        <f>S76+S72</f>
        <v>7049718.3659149706</v>
      </c>
    </row>
    <row r="80" spans="2:19" s="8" customFormat="1" x14ac:dyDescent="0.2">
      <c r="B80" s="63"/>
      <c r="C80" s="63"/>
      <c r="I80" s="96"/>
      <c r="K80" s="96"/>
      <c r="L80" s="62"/>
      <c r="M80" s="62"/>
      <c r="N80" s="62"/>
      <c r="O80" s="62"/>
      <c r="P80" s="62"/>
      <c r="R80" s="96"/>
      <c r="S80" s="96"/>
    </row>
    <row r="81" spans="2:19" s="7" customFormat="1" x14ac:dyDescent="0.2">
      <c r="B81" s="7" t="s">
        <v>112</v>
      </c>
    </row>
    <row r="83" spans="2:19" x14ac:dyDescent="0.2">
      <c r="B83" s="1" t="s">
        <v>107</v>
      </c>
      <c r="C83" s="1"/>
    </row>
    <row r="84" spans="2:19" x14ac:dyDescent="0.2">
      <c r="B84" s="2" t="s">
        <v>85</v>
      </c>
      <c r="E84" s="2" t="s">
        <v>99</v>
      </c>
      <c r="I84" s="42">
        <f t="shared" ref="I84:I85" si="8">SUM(K84:P84,R84:S84)</f>
        <v>20700990.560662687</v>
      </c>
      <c r="K84" s="42">
        <f>K68*(1+$G25)</f>
        <v>2694768.5988362562</v>
      </c>
      <c r="L84" s="60"/>
      <c r="M84" s="60"/>
      <c r="N84" s="60"/>
      <c r="O84" s="60"/>
      <c r="P84" s="60"/>
      <c r="R84" s="42">
        <f>R68*(1+$G25)</f>
        <v>11242254.654281078</v>
      </c>
      <c r="S84" s="42">
        <f>S68*(1+$G25)</f>
        <v>6763967.3075453546</v>
      </c>
    </row>
    <row r="85" spans="2:19" x14ac:dyDescent="0.2">
      <c r="B85" s="2" t="s">
        <v>86</v>
      </c>
      <c r="E85" s="2" t="s">
        <v>99</v>
      </c>
      <c r="I85" s="42">
        <f t="shared" si="8"/>
        <v>41028729.651513755</v>
      </c>
      <c r="K85" s="42">
        <f>K73-K84</f>
        <v>4591639.7368776789</v>
      </c>
      <c r="L85" s="60"/>
      <c r="M85" s="60"/>
      <c r="N85" s="60"/>
      <c r="O85" s="60"/>
      <c r="P85" s="60"/>
      <c r="R85" s="42">
        <f>R73-R84</f>
        <v>28161527.834306896</v>
      </c>
      <c r="S85" s="42">
        <f>S73-S84</f>
        <v>8275562.0803291798</v>
      </c>
    </row>
    <row r="87" spans="2:19" x14ac:dyDescent="0.2">
      <c r="B87" s="8" t="s">
        <v>93</v>
      </c>
      <c r="C87" s="8"/>
      <c r="E87" s="2" t="s">
        <v>99</v>
      </c>
      <c r="I87" s="42">
        <f t="shared" ref="I87:I88" si="9">SUM(K87:P87,R87:S87)</f>
        <v>902632.05233330256</v>
      </c>
      <c r="K87" s="42">
        <f>K85*$G$15</f>
        <v>101016.07421130894</v>
      </c>
      <c r="L87" s="60"/>
      <c r="M87" s="60"/>
      <c r="N87" s="60"/>
      <c r="O87" s="60"/>
      <c r="P87" s="60"/>
      <c r="R87" s="42">
        <f>R85*$G$15</f>
        <v>619553.61235475168</v>
      </c>
      <c r="S87" s="42">
        <f>S85*$G$15</f>
        <v>182062.36576724195</v>
      </c>
    </row>
    <row r="88" spans="2:19" x14ac:dyDescent="0.2">
      <c r="B88" s="63" t="s">
        <v>92</v>
      </c>
      <c r="C88" s="63"/>
      <c r="E88" s="2" t="s">
        <v>99</v>
      </c>
      <c r="I88" s="42">
        <f t="shared" si="9"/>
        <v>21603622.61299599</v>
      </c>
      <c r="K88" s="42">
        <f>K87+K84</f>
        <v>2795784.6730475649</v>
      </c>
      <c r="L88" s="60"/>
      <c r="M88" s="60"/>
      <c r="N88" s="60"/>
      <c r="O88" s="60"/>
      <c r="P88" s="60"/>
      <c r="R88" s="42">
        <f>R87+R84</f>
        <v>11861808.26663583</v>
      </c>
      <c r="S88" s="42">
        <f>S87+S84</f>
        <v>6946029.673312597</v>
      </c>
    </row>
    <row r="90" spans="2:19" s="7" customFormat="1" x14ac:dyDescent="0.2">
      <c r="B90" s="7" t="s">
        <v>113</v>
      </c>
    </row>
    <row r="92" spans="2:19" x14ac:dyDescent="0.2">
      <c r="B92" s="1" t="s">
        <v>107</v>
      </c>
      <c r="C92" s="1"/>
    </row>
    <row r="93" spans="2:19" x14ac:dyDescent="0.2">
      <c r="B93" s="2" t="s">
        <v>85</v>
      </c>
      <c r="E93" s="2" t="s">
        <v>232</v>
      </c>
      <c r="I93" s="42">
        <f t="shared" ref="I93:I94" si="10">SUM(K93:P93,R93:S93)</f>
        <v>20887299.475708649</v>
      </c>
      <c r="K93" s="42">
        <f>K84*(1+$G27)</f>
        <v>2719021.5162257822</v>
      </c>
      <c r="L93" s="60"/>
      <c r="M93" s="60"/>
      <c r="N93" s="60"/>
      <c r="O93" s="60"/>
      <c r="P93" s="60"/>
      <c r="R93" s="42">
        <f>R84*(1+$G27)</f>
        <v>11343434.946169607</v>
      </c>
      <c r="S93" s="42">
        <f>S84*(1+$G27)</f>
        <v>6824843.0133132618</v>
      </c>
    </row>
    <row r="94" spans="2:19" x14ac:dyDescent="0.2">
      <c r="B94" s="2" t="s">
        <v>86</v>
      </c>
      <c r="E94" s="2" t="s">
        <v>232</v>
      </c>
      <c r="I94" s="42">
        <f t="shared" si="10"/>
        <v>20510688.742668726</v>
      </c>
      <c r="K94" s="42">
        <f>K85*(1+$G27)-K93</f>
        <v>1913942.9782837955</v>
      </c>
      <c r="L94" s="60"/>
      <c r="M94" s="60"/>
      <c r="N94" s="60"/>
      <c r="O94" s="60"/>
      <c r="P94" s="60"/>
      <c r="R94" s="42">
        <f>R85*(1+$G27)-R93</f>
        <v>17071546.638646048</v>
      </c>
      <c r="S94" s="42">
        <f>S85*(1+$G27)-S93</f>
        <v>1525199.1257388797</v>
      </c>
    </row>
    <row r="96" spans="2:19" x14ac:dyDescent="0.2">
      <c r="B96" s="8" t="s">
        <v>93</v>
      </c>
      <c r="C96" s="8"/>
      <c r="E96" s="2" t="s">
        <v>232</v>
      </c>
      <c r="I96" s="42">
        <f t="shared" ref="I96:I97" si="11">SUM(K96:P96,R96:S96)</f>
        <v>410213.7748533744</v>
      </c>
      <c r="K96" s="42">
        <f>K94*$G$16</f>
        <v>38278.859565675913</v>
      </c>
      <c r="L96" s="60"/>
      <c r="M96" s="60"/>
      <c r="N96" s="60"/>
      <c r="O96" s="60"/>
      <c r="P96" s="60"/>
      <c r="R96" s="42">
        <f>R94*$G$16</f>
        <v>341430.93277292093</v>
      </c>
      <c r="S96" s="42">
        <f>S94*$G$16</f>
        <v>30503.982514777595</v>
      </c>
    </row>
    <row r="97" spans="2:19" x14ac:dyDescent="0.2">
      <c r="B97" s="63" t="s">
        <v>92</v>
      </c>
      <c r="C97" s="63"/>
      <c r="E97" s="2" t="s">
        <v>232</v>
      </c>
      <c r="I97" s="42">
        <f t="shared" si="11"/>
        <v>21297513.250562027</v>
      </c>
      <c r="K97" s="42">
        <f>K96+K93</f>
        <v>2757300.3757914579</v>
      </c>
      <c r="L97" s="60"/>
      <c r="M97" s="60"/>
      <c r="N97" s="60"/>
      <c r="O97" s="60"/>
      <c r="P97" s="60"/>
      <c r="R97" s="42">
        <f>R96+R93</f>
        <v>11684865.878942529</v>
      </c>
      <c r="S97" s="42">
        <f>S96+S93</f>
        <v>6855346.995828039</v>
      </c>
    </row>
    <row r="99" spans="2:19" s="7" customFormat="1" x14ac:dyDescent="0.2">
      <c r="B99" s="7" t="s">
        <v>114</v>
      </c>
    </row>
    <row r="101" spans="2:19" x14ac:dyDescent="0.2">
      <c r="B101" s="1" t="s">
        <v>107</v>
      </c>
      <c r="C101" s="1"/>
    </row>
    <row r="102" spans="2:19" x14ac:dyDescent="0.2">
      <c r="B102" s="2" t="s">
        <v>85</v>
      </c>
      <c r="E102" s="2" t="s">
        <v>233</v>
      </c>
      <c r="I102" s="42">
        <f t="shared" ref="I102:I103" si="12">SUM(K102:P102,R102:S102)</f>
        <v>14915620.24364401</v>
      </c>
      <c r="K102" s="42">
        <f>K94*(1+$G28)</f>
        <v>1931168.4650883495</v>
      </c>
      <c r="L102" s="60"/>
      <c r="M102" s="60"/>
      <c r="N102" s="60"/>
      <c r="O102" s="60"/>
      <c r="P102" s="60"/>
      <c r="R102" s="42">
        <f>R93*(1+$G28)</f>
        <v>11445525.860685132</v>
      </c>
      <c r="S102" s="42">
        <f>S94*(1+$G28)</f>
        <v>1538925.9178705295</v>
      </c>
    </row>
    <row r="103" spans="2:19" x14ac:dyDescent="0.2">
      <c r="B103" s="2" t="s">
        <v>86</v>
      </c>
      <c r="E103" s="2" t="s">
        <v>233</v>
      </c>
      <c r="I103" s="42">
        <f t="shared" si="12"/>
        <v>5779664.6977087259</v>
      </c>
      <c r="K103" s="42">
        <f>K94*(1+$G28)-K102</f>
        <v>0</v>
      </c>
      <c r="L103" s="60"/>
      <c r="M103" s="60"/>
      <c r="N103" s="60"/>
      <c r="O103" s="60"/>
      <c r="P103" s="60"/>
      <c r="R103" s="42">
        <f>R94*(1+$G28)-R102</f>
        <v>5779664.6977087259</v>
      </c>
      <c r="S103" s="42">
        <f>S94*(1+$G28)-S102</f>
        <v>0</v>
      </c>
    </row>
    <row r="105" spans="2:19" x14ac:dyDescent="0.2">
      <c r="B105" s="8" t="s">
        <v>93</v>
      </c>
      <c r="C105" s="8"/>
      <c r="E105" s="2" t="s">
        <v>233</v>
      </c>
      <c r="I105" s="42">
        <f t="shared" ref="I105:I106" si="13">SUM(K105:P105,R105:S105)</f>
        <v>115593.29395417451</v>
      </c>
      <c r="K105" s="42">
        <f>K103*$G$17</f>
        <v>0</v>
      </c>
      <c r="L105" s="60"/>
      <c r="M105" s="60"/>
      <c r="N105" s="60"/>
      <c r="O105" s="60"/>
      <c r="P105" s="60"/>
      <c r="R105" s="42">
        <f>R103*$G$17</f>
        <v>115593.29395417451</v>
      </c>
      <c r="S105" s="42">
        <f>S103*$G$17</f>
        <v>0</v>
      </c>
    </row>
    <row r="106" spans="2:19" x14ac:dyDescent="0.2">
      <c r="B106" s="63" t="s">
        <v>92</v>
      </c>
      <c r="C106" s="63"/>
      <c r="E106" s="2" t="s">
        <v>233</v>
      </c>
      <c r="I106" s="42">
        <f t="shared" si="13"/>
        <v>15031213.537598185</v>
      </c>
      <c r="K106" s="42">
        <f>K105+K102</f>
        <v>1931168.4650883495</v>
      </c>
      <c r="L106" s="60"/>
      <c r="M106" s="60"/>
      <c r="N106" s="60"/>
      <c r="O106" s="60"/>
      <c r="P106" s="60"/>
      <c r="R106" s="42">
        <f>R105+R102</f>
        <v>11561119.154639307</v>
      </c>
      <c r="S106" s="42">
        <f>S105+S102</f>
        <v>1538925.9178705295</v>
      </c>
    </row>
    <row r="108" spans="2:19" s="7" customFormat="1" x14ac:dyDescent="0.2">
      <c r="B108" s="7" t="s">
        <v>115</v>
      </c>
    </row>
    <row r="110" spans="2:19" x14ac:dyDescent="0.2">
      <c r="B110" s="1" t="s">
        <v>107</v>
      </c>
      <c r="C110" s="1"/>
    </row>
    <row r="111" spans="2:19" x14ac:dyDescent="0.2">
      <c r="B111" s="2" t="s">
        <v>85</v>
      </c>
      <c r="E111" s="2" t="s">
        <v>234</v>
      </c>
      <c r="I111" s="42">
        <f>SUM(K111:P111,R111:S111)</f>
        <v>5831681.6799881039</v>
      </c>
      <c r="K111" s="42">
        <f>K103*(1+$G29)</f>
        <v>0</v>
      </c>
      <c r="L111" s="60"/>
      <c r="M111" s="60"/>
      <c r="N111" s="60"/>
      <c r="O111" s="60"/>
      <c r="P111" s="60"/>
      <c r="R111" s="34">
        <f>R103*(1+$G29)</f>
        <v>5831681.6799881039</v>
      </c>
      <c r="S111" s="42">
        <f>S103*(1+$G29)</f>
        <v>0</v>
      </c>
    </row>
    <row r="112" spans="2:19" x14ac:dyDescent="0.2">
      <c r="B112" s="2" t="s">
        <v>86</v>
      </c>
      <c r="E112" s="2" t="s">
        <v>234</v>
      </c>
      <c r="I112" s="42">
        <f t="shared" ref="I112" si="14">SUM(K112:P112,R112:S112)</f>
        <v>0</v>
      </c>
      <c r="K112" s="42">
        <f>K103*(1+$G29)-K111</f>
        <v>0</v>
      </c>
      <c r="L112" s="60"/>
      <c r="M112" s="60"/>
      <c r="N112" s="60"/>
      <c r="O112" s="60"/>
      <c r="P112" s="60"/>
      <c r="R112" s="42">
        <f>R103*(1+$G29)-R111</f>
        <v>0</v>
      </c>
      <c r="S112" s="42">
        <f>S103*(1+$G29)-S111</f>
        <v>0</v>
      </c>
    </row>
    <row r="114" spans="2:19" x14ac:dyDescent="0.2">
      <c r="B114" s="8" t="s">
        <v>93</v>
      </c>
      <c r="C114" s="8"/>
      <c r="E114" s="2" t="s">
        <v>234</v>
      </c>
      <c r="I114" s="42">
        <f t="shared" ref="I114:I115" si="15">SUM(K114:P114,R114:S114)</f>
        <v>0</v>
      </c>
      <c r="K114" s="42">
        <f>K112*$G$18</f>
        <v>0</v>
      </c>
      <c r="L114" s="60"/>
      <c r="M114" s="60"/>
      <c r="N114" s="60"/>
      <c r="O114" s="60"/>
      <c r="P114" s="60"/>
      <c r="R114" s="42">
        <f>R112*$G$18</f>
        <v>0</v>
      </c>
      <c r="S114" s="42">
        <f>S112*$G$18</f>
        <v>0</v>
      </c>
    </row>
    <row r="115" spans="2:19" x14ac:dyDescent="0.2">
      <c r="B115" s="63" t="s">
        <v>92</v>
      </c>
      <c r="C115" s="63"/>
      <c r="E115" s="2" t="s">
        <v>234</v>
      </c>
      <c r="I115" s="42">
        <f t="shared" si="15"/>
        <v>5831681.6799881039</v>
      </c>
      <c r="K115" s="42">
        <f>K114+K111</f>
        <v>0</v>
      </c>
      <c r="L115" s="60"/>
      <c r="M115" s="60"/>
      <c r="N115" s="60"/>
      <c r="O115" s="60"/>
      <c r="P115" s="60"/>
      <c r="R115" s="42">
        <f>R114+R111</f>
        <v>5831681.6799881039</v>
      </c>
      <c r="S115" s="42">
        <f>S114+S111</f>
        <v>0</v>
      </c>
    </row>
    <row r="117" spans="2:19" s="7" customFormat="1" x14ac:dyDescent="0.2">
      <c r="B117" s="7" t="s">
        <v>116</v>
      </c>
    </row>
    <row r="119" spans="2:19" x14ac:dyDescent="0.2">
      <c r="B119" s="1" t="s">
        <v>107</v>
      </c>
      <c r="C119" s="1"/>
    </row>
    <row r="120" spans="2:19" x14ac:dyDescent="0.2">
      <c r="B120" s="2" t="s">
        <v>85</v>
      </c>
      <c r="E120" s="2" t="s">
        <v>235</v>
      </c>
      <c r="I120" s="42">
        <f t="shared" ref="I120:I121" si="16">SUM(K120:P120,R120:S120)</f>
        <v>0</v>
      </c>
      <c r="K120" s="42">
        <f>K112*(1+$G30)</f>
        <v>0</v>
      </c>
      <c r="L120" s="60"/>
      <c r="M120" s="60"/>
      <c r="N120" s="60"/>
      <c r="O120" s="60"/>
      <c r="P120" s="60"/>
      <c r="R120" s="42">
        <f>R112*(1+$G30)</f>
        <v>0</v>
      </c>
      <c r="S120" s="42">
        <f>S112*(1+$G30)</f>
        <v>0</v>
      </c>
    </row>
    <row r="121" spans="2:19" x14ac:dyDescent="0.2">
      <c r="B121" s="2" t="s">
        <v>86</v>
      </c>
      <c r="E121" s="2" t="s">
        <v>235</v>
      </c>
      <c r="I121" s="42">
        <f t="shared" si="16"/>
        <v>0</v>
      </c>
      <c r="K121" s="42">
        <f>K112*(1+$G30)-K120</f>
        <v>0</v>
      </c>
      <c r="L121" s="60"/>
      <c r="M121" s="60"/>
      <c r="N121" s="60"/>
      <c r="O121" s="60"/>
      <c r="P121" s="60"/>
      <c r="R121" s="42">
        <f>R112*(1+$G30)-R120</f>
        <v>0</v>
      </c>
      <c r="S121" s="42">
        <f>S112*(1+$G30)-S120</f>
        <v>0</v>
      </c>
    </row>
    <row r="123" spans="2:19" x14ac:dyDescent="0.2">
      <c r="B123" s="8" t="s">
        <v>93</v>
      </c>
      <c r="C123" s="8"/>
      <c r="E123" s="2" t="s">
        <v>235</v>
      </c>
      <c r="I123" s="42">
        <f t="shared" ref="I123:I124" si="17">SUM(K123:P123,R123:S123)</f>
        <v>0</v>
      </c>
      <c r="K123" s="42">
        <f>K121*$G$19</f>
        <v>0</v>
      </c>
      <c r="L123" s="60"/>
      <c r="M123" s="60"/>
      <c r="N123" s="60"/>
      <c r="O123" s="60"/>
      <c r="P123" s="60"/>
      <c r="R123" s="42">
        <f>R121*$G$19</f>
        <v>0</v>
      </c>
      <c r="S123" s="42">
        <f>S121*$G$19</f>
        <v>0</v>
      </c>
    </row>
    <row r="124" spans="2:19" x14ac:dyDescent="0.2">
      <c r="B124" s="63" t="s">
        <v>92</v>
      </c>
      <c r="C124" s="63"/>
      <c r="E124" s="2" t="s">
        <v>235</v>
      </c>
      <c r="I124" s="42">
        <f t="shared" si="17"/>
        <v>0</v>
      </c>
      <c r="K124" s="42">
        <f>K123+K120</f>
        <v>0</v>
      </c>
      <c r="L124" s="60"/>
      <c r="M124" s="60"/>
      <c r="N124" s="60"/>
      <c r="O124" s="60"/>
      <c r="P124" s="60"/>
      <c r="R124" s="42">
        <f>R123+R120</f>
        <v>0</v>
      </c>
      <c r="S124" s="42">
        <f>S123+S120</f>
        <v>0</v>
      </c>
    </row>
    <row r="125" spans="2:19" x14ac:dyDescent="0.2">
      <c r="B125" s="59"/>
      <c r="C125" s="59"/>
    </row>
    <row r="126" spans="2:19" s="7" customFormat="1" x14ac:dyDescent="0.2">
      <c r="B126" s="7" t="s">
        <v>117</v>
      </c>
    </row>
    <row r="128" spans="2:19" x14ac:dyDescent="0.2">
      <c r="B128" s="1" t="s">
        <v>107</v>
      </c>
      <c r="C128" s="1"/>
    </row>
    <row r="129" spans="2:19" x14ac:dyDescent="0.2">
      <c r="B129" s="2" t="s">
        <v>85</v>
      </c>
      <c r="E129" s="2" t="s">
        <v>236</v>
      </c>
      <c r="I129" s="42">
        <f t="shared" ref="I129:I130" si="18">SUM(K129:P129,R129:S129)</f>
        <v>0</v>
      </c>
      <c r="K129" s="42">
        <f>K121*(1+$G31)</f>
        <v>0</v>
      </c>
      <c r="L129" s="60"/>
      <c r="M129" s="60"/>
      <c r="N129" s="60"/>
      <c r="O129" s="60"/>
      <c r="P129" s="60"/>
      <c r="R129" s="42">
        <f>R121*(1+$G31)</f>
        <v>0</v>
      </c>
      <c r="S129" s="42">
        <f>S121*(1+$G31)</f>
        <v>0</v>
      </c>
    </row>
    <row r="130" spans="2:19" x14ac:dyDescent="0.2">
      <c r="B130" s="2" t="s">
        <v>86</v>
      </c>
      <c r="E130" s="2" t="s">
        <v>236</v>
      </c>
      <c r="I130" s="42">
        <f t="shared" si="18"/>
        <v>0</v>
      </c>
      <c r="K130" s="42">
        <f>K121*(1+$G31)-K129</f>
        <v>0</v>
      </c>
      <c r="L130" s="60"/>
      <c r="M130" s="60"/>
      <c r="N130" s="60"/>
      <c r="O130" s="60"/>
      <c r="P130" s="60"/>
      <c r="R130" s="42">
        <f>R121*(1+$G31)-R129</f>
        <v>0</v>
      </c>
      <c r="S130" s="42">
        <f>S121*(1+$G31)-S129</f>
        <v>0</v>
      </c>
    </row>
    <row r="132" spans="2:19" x14ac:dyDescent="0.2">
      <c r="B132" s="8" t="s">
        <v>93</v>
      </c>
      <c r="C132" s="8"/>
      <c r="E132" s="2" t="s">
        <v>236</v>
      </c>
      <c r="I132" s="42">
        <f t="shared" ref="I132:I133" si="19">SUM(K132:P132,R132:S132)</f>
        <v>0</v>
      </c>
      <c r="K132" s="42">
        <f>K130*$G$20</f>
        <v>0</v>
      </c>
      <c r="L132" s="60"/>
      <c r="M132" s="60"/>
      <c r="N132" s="60"/>
      <c r="O132" s="60"/>
      <c r="P132" s="60"/>
      <c r="R132" s="42">
        <f>R130*$G$20</f>
        <v>0</v>
      </c>
      <c r="S132" s="42">
        <f>S130*$G$20</f>
        <v>0</v>
      </c>
    </row>
    <row r="133" spans="2:19" x14ac:dyDescent="0.2">
      <c r="B133" s="63" t="s">
        <v>92</v>
      </c>
      <c r="C133" s="63"/>
      <c r="E133" s="2" t="s">
        <v>236</v>
      </c>
      <c r="I133" s="42">
        <f t="shared" si="19"/>
        <v>0</v>
      </c>
      <c r="K133" s="42">
        <f>K132+K129</f>
        <v>0</v>
      </c>
      <c r="L133" s="60"/>
      <c r="M133" s="60"/>
      <c r="N133" s="60"/>
      <c r="O133" s="60"/>
      <c r="P133" s="60"/>
      <c r="R133" s="42">
        <f>R132+R129</f>
        <v>0</v>
      </c>
      <c r="S133" s="42">
        <f>S132+S129</f>
        <v>0</v>
      </c>
    </row>
    <row r="134" spans="2:19" x14ac:dyDescent="0.2">
      <c r="B134" s="59"/>
      <c r="C134" s="59"/>
    </row>
    <row r="136" spans="2:19" x14ac:dyDescent="0.2">
      <c r="G136" s="56"/>
    </row>
  </sheetData>
  <mergeCells count="1">
    <mergeCell ref="B5:E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20B76403CB6F24694D915B3C168C0E6" ma:contentTypeVersion="0" ma:contentTypeDescription="Een nieuw document maken." ma:contentTypeScope="" ma:versionID="bf02a18621bcb6325d2ad5de47f96fac">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DAB9D1-B815-4B0E-93E7-4496A7FE99F6}">
  <ds:schemaRefs>
    <ds:schemaRef ds:uri="http://schemas.microsoft.com/office/2006/documentManagement/types"/>
    <ds:schemaRef ds:uri="http://purl.org/dc/terms/"/>
    <ds:schemaRef ds:uri="http://purl.org/dc/dcmitype/"/>
    <ds:schemaRef ds:uri="http://schemas.microsoft.com/office/infopath/2007/PartnerControls"/>
    <ds:schemaRef ds:uri="http://www.w3.org/XML/1998/namespace"/>
    <ds:schemaRef ds:uri="http://schemas.openxmlformats.org/package/2006/metadata/core-properties"/>
    <ds:schemaRef ds:uri="http://purl.org/dc/elements/1.1/"/>
    <ds:schemaRef ds:uri="http://schemas.microsoft.com/office/2006/metadata/properties"/>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61BDC70D-3516-47CA-A74A-26D77D0F6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Titelblad</vt:lpstr>
      <vt:lpstr>Toelichting</vt:lpstr>
      <vt:lpstr>Bronnen en toepassingen</vt:lpstr>
      <vt:lpstr>1) Resultaat</vt:lpstr>
      <vt:lpstr>Input --&gt;</vt:lpstr>
      <vt:lpstr>2) Parameters</vt:lpstr>
      <vt:lpstr>3) Import GAW</vt:lpstr>
      <vt:lpstr>Berekeningen --&gt;</vt:lpstr>
      <vt:lpstr>4) Kapitaalkosten start-GAW</vt:lpstr>
      <vt:lpstr>5) Schatting REG2022</vt:lpstr>
      <vt:lpstr>6) Berekening verschil</vt:lpstr>
      <vt:lpstr>7) Correctie kapitaalkosten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2021-09-16T08:58:19Z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0x010100E20B76403CB6F24694D915B3C168C0E6</vt:lpwstr>
  </property>
</Properties>
</file>