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8_{03D38BF4-E86C-41B7-A420-0CF22A0584BC}" xr6:coauthVersionLast="47" xr6:coauthVersionMax="47" xr10:uidLastSave="{00000000-0000-0000-0000-000000000000}"/>
  <bookViews>
    <workbookView xWindow="2730" yWindow="2730" windowWidth="21600" windowHeight="11385" tabRatio="851" xr2:uid="{00000000-000D-0000-FFFF-FFFF00000000}"/>
  </bookViews>
  <sheets>
    <sheet name="Cover sheet" sheetId="9" r:id="rId1"/>
    <sheet name="Explanation" sheetId="10" r:id="rId2"/>
    <sheet name="Sources and specifics" sheetId="11" r:id="rId3"/>
    <sheet name="Result" sheetId="21" r:id="rId4"/>
    <sheet name="Input --&gt;" sheetId="13" r:id="rId5"/>
    <sheet name="Fuel prices" sheetId="18" r:id="rId6"/>
    <sheet name="Production data" sheetId="24" r:id="rId7"/>
    <sheet name="Parameters in tariff decisions" sheetId="25" r:id="rId8"/>
    <sheet name="Calculations --&gt;" sheetId="15" r:id="rId9"/>
    <sheet name="Fuel component correction"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1" l="1"/>
  <c r="H20" i="21" s="1"/>
  <c r="H21" i="21" s="1"/>
  <c r="H36" i="21" s="1"/>
  <c r="H40" i="21" s="1"/>
  <c r="H38" i="21"/>
  <c r="H37" i="21"/>
  <c r="H31" i="21"/>
  <c r="H28" i="21"/>
  <c r="H27" i="21"/>
  <c r="H26" i="21"/>
  <c r="H25" i="21"/>
  <c r="H24" i="21"/>
  <c r="H18" i="21" l="1"/>
  <c r="H17" i="21"/>
  <c r="H16" i="21"/>
  <c r="H46" i="22"/>
  <c r="H44" i="22"/>
  <c r="H43" i="22"/>
  <c r="M42" i="22"/>
  <c r="N42" i="22"/>
  <c r="O42" i="22"/>
  <c r="P42" i="22"/>
  <c r="Q42" i="22"/>
  <c r="L42" i="22"/>
  <c r="L39" i="22"/>
  <c r="M39" i="22"/>
  <c r="N39" i="22"/>
  <c r="O39" i="22"/>
  <c r="P39" i="22"/>
  <c r="Q39" i="22"/>
  <c r="O38" i="22"/>
  <c r="P38" i="22"/>
  <c r="Q38" i="22"/>
  <c r="N38" i="22"/>
  <c r="M38" i="22"/>
  <c r="L38" i="22"/>
  <c r="M37" i="22"/>
  <c r="N37" i="22"/>
  <c r="O37" i="22"/>
  <c r="P37" i="22"/>
  <c r="Q37" i="22"/>
  <c r="L37" i="22"/>
  <c r="Q32" i="22"/>
  <c r="P32" i="22"/>
  <c r="O32" i="22"/>
  <c r="N32" i="22"/>
  <c r="M32" i="22"/>
  <c r="L32" i="22"/>
  <c r="M29" i="22"/>
  <c r="N29" i="22"/>
  <c r="O29" i="22"/>
  <c r="P29" i="22"/>
  <c r="Q29" i="22"/>
  <c r="L29" i="22"/>
  <c r="O26" i="22"/>
  <c r="P26" i="22"/>
  <c r="Q26" i="22"/>
  <c r="N26" i="22"/>
  <c r="M26" i="22"/>
  <c r="L26" i="22"/>
  <c r="O25" i="22"/>
  <c r="P25" i="22"/>
  <c r="Q25" i="22"/>
  <c r="N25" i="22"/>
  <c r="M25" i="22"/>
  <c r="L25" i="22"/>
  <c r="H20" i="22"/>
  <c r="O27" i="25"/>
  <c r="O247" i="18" l="1"/>
  <c r="O209" i="18"/>
  <c r="O170" i="18"/>
  <c r="O133" i="18"/>
  <c r="O96" i="18"/>
  <c r="O57" i="18"/>
  <c r="M246" i="18"/>
  <c r="M245" i="18"/>
  <c r="M244" i="18"/>
  <c r="M243" i="18"/>
  <c r="M242" i="18"/>
  <c r="M241" i="18"/>
  <c r="M240" i="18"/>
  <c r="M239" i="18"/>
  <c r="M238" i="18"/>
  <c r="M237" i="18"/>
  <c r="M236" i="18"/>
  <c r="M235" i="18"/>
  <c r="M234" i="18"/>
  <c r="M233" i="18"/>
  <c r="M232" i="18"/>
  <c r="M231" i="18"/>
  <c r="M230" i="18"/>
  <c r="M229" i="18"/>
  <c r="M228" i="18"/>
  <c r="M227" i="18"/>
  <c r="M226" i="18"/>
  <c r="M225" i="18"/>
  <c r="M224" i="18"/>
  <c r="M223" i="18"/>
  <c r="M222" i="18"/>
  <c r="M221" i="18"/>
  <c r="M220" i="18"/>
  <c r="M219" i="18"/>
  <c r="M218" i="18"/>
  <c r="M217" i="18"/>
  <c r="M216" i="18"/>
  <c r="M215" i="18"/>
  <c r="M214" i="18"/>
  <c r="M208" i="18"/>
  <c r="M207" i="18"/>
  <c r="M206" i="18"/>
  <c r="M205" i="18"/>
  <c r="M204" i="18"/>
  <c r="M203" i="18"/>
  <c r="M202" i="18"/>
  <c r="M201" i="18"/>
  <c r="M200" i="18"/>
  <c r="M199" i="18"/>
  <c r="M198" i="18"/>
  <c r="M197" i="18"/>
  <c r="M196" i="18"/>
  <c r="M195" i="18"/>
  <c r="M194" i="18"/>
  <c r="M193" i="18"/>
  <c r="M192" i="18"/>
  <c r="M191" i="18"/>
  <c r="M190" i="18"/>
  <c r="M189" i="18"/>
  <c r="M188" i="18"/>
  <c r="M187" i="18"/>
  <c r="M186" i="18"/>
  <c r="M185" i="18"/>
  <c r="M184" i="18"/>
  <c r="M183" i="18"/>
  <c r="M182" i="18"/>
  <c r="M181" i="18"/>
  <c r="M180" i="18"/>
  <c r="M179" i="18"/>
  <c r="M178" i="18"/>
  <c r="M177" i="18"/>
  <c r="M176" i="18"/>
  <c r="M175" i="18"/>
  <c r="M169" i="18"/>
  <c r="M168" i="18"/>
  <c r="M167" i="18"/>
  <c r="M166" i="18"/>
  <c r="M165" i="18"/>
  <c r="M164" i="18"/>
  <c r="M163" i="18"/>
  <c r="M162" i="18"/>
  <c r="M161" i="18"/>
  <c r="M160" i="18"/>
  <c r="M159" i="18"/>
  <c r="M158" i="18"/>
  <c r="M157" i="18"/>
  <c r="M156" i="18"/>
  <c r="M155" i="18"/>
  <c r="M154" i="18"/>
  <c r="M153" i="18"/>
  <c r="M152" i="18"/>
  <c r="M151" i="18"/>
  <c r="M150" i="18"/>
  <c r="M149" i="18"/>
  <c r="M148" i="18"/>
  <c r="M147" i="18"/>
  <c r="M146" i="18"/>
  <c r="M145" i="18"/>
  <c r="M144" i="18"/>
  <c r="M143" i="18"/>
  <c r="M142" i="18"/>
  <c r="M141" i="18"/>
  <c r="M140" i="18"/>
  <c r="M139" i="18"/>
  <c r="M138"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4" i="18"/>
  <c r="M103" i="18"/>
  <c r="M102" i="18"/>
  <c r="M101"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36" i="18"/>
  <c r="M37" i="18"/>
  <c r="M38" i="18"/>
  <c r="M39" i="18"/>
  <c r="M40" i="18"/>
  <c r="M41" i="18"/>
  <c r="M42" i="18"/>
  <c r="M43" i="18"/>
  <c r="M44" i="18"/>
  <c r="M45" i="18"/>
  <c r="M46" i="18"/>
  <c r="M47" i="18"/>
  <c r="M48" i="18"/>
  <c r="M49" i="18"/>
  <c r="M50" i="18"/>
  <c r="M51" i="18"/>
  <c r="M52" i="18"/>
  <c r="M53" i="18"/>
  <c r="M54" i="18"/>
  <c r="M55" i="18"/>
  <c r="M56" i="18"/>
  <c r="M26" i="18"/>
  <c r="M27" i="18"/>
  <c r="M28" i="18"/>
  <c r="M29" i="18"/>
  <c r="M30" i="18"/>
  <c r="M31" i="18"/>
  <c r="M32" i="18"/>
  <c r="M33" i="18"/>
  <c r="M34" i="18"/>
  <c r="M35" i="18"/>
  <c r="M25" i="18"/>
  <c r="B35" i="10" l="1"/>
  <c r="B23" i="10" l="1"/>
  <c r="B30" i="10" s="1"/>
  <c r="B24" i="10" l="1"/>
  <c r="B25" i="10" l="1"/>
  <c r="B2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9" authorId="0" shapeId="0" xr:uid="{00000000-0006-0000-0400-000001000000}">
      <text>
        <r>
          <rPr>
            <sz val="8"/>
            <color indexed="81"/>
            <rFont val="Tahoma"/>
            <family val="2"/>
          </rPr>
          <t>At all times a (group of) pink cell(s) needs an explanantion on its special nature. This explanation will be added through this remark box.</t>
        </r>
      </text>
    </comment>
  </commentList>
</comments>
</file>

<file path=xl/sharedStrings.xml><?xml version="1.0" encoding="utf-8"?>
<sst xmlns="http://schemas.openxmlformats.org/spreadsheetml/2006/main" count="521" uniqueCount="232">
  <si>
    <t>Disclaimer</t>
  </si>
  <si>
    <t>Data</t>
  </si>
  <si>
    <t>Input --&gt;</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</si>
  <si>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</si>
  <si>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</si>
  <si>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</si>
  <si>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</si>
  <si>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</si>
  <si>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</si>
  <si>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</si>
  <si>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</si>
  <si>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</si>
  <si>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</si>
  <si>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</si>
  <si>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</si>
  <si>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</si>
  <si>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Value or calculation that needs special attention or explanation</t>
  </si>
  <si>
    <t>Use in specific cases:</t>
  </si>
  <si>
    <t>Sheet tab colors</t>
  </si>
  <si>
    <t>Sheet with result/output</t>
  </si>
  <si>
    <t>Sheet with input</t>
  </si>
  <si>
    <t>Sheet with calculations</t>
  </si>
  <si>
    <t>Model sheets</t>
  </si>
  <si>
    <t>Result</t>
  </si>
  <si>
    <t>Calculation</t>
  </si>
  <si>
    <t>Explanatory sheets</t>
  </si>
  <si>
    <t>Explanation</t>
  </si>
  <si>
    <t>Special attention:</t>
  </si>
  <si>
    <t>Source overview and specific applications</t>
  </si>
  <si>
    <t>Source overview</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</si>
  <si>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</si>
  <si>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</si>
  <si>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</si>
  <si>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</si>
  <si>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</si>
  <si>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</si>
  <si>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Date received, email, URL, file location</t>
  </si>
  <si>
    <t>Unit</t>
  </si>
  <si>
    <t>Constant</t>
  </si>
  <si>
    <t>Remarks</t>
  </si>
  <si>
    <t>Source</t>
  </si>
  <si>
    <t>Cover sheet</t>
  </si>
  <si>
    <t>Belongs to decision(s):</t>
  </si>
  <si>
    <t>Belongs to ACM study/investigation/publication:</t>
  </si>
  <si>
    <t>Reference number of decision(s)</t>
  </si>
  <si>
    <t>If applicable</t>
  </si>
  <si>
    <t>Objections and appeals can be filed against the decision to which this file belongs.</t>
  </si>
  <si>
    <t>Contact details of ACM</t>
  </si>
  <si>
    <t xml:space="preserve">If there are any substantive differences between the calculation in this file and the calculation that follows from the relevant decision, the decision's calculation is authentic. </t>
  </si>
  <si>
    <t>Explanatory notes to this file</t>
  </si>
  <si>
    <t xml:space="preserve">Explanation about how this file works </t>
  </si>
  <si>
    <t>Schematic overview and/or index of the functioning of this file</t>
  </si>
  <si>
    <t>Legend for the cell and sheet colors</t>
  </si>
  <si>
    <t>Value that is taken from another sheet or cell without calculation</t>
  </si>
  <si>
    <t>Result/calculated value that is used in another sheet</t>
  </si>
  <si>
    <t>Input or calculation that is not yet up-to-date or work in progress</t>
  </si>
  <si>
    <t>This color is only used in requests for information: the recipient of the request for data must enter data into these cells</t>
  </si>
  <si>
    <t>Cell borders can be used to indicate that a certain cell contains input, but that this input is generated automatically, for example, through a macro  (please do not enter data manually)</t>
  </si>
  <si>
    <t>Gray numbers represent the result of a check calculation; this is not a result that is used in other calculations.</t>
  </si>
  <si>
    <t>Sheet that is not yet up-to-date/work in progress</t>
  </si>
  <si>
    <t xml:space="preserve">Empty sheet used for indexing </t>
  </si>
  <si>
    <t>Standardized sheets with general information abouyt this file</t>
  </si>
  <si>
    <t>Additional information about this source</t>
  </si>
  <si>
    <t xml:space="preserve">If ACM does use cell or range references, macros, or other more complex functions in Excel, these will be explained on this sheet. </t>
  </si>
  <si>
    <t>Relationship to other calculation files</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</si>
  <si>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</si>
  <si>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</si>
  <si>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When final, will this file be published?</t>
  </si>
  <si>
    <t>When published, doe this file contain business-confidential information? (y/n)</t>
  </si>
  <si>
    <t>[ END OF SHEET ]</t>
  </si>
  <si>
    <t>This sheet seperates different types of sheets and is intentially left blank</t>
  </si>
  <si>
    <t>No texts, data or calculations may be included on this sheet</t>
  </si>
  <si>
    <t>ACM case number and/or reference</t>
  </si>
  <si>
    <t>ACM/22/176889</t>
  </si>
  <si>
    <t>Beschikking variabel tarief elektriciteit 1 juli 2022 St. Eustatius (Caribisch Nederland)</t>
  </si>
  <si>
    <t>This file is based on the fuel calculation that was used for STUCO for the tariff per 1 January 2022</t>
  </si>
  <si>
    <t>This calculation is developed in the standardized format used by the Energy Department of ACM (based on version 5, June 2021)</t>
  </si>
  <si>
    <t>No</t>
  </si>
  <si>
    <t>Yes</t>
  </si>
  <si>
    <t>The ACM can be contacted via CaribischNederland@acm.nl</t>
  </si>
  <si>
    <t>This document contains the model that the Authority for Consumers &amp; Markets (ACM) uses to calculate the adjustment of the variable usage tariff for electricity of St. Eustatius Utility Company (STUCO) per July 1, 2022.</t>
  </si>
  <si>
    <t>Explanation of the calculation</t>
  </si>
  <si>
    <t xml:space="preserve">The variable usage tariff is adapted by making two corrections: </t>
  </si>
  <si>
    <t>1. The fuel component is updated. This means that the production price as set in the tariff decision as of January 1, 2022 is updated to match the actual fuel prices more closely.</t>
  </si>
  <si>
    <t>2. The difference between the realized fuel component paid by the distributor and the estimated fuel component for November 2021 to April 2022, will be corrected in the tariff for July-December 2022.</t>
  </si>
  <si>
    <t>For both above mentioned corrections, other values and parameters will remain as were determined in the tariff decision for 2022.</t>
  </si>
  <si>
    <t>First, the ACM presents an updated estimation of the production price per 1 July 2022;</t>
  </si>
  <si>
    <t>Second, the ACM calculates the effect (per kWh) of the correction for fuel price differences over November 2021 - April 2022.</t>
  </si>
  <si>
    <t>On this sheet, two corrections are applied to calculate the new variable usage tariff of STUCO for the period July to December 2022:</t>
  </si>
  <si>
    <t>New variable usage tariff per 1 July 2022</t>
  </si>
  <si>
    <t>Updated estimation of production price per 1 July 2022</t>
  </si>
  <si>
    <t>Production price excluding fuel 2022</t>
  </si>
  <si>
    <t>Estimated fuel efficiency for 2022</t>
  </si>
  <si>
    <t>Estimated share production by fuel for 2022</t>
  </si>
  <si>
    <t>Most recent fuel price</t>
  </si>
  <si>
    <t>Estimate for fuel component per 1 July 2022</t>
  </si>
  <si>
    <t>Estimation of production price per 1 July 2022</t>
  </si>
  <si>
    <t>USD/kWh, pl 2022</t>
  </si>
  <si>
    <t>liter/kWh</t>
  </si>
  <si>
    <t>%</t>
  </si>
  <si>
    <t>USD/liter, pl 2022</t>
  </si>
  <si>
    <t>Calculation of correction for fuel price differences</t>
  </si>
  <si>
    <t>Total fuel price correction</t>
  </si>
  <si>
    <t>Estimated production volume 2022</t>
  </si>
  <si>
    <t>Part of electricity distribution first half of 2022</t>
  </si>
  <si>
    <t>Estimated production volume July to December 2022</t>
  </si>
  <si>
    <t>Add-on per kWh for fuel price correction</t>
  </si>
  <si>
    <t>USD, pl 2022</t>
  </si>
  <si>
    <t>kWh</t>
  </si>
  <si>
    <t>Correction on variable usage tariff 2022</t>
  </si>
  <si>
    <t>Correction per kWh - Profit sharing: network losses 2020</t>
  </si>
  <si>
    <t>Calculation new variable usage tariff per 1 July 2022</t>
  </si>
  <si>
    <t>New variable usage tariff</t>
  </si>
  <si>
    <t>Total corrections per kWh in variable usage tariff per 1 July 2022</t>
  </si>
  <si>
    <t>The monthly fuel prices are the basis for the correction of the fuel component.</t>
  </si>
  <si>
    <t>Input data on fuel prices</t>
  </si>
  <si>
    <t>The sources for this data are the fuel invoices from STUCO. Every invoice forms a row in the calculation below.</t>
  </si>
  <si>
    <t>Volume 
(liters)</t>
  </si>
  <si>
    <t>Unit price
(USD/liter)</t>
  </si>
  <si>
    <t>Line total
(USD)</t>
  </si>
  <si>
    <t>Weighted average fuel price for relevant month (USD/unit)</t>
  </si>
  <si>
    <t>File name invoice</t>
  </si>
  <si>
    <t>Date of invoice</t>
  </si>
  <si>
    <t>Fuel invoices</t>
  </si>
  <si>
    <t>September 2021</t>
  </si>
  <si>
    <t>November 2021</t>
  </si>
  <si>
    <t>December 2021</t>
  </si>
  <si>
    <t>October 2021</t>
  </si>
  <si>
    <t>January 2022</t>
  </si>
  <si>
    <t>February 2022</t>
  </si>
  <si>
    <t>Input data on production</t>
  </si>
  <si>
    <t>In this sheet ACM imports the realized production of STUCO for the period November 2021 to April 2022.</t>
  </si>
  <si>
    <t>Realized production of electricity</t>
  </si>
  <si>
    <t>Total monthly production</t>
  </si>
  <si>
    <t>Monthly production</t>
  </si>
  <si>
    <t>March 2022</t>
  </si>
  <si>
    <t>April 2022</t>
  </si>
  <si>
    <t>Parameters in ACM tariff decisions</t>
  </si>
  <si>
    <t xml:space="preserve">In this sheet ACM imports the data from the tariff decisions for 2021 and 2022 (both production price decisions and usage tariff decisions). </t>
  </si>
  <si>
    <t xml:space="preserve">Decision &amp; period: </t>
  </si>
  <si>
    <t>Production price decision 
STUCO 2021</t>
  </si>
  <si>
    <t>[1]</t>
  </si>
  <si>
    <t>[2]</t>
  </si>
  <si>
    <t>[3]</t>
  </si>
  <si>
    <t>[4]</t>
  </si>
  <si>
    <t>Parameters on production and distribution</t>
  </si>
  <si>
    <t>Production parameters</t>
  </si>
  <si>
    <t>Estimated fuel efficiency</t>
  </si>
  <si>
    <t>Estimated share of production by fuel</t>
  </si>
  <si>
    <t>Estimations in usage tariff decisions</t>
  </si>
  <si>
    <t>Estimated total production 2022</t>
  </si>
  <si>
    <t>Estimated fuel component STUCO</t>
  </si>
  <si>
    <t>Estimated total production first half 2022</t>
  </si>
  <si>
    <t>USD/kWh</t>
  </si>
  <si>
    <t>Other parameters</t>
  </si>
  <si>
    <t>Estimated network losses 2022</t>
  </si>
  <si>
    <t>Wettelijke rente CNL ('legal fixed interest rate')</t>
  </si>
  <si>
    <t>Production price decision 
STUCO 2022</t>
  </si>
  <si>
    <t>Usage tariffs decision 
STUCO July - Dec 2021</t>
  </si>
  <si>
    <t>The production price decisions for 2021 and 2022 and the tariff decisions for July 2021 and January 2022 are used as the basis for the correction for the period November 2021 to April 2022. Sources are indicated in row 14.</t>
  </si>
  <si>
    <t>Corrections per kWh apply to January-December 2022.</t>
  </si>
  <si>
    <t>Source: Wettelijke rente CNL</t>
  </si>
  <si>
    <t>Estimated share of production with fuel = Production based on fuel (expected level) / Total production volume (expected level)</t>
  </si>
  <si>
    <t>Calculation of difference between estimated and realized fuel component</t>
  </si>
  <si>
    <t xml:space="preserve">For the production price decisions, ACM makes an estimate of what the fuel costs will be for the producer based on the most recent fuel price. </t>
  </si>
  <si>
    <t>The realized fuel component can vary monthly, due to variations in the fuel price. The difference between the estimated and realized fuel component is calculated here.</t>
  </si>
  <si>
    <t>Fuel component = estimated fuel efficiency x estimated share production by fuel x fuel price.</t>
  </si>
  <si>
    <t>For the estimated fuel component, the most recent fuel price at the time of the usage tariff decision is used. For the realized fuel component the most recent fuel price at that month is used. Regularly this is the corresponding month t-2.</t>
  </si>
  <si>
    <t xml:space="preserve">Year: 
Month: </t>
  </si>
  <si>
    <t>2021
November</t>
  </si>
  <si>
    <t>2021
December</t>
  </si>
  <si>
    <t>2022
January</t>
  </si>
  <si>
    <t>2022
February</t>
  </si>
  <si>
    <t>2022
March</t>
  </si>
  <si>
    <t>2022
April</t>
  </si>
  <si>
    <t>Parameters</t>
  </si>
  <si>
    <t>Legal fixed interest rate</t>
  </si>
  <si>
    <t>Data on fuel and production</t>
  </si>
  <si>
    <t>Production price decision input</t>
  </si>
  <si>
    <t>Estimated share production by fuel</t>
  </si>
  <si>
    <t>Realized production</t>
  </si>
  <si>
    <t>Total realized monthly production</t>
  </si>
  <si>
    <t>Fuel price</t>
  </si>
  <si>
    <t>USD/liter</t>
  </si>
  <si>
    <t>The most recent fuel price in month t is assumed to be the weighted average fuel price of month t-2.</t>
  </si>
  <si>
    <t>Calculation fuel correction</t>
  </si>
  <si>
    <t>Difference in monthly fuel component</t>
  </si>
  <si>
    <t>Realized fuel component</t>
  </si>
  <si>
    <t>Estimated fuel component</t>
  </si>
  <si>
    <t>Difference in fuel component</t>
  </si>
  <si>
    <t>Calculation of fuel component correction</t>
  </si>
  <si>
    <t>Monthly difference to be reimbursed</t>
  </si>
  <si>
    <t>Correction amount for November - December 2021</t>
  </si>
  <si>
    <t>Correction amount for January - April 2022</t>
  </si>
  <si>
    <t>Total amount fuel component correction</t>
  </si>
  <si>
    <t>USD</t>
  </si>
  <si>
    <t>USD, pl 2021</t>
  </si>
  <si>
    <t>Positive number indicates STUCO has had higher purchasing costs than estimated, so STUCO receives a positive reimbursement from the fuel correction.</t>
  </si>
  <si>
    <t>It uses this estimate to determine what monthly remuneration the producer will receive from the distributor. This is the estimated fuel component.</t>
  </si>
  <si>
    <t>Sol Invoice May 2022</t>
  </si>
  <si>
    <t>E-mail from STUCO to ACM on May 27, 2022</t>
  </si>
  <si>
    <t>Weighted average fuel price in September 2021, basis for fuel component in November 2021.</t>
  </si>
  <si>
    <t>Weighted average fuel price in October 2021, basis for fuel component in December 2021.</t>
  </si>
  <si>
    <t>Weighted average fuel price in November 2021, basis for fuel component in January 2022.</t>
  </si>
  <si>
    <t>Weighted average fuel price in December 2021, basis for fuel component in February 2022.</t>
  </si>
  <si>
    <t>Weighted average fuel price in January 2022, basis for fuel component in March 2022.</t>
  </si>
  <si>
    <t>Weighted average fuel price in February 2022, basis for fuel component in April 2022.</t>
  </si>
  <si>
    <t>Sol invoices September 2021 through March 2022</t>
  </si>
  <si>
    <t>Sol invoices September 2021 through February 2022</t>
  </si>
  <si>
    <t>Wettelijke rente CNL</t>
  </si>
  <si>
    <t>https://wetten.overheid.nl/BWBR0030649/2011-11-18</t>
  </si>
  <si>
    <t>[7] Monthly production</t>
  </si>
  <si>
    <t>Beschikking productieprijs elektriciteit 2021 Sint Eustatius STUCO</t>
  </si>
  <si>
    <t>ACM/20/040016, ACM/UIT/546136</t>
  </si>
  <si>
    <t>https://www.acm.nl/nl/publicaties/beschikking-productieprijs-elektriciteit-2021-sint-eustatius-stuco-caribisch-nederland</t>
  </si>
  <si>
    <t>Beschikking productieprijs elektriciteit 2022 Sint Eustatius STUCO</t>
  </si>
  <si>
    <t>ACM/21/052521, ACM/UIT/567973</t>
  </si>
  <si>
    <t>Beschikking variabel tarief elektriciteit 1 juli 2021 St. Eustatius</t>
  </si>
  <si>
    <t>ACM/21/050791, ACM/UIT/557586</t>
  </si>
  <si>
    <t>https://www.acm.nl/nl/publicaties/beschikking-variabel-tarief-elektriciteit-1-juli-2021-st-eustatius-caribisch-nederland</t>
  </si>
  <si>
    <t>https://www.acm.nl/nl/publicaties/beschikking-productieprijs-elektriciteit-2022-sint-eustatius-stuco-caribisch-nederland</t>
  </si>
  <si>
    <t>Usage tariffs decision 
STUCO 2022</t>
  </si>
  <si>
    <t>Usage tariffs decision STUCO 2022</t>
  </si>
  <si>
    <t>Beschikking distributietarieven elektriciteit 2022 Sint Eustatius STUCO</t>
  </si>
  <si>
    <t>ACM/21/052521, ACM/UIT/567936</t>
  </si>
  <si>
    <t>https://www.acm.nl/nl/publicaties/beschikking-distributietarieven-elektriciteit-2022-sint-eustatius-stuco-caribisch-nederland</t>
  </si>
  <si>
    <t>Most recent fuel price (22 May 2022)</t>
  </si>
  <si>
    <t>This correction reimburses fuel price differences over the period November 2021 - April 2022.</t>
  </si>
  <si>
    <t>ACM/UIT/577943</t>
  </si>
  <si>
    <t>Berekening variabel gebruikstarief elektriciteit STUCO per 1 juli 2022</t>
  </si>
  <si>
    <t>In the overview below, ACM lists the sources that are used for data and calculations in this file.</t>
  </si>
  <si>
    <t>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</si>
</sst>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s>
  <fonts count="32"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rgb="FF00B0F0"/>
      <name val="Arial"/>
      <family val="2"/>
    </font>
    <font>
      <sz val="10"/>
      <color rgb="FF00B0F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6" fillId="13" borderId="3" applyNumberFormat="0" applyAlignment="0" applyProtection="0"/>
    <xf numFmtId="0" fontId="17" fillId="14" borderId="4" applyNumberFormat="0" applyAlignment="0" applyProtection="0"/>
    <xf numFmtId="0" fontId="18" fillId="14" borderId="3" applyNumberFormat="0" applyAlignment="0" applyProtection="0"/>
    <xf numFmtId="0" fontId="19" fillId="0" borderId="5" applyNumberFormat="0" applyFill="0" applyAlignment="0" applyProtection="0"/>
    <xf numFmtId="0" fontId="13" fillId="15" borderId="6" applyNumberFormat="0" applyAlignment="0" applyProtection="0"/>
    <xf numFmtId="0" fontId="15" fillId="16"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8" fillId="41"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2" borderId="0" applyNumberFormat="0">
      <alignment vertical="top"/>
    </xf>
    <xf numFmtId="43" fontId="5" fillId="9" borderId="0" applyFont="0" applyFill="0" applyBorder="0" applyAlignment="0" applyProtection="0">
      <alignment vertical="top"/>
    </xf>
    <xf numFmtId="10" fontId="5" fillId="0" borderId="0" applyFont="0" applyFill="0" applyBorder="0" applyAlignment="0" applyProtection="0">
      <alignment vertical="top"/>
    </xf>
    <xf numFmtId="41" fontId="5" fillId="43" borderId="0">
      <alignment vertical="top"/>
    </xf>
  </cellStyleXfs>
  <cellXfs count="58">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0" xfId="4" applyFill="1">
      <alignment vertical="top"/>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1" fontId="5" fillId="0" borderId="0" xfId="4" applyNumberFormat="1" applyFill="1">
      <alignment vertical="top"/>
    </xf>
    <xf numFmtId="1" fontId="9" fillId="0" borderId="0" xfId="4" applyNumberFormat="1" applyFont="1" applyFill="1">
      <alignment vertical="top"/>
    </xf>
    <xf numFmtId="0" fontId="12" fillId="0" borderId="0" xfId="4" applyFont="1" applyFill="1">
      <alignment vertical="top"/>
    </xf>
    <xf numFmtId="49" fontId="7" fillId="17" borderId="2" xfId="6" applyFont="1" applyBorder="1">
      <alignment vertical="top"/>
    </xf>
    <xf numFmtId="0" fontId="8" fillId="5" borderId="1" xfId="5" applyNumberFormat="1">
      <alignment vertical="top"/>
    </xf>
    <xf numFmtId="0" fontId="14" fillId="0" borderId="0" xfId="4" applyFont="1">
      <alignment vertical="top"/>
    </xf>
    <xf numFmtId="0" fontId="5" fillId="12" borderId="0" xfId="4" applyFill="1">
      <alignment vertical="top"/>
    </xf>
    <xf numFmtId="0" fontId="5" fillId="0" borderId="0" xfId="4" applyFont="1">
      <alignment vertical="top"/>
    </xf>
    <xf numFmtId="49" fontId="5" fillId="17"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9" fontId="5" fillId="0" borderId="0" xfId="4" applyNumberFormat="1">
      <alignment vertical="top"/>
    </xf>
    <xf numFmtId="41" fontId="5" fillId="8" borderId="0" xfId="10">
      <alignment vertical="top"/>
    </xf>
    <xf numFmtId="41" fontId="5" fillId="7" borderId="0" xfId="12">
      <alignment vertical="top"/>
    </xf>
    <xf numFmtId="41" fontId="5" fillId="44" borderId="0" xfId="11">
      <alignment vertical="top"/>
    </xf>
    <xf numFmtId="41" fontId="5" fillId="44" borderId="2" xfId="11" applyBorder="1">
      <alignment vertical="top"/>
    </xf>
    <xf numFmtId="43" fontId="12" fillId="0" borderId="0" xfId="63" applyFont="1" applyFill="1">
      <alignment vertical="top"/>
    </xf>
    <xf numFmtId="41" fontId="5" fillId="43" borderId="0" xfId="65">
      <alignment vertical="top"/>
    </xf>
    <xf numFmtId="0" fontId="5" fillId="0" borderId="2" xfId="4" applyFont="1" applyBorder="1" applyAlignment="1">
      <alignment horizontal="left" vertical="top" wrapText="1"/>
    </xf>
    <xf numFmtId="41" fontId="5" fillId="11" borderId="0" xfId="13">
      <alignment vertical="top"/>
    </xf>
    <xf numFmtId="41" fontId="5" fillId="9" borderId="0" xfId="9">
      <alignment vertical="top"/>
    </xf>
    <xf numFmtId="49" fontId="30" fillId="0" borderId="0" xfId="14" applyFont="1">
      <alignment vertical="top"/>
    </xf>
    <xf numFmtId="0" fontId="31" fillId="0" borderId="0" xfId="4" applyFont="1">
      <alignment vertical="top"/>
    </xf>
    <xf numFmtId="49" fontId="5" fillId="17" borderId="0" xfId="6" applyFont="1" applyBorder="1">
      <alignment vertical="top"/>
    </xf>
    <xf numFmtId="49" fontId="13" fillId="5" borderId="1" xfId="5" applyFont="1">
      <alignment vertical="top"/>
    </xf>
    <xf numFmtId="0" fontId="9" fillId="12" borderId="0" xfId="4" applyFont="1" applyFill="1">
      <alignment vertical="top"/>
    </xf>
    <xf numFmtId="49" fontId="5" fillId="0" borderId="0" xfId="14" applyFont="1">
      <alignment vertical="top"/>
    </xf>
    <xf numFmtId="49" fontId="6" fillId="17" borderId="1" xfId="6" applyAlignment="1">
      <alignment vertical="top" wrapText="1"/>
    </xf>
    <xf numFmtId="14" fontId="5" fillId="44" borderId="0" xfId="11" applyNumberFormat="1">
      <alignment vertical="top"/>
    </xf>
    <xf numFmtId="164" fontId="5" fillId="44" borderId="0" xfId="11" applyNumberFormat="1">
      <alignment vertical="top"/>
    </xf>
    <xf numFmtId="164" fontId="5" fillId="9" borderId="0" xfId="9" applyNumberFormat="1">
      <alignment vertical="top"/>
    </xf>
    <xf numFmtId="49" fontId="21" fillId="0" borderId="2" xfId="61" applyBorder="1" applyAlignment="1">
      <alignment vertical="top"/>
    </xf>
    <xf numFmtId="10" fontId="5" fillId="44" borderId="0" xfId="11" applyNumberFormat="1">
      <alignment vertical="top"/>
    </xf>
    <xf numFmtId="0" fontId="0" fillId="0" borderId="2" xfId="0" applyBorder="1">
      <alignment vertical="top"/>
    </xf>
    <xf numFmtId="10" fontId="5" fillId="44" borderId="0" xfId="64" applyFill="1">
      <alignment vertical="top"/>
    </xf>
    <xf numFmtId="10" fontId="5" fillId="9" borderId="0" xfId="64" applyFill="1">
      <alignment vertical="top"/>
    </xf>
    <xf numFmtId="10" fontId="5" fillId="11" borderId="0" xfId="13" applyNumberFormat="1">
      <alignment vertical="top"/>
    </xf>
    <xf numFmtId="164" fontId="5" fillId="11" borderId="0" xfId="13" applyNumberFormat="1">
      <alignment vertical="top"/>
    </xf>
    <xf numFmtId="164" fontId="5" fillId="10" borderId="0" xfId="8" applyNumberFormat="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6">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E1FFE1"/>
      <color rgb="FF99FF99"/>
      <color rgb="FFFFFFCC"/>
      <color rgb="FFCCC8D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variabel-tarief-elektriciteit-1-juli-2021-st-eustatius-caribisch-nederland" TargetMode="External"/><Relationship Id="rId2" Type="http://schemas.openxmlformats.org/officeDocument/2006/relationships/hyperlink" Target="https://www.acm.nl/nl/publicaties/beschikking-productieprijs-elektriciteit-2021-sint-eustatius-stuco-caribisch-nederland" TargetMode="External"/><Relationship Id="rId1" Type="http://schemas.openxmlformats.org/officeDocument/2006/relationships/hyperlink" Target="https://wetten.overheid.nl/BWBR0030649/2011-11-18"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beschikking-distributietarieven-elektriciteit-2022-sint-eustatius-stuco-caribisch-nederland" TargetMode="External"/><Relationship Id="rId4" Type="http://schemas.openxmlformats.org/officeDocument/2006/relationships/hyperlink" Target="https://www.acm.nl/nl/publicaties/beschikking-productieprijs-elektriciteit-2022-sint-eustatius-stuco-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8"/>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41</v>
      </c>
    </row>
    <row r="6" spans="2:5" x14ac:dyDescent="0.2">
      <c r="B6" s="3"/>
    </row>
    <row r="13" spans="2:5" s="8" customFormat="1" x14ac:dyDescent="0.2">
      <c r="B13" s="8" t="s">
        <v>3</v>
      </c>
    </row>
    <row r="14" spans="2:5" s="9" customFormat="1" x14ac:dyDescent="0.2"/>
    <row r="15" spans="2:5" x14ac:dyDescent="0.2">
      <c r="B15" s="35" t="s">
        <v>4</v>
      </c>
      <c r="C15" s="10" t="s">
        <v>73</v>
      </c>
      <c r="E15" s="24"/>
    </row>
    <row r="16" spans="2:5" x14ac:dyDescent="0.2">
      <c r="B16" s="35" t="s">
        <v>5</v>
      </c>
      <c r="C16" s="10" t="s">
        <v>229</v>
      </c>
    </row>
    <row r="17" spans="2:3" x14ac:dyDescent="0.2">
      <c r="B17" s="35" t="s">
        <v>6</v>
      </c>
      <c r="C17" s="10"/>
    </row>
    <row r="18" spans="2:3" x14ac:dyDescent="0.2">
      <c r="B18" s="35" t="s">
        <v>42</v>
      </c>
      <c r="C18" s="35" t="s">
        <v>74</v>
      </c>
    </row>
    <row r="19" spans="2:3" x14ac:dyDescent="0.2">
      <c r="B19" s="35" t="s">
        <v>43</v>
      </c>
      <c r="C19" s="35" t="s">
        <v>228</v>
      </c>
    </row>
    <row r="20" spans="2:3" x14ac:dyDescent="0.2">
      <c r="B20" s="35" t="s">
        <v>44</v>
      </c>
      <c r="C20" s="35"/>
    </row>
    <row r="21" spans="2:3" x14ac:dyDescent="0.2">
      <c r="B21" s="35" t="s">
        <v>64</v>
      </c>
      <c r="C21" s="35" t="s">
        <v>75</v>
      </c>
    </row>
    <row r="22" spans="2:3" x14ac:dyDescent="0.2">
      <c r="B22" s="35" t="s">
        <v>7</v>
      </c>
      <c r="C22" s="10"/>
    </row>
    <row r="24" spans="2:3" x14ac:dyDescent="0.2">
      <c r="B24" s="26" t="s">
        <v>76</v>
      </c>
    </row>
    <row r="26" spans="2:3" s="8" customFormat="1" x14ac:dyDescent="0.2">
      <c r="B26" s="8" t="s">
        <v>8</v>
      </c>
    </row>
    <row r="28" spans="2:3" x14ac:dyDescent="0.2">
      <c r="B28" s="35" t="s">
        <v>9</v>
      </c>
      <c r="C28" s="10" t="s">
        <v>78</v>
      </c>
    </row>
    <row r="29" spans="2:3" x14ac:dyDescent="0.2">
      <c r="B29" s="35" t="s">
        <v>67</v>
      </c>
      <c r="C29" s="10" t="s">
        <v>78</v>
      </c>
    </row>
    <row r="30" spans="2:3" ht="25.5" x14ac:dyDescent="0.2">
      <c r="B30" s="35" t="s">
        <v>10</v>
      </c>
      <c r="C30" s="10" t="s">
        <v>78</v>
      </c>
    </row>
    <row r="31" spans="2:3" ht="25.5" x14ac:dyDescent="0.2">
      <c r="B31" s="35" t="s">
        <v>68</v>
      </c>
      <c r="C31" s="10" t="s">
        <v>77</v>
      </c>
    </row>
    <row r="32" spans="2:3" x14ac:dyDescent="0.2">
      <c r="B32" s="35" t="s">
        <v>7</v>
      </c>
      <c r="C32" s="10"/>
    </row>
    <row r="34" spans="2:4" x14ac:dyDescent="0.2">
      <c r="B34" s="26"/>
    </row>
    <row r="35" spans="2:4" x14ac:dyDescent="0.2">
      <c r="B35" s="56" t="s">
        <v>46</v>
      </c>
      <c r="C35" s="57"/>
      <c r="D35" s="5"/>
    </row>
    <row r="36" spans="2:4" x14ac:dyDescent="0.2">
      <c r="B36" s="23"/>
      <c r="C36" s="23"/>
      <c r="D36" s="5"/>
    </row>
    <row r="38" spans="2:4" s="8" customFormat="1" x14ac:dyDescent="0.2">
      <c r="B38" s="8" t="s">
        <v>47</v>
      </c>
    </row>
    <row r="40" spans="2:4" x14ac:dyDescent="0.2">
      <c r="B40" s="43" t="s">
        <v>79</v>
      </c>
    </row>
    <row r="41" spans="2:4" x14ac:dyDescent="0.2">
      <c r="B41" s="5"/>
    </row>
    <row r="42" spans="2:4" x14ac:dyDescent="0.2">
      <c r="B42" s="5"/>
    </row>
    <row r="43" spans="2:4" s="8" customFormat="1" x14ac:dyDescent="0.2">
      <c r="B43" s="8" t="s">
        <v>0</v>
      </c>
    </row>
    <row r="45" spans="2:4" x14ac:dyDescent="0.2">
      <c r="B45" s="2" t="s">
        <v>48</v>
      </c>
    </row>
    <row r="47" spans="2:4" x14ac:dyDescent="0.2">
      <c r="C47" s="38"/>
    </row>
    <row r="48" spans="2:4" x14ac:dyDescent="0.2">
      <c r="B48" s="4" t="s">
        <v>69</v>
      </c>
    </row>
  </sheetData>
  <mergeCells count="1">
    <mergeCell ref="B35:C35"/>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sheetPr>
  <dimension ref="B2:S50"/>
  <sheetViews>
    <sheetView showGridLines="0" zoomScale="85" zoomScaleNormal="85" workbookViewId="0">
      <pane xSplit="6" ySplit="15" topLeftCell="G16" activePane="bottomRight" state="frozen"/>
      <selection activeCell="R6" sqref="R6"/>
      <selection pane="topRight" activeCell="R6" sqref="R6"/>
      <selection pane="bottomLeft" activeCell="R6" sqref="R6"/>
      <selection pane="bottomRight" activeCell="G16" sqref="G16"/>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140625" style="2" customWidth="1"/>
    <col min="18" max="18" width="2.7109375" style="2" customWidth="1"/>
    <col min="19" max="33" width="13.7109375" style="2" customWidth="1"/>
    <col min="34" max="16384" width="9.140625" style="2"/>
  </cols>
  <sheetData>
    <row r="2" spans="2:19" s="17" customFormat="1" ht="18" x14ac:dyDescent="0.2">
      <c r="B2" s="17" t="s">
        <v>163</v>
      </c>
    </row>
    <row r="4" spans="2:19" x14ac:dyDescent="0.2">
      <c r="B4" s="25" t="s">
        <v>12</v>
      </c>
      <c r="C4" s="1"/>
      <c r="D4" s="1"/>
    </row>
    <row r="5" spans="2:19" x14ac:dyDescent="0.2">
      <c r="B5" s="20" t="s">
        <v>164</v>
      </c>
      <c r="C5" s="3"/>
      <c r="D5" s="3"/>
      <c r="H5" s="18"/>
    </row>
    <row r="6" spans="2:19" x14ac:dyDescent="0.2">
      <c r="B6" s="20" t="s">
        <v>198</v>
      </c>
      <c r="C6" s="3"/>
      <c r="D6" s="3"/>
      <c r="H6" s="18"/>
    </row>
    <row r="7" spans="2:19" x14ac:dyDescent="0.2">
      <c r="B7" s="20" t="s">
        <v>165</v>
      </c>
      <c r="C7" s="3"/>
      <c r="D7" s="3"/>
      <c r="H7" s="18"/>
    </row>
    <row r="8" spans="2:19" x14ac:dyDescent="0.2">
      <c r="B8" s="20"/>
      <c r="C8" s="3"/>
      <c r="D8" s="3"/>
      <c r="H8" s="18"/>
    </row>
    <row r="9" spans="2:19" x14ac:dyDescent="0.2">
      <c r="B9" s="26" t="s">
        <v>231</v>
      </c>
      <c r="C9" s="3"/>
      <c r="D9" s="3"/>
      <c r="H9" s="18"/>
    </row>
    <row r="10" spans="2:19" x14ac:dyDescent="0.2">
      <c r="B10" s="4" t="s">
        <v>166</v>
      </c>
      <c r="C10" s="3"/>
      <c r="D10" s="3"/>
    </row>
    <row r="11" spans="2:19" x14ac:dyDescent="0.2">
      <c r="B11" s="4" t="s">
        <v>167</v>
      </c>
      <c r="C11" s="3"/>
      <c r="D11" s="3"/>
    </row>
    <row r="14" spans="2:19" s="8" customFormat="1" ht="25.5" x14ac:dyDescent="0.2">
      <c r="B14" s="8" t="s">
        <v>12</v>
      </c>
      <c r="F14" s="8" t="s">
        <v>37</v>
      </c>
      <c r="H14" s="8" t="s">
        <v>38</v>
      </c>
      <c r="J14" s="44" t="s">
        <v>168</v>
      </c>
      <c r="L14" s="44" t="s">
        <v>169</v>
      </c>
      <c r="M14" s="44" t="s">
        <v>170</v>
      </c>
      <c r="N14" s="44" t="s">
        <v>171</v>
      </c>
      <c r="O14" s="44" t="s">
        <v>172</v>
      </c>
      <c r="P14" s="44" t="s">
        <v>173</v>
      </c>
      <c r="Q14" s="44" t="s">
        <v>174</v>
      </c>
      <c r="S14" s="8" t="s">
        <v>39</v>
      </c>
    </row>
    <row r="17" spans="2:19" s="8" customFormat="1" x14ac:dyDescent="0.2">
      <c r="B17" s="8" t="s">
        <v>175</v>
      </c>
    </row>
    <row r="19" spans="2:19" x14ac:dyDescent="0.2">
      <c r="B19" s="25" t="s">
        <v>176</v>
      </c>
    </row>
    <row r="20" spans="2:19" x14ac:dyDescent="0.2">
      <c r="B20" s="2" t="s">
        <v>156</v>
      </c>
      <c r="F20" s="2" t="s">
        <v>99</v>
      </c>
      <c r="H20" s="53">
        <f>'Parameters in tariff decisions'!O34</f>
        <v>0.03</v>
      </c>
    </row>
    <row r="22" spans="2:19" s="8" customFormat="1" x14ac:dyDescent="0.2">
      <c r="B22" s="8" t="s">
        <v>177</v>
      </c>
    </row>
    <row r="24" spans="2:19" x14ac:dyDescent="0.2">
      <c r="B24" s="25" t="s">
        <v>178</v>
      </c>
    </row>
    <row r="25" spans="2:19" x14ac:dyDescent="0.2">
      <c r="B25" s="2" t="s">
        <v>147</v>
      </c>
      <c r="F25" s="2" t="s">
        <v>98</v>
      </c>
      <c r="L25" s="54">
        <f>'Parameters in tariff decisions'!$L$19</f>
        <v>0.26822619178414686</v>
      </c>
      <c r="M25" s="54">
        <f>'Parameters in tariff decisions'!$L$19</f>
        <v>0.26822619178414686</v>
      </c>
      <c r="N25" s="54">
        <f>'Parameters in tariff decisions'!$M$19</f>
        <v>0.27324342090213039</v>
      </c>
      <c r="O25" s="54">
        <f>'Parameters in tariff decisions'!$M$19</f>
        <v>0.27324342090213039</v>
      </c>
      <c r="P25" s="54">
        <f>'Parameters in tariff decisions'!$M$19</f>
        <v>0.27324342090213039</v>
      </c>
      <c r="Q25" s="54">
        <f>'Parameters in tariff decisions'!$M$19</f>
        <v>0.27324342090213039</v>
      </c>
    </row>
    <row r="26" spans="2:19" x14ac:dyDescent="0.2">
      <c r="B26" s="2" t="s">
        <v>179</v>
      </c>
      <c r="F26" s="2" t="s">
        <v>99</v>
      </c>
      <c r="L26" s="53">
        <f>'Parameters in tariff decisions'!$L$20</f>
        <v>0.61954966855167126</v>
      </c>
      <c r="M26" s="53">
        <f>'Parameters in tariff decisions'!$L$20</f>
        <v>0.61954966855167126</v>
      </c>
      <c r="N26" s="53">
        <f>'Parameters in tariff decisions'!$M$20</f>
        <v>0.68495484398648065</v>
      </c>
      <c r="O26" s="53">
        <f>'Parameters in tariff decisions'!$M$20</f>
        <v>0.68495484398648065</v>
      </c>
      <c r="P26" s="53">
        <f>'Parameters in tariff decisions'!$M$20</f>
        <v>0.68495484398648065</v>
      </c>
      <c r="Q26" s="53">
        <f>'Parameters in tariff decisions'!$M$20</f>
        <v>0.68495484398648065</v>
      </c>
    </row>
    <row r="28" spans="2:19" x14ac:dyDescent="0.2">
      <c r="B28" s="1" t="s">
        <v>180</v>
      </c>
    </row>
    <row r="29" spans="2:19" x14ac:dyDescent="0.2">
      <c r="B29" s="2" t="s">
        <v>181</v>
      </c>
      <c r="F29" s="2" t="s">
        <v>108</v>
      </c>
      <c r="L29" s="36">
        <f>'Production data'!H14</f>
        <v>1334000</v>
      </c>
      <c r="M29" s="36">
        <f>'Production data'!I14</f>
        <v>1299000</v>
      </c>
      <c r="N29" s="36">
        <f>'Production data'!J14</f>
        <v>1212000</v>
      </c>
      <c r="O29" s="36">
        <f>'Production data'!K14</f>
        <v>1091000</v>
      </c>
      <c r="P29" s="36">
        <f>'Production data'!L14</f>
        <v>1263000</v>
      </c>
      <c r="Q29" s="36">
        <f>'Production data'!M14</f>
        <v>1262000</v>
      </c>
    </row>
    <row r="31" spans="2:19" x14ac:dyDescent="0.2">
      <c r="B31" s="1" t="s">
        <v>182</v>
      </c>
    </row>
    <row r="32" spans="2:19" x14ac:dyDescent="0.2">
      <c r="B32" s="2" t="s">
        <v>94</v>
      </c>
      <c r="F32" s="2" t="s">
        <v>183</v>
      </c>
      <c r="L32" s="54">
        <f>'Fuel prices'!O57</f>
        <v>0.76171292709027516</v>
      </c>
      <c r="M32" s="54">
        <f>'Fuel prices'!O96</f>
        <v>0.86170863222871985</v>
      </c>
      <c r="N32" s="54">
        <f>'Fuel prices'!O133</f>
        <v>0.84254232431798626</v>
      </c>
      <c r="O32" s="54">
        <f>'Fuel prices'!O170</f>
        <v>0.81232536254643073</v>
      </c>
      <c r="P32" s="54">
        <f>'Fuel prices'!O209</f>
        <v>0.83675979921553967</v>
      </c>
      <c r="Q32" s="54">
        <f>'Fuel prices'!O247</f>
        <v>0.94258970281716825</v>
      </c>
      <c r="S32" s="2" t="s">
        <v>184</v>
      </c>
    </row>
    <row r="34" spans="2:19" s="8" customFormat="1" x14ac:dyDescent="0.2">
      <c r="B34" s="8" t="s">
        <v>185</v>
      </c>
    </row>
    <row r="36" spans="2:19" x14ac:dyDescent="0.2">
      <c r="B36" s="1" t="s">
        <v>186</v>
      </c>
    </row>
    <row r="37" spans="2:19" x14ac:dyDescent="0.2">
      <c r="B37" s="2" t="s">
        <v>187</v>
      </c>
      <c r="F37" s="2" t="s">
        <v>153</v>
      </c>
      <c r="L37" s="47">
        <f>L25*L26*L32</f>
        <v>0.12658103392342379</v>
      </c>
      <c r="M37" s="47">
        <f t="shared" ref="M37:Q37" si="0">M25*M26*M32</f>
        <v>0.14319826502737487</v>
      </c>
      <c r="N37" s="47">
        <f t="shared" si="0"/>
        <v>0.1576897198828508</v>
      </c>
      <c r="O37" s="47">
        <f t="shared" si="0"/>
        <v>0.15203433130480584</v>
      </c>
      <c r="P37" s="47">
        <f t="shared" si="0"/>
        <v>0.15660746592681546</v>
      </c>
      <c r="Q37" s="47">
        <f t="shared" si="0"/>
        <v>0.17641452768799001</v>
      </c>
    </row>
    <row r="38" spans="2:19" x14ac:dyDescent="0.2">
      <c r="B38" s="2" t="s">
        <v>188</v>
      </c>
      <c r="F38" s="2" t="s">
        <v>153</v>
      </c>
      <c r="L38" s="54">
        <f>'Parameters in tariff decisions'!$N$23</f>
        <v>0.11901772081283289</v>
      </c>
      <c r="M38" s="54">
        <f>'Parameters in tariff decisions'!$N$23</f>
        <v>0.11901772081283289</v>
      </c>
      <c r="N38" s="54">
        <f>'Parameters in tariff decisions'!$O$23</f>
        <v>0.15661498988170491</v>
      </c>
      <c r="O38" s="54">
        <f>'Parameters in tariff decisions'!$O$23</f>
        <v>0.15661498988170491</v>
      </c>
      <c r="P38" s="54">
        <f>'Parameters in tariff decisions'!$O$23</f>
        <v>0.15661498988170491</v>
      </c>
      <c r="Q38" s="54">
        <f>'Parameters in tariff decisions'!$O$23</f>
        <v>0.15661498988170491</v>
      </c>
    </row>
    <row r="39" spans="2:19" x14ac:dyDescent="0.2">
      <c r="B39" s="2" t="s">
        <v>189</v>
      </c>
      <c r="F39" s="2" t="s">
        <v>153</v>
      </c>
      <c r="L39" s="47">
        <f>L37-L38</f>
        <v>7.5633131105908996E-3</v>
      </c>
      <c r="M39" s="47">
        <f t="shared" ref="M39:Q39" si="1">M37-M38</f>
        <v>2.418054421454198E-2</v>
      </c>
      <c r="N39" s="47">
        <f t="shared" si="1"/>
        <v>1.0747300011458849E-3</v>
      </c>
      <c r="O39" s="47">
        <f t="shared" si="1"/>
        <v>-4.5806585768990715E-3</v>
      </c>
      <c r="P39" s="47">
        <f t="shared" si="1"/>
        <v>-7.5239548894545649E-6</v>
      </c>
      <c r="Q39" s="47">
        <f t="shared" si="1"/>
        <v>1.97995378062851E-2</v>
      </c>
      <c r="S39" s="2" t="s">
        <v>197</v>
      </c>
    </row>
    <row r="41" spans="2:19" x14ac:dyDescent="0.2">
      <c r="B41" s="1" t="s">
        <v>190</v>
      </c>
    </row>
    <row r="42" spans="2:19" x14ac:dyDescent="0.2">
      <c r="B42" s="2" t="s">
        <v>191</v>
      </c>
      <c r="F42" s="2" t="s">
        <v>195</v>
      </c>
      <c r="L42" s="37">
        <f>L39*L29</f>
        <v>10089.459689528259</v>
      </c>
      <c r="M42" s="37">
        <f t="shared" ref="M42:Q42" si="2">M39*M29</f>
        <v>31410.526934690031</v>
      </c>
      <c r="N42" s="37">
        <f t="shared" si="2"/>
        <v>1302.5727613888125</v>
      </c>
      <c r="O42" s="37">
        <f t="shared" si="2"/>
        <v>-4997.4985073968874</v>
      </c>
      <c r="P42" s="37">
        <f t="shared" si="2"/>
        <v>-9.5027550253811164</v>
      </c>
      <c r="Q42" s="37">
        <f t="shared" si="2"/>
        <v>24987.016711531796</v>
      </c>
    </row>
    <row r="43" spans="2:19" x14ac:dyDescent="0.2">
      <c r="B43" s="2" t="s">
        <v>192</v>
      </c>
      <c r="F43" s="2" t="s">
        <v>196</v>
      </c>
      <c r="H43" s="37">
        <f>SUM(L42:M42)</f>
        <v>41499.986624218291</v>
      </c>
    </row>
    <row r="44" spans="2:19" x14ac:dyDescent="0.2">
      <c r="B44" s="2" t="s">
        <v>193</v>
      </c>
      <c r="F44" s="2" t="s">
        <v>107</v>
      </c>
      <c r="H44" s="37">
        <f>SUM(N42:Q42)</f>
        <v>21282.588210498339</v>
      </c>
    </row>
    <row r="46" spans="2:19" x14ac:dyDescent="0.2">
      <c r="B46" s="1" t="s">
        <v>194</v>
      </c>
      <c r="F46" s="2" t="s">
        <v>107</v>
      </c>
      <c r="H46" s="27">
        <f>H43*(1+H20)+H44</f>
        <v>64027.57443344318</v>
      </c>
    </row>
    <row r="50" spans="2:2" x14ac:dyDescent="0.2">
      <c r="B50" s="4" t="s">
        <v>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H56"/>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49</v>
      </c>
    </row>
    <row r="3" spans="2:8" x14ac:dyDescent="0.2">
      <c r="B3" s="39"/>
    </row>
    <row r="4" spans="2:8" x14ac:dyDescent="0.2">
      <c r="B4" s="39"/>
    </row>
    <row r="5" spans="2:8" s="8" customFormat="1" x14ac:dyDescent="0.2">
      <c r="B5" s="8" t="s">
        <v>50</v>
      </c>
    </row>
    <row r="7" spans="2:8" x14ac:dyDescent="0.2">
      <c r="B7" s="20" t="s">
        <v>80</v>
      </c>
    </row>
    <row r="8" spans="2:8" x14ac:dyDescent="0.2">
      <c r="H8" s="28"/>
    </row>
    <row r="10" spans="2:8" s="8" customFormat="1" x14ac:dyDescent="0.2">
      <c r="B10" s="8" t="s">
        <v>51</v>
      </c>
    </row>
    <row r="12" spans="2:8" x14ac:dyDescent="0.2">
      <c r="B12" s="1" t="s">
        <v>81</v>
      </c>
    </row>
    <row r="13" spans="2:8" x14ac:dyDescent="0.2">
      <c r="B13" s="2" t="s">
        <v>82</v>
      </c>
    </row>
    <row r="14" spans="2:8" x14ac:dyDescent="0.2">
      <c r="B14" s="2" t="s">
        <v>83</v>
      </c>
    </row>
    <row r="15" spans="2:8" x14ac:dyDescent="0.2">
      <c r="B15" s="2" t="s">
        <v>84</v>
      </c>
    </row>
    <row r="16" spans="2:8" x14ac:dyDescent="0.2">
      <c r="B16" s="2" t="s">
        <v>85</v>
      </c>
    </row>
    <row r="18" spans="2:6" s="8" customFormat="1" x14ac:dyDescent="0.2">
      <c r="B18" s="8" t="s">
        <v>52</v>
      </c>
    </row>
    <row r="19" spans="2:6" x14ac:dyDescent="0.2">
      <c r="C19" s="9"/>
    </row>
    <row r="20" spans="2:6" x14ac:dyDescent="0.2">
      <c r="B20" s="25" t="s">
        <v>11</v>
      </c>
      <c r="C20" s="9"/>
      <c r="D20" s="25" t="s">
        <v>12</v>
      </c>
      <c r="F20" s="11"/>
    </row>
    <row r="21" spans="2:6" x14ac:dyDescent="0.2">
      <c r="C21" s="9"/>
    </row>
    <row r="22" spans="2:6" x14ac:dyDescent="0.2">
      <c r="B22" s="31">
        <v>123</v>
      </c>
      <c r="C22" s="9"/>
      <c r="D22" s="20" t="s">
        <v>13</v>
      </c>
    </row>
    <row r="23" spans="2:6" x14ac:dyDescent="0.2">
      <c r="B23" s="36">
        <f>B22</f>
        <v>123</v>
      </c>
      <c r="C23" s="9"/>
      <c r="D23" s="2" t="s">
        <v>53</v>
      </c>
    </row>
    <row r="24" spans="2:6" x14ac:dyDescent="0.2">
      <c r="B24" s="37">
        <f>B23+B22</f>
        <v>246</v>
      </c>
      <c r="C24" s="9"/>
      <c r="D24" s="2" t="s">
        <v>14</v>
      </c>
    </row>
    <row r="25" spans="2:6" x14ac:dyDescent="0.2">
      <c r="B25" s="27">
        <f>B23+B24</f>
        <v>369</v>
      </c>
      <c r="C25" s="9"/>
      <c r="D25" s="20" t="s">
        <v>54</v>
      </c>
      <c r="E25" s="11"/>
      <c r="F25" s="5"/>
    </row>
    <row r="26" spans="2:6" x14ac:dyDescent="0.2">
      <c r="B26" s="12"/>
      <c r="C26" s="9"/>
      <c r="D26" s="20" t="s">
        <v>15</v>
      </c>
      <c r="E26" s="11"/>
    </row>
    <row r="27" spans="2:6" x14ac:dyDescent="0.2">
      <c r="B27" s="9"/>
      <c r="C27" s="9"/>
    </row>
    <row r="28" spans="2:6" x14ac:dyDescent="0.2">
      <c r="B28" s="26" t="s">
        <v>27</v>
      </c>
      <c r="C28" s="9"/>
    </row>
    <row r="29" spans="2:6" x14ac:dyDescent="0.2">
      <c r="B29" s="29">
        <f>B25+16</f>
        <v>385</v>
      </c>
      <c r="C29" s="9"/>
      <c r="D29" s="2" t="s">
        <v>16</v>
      </c>
    </row>
    <row r="30" spans="2:6" x14ac:dyDescent="0.2">
      <c r="B30" s="30">
        <f>B23*PI()</f>
        <v>386.41589639154455</v>
      </c>
      <c r="C30" s="13"/>
      <c r="D30" s="2" t="s">
        <v>55</v>
      </c>
    </row>
    <row r="31" spans="2:6" x14ac:dyDescent="0.2">
      <c r="B31" s="13"/>
      <c r="C31" s="13"/>
    </row>
    <row r="32" spans="2:6" x14ac:dyDescent="0.2">
      <c r="B32" s="26" t="s">
        <v>17</v>
      </c>
      <c r="C32" s="14"/>
      <c r="D32" s="38"/>
    </row>
    <row r="33" spans="2:7" x14ac:dyDescent="0.2">
      <c r="B33" s="34">
        <v>123</v>
      </c>
      <c r="C33" s="14"/>
      <c r="D33" s="20" t="s">
        <v>56</v>
      </c>
      <c r="G33" s="11"/>
    </row>
    <row r="34" spans="2:7" x14ac:dyDescent="0.2">
      <c r="B34" s="32">
        <v>124</v>
      </c>
      <c r="C34" s="14"/>
      <c r="D34" s="20" t="s">
        <v>57</v>
      </c>
    </row>
    <row r="35" spans="2:7" x14ac:dyDescent="0.2">
      <c r="B35" s="33">
        <f>B33-B34</f>
        <v>-1</v>
      </c>
      <c r="C35" s="15"/>
      <c r="D35" s="2" t="s">
        <v>58</v>
      </c>
    </row>
    <row r="38" spans="2:7" x14ac:dyDescent="0.2">
      <c r="B38" s="25" t="s">
        <v>18</v>
      </c>
    </row>
    <row r="39" spans="2:7" x14ac:dyDescent="0.2">
      <c r="B39" s="1"/>
    </row>
    <row r="40" spans="2:7" x14ac:dyDescent="0.2">
      <c r="B40" s="26" t="s">
        <v>22</v>
      </c>
    </row>
    <row r="41" spans="2:7" x14ac:dyDescent="0.2">
      <c r="B41" s="27" t="s">
        <v>23</v>
      </c>
      <c r="C41" s="9"/>
      <c r="D41" s="20" t="s">
        <v>19</v>
      </c>
    </row>
    <row r="42" spans="2:7" x14ac:dyDescent="0.2">
      <c r="B42" s="31" t="s">
        <v>1</v>
      </c>
      <c r="C42" s="9"/>
      <c r="D42" s="20" t="s">
        <v>20</v>
      </c>
    </row>
    <row r="43" spans="2:7" x14ac:dyDescent="0.2">
      <c r="B43" s="37" t="s">
        <v>24</v>
      </c>
      <c r="C43" s="9"/>
      <c r="D43" s="20" t="s">
        <v>21</v>
      </c>
    </row>
    <row r="44" spans="2:7" x14ac:dyDescent="0.2">
      <c r="B44" s="30" t="s">
        <v>24</v>
      </c>
      <c r="C44" s="9"/>
      <c r="D44" s="20" t="s">
        <v>59</v>
      </c>
    </row>
    <row r="45" spans="2:7" x14ac:dyDescent="0.2">
      <c r="C45" s="9"/>
      <c r="D45" s="3"/>
    </row>
    <row r="46" spans="2:7" x14ac:dyDescent="0.2">
      <c r="B46" s="26" t="s">
        <v>25</v>
      </c>
      <c r="C46" s="9"/>
      <c r="D46" s="3"/>
    </row>
    <row r="47" spans="2:7" x14ac:dyDescent="0.2">
      <c r="B47" s="19" t="s">
        <v>2</v>
      </c>
      <c r="C47" s="9"/>
      <c r="D47" s="20" t="s">
        <v>60</v>
      </c>
    </row>
    <row r="48" spans="2:7" x14ac:dyDescent="0.2">
      <c r="B48" s="40" t="s">
        <v>26</v>
      </c>
      <c r="D48" s="20" t="s">
        <v>61</v>
      </c>
    </row>
    <row r="56" spans="2:2" x14ac:dyDescent="0.2">
      <c r="B56" s="4" t="s">
        <v>69</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I31"/>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43.140625" style="2" bestFit="1" customWidth="1"/>
    <col min="4" max="4" width="57.5703125" style="2" bestFit="1" customWidth="1"/>
    <col min="5" max="5" width="36.28515625" style="2" customWidth="1"/>
    <col min="6" max="6" width="101" style="2" bestFit="1"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2:9" s="7" customFormat="1" ht="18" x14ac:dyDescent="0.2">
      <c r="B2" s="7" t="s">
        <v>28</v>
      </c>
    </row>
    <row r="5" spans="2:9" s="8" customFormat="1" x14ac:dyDescent="0.2">
      <c r="B5" s="8" t="s">
        <v>29</v>
      </c>
    </row>
    <row r="7" spans="2:9" x14ac:dyDescent="0.2">
      <c r="B7" s="4" t="s">
        <v>230</v>
      </c>
    </row>
    <row r="8" spans="2:9" x14ac:dyDescent="0.2">
      <c r="B8" s="4" t="s">
        <v>30</v>
      </c>
    </row>
    <row r="10" spans="2:9" x14ac:dyDescent="0.2">
      <c r="B10" s="41" t="s">
        <v>31</v>
      </c>
      <c r="C10" s="41" t="s">
        <v>32</v>
      </c>
      <c r="D10" s="41" t="s">
        <v>33</v>
      </c>
      <c r="E10" s="41" t="s">
        <v>72</v>
      </c>
      <c r="F10" s="41" t="s">
        <v>62</v>
      </c>
      <c r="G10" s="41" t="s">
        <v>7</v>
      </c>
      <c r="I10" s="24"/>
    </row>
    <row r="11" spans="2:9" x14ac:dyDescent="0.2">
      <c r="B11" s="16"/>
      <c r="C11" s="21" t="s">
        <v>34</v>
      </c>
      <c r="D11" s="21" t="s">
        <v>35</v>
      </c>
      <c r="E11" s="21" t="s">
        <v>45</v>
      </c>
      <c r="F11" s="21" t="s">
        <v>36</v>
      </c>
      <c r="G11" s="21"/>
    </row>
    <row r="12" spans="2:9" x14ac:dyDescent="0.2">
      <c r="B12" s="22">
        <v>1</v>
      </c>
      <c r="C12" s="6" t="s">
        <v>140</v>
      </c>
      <c r="D12" s="6" t="s">
        <v>212</v>
      </c>
      <c r="E12" s="50" t="s">
        <v>213</v>
      </c>
      <c r="F12" s="48" t="s">
        <v>214</v>
      </c>
      <c r="G12" s="6"/>
    </row>
    <row r="13" spans="2:9" x14ac:dyDescent="0.2">
      <c r="B13" s="6">
        <v>2</v>
      </c>
      <c r="C13" s="6" t="s">
        <v>157</v>
      </c>
      <c r="D13" s="6" t="s">
        <v>215</v>
      </c>
      <c r="E13" s="6" t="s">
        <v>216</v>
      </c>
      <c r="F13" s="48" t="s">
        <v>220</v>
      </c>
      <c r="G13" s="6"/>
    </row>
    <row r="14" spans="2:9" x14ac:dyDescent="0.2">
      <c r="B14" s="6">
        <v>3</v>
      </c>
      <c r="C14" s="6" t="s">
        <v>158</v>
      </c>
      <c r="D14" s="6" t="s">
        <v>217</v>
      </c>
      <c r="E14" s="6" t="s">
        <v>218</v>
      </c>
      <c r="F14" s="48" t="s">
        <v>219</v>
      </c>
      <c r="G14" s="6"/>
    </row>
    <row r="15" spans="2:9" x14ac:dyDescent="0.2">
      <c r="B15" s="6">
        <v>4</v>
      </c>
      <c r="C15" s="6" t="s">
        <v>222</v>
      </c>
      <c r="D15" s="6" t="s">
        <v>223</v>
      </c>
      <c r="E15" s="6" t="s">
        <v>224</v>
      </c>
      <c r="F15" s="48" t="s">
        <v>225</v>
      </c>
      <c r="G15" s="6"/>
    </row>
    <row r="16" spans="2:9" x14ac:dyDescent="0.2">
      <c r="B16" s="6">
        <v>5</v>
      </c>
      <c r="C16" s="6" t="s">
        <v>207</v>
      </c>
      <c r="D16" s="6"/>
      <c r="E16" s="6"/>
      <c r="F16" s="6" t="s">
        <v>200</v>
      </c>
      <c r="G16" s="6"/>
    </row>
    <row r="17" spans="2:7" x14ac:dyDescent="0.2">
      <c r="B17" s="6">
        <v>6</v>
      </c>
      <c r="C17" s="6" t="s">
        <v>199</v>
      </c>
      <c r="D17" s="6"/>
      <c r="E17" s="6"/>
      <c r="F17" s="6" t="s">
        <v>200</v>
      </c>
      <c r="G17" s="6"/>
    </row>
    <row r="18" spans="2:7" x14ac:dyDescent="0.2">
      <c r="B18" s="6">
        <v>7</v>
      </c>
      <c r="C18" s="6" t="s">
        <v>134</v>
      </c>
      <c r="D18" s="6"/>
      <c r="E18" s="6"/>
      <c r="F18" s="6" t="s">
        <v>200</v>
      </c>
      <c r="G18" s="6"/>
    </row>
    <row r="19" spans="2:7" x14ac:dyDescent="0.2">
      <c r="B19" s="6">
        <v>8</v>
      </c>
      <c r="C19" s="6" t="s">
        <v>209</v>
      </c>
      <c r="D19" s="6"/>
      <c r="E19" s="6"/>
      <c r="F19" s="48" t="s">
        <v>210</v>
      </c>
      <c r="G19" s="6"/>
    </row>
    <row r="22" spans="2:7" s="8" customFormat="1" x14ac:dyDescent="0.2">
      <c r="B22" s="8" t="s">
        <v>65</v>
      </c>
    </row>
    <row r="24" spans="2:7" x14ac:dyDescent="0.2">
      <c r="B24" s="26" t="s">
        <v>66</v>
      </c>
    </row>
    <row r="25" spans="2:7" x14ac:dyDescent="0.2">
      <c r="B25" s="26" t="s">
        <v>63</v>
      </c>
    </row>
    <row r="26" spans="2:7" x14ac:dyDescent="0.2">
      <c r="B26" s="26"/>
    </row>
    <row r="31" spans="2:7" x14ac:dyDescent="0.2">
      <c r="B31" s="4" t="s">
        <v>69</v>
      </c>
    </row>
  </sheetData>
  <hyperlinks>
    <hyperlink ref="F19" r:id="rId1" xr:uid="{58EE59C4-65A0-4D83-88F7-27DA323FDA03}"/>
    <hyperlink ref="F12" r:id="rId2" xr:uid="{027764C4-A9AF-4C5C-AB0E-9B582961D5F9}"/>
    <hyperlink ref="F14" r:id="rId3" xr:uid="{3CA06056-D5B7-48D9-A4A0-4005F5056B7B}"/>
    <hyperlink ref="F13" r:id="rId4" xr:uid="{E54A646B-71C7-4EAE-AEA7-907BBC16EEA7}"/>
    <hyperlink ref="F15" r:id="rId5" xr:uid="{90841B2A-D84D-49A2-A95C-215C5854BEC3}"/>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J43"/>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9.140625" style="2" customWidth="1"/>
    <col min="3" max="5" width="4.7109375" style="2" customWidth="1"/>
    <col min="6" max="6" width="16.5703125" style="2" bestFit="1" customWidth="1"/>
    <col min="7" max="7" width="2.7109375" style="2" customWidth="1"/>
    <col min="8" max="8" width="13.7109375" style="2" customWidth="1"/>
    <col min="9" max="9" width="6.28515625" style="2" customWidth="1"/>
    <col min="10" max="24" width="13.7109375" style="2" customWidth="1"/>
    <col min="25" max="16384" width="9.140625" style="2"/>
  </cols>
  <sheetData>
    <row r="2" spans="2:10" s="17" customFormat="1" ht="18" x14ac:dyDescent="0.2">
      <c r="B2" s="17" t="s">
        <v>23</v>
      </c>
    </row>
    <row r="4" spans="2:10" x14ac:dyDescent="0.2">
      <c r="B4" s="25" t="s">
        <v>12</v>
      </c>
      <c r="C4" s="1"/>
      <c r="D4" s="1"/>
    </row>
    <row r="5" spans="2:10" x14ac:dyDescent="0.2">
      <c r="B5" s="2" t="s">
        <v>88</v>
      </c>
      <c r="C5" s="3"/>
      <c r="D5" s="3"/>
      <c r="H5" s="18"/>
    </row>
    <row r="6" spans="2:10" x14ac:dyDescent="0.2">
      <c r="B6" s="2" t="s">
        <v>86</v>
      </c>
      <c r="C6" s="3"/>
      <c r="D6" s="3"/>
      <c r="H6" s="18"/>
    </row>
    <row r="7" spans="2:10" x14ac:dyDescent="0.2">
      <c r="B7" s="2" t="s">
        <v>87</v>
      </c>
      <c r="C7" s="3"/>
      <c r="D7" s="3"/>
      <c r="H7" s="18"/>
    </row>
    <row r="8" spans="2:10" x14ac:dyDescent="0.2">
      <c r="B8" s="4"/>
      <c r="C8" s="3"/>
      <c r="D8" s="3"/>
    </row>
    <row r="10" spans="2:10" s="8" customFormat="1" x14ac:dyDescent="0.2">
      <c r="B10" s="8" t="s">
        <v>12</v>
      </c>
      <c r="F10" s="8" t="s">
        <v>37</v>
      </c>
      <c r="H10" s="8" t="s">
        <v>38</v>
      </c>
      <c r="J10" s="8" t="s">
        <v>39</v>
      </c>
    </row>
    <row r="13" spans="2:10" s="8" customFormat="1" x14ac:dyDescent="0.2">
      <c r="B13" s="8" t="s">
        <v>89</v>
      </c>
    </row>
    <row r="15" spans="2:10" x14ac:dyDescent="0.2">
      <c r="B15" s="25" t="s">
        <v>90</v>
      </c>
    </row>
    <row r="16" spans="2:10" x14ac:dyDescent="0.2">
      <c r="B16" s="2" t="s">
        <v>91</v>
      </c>
      <c r="F16" s="2" t="s">
        <v>97</v>
      </c>
      <c r="H16" s="54">
        <f>'Parameters in tariff decisions'!O24</f>
        <v>0.13760975674694975</v>
      </c>
    </row>
    <row r="17" spans="2:10" x14ac:dyDescent="0.2">
      <c r="B17" s="2" t="s">
        <v>92</v>
      </c>
      <c r="F17" s="2" t="s">
        <v>98</v>
      </c>
      <c r="H17" s="54">
        <f>'Parameters in tariff decisions'!M19</f>
        <v>0.27324342090213039</v>
      </c>
    </row>
    <row r="18" spans="2:10" x14ac:dyDescent="0.2">
      <c r="B18" s="2" t="s">
        <v>93</v>
      </c>
      <c r="F18" s="2" t="s">
        <v>99</v>
      </c>
      <c r="H18" s="53">
        <f>'Parameters in tariff decisions'!M20</f>
        <v>0.68495484398648065</v>
      </c>
    </row>
    <row r="19" spans="2:10" x14ac:dyDescent="0.2">
      <c r="B19" s="2" t="s">
        <v>226</v>
      </c>
      <c r="F19" s="2" t="s">
        <v>100</v>
      </c>
      <c r="H19" s="54">
        <f>'Fuel prices'!K17</f>
        <v>1.1988000000000001</v>
      </c>
    </row>
    <row r="20" spans="2:10" x14ac:dyDescent="0.2">
      <c r="B20" s="2" t="s">
        <v>95</v>
      </c>
      <c r="F20" s="2" t="s">
        <v>97</v>
      </c>
      <c r="H20" s="47">
        <f>H17*H18*H19</f>
        <v>0.22436669439554</v>
      </c>
    </row>
    <row r="21" spans="2:10" x14ac:dyDescent="0.2">
      <c r="B21" s="2" t="s">
        <v>96</v>
      </c>
      <c r="F21" s="2" t="s">
        <v>97</v>
      </c>
      <c r="H21" s="47">
        <f>H16+H20</f>
        <v>0.36197645114248977</v>
      </c>
    </row>
    <row r="22" spans="2:10" x14ac:dyDescent="0.2">
      <c r="B22" s="5"/>
    </row>
    <row r="23" spans="2:10" x14ac:dyDescent="0.2">
      <c r="B23" s="1" t="s">
        <v>101</v>
      </c>
    </row>
    <row r="24" spans="2:10" x14ac:dyDescent="0.2">
      <c r="B24" s="2" t="s">
        <v>102</v>
      </c>
      <c r="F24" s="2" t="s">
        <v>107</v>
      </c>
      <c r="H24" s="36">
        <f>'Fuel component correction'!H46</f>
        <v>64027.57443344318</v>
      </c>
      <c r="J24" s="2" t="s">
        <v>227</v>
      </c>
    </row>
    <row r="25" spans="2:10" x14ac:dyDescent="0.2">
      <c r="B25" s="2" t="s">
        <v>103</v>
      </c>
      <c r="F25" s="2" t="s">
        <v>108</v>
      </c>
      <c r="H25" s="36">
        <f>'Parameters in tariff decisions'!O25</f>
        <v>17919431.587000001</v>
      </c>
    </row>
    <row r="26" spans="2:10" x14ac:dyDescent="0.2">
      <c r="B26" s="2" t="s">
        <v>104</v>
      </c>
      <c r="F26" s="2" t="s">
        <v>99</v>
      </c>
      <c r="H26" s="53">
        <f>'Parameters in tariff decisions'!O27</f>
        <v>0.46831905907596683</v>
      </c>
    </row>
    <row r="27" spans="2:10" x14ac:dyDescent="0.2">
      <c r="B27" s="2" t="s">
        <v>105</v>
      </c>
      <c r="F27" s="2" t="s">
        <v>108</v>
      </c>
      <c r="H27" s="37">
        <f>H25*(1-H26)</f>
        <v>9527420.2470000014</v>
      </c>
    </row>
    <row r="28" spans="2:10" x14ac:dyDescent="0.2">
      <c r="B28" s="2" t="s">
        <v>106</v>
      </c>
      <c r="F28" s="2" t="s">
        <v>97</v>
      </c>
      <c r="H28" s="47">
        <f>H24/H27</f>
        <v>6.7203474574981841E-3</v>
      </c>
    </row>
    <row r="30" spans="2:10" x14ac:dyDescent="0.2">
      <c r="B30" s="1" t="s">
        <v>109</v>
      </c>
    </row>
    <row r="31" spans="2:10" x14ac:dyDescent="0.2">
      <c r="B31" s="2" t="s">
        <v>110</v>
      </c>
      <c r="F31" s="2" t="s">
        <v>97</v>
      </c>
      <c r="H31" s="54">
        <f>'Parameters in tariff decisions'!O30</f>
        <v>1.5852171223302727E-3</v>
      </c>
    </row>
    <row r="33" spans="2:8" s="8" customFormat="1" x14ac:dyDescent="0.2">
      <c r="B33" s="8" t="s">
        <v>111</v>
      </c>
    </row>
    <row r="35" spans="2:8" x14ac:dyDescent="0.2">
      <c r="B35" s="1" t="s">
        <v>112</v>
      </c>
    </row>
    <row r="36" spans="2:8" x14ac:dyDescent="0.2">
      <c r="B36" s="2" t="s">
        <v>90</v>
      </c>
      <c r="F36" s="2" t="s">
        <v>97</v>
      </c>
      <c r="H36" s="54">
        <f>H21</f>
        <v>0.36197645114248977</v>
      </c>
    </row>
    <row r="37" spans="2:8" x14ac:dyDescent="0.2">
      <c r="B37" s="2" t="s">
        <v>113</v>
      </c>
      <c r="F37" s="2" t="s">
        <v>97</v>
      </c>
      <c r="H37" s="47">
        <f>H28+H31</f>
        <v>8.3055645798284575E-3</v>
      </c>
    </row>
    <row r="38" spans="2:8" x14ac:dyDescent="0.2">
      <c r="B38" s="2" t="s">
        <v>155</v>
      </c>
      <c r="F38" s="2" t="s">
        <v>99</v>
      </c>
      <c r="H38" s="53">
        <f>'Parameters in tariff decisions'!O33</f>
        <v>0.14000000000000001</v>
      </c>
    </row>
    <row r="40" spans="2:8" x14ac:dyDescent="0.2">
      <c r="B40" s="2" t="s">
        <v>89</v>
      </c>
      <c r="F40" s="2" t="s">
        <v>97</v>
      </c>
      <c r="H40" s="55">
        <f>(H36+H37)/(1-H38)</f>
        <v>0.43056048339804448</v>
      </c>
    </row>
    <row r="43" spans="2:8" x14ac:dyDescent="0.2">
      <c r="B43" s="4" t="s">
        <v>69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heetViews>
  <sheetFormatPr defaultRowHeight="12.75" x14ac:dyDescent="0.2"/>
  <cols>
    <col min="1" max="16384" width="9.140625" style="19"/>
  </cols>
  <sheetData>
    <row r="2" spans="2:2" x14ac:dyDescent="0.2">
      <c r="B2" s="42" t="s">
        <v>70</v>
      </c>
    </row>
    <row r="3" spans="2:2" x14ac:dyDescent="0.2">
      <c r="B3" s="42" t="s">
        <v>71</v>
      </c>
    </row>
    <row r="7" spans="2:2" x14ac:dyDescent="0.2">
      <c r="B7" s="42"/>
    </row>
    <row r="8" spans="2:2" x14ac:dyDescent="0.2">
      <c r="B8" s="4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Q251"/>
  <sheetViews>
    <sheetView showGridLines="0" zoomScale="85" zoomScaleNormal="85" workbookViewId="0">
      <pane xSplit="7" ySplit="12" topLeftCell="H13" activePane="bottomRight" state="frozen"/>
      <selection activeCell="R6" sqref="R6"/>
      <selection pane="topRight" activeCell="R6" sqref="R6"/>
      <selection pane="bottomLeft" activeCell="R6" sqref="R6"/>
      <selection pane="bottomRight" activeCell="H13" sqref="H13"/>
    </sheetView>
  </sheetViews>
  <sheetFormatPr defaultRowHeight="12.75" x14ac:dyDescent="0.2"/>
  <cols>
    <col min="1" max="1" width="4.7109375" style="2" customWidth="1"/>
    <col min="2" max="2" width="44.42578125" style="2" customWidth="1"/>
    <col min="3" max="3" width="4.7109375" style="2" customWidth="1"/>
    <col min="4" max="5" width="4.5703125" style="2" customWidth="1"/>
    <col min="6" max="6" width="14.7109375" style="2" bestFit="1" customWidth="1"/>
    <col min="7" max="7" width="2.5703125" style="2" customWidth="1"/>
    <col min="8" max="8" width="2.7109375" style="2" customWidth="1"/>
    <col min="9" max="9" width="13.7109375" style="2" customWidth="1"/>
    <col min="10" max="10" width="2.7109375" style="2" customWidth="1"/>
    <col min="11" max="11" width="13.7109375" style="2" customWidth="1"/>
    <col min="12" max="12" width="2.7109375" style="2" customWidth="1"/>
    <col min="13" max="13" width="12.85546875" style="2" customWidth="1"/>
    <col min="14" max="14" width="2.7109375" style="2" customWidth="1"/>
    <col min="15" max="15" width="21.71093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2:17" s="17" customFormat="1" ht="18" x14ac:dyDescent="0.2">
      <c r="B2" s="17" t="s">
        <v>115</v>
      </c>
    </row>
    <row r="4" spans="2:17" x14ac:dyDescent="0.2">
      <c r="B4" s="25" t="s">
        <v>12</v>
      </c>
      <c r="C4" s="1"/>
      <c r="D4" s="1"/>
    </row>
    <row r="5" spans="2:17" x14ac:dyDescent="0.2">
      <c r="B5" s="20" t="s">
        <v>114</v>
      </c>
      <c r="C5" s="3"/>
      <c r="D5" s="3"/>
      <c r="I5" s="18"/>
    </row>
    <row r="6" spans="2:17" x14ac:dyDescent="0.2">
      <c r="B6" s="20"/>
      <c r="C6" s="3"/>
      <c r="D6" s="3"/>
      <c r="I6" s="18"/>
    </row>
    <row r="7" spans="2:17" x14ac:dyDescent="0.2">
      <c r="B7" s="26" t="s">
        <v>231</v>
      </c>
      <c r="C7" s="3"/>
      <c r="D7" s="3"/>
      <c r="I7" s="18"/>
    </row>
    <row r="8" spans="2:17" x14ac:dyDescent="0.2">
      <c r="B8" s="4" t="s">
        <v>116</v>
      </c>
      <c r="C8" s="3"/>
      <c r="D8" s="3"/>
    </row>
    <row r="9" spans="2:17" x14ac:dyDescent="0.2">
      <c r="B9" s="4"/>
      <c r="C9" s="3"/>
      <c r="D9" s="3"/>
    </row>
    <row r="11" spans="2:17" s="8" customFormat="1" ht="38.25" x14ac:dyDescent="0.2">
      <c r="B11" s="8" t="s">
        <v>12</v>
      </c>
      <c r="F11" s="8" t="s">
        <v>122</v>
      </c>
      <c r="I11" s="44" t="s">
        <v>117</v>
      </c>
      <c r="K11" s="44" t="s">
        <v>118</v>
      </c>
      <c r="M11" s="44" t="s">
        <v>119</v>
      </c>
      <c r="N11" s="44"/>
      <c r="O11" s="44" t="s">
        <v>120</v>
      </c>
      <c r="Q11" s="8" t="s">
        <v>39</v>
      </c>
    </row>
    <row r="14" spans="2:17" s="8" customFormat="1" x14ac:dyDescent="0.2">
      <c r="B14" s="8" t="s">
        <v>94</v>
      </c>
    </row>
    <row r="16" spans="2:17" x14ac:dyDescent="0.2">
      <c r="B16" s="25" t="s">
        <v>121</v>
      </c>
    </row>
    <row r="17" spans="2:13" x14ac:dyDescent="0.2">
      <c r="B17" s="31" t="s">
        <v>199</v>
      </c>
      <c r="F17" s="45">
        <v>44703</v>
      </c>
      <c r="K17" s="46">
        <v>1.1988000000000001</v>
      </c>
    </row>
    <row r="20" spans="2:13" s="8" customFormat="1" x14ac:dyDescent="0.2">
      <c r="B20" s="8" t="s">
        <v>123</v>
      </c>
    </row>
    <row r="22" spans="2:13" s="8" customFormat="1" x14ac:dyDescent="0.2">
      <c r="B22" s="8" t="s">
        <v>124</v>
      </c>
    </row>
    <row r="24" spans="2:13" x14ac:dyDescent="0.2">
      <c r="B24" s="1" t="s">
        <v>121</v>
      </c>
    </row>
    <row r="25" spans="2:13" x14ac:dyDescent="0.2">
      <c r="B25" s="31" t="s">
        <v>208</v>
      </c>
      <c r="F25" s="45">
        <v>44440</v>
      </c>
      <c r="I25" s="31">
        <v>11407</v>
      </c>
      <c r="K25" s="46">
        <v>0.74299999999999999</v>
      </c>
      <c r="M25" s="37">
        <f>I25*K25</f>
        <v>8475.4009999999998</v>
      </c>
    </row>
    <row r="26" spans="2:13" x14ac:dyDescent="0.2">
      <c r="B26" s="31" t="s">
        <v>208</v>
      </c>
      <c r="F26" s="45">
        <v>44441</v>
      </c>
      <c r="I26" s="31">
        <v>9932</v>
      </c>
      <c r="K26" s="46">
        <v>0.74299999999999999</v>
      </c>
      <c r="M26" s="37">
        <f t="shared" ref="M26:M56" si="0">I26*K26</f>
        <v>7379.4759999999997</v>
      </c>
    </row>
    <row r="27" spans="2:13" x14ac:dyDescent="0.2">
      <c r="B27" s="31" t="s">
        <v>208</v>
      </c>
      <c r="F27" s="45">
        <v>44442</v>
      </c>
      <c r="I27" s="31">
        <v>1342</v>
      </c>
      <c r="K27" s="46">
        <v>0.74299999999999999</v>
      </c>
      <c r="M27" s="37">
        <f t="shared" si="0"/>
        <v>997.10599999999999</v>
      </c>
    </row>
    <row r="28" spans="2:13" x14ac:dyDescent="0.2">
      <c r="B28" s="31" t="s">
        <v>208</v>
      </c>
      <c r="F28" s="45">
        <v>44442</v>
      </c>
      <c r="I28" s="31">
        <v>9620</v>
      </c>
      <c r="K28" s="46">
        <v>0.76180000000000003</v>
      </c>
      <c r="M28" s="37">
        <f t="shared" si="0"/>
        <v>7328.5160000000005</v>
      </c>
    </row>
    <row r="29" spans="2:13" x14ac:dyDescent="0.2">
      <c r="B29" s="31" t="s">
        <v>208</v>
      </c>
      <c r="F29" s="45">
        <v>44443</v>
      </c>
      <c r="I29" s="31">
        <v>10402</v>
      </c>
      <c r="K29" s="46">
        <v>0.76180000000000003</v>
      </c>
      <c r="M29" s="37">
        <f t="shared" si="0"/>
        <v>7924.2436000000007</v>
      </c>
    </row>
    <row r="30" spans="2:13" x14ac:dyDescent="0.2">
      <c r="B30" s="31" t="s">
        <v>208</v>
      </c>
      <c r="F30" s="45">
        <v>44444</v>
      </c>
      <c r="I30" s="31">
        <v>10497</v>
      </c>
      <c r="K30" s="46">
        <v>0.76180000000000003</v>
      </c>
      <c r="M30" s="37">
        <f t="shared" si="0"/>
        <v>7996.6146000000008</v>
      </c>
    </row>
    <row r="31" spans="2:13" x14ac:dyDescent="0.2">
      <c r="B31" s="31" t="s">
        <v>208</v>
      </c>
      <c r="F31" s="45">
        <v>44445</v>
      </c>
      <c r="I31" s="31">
        <v>11382</v>
      </c>
      <c r="K31" s="46">
        <v>0.76180000000000003</v>
      </c>
      <c r="M31" s="37">
        <f t="shared" si="0"/>
        <v>8670.8076000000001</v>
      </c>
    </row>
    <row r="32" spans="2:13" x14ac:dyDescent="0.2">
      <c r="B32" s="31" t="s">
        <v>208</v>
      </c>
      <c r="F32" s="45">
        <v>44446</v>
      </c>
      <c r="I32" s="31">
        <v>10678</v>
      </c>
      <c r="K32" s="46">
        <v>0.76180000000000003</v>
      </c>
      <c r="M32" s="37">
        <f t="shared" si="0"/>
        <v>8134.5003999999999</v>
      </c>
    </row>
    <row r="33" spans="2:13" x14ac:dyDescent="0.2">
      <c r="B33" s="31" t="s">
        <v>208</v>
      </c>
      <c r="F33" s="45">
        <v>44447</v>
      </c>
      <c r="I33" s="31">
        <v>10432</v>
      </c>
      <c r="K33" s="46">
        <v>0.76180000000000003</v>
      </c>
      <c r="M33" s="37">
        <f t="shared" si="0"/>
        <v>7947.0976000000001</v>
      </c>
    </row>
    <row r="34" spans="2:13" x14ac:dyDescent="0.2">
      <c r="B34" s="31" t="s">
        <v>208</v>
      </c>
      <c r="F34" s="45">
        <v>44448</v>
      </c>
      <c r="I34" s="31">
        <v>10162</v>
      </c>
      <c r="K34" s="46">
        <v>0.76180000000000003</v>
      </c>
      <c r="M34" s="37">
        <f t="shared" si="0"/>
        <v>7741.4116000000004</v>
      </c>
    </row>
    <row r="35" spans="2:13" x14ac:dyDescent="0.2">
      <c r="B35" s="31" t="s">
        <v>208</v>
      </c>
      <c r="F35" s="45">
        <v>44449</v>
      </c>
      <c r="I35" s="31">
        <v>10829</v>
      </c>
      <c r="K35" s="46">
        <v>0.76180000000000003</v>
      </c>
      <c r="M35" s="37">
        <f t="shared" si="0"/>
        <v>8249.5321999999996</v>
      </c>
    </row>
    <row r="36" spans="2:13" x14ac:dyDescent="0.2">
      <c r="B36" s="31" t="s">
        <v>208</v>
      </c>
      <c r="F36" s="45">
        <v>44450</v>
      </c>
      <c r="I36" s="31">
        <v>11856</v>
      </c>
      <c r="K36" s="46">
        <v>0.76180000000000003</v>
      </c>
      <c r="M36" s="37">
        <f t="shared" si="0"/>
        <v>9031.9008000000013</v>
      </c>
    </row>
    <row r="37" spans="2:13" x14ac:dyDescent="0.2">
      <c r="B37" s="31" t="s">
        <v>208</v>
      </c>
      <c r="F37" s="45">
        <v>44451</v>
      </c>
      <c r="I37" s="31">
        <v>9780</v>
      </c>
      <c r="K37" s="46">
        <v>0.76180000000000003</v>
      </c>
      <c r="M37" s="37">
        <f t="shared" si="0"/>
        <v>7450.4040000000005</v>
      </c>
    </row>
    <row r="38" spans="2:13" x14ac:dyDescent="0.2">
      <c r="B38" s="31" t="s">
        <v>208</v>
      </c>
      <c r="F38" s="45">
        <v>44452</v>
      </c>
      <c r="I38" s="31">
        <v>11521</v>
      </c>
      <c r="K38" s="46">
        <v>0.76180000000000003</v>
      </c>
      <c r="M38" s="37">
        <f t="shared" si="0"/>
        <v>8776.6977999999999</v>
      </c>
    </row>
    <row r="39" spans="2:13" x14ac:dyDescent="0.2">
      <c r="B39" s="31" t="s">
        <v>208</v>
      </c>
      <c r="F39" s="45">
        <v>44453</v>
      </c>
      <c r="I39" s="31">
        <v>10444</v>
      </c>
      <c r="K39" s="46">
        <v>0.76180000000000003</v>
      </c>
      <c r="M39" s="37">
        <f t="shared" si="0"/>
        <v>7956.2392</v>
      </c>
    </row>
    <row r="40" spans="2:13" x14ac:dyDescent="0.2">
      <c r="B40" s="31" t="s">
        <v>208</v>
      </c>
      <c r="F40" s="45">
        <v>44454</v>
      </c>
      <c r="I40" s="31">
        <v>8862</v>
      </c>
      <c r="K40" s="46">
        <v>0.76180000000000003</v>
      </c>
      <c r="M40" s="37">
        <f t="shared" si="0"/>
        <v>6751.0716000000002</v>
      </c>
    </row>
    <row r="41" spans="2:13" x14ac:dyDescent="0.2">
      <c r="B41" s="31" t="s">
        <v>208</v>
      </c>
      <c r="F41" s="45">
        <v>44455</v>
      </c>
      <c r="I41" s="31">
        <v>9683</v>
      </c>
      <c r="K41" s="46">
        <v>0.76180000000000003</v>
      </c>
      <c r="M41" s="37">
        <f t="shared" si="0"/>
        <v>7376.5093999999999</v>
      </c>
    </row>
    <row r="42" spans="2:13" x14ac:dyDescent="0.2">
      <c r="B42" s="31" t="s">
        <v>208</v>
      </c>
      <c r="F42" s="45">
        <v>44456</v>
      </c>
      <c r="I42" s="31">
        <v>9797</v>
      </c>
      <c r="K42" s="46">
        <v>0.76180000000000003</v>
      </c>
      <c r="M42" s="37">
        <f t="shared" si="0"/>
        <v>7463.3546000000006</v>
      </c>
    </row>
    <row r="43" spans="2:13" x14ac:dyDescent="0.2">
      <c r="B43" s="31" t="s">
        <v>208</v>
      </c>
      <c r="F43" s="45">
        <v>44457</v>
      </c>
      <c r="I43" s="31">
        <v>8764</v>
      </c>
      <c r="K43" s="46">
        <v>0.76180000000000003</v>
      </c>
      <c r="M43" s="37">
        <f t="shared" si="0"/>
        <v>6676.4152000000004</v>
      </c>
    </row>
    <row r="44" spans="2:13" x14ac:dyDescent="0.2">
      <c r="B44" s="31" t="s">
        <v>208</v>
      </c>
      <c r="F44" s="45">
        <v>44458</v>
      </c>
      <c r="I44" s="31">
        <v>8791</v>
      </c>
      <c r="K44" s="46">
        <v>0.76180000000000003</v>
      </c>
      <c r="M44" s="37">
        <f t="shared" si="0"/>
        <v>6696.9838</v>
      </c>
    </row>
    <row r="45" spans="2:13" x14ac:dyDescent="0.2">
      <c r="B45" s="31" t="s">
        <v>208</v>
      </c>
      <c r="F45" s="45">
        <v>44459</v>
      </c>
      <c r="I45" s="31">
        <v>9481</v>
      </c>
      <c r="K45" s="46">
        <v>0.76180000000000003</v>
      </c>
      <c r="M45" s="37">
        <f t="shared" si="0"/>
        <v>7222.6258000000007</v>
      </c>
    </row>
    <row r="46" spans="2:13" x14ac:dyDescent="0.2">
      <c r="B46" s="31" t="s">
        <v>208</v>
      </c>
      <c r="F46" s="45">
        <v>44460</v>
      </c>
      <c r="I46" s="31">
        <v>9795</v>
      </c>
      <c r="K46" s="46">
        <v>0.76180000000000003</v>
      </c>
      <c r="M46" s="37">
        <f t="shared" si="0"/>
        <v>7461.8310000000001</v>
      </c>
    </row>
    <row r="47" spans="2:13" x14ac:dyDescent="0.2">
      <c r="B47" s="31" t="s">
        <v>208</v>
      </c>
      <c r="F47" s="45">
        <v>44461</v>
      </c>
      <c r="I47" s="31">
        <v>10238</v>
      </c>
      <c r="K47" s="46">
        <v>0.76180000000000003</v>
      </c>
      <c r="M47" s="37">
        <f t="shared" si="0"/>
        <v>7799.3083999999999</v>
      </c>
    </row>
    <row r="48" spans="2:13" x14ac:dyDescent="0.2">
      <c r="B48" s="31" t="s">
        <v>208</v>
      </c>
      <c r="F48" s="45">
        <v>44462</v>
      </c>
      <c r="I48" s="31">
        <v>11120</v>
      </c>
      <c r="K48" s="46">
        <v>0.76180000000000003</v>
      </c>
      <c r="M48" s="37">
        <f t="shared" si="0"/>
        <v>8471.2160000000003</v>
      </c>
    </row>
    <row r="49" spans="2:17" x14ac:dyDescent="0.2">
      <c r="B49" s="31" t="s">
        <v>208</v>
      </c>
      <c r="F49" s="45">
        <v>44463</v>
      </c>
      <c r="I49" s="31">
        <v>11842</v>
      </c>
      <c r="K49" s="46">
        <v>0.76180000000000003</v>
      </c>
      <c r="M49" s="37">
        <f t="shared" si="0"/>
        <v>9021.2356</v>
      </c>
    </row>
    <row r="50" spans="2:17" x14ac:dyDescent="0.2">
      <c r="B50" s="31" t="s">
        <v>208</v>
      </c>
      <c r="F50" s="45">
        <v>44464</v>
      </c>
      <c r="I50" s="31">
        <v>11129</v>
      </c>
      <c r="K50" s="46">
        <v>0.76180000000000003</v>
      </c>
      <c r="M50" s="37">
        <f t="shared" si="0"/>
        <v>8478.0722000000005</v>
      </c>
    </row>
    <row r="51" spans="2:17" x14ac:dyDescent="0.2">
      <c r="B51" s="31" t="s">
        <v>208</v>
      </c>
      <c r="F51" s="45">
        <v>44465</v>
      </c>
      <c r="I51" s="31">
        <v>11102</v>
      </c>
      <c r="K51" s="46">
        <v>0.76180000000000003</v>
      </c>
      <c r="M51" s="37">
        <f t="shared" si="0"/>
        <v>8457.5036</v>
      </c>
    </row>
    <row r="52" spans="2:17" x14ac:dyDescent="0.2">
      <c r="B52" s="31" t="s">
        <v>208</v>
      </c>
      <c r="F52" s="45">
        <v>44466</v>
      </c>
      <c r="I52" s="31">
        <v>9341</v>
      </c>
      <c r="K52" s="46">
        <v>0.76180000000000003</v>
      </c>
      <c r="M52" s="37">
        <f t="shared" si="0"/>
        <v>7115.9738000000007</v>
      </c>
    </row>
    <row r="53" spans="2:17" x14ac:dyDescent="0.2">
      <c r="B53" s="31" t="s">
        <v>208</v>
      </c>
      <c r="F53" s="45">
        <v>44467</v>
      </c>
      <c r="I53" s="31">
        <v>10534</v>
      </c>
      <c r="K53" s="46">
        <v>0.76180000000000003</v>
      </c>
      <c r="M53" s="37">
        <f t="shared" si="0"/>
        <v>8024.8012000000008</v>
      </c>
    </row>
    <row r="54" spans="2:17" x14ac:dyDescent="0.2">
      <c r="B54" s="31" t="s">
        <v>208</v>
      </c>
      <c r="F54" s="45">
        <v>44467</v>
      </c>
      <c r="I54" s="31">
        <v>595</v>
      </c>
      <c r="K54" s="46">
        <v>0.78049999999999997</v>
      </c>
      <c r="M54" s="37">
        <f t="shared" si="0"/>
        <v>464.39749999999998</v>
      </c>
    </row>
    <row r="55" spans="2:17" x14ac:dyDescent="0.2">
      <c r="B55" s="31" t="s">
        <v>208</v>
      </c>
      <c r="F55" s="45">
        <v>44468</v>
      </c>
      <c r="I55" s="31">
        <v>10928</v>
      </c>
      <c r="K55" s="46">
        <v>0.78049999999999997</v>
      </c>
      <c r="M55" s="37">
        <f t="shared" si="0"/>
        <v>8529.3040000000001</v>
      </c>
    </row>
    <row r="56" spans="2:17" x14ac:dyDescent="0.2">
      <c r="B56" s="31" t="s">
        <v>208</v>
      </c>
      <c r="F56" s="45">
        <v>44469</v>
      </c>
      <c r="I56" s="31">
        <v>9826</v>
      </c>
      <c r="K56" s="46">
        <v>0.78049999999999997</v>
      </c>
      <c r="M56" s="37">
        <f t="shared" si="0"/>
        <v>7669.1929999999993</v>
      </c>
    </row>
    <row r="57" spans="2:17" x14ac:dyDescent="0.2">
      <c r="O57" s="47">
        <f>SUMPRODUCT(I25:I56,K25:K56)/SUMPRODUCT(I25:I56)</f>
        <v>0.76171292709027516</v>
      </c>
      <c r="Q57" s="2" t="s">
        <v>201</v>
      </c>
    </row>
    <row r="59" spans="2:17" s="8" customFormat="1" x14ac:dyDescent="0.2">
      <c r="B59" s="8" t="s">
        <v>127</v>
      </c>
    </row>
    <row r="61" spans="2:17" x14ac:dyDescent="0.2">
      <c r="B61" s="1" t="s">
        <v>121</v>
      </c>
    </row>
    <row r="62" spans="2:17" x14ac:dyDescent="0.2">
      <c r="B62" s="31" t="s">
        <v>208</v>
      </c>
      <c r="F62" s="45">
        <v>44470</v>
      </c>
      <c r="I62" s="31">
        <v>10375</v>
      </c>
      <c r="K62" s="46">
        <v>0.78049999999999997</v>
      </c>
      <c r="M62" s="37">
        <f>I62*K62</f>
        <v>8097.6875</v>
      </c>
    </row>
    <row r="63" spans="2:17" x14ac:dyDescent="0.2">
      <c r="B63" s="31" t="s">
        <v>208</v>
      </c>
      <c r="F63" s="45">
        <v>44471</v>
      </c>
      <c r="I63" s="31">
        <v>6131</v>
      </c>
      <c r="K63" s="46">
        <v>0.78049999999999997</v>
      </c>
      <c r="M63" s="37">
        <f t="shared" ref="M63:M95" si="1">I63*K63</f>
        <v>4785.2455</v>
      </c>
    </row>
    <row r="64" spans="2:17" x14ac:dyDescent="0.2">
      <c r="B64" s="31" t="s">
        <v>208</v>
      </c>
      <c r="F64" s="45">
        <v>44471</v>
      </c>
      <c r="I64" s="31">
        <v>3569</v>
      </c>
      <c r="K64" s="46">
        <v>0.82609999999999995</v>
      </c>
      <c r="M64" s="37">
        <f t="shared" si="1"/>
        <v>2948.3508999999999</v>
      </c>
    </row>
    <row r="65" spans="2:13" x14ac:dyDescent="0.2">
      <c r="B65" s="31" t="s">
        <v>208</v>
      </c>
      <c r="F65" s="45">
        <v>44472</v>
      </c>
      <c r="I65" s="31">
        <v>9601</v>
      </c>
      <c r="K65" s="46">
        <v>0.82609999999999995</v>
      </c>
      <c r="M65" s="37">
        <f t="shared" si="1"/>
        <v>7931.3860999999997</v>
      </c>
    </row>
    <row r="66" spans="2:13" x14ac:dyDescent="0.2">
      <c r="B66" s="31" t="s">
        <v>208</v>
      </c>
      <c r="F66" s="45">
        <v>44473</v>
      </c>
      <c r="I66" s="31">
        <v>10250</v>
      </c>
      <c r="K66" s="46">
        <v>0.82609999999999995</v>
      </c>
      <c r="M66" s="37">
        <f t="shared" si="1"/>
        <v>8467.5249999999996</v>
      </c>
    </row>
    <row r="67" spans="2:13" x14ac:dyDescent="0.2">
      <c r="B67" s="31" t="s">
        <v>208</v>
      </c>
      <c r="F67" s="45">
        <v>44474</v>
      </c>
      <c r="I67" s="31">
        <v>10958</v>
      </c>
      <c r="K67" s="46">
        <v>0.82609999999999995</v>
      </c>
      <c r="M67" s="37">
        <f t="shared" si="1"/>
        <v>9052.4038</v>
      </c>
    </row>
    <row r="68" spans="2:13" x14ac:dyDescent="0.2">
      <c r="B68" s="31" t="s">
        <v>208</v>
      </c>
      <c r="F68" s="45">
        <v>44475</v>
      </c>
      <c r="I68" s="31">
        <v>3477</v>
      </c>
      <c r="K68" s="46">
        <v>0.82609999999999995</v>
      </c>
      <c r="M68" s="37">
        <f t="shared" si="1"/>
        <v>2872.3496999999998</v>
      </c>
    </row>
    <row r="69" spans="2:13" x14ac:dyDescent="0.2">
      <c r="B69" s="31" t="s">
        <v>208</v>
      </c>
      <c r="F69" s="45">
        <v>44475</v>
      </c>
      <c r="I69" s="31">
        <v>7690</v>
      </c>
      <c r="K69" s="46">
        <v>0.87709999999999999</v>
      </c>
      <c r="M69" s="37">
        <f t="shared" si="1"/>
        <v>6744.8990000000003</v>
      </c>
    </row>
    <row r="70" spans="2:13" x14ac:dyDescent="0.2">
      <c r="B70" s="31" t="s">
        <v>208</v>
      </c>
      <c r="F70" s="45">
        <v>44476</v>
      </c>
      <c r="I70" s="31">
        <v>11667</v>
      </c>
      <c r="K70" s="46">
        <v>0.87709999999999999</v>
      </c>
      <c r="M70" s="37">
        <f t="shared" si="1"/>
        <v>10233.125700000001</v>
      </c>
    </row>
    <row r="71" spans="2:13" x14ac:dyDescent="0.2">
      <c r="B71" s="31" t="s">
        <v>208</v>
      </c>
      <c r="F71" s="45">
        <v>44477</v>
      </c>
      <c r="I71" s="31">
        <v>11365</v>
      </c>
      <c r="K71" s="46">
        <v>0.87709999999999999</v>
      </c>
      <c r="M71" s="37">
        <f t="shared" si="1"/>
        <v>9968.2415000000001</v>
      </c>
    </row>
    <row r="72" spans="2:13" x14ac:dyDescent="0.2">
      <c r="B72" s="31" t="s">
        <v>208</v>
      </c>
      <c r="F72" s="45">
        <v>44478</v>
      </c>
      <c r="I72" s="31">
        <v>10818</v>
      </c>
      <c r="K72" s="46">
        <v>0.87709999999999999</v>
      </c>
      <c r="M72" s="37">
        <f t="shared" si="1"/>
        <v>9488.4678000000004</v>
      </c>
    </row>
    <row r="73" spans="2:13" x14ac:dyDescent="0.2">
      <c r="B73" s="31" t="s">
        <v>208</v>
      </c>
      <c r="F73" s="45">
        <v>44479</v>
      </c>
      <c r="I73" s="31">
        <v>11125</v>
      </c>
      <c r="K73" s="46">
        <v>0.87709999999999999</v>
      </c>
      <c r="M73" s="37">
        <f t="shared" si="1"/>
        <v>9757.7374999999993</v>
      </c>
    </row>
    <row r="74" spans="2:13" x14ac:dyDescent="0.2">
      <c r="B74" s="31" t="s">
        <v>208</v>
      </c>
      <c r="F74" s="45">
        <v>44480</v>
      </c>
      <c r="I74" s="31">
        <v>9803</v>
      </c>
      <c r="K74" s="46">
        <v>0.87709999999999999</v>
      </c>
      <c r="M74" s="37">
        <f t="shared" si="1"/>
        <v>8598.211299999999</v>
      </c>
    </row>
    <row r="75" spans="2:13" x14ac:dyDescent="0.2">
      <c r="B75" s="31" t="s">
        <v>208</v>
      </c>
      <c r="F75" s="45">
        <v>44481</v>
      </c>
      <c r="I75" s="31">
        <v>10523</v>
      </c>
      <c r="K75" s="46">
        <v>0.87709999999999999</v>
      </c>
      <c r="M75" s="37">
        <f t="shared" si="1"/>
        <v>9229.7232999999997</v>
      </c>
    </row>
    <row r="76" spans="2:13" x14ac:dyDescent="0.2">
      <c r="B76" s="31" t="s">
        <v>208</v>
      </c>
      <c r="F76" s="45">
        <v>44482</v>
      </c>
      <c r="I76" s="31">
        <v>9821</v>
      </c>
      <c r="K76" s="46">
        <v>0.87709999999999999</v>
      </c>
      <c r="M76" s="37">
        <f t="shared" si="1"/>
        <v>8613.9990999999991</v>
      </c>
    </row>
    <row r="77" spans="2:13" x14ac:dyDescent="0.2">
      <c r="B77" s="31" t="s">
        <v>208</v>
      </c>
      <c r="F77" s="45">
        <v>44483</v>
      </c>
      <c r="I77" s="31">
        <v>9579</v>
      </c>
      <c r="K77" s="46">
        <v>0.87709999999999999</v>
      </c>
      <c r="M77" s="37">
        <f t="shared" si="1"/>
        <v>8401.7409000000007</v>
      </c>
    </row>
    <row r="78" spans="2:13" x14ac:dyDescent="0.2">
      <c r="B78" s="31" t="s">
        <v>208</v>
      </c>
      <c r="F78" s="45">
        <v>44484</v>
      </c>
      <c r="I78" s="31">
        <v>9793</v>
      </c>
      <c r="K78" s="46">
        <v>0.87709999999999999</v>
      </c>
      <c r="M78" s="37">
        <f t="shared" si="1"/>
        <v>8589.4403000000002</v>
      </c>
    </row>
    <row r="79" spans="2:13" x14ac:dyDescent="0.2">
      <c r="B79" s="31" t="s">
        <v>208</v>
      </c>
      <c r="F79" s="45">
        <v>44485</v>
      </c>
      <c r="I79" s="31">
        <v>11309</v>
      </c>
      <c r="K79" s="46">
        <v>0.87709999999999999</v>
      </c>
      <c r="M79" s="37">
        <f t="shared" si="1"/>
        <v>9919.1239000000005</v>
      </c>
    </row>
    <row r="80" spans="2:13" x14ac:dyDescent="0.2">
      <c r="B80" s="31" t="s">
        <v>208</v>
      </c>
      <c r="F80" s="45">
        <v>44486</v>
      </c>
      <c r="I80" s="31">
        <v>10614</v>
      </c>
      <c r="K80" s="46">
        <v>0.87709999999999999</v>
      </c>
      <c r="M80" s="37">
        <f t="shared" si="1"/>
        <v>9309.5393999999997</v>
      </c>
    </row>
    <row r="81" spans="2:17" x14ac:dyDescent="0.2">
      <c r="B81" s="31" t="s">
        <v>208</v>
      </c>
      <c r="F81" s="45">
        <v>44487</v>
      </c>
      <c r="I81" s="31">
        <v>9381</v>
      </c>
      <c r="K81" s="46">
        <v>0.87709999999999999</v>
      </c>
      <c r="M81" s="37">
        <f t="shared" si="1"/>
        <v>8228.0751</v>
      </c>
    </row>
    <row r="82" spans="2:17" x14ac:dyDescent="0.2">
      <c r="B82" s="31" t="s">
        <v>208</v>
      </c>
      <c r="F82" s="45">
        <v>44488</v>
      </c>
      <c r="I82" s="31">
        <v>9147</v>
      </c>
      <c r="K82" s="46">
        <v>0.87709999999999999</v>
      </c>
      <c r="M82" s="37">
        <f t="shared" si="1"/>
        <v>8022.8337000000001</v>
      </c>
    </row>
    <row r="83" spans="2:17" x14ac:dyDescent="0.2">
      <c r="B83" s="31" t="s">
        <v>208</v>
      </c>
      <c r="F83" s="45">
        <v>44489</v>
      </c>
      <c r="I83" s="31">
        <v>9594</v>
      </c>
      <c r="K83" s="46">
        <v>0.87709999999999999</v>
      </c>
      <c r="M83" s="37">
        <f t="shared" si="1"/>
        <v>8414.8973999999998</v>
      </c>
    </row>
    <row r="84" spans="2:17" x14ac:dyDescent="0.2">
      <c r="B84" s="31" t="s">
        <v>208</v>
      </c>
      <c r="F84" s="45">
        <v>44490</v>
      </c>
      <c r="I84" s="31">
        <v>8402</v>
      </c>
      <c r="K84" s="46">
        <v>0.87709999999999999</v>
      </c>
      <c r="M84" s="37">
        <f t="shared" si="1"/>
        <v>7369.3941999999997</v>
      </c>
    </row>
    <row r="85" spans="2:17" x14ac:dyDescent="0.2">
      <c r="B85" s="31" t="s">
        <v>208</v>
      </c>
      <c r="F85" s="45">
        <v>44491</v>
      </c>
      <c r="I85" s="31">
        <v>8921</v>
      </c>
      <c r="K85" s="46">
        <v>0.87709999999999999</v>
      </c>
      <c r="M85" s="37">
        <f t="shared" si="1"/>
        <v>7824.6090999999997</v>
      </c>
    </row>
    <row r="86" spans="2:17" x14ac:dyDescent="0.2">
      <c r="B86" s="31" t="s">
        <v>208</v>
      </c>
      <c r="F86" s="45">
        <v>44492</v>
      </c>
      <c r="I86" s="31">
        <v>8630</v>
      </c>
      <c r="K86" s="46">
        <v>0.87709999999999999</v>
      </c>
      <c r="M86" s="37">
        <f t="shared" si="1"/>
        <v>7569.3729999999996</v>
      </c>
    </row>
    <row r="87" spans="2:17" x14ac:dyDescent="0.2">
      <c r="B87" s="31" t="s">
        <v>208</v>
      </c>
      <c r="F87" s="45">
        <v>44493</v>
      </c>
      <c r="I87" s="31">
        <v>7991</v>
      </c>
      <c r="K87" s="46">
        <v>0.87709999999999999</v>
      </c>
      <c r="M87" s="37">
        <f t="shared" si="1"/>
        <v>7008.9061000000002</v>
      </c>
    </row>
    <row r="88" spans="2:17" x14ac:dyDescent="0.2">
      <c r="B88" s="31" t="s">
        <v>208</v>
      </c>
      <c r="F88" s="45">
        <v>44494</v>
      </c>
      <c r="I88" s="31">
        <v>8441</v>
      </c>
      <c r="K88" s="46">
        <v>0.87709999999999999</v>
      </c>
      <c r="M88" s="37">
        <f t="shared" si="1"/>
        <v>7403.6010999999999</v>
      </c>
    </row>
    <row r="89" spans="2:17" x14ac:dyDescent="0.2">
      <c r="B89" s="31" t="s">
        <v>208</v>
      </c>
      <c r="F89" s="45">
        <v>44495</v>
      </c>
      <c r="I89" s="31">
        <v>9831</v>
      </c>
      <c r="K89" s="46">
        <v>0.87709999999999999</v>
      </c>
      <c r="M89" s="37">
        <f t="shared" si="1"/>
        <v>8622.7700999999997</v>
      </c>
    </row>
    <row r="90" spans="2:17" x14ac:dyDescent="0.2">
      <c r="B90" s="31" t="s">
        <v>208</v>
      </c>
      <c r="F90" s="45">
        <v>44496</v>
      </c>
      <c r="I90" s="31">
        <v>3756</v>
      </c>
      <c r="K90" s="46">
        <v>0.87709999999999999</v>
      </c>
      <c r="M90" s="37">
        <f t="shared" si="1"/>
        <v>3294.3876</v>
      </c>
    </row>
    <row r="91" spans="2:17" x14ac:dyDescent="0.2">
      <c r="B91" s="31" t="s">
        <v>208</v>
      </c>
      <c r="F91" s="45">
        <v>44496</v>
      </c>
      <c r="I91" s="31">
        <v>6964</v>
      </c>
      <c r="K91" s="46">
        <v>0.85029999999999994</v>
      </c>
      <c r="M91" s="37">
        <f t="shared" si="1"/>
        <v>5921.4892</v>
      </c>
    </row>
    <row r="92" spans="2:17" x14ac:dyDescent="0.2">
      <c r="B92" s="31" t="s">
        <v>208</v>
      </c>
      <c r="F92" s="45">
        <v>44497</v>
      </c>
      <c r="I92" s="31">
        <v>10211</v>
      </c>
      <c r="K92" s="46">
        <v>0.85029999999999994</v>
      </c>
      <c r="M92" s="37">
        <f t="shared" si="1"/>
        <v>8682.4133000000002</v>
      </c>
    </row>
    <row r="93" spans="2:17" x14ac:dyDescent="0.2">
      <c r="B93" s="31" t="s">
        <v>208</v>
      </c>
      <c r="F93" s="45">
        <v>44498</v>
      </c>
      <c r="I93" s="31">
        <v>10570</v>
      </c>
      <c r="K93" s="46">
        <v>0.85029999999999994</v>
      </c>
      <c r="M93" s="37">
        <f t="shared" si="1"/>
        <v>8987.6710000000003</v>
      </c>
    </row>
    <row r="94" spans="2:17" x14ac:dyDescent="0.2">
      <c r="B94" s="31" t="s">
        <v>208</v>
      </c>
      <c r="F94" s="45">
        <v>44499</v>
      </c>
      <c r="I94" s="31">
        <v>7803</v>
      </c>
      <c r="K94" s="46">
        <v>0.85029999999999994</v>
      </c>
      <c r="M94" s="37">
        <f t="shared" si="1"/>
        <v>6634.8908999999994</v>
      </c>
    </row>
    <row r="95" spans="2:17" x14ac:dyDescent="0.2">
      <c r="B95" s="31" t="s">
        <v>208</v>
      </c>
      <c r="F95" s="45">
        <v>44500</v>
      </c>
      <c r="I95" s="31">
        <v>9690</v>
      </c>
      <c r="K95" s="46">
        <v>0.85029999999999994</v>
      </c>
      <c r="M95" s="37">
        <f t="shared" si="1"/>
        <v>8239.4069999999992</v>
      </c>
    </row>
    <row r="96" spans="2:17" x14ac:dyDescent="0.2">
      <c r="O96" s="47">
        <f>SUMPRODUCT(I62:I95,K62:K95)/SUMPRODUCT(I62:I95)</f>
        <v>0.86170863222871985</v>
      </c>
      <c r="Q96" s="2" t="s">
        <v>202</v>
      </c>
    </row>
    <row r="98" spans="2:13" s="8" customFormat="1" x14ac:dyDescent="0.2">
      <c r="B98" s="8" t="s">
        <v>125</v>
      </c>
    </row>
    <row r="100" spans="2:13" x14ac:dyDescent="0.2">
      <c r="B100" s="1" t="s">
        <v>121</v>
      </c>
    </row>
    <row r="101" spans="2:13" x14ac:dyDescent="0.2">
      <c r="B101" s="31" t="s">
        <v>208</v>
      </c>
      <c r="F101" s="45">
        <v>44501</v>
      </c>
      <c r="I101" s="31">
        <v>8408</v>
      </c>
      <c r="K101" s="46">
        <v>0.85029999999999994</v>
      </c>
      <c r="M101" s="37">
        <f>I101*K101</f>
        <v>7149.3223999999991</v>
      </c>
    </row>
    <row r="102" spans="2:13" x14ac:dyDescent="0.2">
      <c r="B102" s="31" t="s">
        <v>208</v>
      </c>
      <c r="F102" s="45">
        <v>44502</v>
      </c>
      <c r="I102" s="31">
        <v>9815</v>
      </c>
      <c r="K102" s="46">
        <v>0.85029999999999994</v>
      </c>
      <c r="M102" s="37">
        <f t="shared" ref="M102:M132" si="2">I102*K102</f>
        <v>8345.6944999999996</v>
      </c>
    </row>
    <row r="103" spans="2:13" x14ac:dyDescent="0.2">
      <c r="B103" s="31" t="s">
        <v>208</v>
      </c>
      <c r="F103" s="45">
        <v>44503</v>
      </c>
      <c r="I103" s="31">
        <v>8176</v>
      </c>
      <c r="K103" s="46">
        <v>0.85029999999999994</v>
      </c>
      <c r="M103" s="37">
        <f t="shared" si="2"/>
        <v>6952.0527999999995</v>
      </c>
    </row>
    <row r="104" spans="2:13" x14ac:dyDescent="0.2">
      <c r="B104" s="31" t="s">
        <v>208</v>
      </c>
      <c r="F104" s="45">
        <v>44504</v>
      </c>
      <c r="I104" s="31">
        <v>8182</v>
      </c>
      <c r="K104" s="46">
        <v>0.85029999999999994</v>
      </c>
      <c r="M104" s="37">
        <f t="shared" si="2"/>
        <v>6957.1545999999998</v>
      </c>
    </row>
    <row r="105" spans="2:13" x14ac:dyDescent="0.2">
      <c r="B105" s="31" t="s">
        <v>208</v>
      </c>
      <c r="F105" s="45">
        <v>44505</v>
      </c>
      <c r="I105" s="31">
        <v>9716</v>
      </c>
      <c r="K105" s="46">
        <v>0.85029999999999994</v>
      </c>
      <c r="M105" s="37">
        <f t="shared" si="2"/>
        <v>8261.514799999999</v>
      </c>
    </row>
    <row r="106" spans="2:13" x14ac:dyDescent="0.2">
      <c r="B106" s="31" t="s">
        <v>208</v>
      </c>
      <c r="F106" s="45">
        <v>44506</v>
      </c>
      <c r="I106" s="31">
        <v>8036</v>
      </c>
      <c r="K106" s="46">
        <v>0.85029999999999994</v>
      </c>
      <c r="M106" s="37">
        <f t="shared" si="2"/>
        <v>6833.0107999999991</v>
      </c>
    </row>
    <row r="107" spans="2:13" x14ac:dyDescent="0.2">
      <c r="B107" s="31" t="s">
        <v>208</v>
      </c>
      <c r="F107" s="45">
        <v>44507</v>
      </c>
      <c r="I107" s="31">
        <v>8658</v>
      </c>
      <c r="K107" s="46">
        <v>0.85029999999999994</v>
      </c>
      <c r="M107" s="37">
        <f t="shared" si="2"/>
        <v>7361.8973999999998</v>
      </c>
    </row>
    <row r="108" spans="2:13" x14ac:dyDescent="0.2">
      <c r="B108" s="31" t="s">
        <v>208</v>
      </c>
      <c r="F108" s="45">
        <v>44508</v>
      </c>
      <c r="I108" s="31">
        <v>5469</v>
      </c>
      <c r="K108" s="46">
        <v>0.85029999999999994</v>
      </c>
      <c r="M108" s="37">
        <f t="shared" si="2"/>
        <v>4650.2906999999996</v>
      </c>
    </row>
    <row r="109" spans="2:13" x14ac:dyDescent="0.2">
      <c r="B109" s="31" t="s">
        <v>208</v>
      </c>
      <c r="F109" s="45">
        <v>44509</v>
      </c>
      <c r="I109" s="31">
        <v>9879</v>
      </c>
      <c r="K109" s="46">
        <v>0.85029999999999994</v>
      </c>
      <c r="M109" s="37">
        <f t="shared" si="2"/>
        <v>8400.1136999999999</v>
      </c>
    </row>
    <row r="110" spans="2:13" x14ac:dyDescent="0.2">
      <c r="B110" s="31" t="s">
        <v>208</v>
      </c>
      <c r="F110" s="45">
        <v>44510</v>
      </c>
      <c r="I110" s="31">
        <v>10673</v>
      </c>
      <c r="K110" s="46">
        <v>0.85029999999999994</v>
      </c>
      <c r="M110" s="37">
        <f t="shared" si="2"/>
        <v>9075.2518999999993</v>
      </c>
    </row>
    <row r="111" spans="2:13" x14ac:dyDescent="0.2">
      <c r="B111" s="31" t="s">
        <v>208</v>
      </c>
      <c r="F111" s="45">
        <v>44511</v>
      </c>
      <c r="I111" s="31">
        <v>10280</v>
      </c>
      <c r="K111" s="46">
        <v>0.85029999999999994</v>
      </c>
      <c r="M111" s="37">
        <f t="shared" si="2"/>
        <v>8741.0839999999989</v>
      </c>
    </row>
    <row r="112" spans="2:13" x14ac:dyDescent="0.2">
      <c r="B112" s="31" t="s">
        <v>208</v>
      </c>
      <c r="F112" s="45">
        <v>44512</v>
      </c>
      <c r="I112" s="31">
        <v>8850</v>
      </c>
      <c r="K112" s="46">
        <v>0.85029999999999994</v>
      </c>
      <c r="M112" s="37">
        <f t="shared" si="2"/>
        <v>7525.1549999999997</v>
      </c>
    </row>
    <row r="113" spans="2:13" x14ac:dyDescent="0.2">
      <c r="B113" s="31" t="s">
        <v>208</v>
      </c>
      <c r="F113" s="45">
        <v>44513</v>
      </c>
      <c r="I113" s="31">
        <v>8757</v>
      </c>
      <c r="K113" s="46">
        <v>0.85029999999999994</v>
      </c>
      <c r="M113" s="37">
        <f t="shared" si="2"/>
        <v>7446.0770999999995</v>
      </c>
    </row>
    <row r="114" spans="2:13" x14ac:dyDescent="0.2">
      <c r="B114" s="31" t="s">
        <v>208</v>
      </c>
      <c r="F114" s="45">
        <v>44514</v>
      </c>
      <c r="I114" s="31">
        <v>8140</v>
      </c>
      <c r="K114" s="46">
        <v>0.85029999999999994</v>
      </c>
      <c r="M114" s="37">
        <f t="shared" si="2"/>
        <v>6921.4419999999991</v>
      </c>
    </row>
    <row r="115" spans="2:13" x14ac:dyDescent="0.2">
      <c r="B115" s="31" t="s">
        <v>208</v>
      </c>
      <c r="F115" s="45">
        <v>44515</v>
      </c>
      <c r="I115" s="31">
        <v>2068</v>
      </c>
      <c r="K115" s="46">
        <v>0.85029999999999994</v>
      </c>
      <c r="M115" s="37">
        <f t="shared" si="2"/>
        <v>1758.4204</v>
      </c>
    </row>
    <row r="116" spans="2:13" x14ac:dyDescent="0.2">
      <c r="B116" s="31" t="s">
        <v>208</v>
      </c>
      <c r="F116" s="45">
        <v>44515</v>
      </c>
      <c r="I116" s="31">
        <v>5883</v>
      </c>
      <c r="K116" s="46">
        <v>0.83679999999999999</v>
      </c>
      <c r="M116" s="37">
        <f t="shared" si="2"/>
        <v>4922.8944000000001</v>
      </c>
    </row>
    <row r="117" spans="2:13" x14ac:dyDescent="0.2">
      <c r="B117" s="31" t="s">
        <v>208</v>
      </c>
      <c r="F117" s="45">
        <v>44516</v>
      </c>
      <c r="I117" s="31">
        <v>7856</v>
      </c>
      <c r="K117" s="46">
        <v>0.83679999999999999</v>
      </c>
      <c r="M117" s="37">
        <f t="shared" si="2"/>
        <v>6573.9008000000003</v>
      </c>
    </row>
    <row r="118" spans="2:13" x14ac:dyDescent="0.2">
      <c r="B118" s="31" t="s">
        <v>208</v>
      </c>
      <c r="F118" s="45">
        <v>44517</v>
      </c>
      <c r="I118" s="31">
        <v>7953</v>
      </c>
      <c r="K118" s="46">
        <v>0.83679999999999999</v>
      </c>
      <c r="M118" s="37">
        <f t="shared" si="2"/>
        <v>6655.0703999999996</v>
      </c>
    </row>
    <row r="119" spans="2:13" x14ac:dyDescent="0.2">
      <c r="B119" s="31" t="s">
        <v>208</v>
      </c>
      <c r="F119" s="45">
        <v>44518</v>
      </c>
      <c r="I119" s="31">
        <v>9026</v>
      </c>
      <c r="K119" s="46">
        <v>0.83679999999999999</v>
      </c>
      <c r="M119" s="37">
        <f t="shared" si="2"/>
        <v>7552.9567999999999</v>
      </c>
    </row>
    <row r="120" spans="2:13" x14ac:dyDescent="0.2">
      <c r="B120" s="31" t="s">
        <v>208</v>
      </c>
      <c r="F120" s="45">
        <v>44519</v>
      </c>
      <c r="I120" s="31">
        <v>8145</v>
      </c>
      <c r="K120" s="46">
        <v>0.81540000000000001</v>
      </c>
      <c r="M120" s="37">
        <f t="shared" si="2"/>
        <v>6641.433</v>
      </c>
    </row>
    <row r="121" spans="2:13" x14ac:dyDescent="0.2">
      <c r="B121" s="31" t="s">
        <v>208</v>
      </c>
      <c r="F121" s="45">
        <v>44520</v>
      </c>
      <c r="I121" s="31">
        <v>7491</v>
      </c>
      <c r="K121" s="46">
        <v>0.81540000000000001</v>
      </c>
      <c r="M121" s="37">
        <f t="shared" si="2"/>
        <v>6108.1614</v>
      </c>
    </row>
    <row r="122" spans="2:13" x14ac:dyDescent="0.2">
      <c r="B122" s="31" t="s">
        <v>208</v>
      </c>
      <c r="F122" s="45">
        <v>44521</v>
      </c>
      <c r="I122" s="31">
        <v>7097</v>
      </c>
      <c r="K122" s="46">
        <v>0.81540000000000001</v>
      </c>
      <c r="M122" s="37">
        <f t="shared" si="2"/>
        <v>5786.8937999999998</v>
      </c>
    </row>
    <row r="123" spans="2:13" x14ac:dyDescent="0.2">
      <c r="B123" s="31" t="s">
        <v>208</v>
      </c>
      <c r="F123" s="45">
        <v>44522</v>
      </c>
      <c r="I123" s="31">
        <v>8597</v>
      </c>
      <c r="K123" s="46">
        <v>0.81540000000000001</v>
      </c>
      <c r="M123" s="37">
        <f t="shared" si="2"/>
        <v>7009.9938000000002</v>
      </c>
    </row>
    <row r="124" spans="2:13" x14ac:dyDescent="0.2">
      <c r="B124" s="31" t="s">
        <v>208</v>
      </c>
      <c r="F124" s="45">
        <v>44523</v>
      </c>
      <c r="I124" s="31">
        <v>7823</v>
      </c>
      <c r="K124" s="46">
        <v>0.81540000000000001</v>
      </c>
      <c r="M124" s="37">
        <f t="shared" si="2"/>
        <v>6378.8742000000002</v>
      </c>
    </row>
    <row r="125" spans="2:13" x14ac:dyDescent="0.2">
      <c r="B125" s="31" t="s">
        <v>208</v>
      </c>
      <c r="F125" s="45">
        <v>44524</v>
      </c>
      <c r="I125" s="31">
        <v>5838</v>
      </c>
      <c r="K125" s="46">
        <v>0.81540000000000001</v>
      </c>
      <c r="M125" s="37">
        <f t="shared" si="2"/>
        <v>4760.3051999999998</v>
      </c>
    </row>
    <row r="126" spans="2:13" x14ac:dyDescent="0.2">
      <c r="B126" s="31" t="s">
        <v>208</v>
      </c>
      <c r="F126" s="45">
        <v>44524</v>
      </c>
      <c r="I126" s="31">
        <v>3650</v>
      </c>
      <c r="K126" s="46">
        <v>0.85029999999999994</v>
      </c>
      <c r="M126" s="37">
        <f t="shared" si="2"/>
        <v>3103.5949999999998</v>
      </c>
    </row>
    <row r="127" spans="2:13" x14ac:dyDescent="0.2">
      <c r="B127" s="31" t="s">
        <v>208</v>
      </c>
      <c r="F127" s="45">
        <v>44525</v>
      </c>
      <c r="I127" s="31">
        <v>7149</v>
      </c>
      <c r="K127" s="46">
        <v>0.85029999999999994</v>
      </c>
      <c r="M127" s="37">
        <f t="shared" si="2"/>
        <v>6078.7946999999995</v>
      </c>
    </row>
    <row r="128" spans="2:13" x14ac:dyDescent="0.2">
      <c r="B128" s="31" t="s">
        <v>208</v>
      </c>
      <c r="F128" s="45">
        <v>44526</v>
      </c>
      <c r="I128" s="31">
        <v>10922</v>
      </c>
      <c r="K128" s="46">
        <v>0.85029999999999994</v>
      </c>
      <c r="M128" s="37">
        <f t="shared" si="2"/>
        <v>9286.9766</v>
      </c>
    </row>
    <row r="129" spans="2:17" x14ac:dyDescent="0.2">
      <c r="B129" s="31" t="s">
        <v>208</v>
      </c>
      <c r="F129" s="45">
        <v>44527</v>
      </c>
      <c r="I129" s="31">
        <v>8213</v>
      </c>
      <c r="K129" s="46">
        <v>0.85029999999999994</v>
      </c>
      <c r="M129" s="37">
        <f t="shared" si="2"/>
        <v>6983.5138999999999</v>
      </c>
    </row>
    <row r="130" spans="2:17" x14ac:dyDescent="0.2">
      <c r="B130" s="31" t="s">
        <v>208</v>
      </c>
      <c r="F130" s="45">
        <v>44528</v>
      </c>
      <c r="I130" s="31">
        <v>8384</v>
      </c>
      <c r="K130" s="46">
        <v>0.85029999999999994</v>
      </c>
      <c r="M130" s="37">
        <f t="shared" si="2"/>
        <v>7128.9151999999995</v>
      </c>
    </row>
    <row r="131" spans="2:17" x14ac:dyDescent="0.2">
      <c r="B131" s="31" t="s">
        <v>208</v>
      </c>
      <c r="F131" s="45">
        <v>44529</v>
      </c>
      <c r="I131" s="31">
        <v>7867</v>
      </c>
      <c r="K131" s="46">
        <v>0.85029999999999994</v>
      </c>
      <c r="M131" s="37">
        <f t="shared" si="2"/>
        <v>6689.3100999999997</v>
      </c>
    </row>
    <row r="132" spans="2:17" x14ac:dyDescent="0.2">
      <c r="B132" s="31" t="s">
        <v>208</v>
      </c>
      <c r="F132" s="45">
        <v>44530</v>
      </c>
      <c r="I132" s="31">
        <v>8859</v>
      </c>
      <c r="K132" s="46">
        <v>0.85029999999999994</v>
      </c>
      <c r="M132" s="37">
        <f t="shared" si="2"/>
        <v>7532.8076999999994</v>
      </c>
    </row>
    <row r="133" spans="2:17" x14ac:dyDescent="0.2">
      <c r="O133" s="47">
        <f>SUMPRODUCT(I101:I132,K101:K132)/SUMPRODUCT(I101:I132)</f>
        <v>0.84254232431798626</v>
      </c>
      <c r="Q133" s="2" t="s">
        <v>203</v>
      </c>
    </row>
    <row r="135" spans="2:17" s="8" customFormat="1" x14ac:dyDescent="0.2">
      <c r="B135" s="8" t="s">
        <v>126</v>
      </c>
    </row>
    <row r="137" spans="2:17" x14ac:dyDescent="0.2">
      <c r="B137" s="1" t="s">
        <v>121</v>
      </c>
    </row>
    <row r="138" spans="2:17" x14ac:dyDescent="0.2">
      <c r="B138" s="31" t="s">
        <v>208</v>
      </c>
      <c r="F138" s="45">
        <v>44531</v>
      </c>
      <c r="I138" s="31">
        <v>8087</v>
      </c>
      <c r="K138" s="46">
        <v>0.85029999999999994</v>
      </c>
      <c r="M138" s="37">
        <f>I138*K138</f>
        <v>6876.3760999999995</v>
      </c>
    </row>
    <row r="139" spans="2:17" x14ac:dyDescent="0.2">
      <c r="B139" s="31" t="s">
        <v>208</v>
      </c>
      <c r="F139" s="45">
        <v>44532</v>
      </c>
      <c r="I139" s="31">
        <v>8469</v>
      </c>
      <c r="K139" s="46">
        <v>0.85029999999999994</v>
      </c>
      <c r="M139" s="37">
        <f t="shared" ref="M139:M169" si="3">I139*K139</f>
        <v>7201.1906999999992</v>
      </c>
    </row>
    <row r="140" spans="2:17" x14ac:dyDescent="0.2">
      <c r="B140" s="31" t="s">
        <v>208</v>
      </c>
      <c r="F140" s="45">
        <v>44533</v>
      </c>
      <c r="I140" s="31">
        <v>7964</v>
      </c>
      <c r="K140" s="46">
        <v>0.85029999999999994</v>
      </c>
      <c r="M140" s="37">
        <f t="shared" si="3"/>
        <v>6771.7891999999993</v>
      </c>
    </row>
    <row r="141" spans="2:17" x14ac:dyDescent="0.2">
      <c r="B141" s="31" t="s">
        <v>208</v>
      </c>
      <c r="F141" s="45">
        <v>44534</v>
      </c>
      <c r="I141" s="31">
        <v>7109</v>
      </c>
      <c r="K141" s="46">
        <v>0.85029999999999994</v>
      </c>
      <c r="M141" s="37">
        <f t="shared" si="3"/>
        <v>6044.7826999999997</v>
      </c>
    </row>
    <row r="142" spans="2:17" x14ac:dyDescent="0.2">
      <c r="B142" s="31" t="s">
        <v>208</v>
      </c>
      <c r="F142" s="45">
        <v>44535</v>
      </c>
      <c r="I142" s="31">
        <v>7275</v>
      </c>
      <c r="K142" s="46">
        <v>0.85029999999999994</v>
      </c>
      <c r="M142" s="37">
        <f t="shared" si="3"/>
        <v>6185.9324999999999</v>
      </c>
    </row>
    <row r="143" spans="2:17" x14ac:dyDescent="0.2">
      <c r="B143" s="31" t="s">
        <v>208</v>
      </c>
      <c r="F143" s="45">
        <v>44536</v>
      </c>
      <c r="I143" s="31">
        <v>6253</v>
      </c>
      <c r="K143" s="46">
        <v>0.85029999999999994</v>
      </c>
      <c r="M143" s="37">
        <f t="shared" si="3"/>
        <v>5316.9258999999993</v>
      </c>
    </row>
    <row r="144" spans="2:17" x14ac:dyDescent="0.2">
      <c r="B144" s="31" t="s">
        <v>208</v>
      </c>
      <c r="F144" s="45">
        <v>44537</v>
      </c>
      <c r="I144" s="31">
        <v>9066</v>
      </c>
      <c r="K144" s="46">
        <v>0.85029999999999994</v>
      </c>
      <c r="M144" s="37">
        <f t="shared" si="3"/>
        <v>7708.8197999999993</v>
      </c>
    </row>
    <row r="145" spans="2:13" x14ac:dyDescent="0.2">
      <c r="B145" s="31" t="s">
        <v>208</v>
      </c>
      <c r="F145" s="45">
        <v>44538</v>
      </c>
      <c r="I145" s="31">
        <v>9382</v>
      </c>
      <c r="K145" s="46">
        <v>0.85029999999999994</v>
      </c>
      <c r="M145" s="37">
        <f t="shared" si="3"/>
        <v>7977.5145999999995</v>
      </c>
    </row>
    <row r="146" spans="2:13" x14ac:dyDescent="0.2">
      <c r="B146" s="31" t="s">
        <v>208</v>
      </c>
      <c r="F146" s="45">
        <v>44539</v>
      </c>
      <c r="I146" s="31">
        <v>7522</v>
      </c>
      <c r="K146" s="46">
        <v>0.85029999999999994</v>
      </c>
      <c r="M146" s="37">
        <f t="shared" si="3"/>
        <v>6395.9565999999995</v>
      </c>
    </row>
    <row r="147" spans="2:13" x14ac:dyDescent="0.2">
      <c r="B147" s="31" t="s">
        <v>208</v>
      </c>
      <c r="F147" s="45">
        <v>44540</v>
      </c>
      <c r="I147" s="31">
        <v>9785</v>
      </c>
      <c r="K147" s="46">
        <v>0.85029999999999994</v>
      </c>
      <c r="M147" s="37">
        <f t="shared" si="3"/>
        <v>8320.1854999999996</v>
      </c>
    </row>
    <row r="148" spans="2:13" x14ac:dyDescent="0.2">
      <c r="B148" s="31" t="s">
        <v>208</v>
      </c>
      <c r="F148" s="45">
        <v>44541</v>
      </c>
      <c r="I148" s="31">
        <v>8421</v>
      </c>
      <c r="K148" s="46">
        <v>0.85029999999999994</v>
      </c>
      <c r="M148" s="37">
        <f t="shared" si="3"/>
        <v>7160.3762999999999</v>
      </c>
    </row>
    <row r="149" spans="2:13" x14ac:dyDescent="0.2">
      <c r="B149" s="31" t="s">
        <v>208</v>
      </c>
      <c r="F149" s="45">
        <v>44542</v>
      </c>
      <c r="I149" s="31">
        <v>8175</v>
      </c>
      <c r="K149" s="46">
        <v>0.85029999999999994</v>
      </c>
      <c r="M149" s="37">
        <f t="shared" si="3"/>
        <v>6951.2024999999994</v>
      </c>
    </row>
    <row r="150" spans="2:13" x14ac:dyDescent="0.2">
      <c r="B150" s="31" t="s">
        <v>208</v>
      </c>
      <c r="F150" s="45">
        <v>44543</v>
      </c>
      <c r="I150" s="31">
        <v>6144</v>
      </c>
      <c r="K150" s="46">
        <v>0.85029999999999994</v>
      </c>
      <c r="M150" s="37">
        <f t="shared" si="3"/>
        <v>5224.2431999999999</v>
      </c>
    </row>
    <row r="151" spans="2:13" x14ac:dyDescent="0.2">
      <c r="B151" s="31" t="s">
        <v>208</v>
      </c>
      <c r="F151" s="45">
        <v>44543</v>
      </c>
      <c r="I151" s="31">
        <v>133</v>
      </c>
      <c r="K151" s="46">
        <v>0.78320000000000001</v>
      </c>
      <c r="M151" s="37">
        <f t="shared" si="3"/>
        <v>104.1656</v>
      </c>
    </row>
    <row r="152" spans="2:13" x14ac:dyDescent="0.2">
      <c r="B152" s="31" t="s">
        <v>208</v>
      </c>
      <c r="F152" s="45">
        <v>44544</v>
      </c>
      <c r="I152" s="31">
        <v>9649</v>
      </c>
      <c r="K152" s="46">
        <v>0.78320000000000001</v>
      </c>
      <c r="M152" s="37">
        <f t="shared" si="3"/>
        <v>7557.0968000000003</v>
      </c>
    </row>
    <row r="153" spans="2:13" x14ac:dyDescent="0.2">
      <c r="B153" s="31" t="s">
        <v>208</v>
      </c>
      <c r="F153" s="45">
        <v>44545</v>
      </c>
      <c r="I153" s="31">
        <v>8252</v>
      </c>
      <c r="K153" s="46">
        <v>0.78320000000000001</v>
      </c>
      <c r="M153" s="37">
        <f t="shared" si="3"/>
        <v>6462.9664000000002</v>
      </c>
    </row>
    <row r="154" spans="2:13" x14ac:dyDescent="0.2">
      <c r="B154" s="31" t="s">
        <v>208</v>
      </c>
      <c r="F154" s="45">
        <v>44546</v>
      </c>
      <c r="I154" s="31">
        <v>6416</v>
      </c>
      <c r="K154" s="46">
        <v>0.78320000000000001</v>
      </c>
      <c r="M154" s="37">
        <f t="shared" si="3"/>
        <v>5025.0111999999999</v>
      </c>
    </row>
    <row r="155" spans="2:13" x14ac:dyDescent="0.2">
      <c r="B155" s="31" t="s">
        <v>208</v>
      </c>
      <c r="F155" s="45">
        <v>44547</v>
      </c>
      <c r="I155" s="31">
        <v>8197</v>
      </c>
      <c r="K155" s="46">
        <v>0.78320000000000001</v>
      </c>
      <c r="M155" s="37">
        <f t="shared" si="3"/>
        <v>6419.8904000000002</v>
      </c>
    </row>
    <row r="156" spans="2:13" x14ac:dyDescent="0.2">
      <c r="B156" s="31" t="s">
        <v>208</v>
      </c>
      <c r="F156" s="45">
        <v>44548</v>
      </c>
      <c r="I156" s="31">
        <v>6445</v>
      </c>
      <c r="K156" s="46">
        <v>0.78320000000000001</v>
      </c>
      <c r="M156" s="37">
        <f t="shared" si="3"/>
        <v>5047.7240000000002</v>
      </c>
    </row>
    <row r="157" spans="2:13" x14ac:dyDescent="0.2">
      <c r="B157" s="31" t="s">
        <v>208</v>
      </c>
      <c r="F157" s="45">
        <v>44549</v>
      </c>
      <c r="I157" s="31">
        <v>7778</v>
      </c>
      <c r="K157" s="46">
        <v>0.78320000000000001</v>
      </c>
      <c r="M157" s="37">
        <f t="shared" si="3"/>
        <v>6091.7295999999997</v>
      </c>
    </row>
    <row r="158" spans="2:13" x14ac:dyDescent="0.2">
      <c r="B158" s="31" t="s">
        <v>208</v>
      </c>
      <c r="F158" s="45">
        <v>44550</v>
      </c>
      <c r="I158" s="31">
        <v>6523</v>
      </c>
      <c r="K158" s="46">
        <v>0.78320000000000001</v>
      </c>
      <c r="M158" s="37">
        <f t="shared" si="3"/>
        <v>5108.8136000000004</v>
      </c>
    </row>
    <row r="159" spans="2:13" x14ac:dyDescent="0.2">
      <c r="B159" s="31" t="s">
        <v>208</v>
      </c>
      <c r="F159" s="45">
        <v>44551</v>
      </c>
      <c r="I159" s="31">
        <v>7190</v>
      </c>
      <c r="K159" s="46">
        <v>0.78320000000000001</v>
      </c>
      <c r="M159" s="37">
        <f t="shared" si="3"/>
        <v>5631.2079999999996</v>
      </c>
    </row>
    <row r="160" spans="2:13" x14ac:dyDescent="0.2">
      <c r="B160" s="31" t="s">
        <v>208</v>
      </c>
      <c r="F160" s="45">
        <v>44552</v>
      </c>
      <c r="I160" s="31">
        <v>7782</v>
      </c>
      <c r="K160" s="46">
        <v>0.78320000000000001</v>
      </c>
      <c r="M160" s="37">
        <f t="shared" si="3"/>
        <v>6094.8624</v>
      </c>
    </row>
    <row r="161" spans="2:17" x14ac:dyDescent="0.2">
      <c r="B161" s="31" t="s">
        <v>208</v>
      </c>
      <c r="F161" s="45">
        <v>44553</v>
      </c>
      <c r="I161" s="31">
        <v>7353</v>
      </c>
      <c r="K161" s="46">
        <v>0.78320000000000001</v>
      </c>
      <c r="M161" s="37">
        <f t="shared" si="3"/>
        <v>5758.8696</v>
      </c>
    </row>
    <row r="162" spans="2:17" x14ac:dyDescent="0.2">
      <c r="B162" s="31" t="s">
        <v>208</v>
      </c>
      <c r="F162" s="45">
        <v>44554</v>
      </c>
      <c r="I162" s="31">
        <v>7914</v>
      </c>
      <c r="K162" s="46">
        <v>0.78320000000000001</v>
      </c>
      <c r="M162" s="37">
        <f t="shared" si="3"/>
        <v>6198.2448000000004</v>
      </c>
    </row>
    <row r="163" spans="2:17" x14ac:dyDescent="0.2">
      <c r="B163" s="31" t="s">
        <v>208</v>
      </c>
      <c r="F163" s="45">
        <v>44555</v>
      </c>
      <c r="I163" s="31">
        <v>9037</v>
      </c>
      <c r="K163" s="46">
        <v>0.78320000000000001</v>
      </c>
      <c r="M163" s="37">
        <f t="shared" si="3"/>
        <v>7077.7784000000001</v>
      </c>
    </row>
    <row r="164" spans="2:17" x14ac:dyDescent="0.2">
      <c r="B164" s="31" t="s">
        <v>208</v>
      </c>
      <c r="F164" s="45">
        <v>44556</v>
      </c>
      <c r="I164" s="31">
        <v>3239</v>
      </c>
      <c r="K164" s="46">
        <v>0.78320000000000001</v>
      </c>
      <c r="M164" s="37">
        <f t="shared" si="3"/>
        <v>2536.7847999999999</v>
      </c>
    </row>
    <row r="165" spans="2:17" x14ac:dyDescent="0.2">
      <c r="B165" s="31" t="s">
        <v>208</v>
      </c>
      <c r="F165" s="45">
        <v>44557</v>
      </c>
      <c r="I165" s="31">
        <v>6493</v>
      </c>
      <c r="K165" s="46">
        <v>0.78320000000000001</v>
      </c>
      <c r="M165" s="37">
        <f t="shared" si="3"/>
        <v>5085.3176000000003</v>
      </c>
    </row>
    <row r="166" spans="2:17" x14ac:dyDescent="0.2">
      <c r="B166" s="31" t="s">
        <v>208</v>
      </c>
      <c r="F166" s="45">
        <v>44558</v>
      </c>
      <c r="I166" s="31">
        <v>7641</v>
      </c>
      <c r="K166" s="46">
        <v>0.78320000000000001</v>
      </c>
      <c r="M166" s="37">
        <f t="shared" si="3"/>
        <v>5984.4312</v>
      </c>
    </row>
    <row r="167" spans="2:17" x14ac:dyDescent="0.2">
      <c r="B167" s="31" t="s">
        <v>208</v>
      </c>
      <c r="F167" s="45">
        <v>44559</v>
      </c>
      <c r="I167" s="31">
        <v>10910</v>
      </c>
      <c r="K167" s="46">
        <v>0.78320000000000001</v>
      </c>
      <c r="M167" s="37">
        <f t="shared" si="3"/>
        <v>8544.7119999999995</v>
      </c>
    </row>
    <row r="168" spans="2:17" x14ac:dyDescent="0.2">
      <c r="B168" s="31" t="s">
        <v>208</v>
      </c>
      <c r="F168" s="45">
        <v>44560</v>
      </c>
      <c r="I168" s="31">
        <v>8395</v>
      </c>
      <c r="K168" s="46">
        <v>0.78320000000000001</v>
      </c>
      <c r="M168" s="37">
        <f t="shared" si="3"/>
        <v>6574.9639999999999</v>
      </c>
    </row>
    <row r="169" spans="2:17" x14ac:dyDescent="0.2">
      <c r="B169" s="31" t="s">
        <v>208</v>
      </c>
      <c r="F169" s="45">
        <v>44561</v>
      </c>
      <c r="I169" s="31">
        <v>5798</v>
      </c>
      <c r="K169" s="46">
        <v>0.78320000000000001</v>
      </c>
      <c r="M169" s="37">
        <f t="shared" si="3"/>
        <v>4540.9935999999998</v>
      </c>
    </row>
    <row r="170" spans="2:17" x14ac:dyDescent="0.2">
      <c r="O170" s="47">
        <f>SUMPRODUCT(I138:I169,K138:K169)/SUMPRODUCT(I138:I169)</f>
        <v>0.81232536254643073</v>
      </c>
      <c r="Q170" s="2" t="s">
        <v>204</v>
      </c>
    </row>
    <row r="172" spans="2:17" s="8" customFormat="1" x14ac:dyDescent="0.2">
      <c r="B172" s="8" t="s">
        <v>128</v>
      </c>
    </row>
    <row r="174" spans="2:17" x14ac:dyDescent="0.2">
      <c r="B174" s="1" t="s">
        <v>121</v>
      </c>
    </row>
    <row r="175" spans="2:17" x14ac:dyDescent="0.2">
      <c r="B175" s="31" t="s">
        <v>208</v>
      </c>
      <c r="F175" s="45">
        <v>44562</v>
      </c>
      <c r="I175" s="31">
        <v>6945</v>
      </c>
      <c r="K175" s="46">
        <v>0.78320000000000001</v>
      </c>
      <c r="M175" s="37">
        <f>I175*K175</f>
        <v>5439.3239999999996</v>
      </c>
    </row>
    <row r="176" spans="2:17" x14ac:dyDescent="0.2">
      <c r="B176" s="31" t="s">
        <v>208</v>
      </c>
      <c r="F176" s="45">
        <v>44563</v>
      </c>
      <c r="I176" s="31">
        <v>7108</v>
      </c>
      <c r="K176" s="46">
        <v>0.78320000000000001</v>
      </c>
      <c r="M176" s="37">
        <f t="shared" ref="M176:M208" si="4">I176*K176</f>
        <v>5566.9856</v>
      </c>
    </row>
    <row r="177" spans="2:13" x14ac:dyDescent="0.2">
      <c r="B177" s="31" t="s">
        <v>208</v>
      </c>
      <c r="F177" s="45">
        <v>44564</v>
      </c>
      <c r="I177" s="31">
        <v>2222</v>
      </c>
      <c r="K177" s="46">
        <v>0.78320000000000001</v>
      </c>
      <c r="M177" s="37">
        <f t="shared" si="4"/>
        <v>1740.2704000000001</v>
      </c>
    </row>
    <row r="178" spans="2:13" x14ac:dyDescent="0.2">
      <c r="B178" s="31" t="s">
        <v>208</v>
      </c>
      <c r="F178" s="45">
        <v>44564</v>
      </c>
      <c r="I178" s="31">
        <v>4888</v>
      </c>
      <c r="K178" s="46">
        <v>0.82340000000000002</v>
      </c>
      <c r="M178" s="37">
        <f t="shared" si="4"/>
        <v>4024.7791999999999</v>
      </c>
    </row>
    <row r="179" spans="2:13" x14ac:dyDescent="0.2">
      <c r="B179" s="31" t="s">
        <v>208</v>
      </c>
      <c r="F179" s="45">
        <v>44565</v>
      </c>
      <c r="I179" s="31">
        <v>7446</v>
      </c>
      <c r="K179" s="46">
        <v>0.82340000000000002</v>
      </c>
      <c r="M179" s="37">
        <f t="shared" si="4"/>
        <v>6131.0364</v>
      </c>
    </row>
    <row r="180" spans="2:13" x14ac:dyDescent="0.2">
      <c r="B180" s="31" t="s">
        <v>208</v>
      </c>
      <c r="F180" s="45">
        <v>44566</v>
      </c>
      <c r="I180" s="31">
        <v>6964</v>
      </c>
      <c r="K180" s="46">
        <v>0.82340000000000002</v>
      </c>
      <c r="M180" s="37">
        <f t="shared" si="4"/>
        <v>5734.1576000000005</v>
      </c>
    </row>
    <row r="181" spans="2:13" x14ac:dyDescent="0.2">
      <c r="B181" s="31" t="s">
        <v>208</v>
      </c>
      <c r="F181" s="45">
        <v>44567</v>
      </c>
      <c r="I181" s="31">
        <v>7444</v>
      </c>
      <c r="K181" s="46">
        <v>0.82340000000000002</v>
      </c>
      <c r="M181" s="37">
        <f t="shared" si="4"/>
        <v>6129.3896000000004</v>
      </c>
    </row>
    <row r="182" spans="2:13" x14ac:dyDescent="0.2">
      <c r="B182" s="31" t="s">
        <v>208</v>
      </c>
      <c r="F182" s="45">
        <v>44568</v>
      </c>
      <c r="I182" s="31">
        <v>7297</v>
      </c>
      <c r="K182" s="46">
        <v>0.82340000000000002</v>
      </c>
      <c r="M182" s="37">
        <f t="shared" si="4"/>
        <v>6008.3498</v>
      </c>
    </row>
    <row r="183" spans="2:13" x14ac:dyDescent="0.2">
      <c r="B183" s="31" t="s">
        <v>208</v>
      </c>
      <c r="F183" s="45">
        <v>44569</v>
      </c>
      <c r="I183" s="31">
        <v>7872</v>
      </c>
      <c r="K183" s="46">
        <v>0.82340000000000002</v>
      </c>
      <c r="M183" s="37">
        <f t="shared" si="4"/>
        <v>6481.8047999999999</v>
      </c>
    </row>
    <row r="184" spans="2:13" x14ac:dyDescent="0.2">
      <c r="B184" s="31" t="s">
        <v>208</v>
      </c>
      <c r="F184" s="45">
        <v>44570</v>
      </c>
      <c r="I184" s="31">
        <v>7267</v>
      </c>
      <c r="K184" s="46">
        <v>0.82340000000000002</v>
      </c>
      <c r="M184" s="37">
        <f t="shared" si="4"/>
        <v>5983.6477999999997</v>
      </c>
    </row>
    <row r="185" spans="2:13" x14ac:dyDescent="0.2">
      <c r="B185" s="31" t="s">
        <v>208</v>
      </c>
      <c r="F185" s="45">
        <v>44571</v>
      </c>
      <c r="I185" s="31">
        <v>5991</v>
      </c>
      <c r="K185" s="46">
        <v>0.82340000000000002</v>
      </c>
      <c r="M185" s="37">
        <f t="shared" si="4"/>
        <v>4932.9894000000004</v>
      </c>
    </row>
    <row r="186" spans="2:13" x14ac:dyDescent="0.2">
      <c r="B186" s="31" t="s">
        <v>208</v>
      </c>
      <c r="F186" s="45">
        <v>44572</v>
      </c>
      <c r="I186" s="31">
        <v>5885</v>
      </c>
      <c r="K186" s="46">
        <v>0.82340000000000002</v>
      </c>
      <c r="M186" s="37">
        <f t="shared" si="4"/>
        <v>4845.7089999999998</v>
      </c>
    </row>
    <row r="187" spans="2:13" x14ac:dyDescent="0.2">
      <c r="B187" s="31" t="s">
        <v>208</v>
      </c>
      <c r="F187" s="45">
        <v>44573</v>
      </c>
      <c r="I187" s="31">
        <v>6230</v>
      </c>
      <c r="K187" s="46">
        <v>0.82340000000000002</v>
      </c>
      <c r="M187" s="37">
        <f t="shared" si="4"/>
        <v>5129.7820000000002</v>
      </c>
    </row>
    <row r="188" spans="2:13" x14ac:dyDescent="0.2">
      <c r="B188" s="31" t="s">
        <v>208</v>
      </c>
      <c r="F188" s="45">
        <v>44574</v>
      </c>
      <c r="I188" s="31">
        <v>7534</v>
      </c>
      <c r="K188" s="46">
        <v>0.82340000000000002</v>
      </c>
      <c r="M188" s="37">
        <f t="shared" si="4"/>
        <v>6203.4956000000002</v>
      </c>
    </row>
    <row r="189" spans="2:13" x14ac:dyDescent="0.2">
      <c r="B189" s="31" t="s">
        <v>208</v>
      </c>
      <c r="F189" s="45">
        <v>44575</v>
      </c>
      <c r="I189" s="31">
        <v>7013</v>
      </c>
      <c r="K189" s="46">
        <v>0.82340000000000002</v>
      </c>
      <c r="M189" s="37">
        <f t="shared" si="4"/>
        <v>5774.5042000000003</v>
      </c>
    </row>
    <row r="190" spans="2:13" x14ac:dyDescent="0.2">
      <c r="B190" s="31" t="s">
        <v>208</v>
      </c>
      <c r="F190" s="45">
        <v>44576</v>
      </c>
      <c r="I190" s="31">
        <v>6263</v>
      </c>
      <c r="K190" s="46">
        <v>0.82340000000000002</v>
      </c>
      <c r="M190" s="37">
        <f t="shared" si="4"/>
        <v>5156.9542000000001</v>
      </c>
    </row>
    <row r="191" spans="2:13" x14ac:dyDescent="0.2">
      <c r="B191" s="31" t="s">
        <v>208</v>
      </c>
      <c r="F191" s="45">
        <v>44577</v>
      </c>
      <c r="I191" s="31">
        <v>6543</v>
      </c>
      <c r="K191" s="46">
        <v>0.82340000000000002</v>
      </c>
      <c r="M191" s="37">
        <f t="shared" si="4"/>
        <v>5387.5061999999998</v>
      </c>
    </row>
    <row r="192" spans="2:13" x14ac:dyDescent="0.2">
      <c r="B192" s="31" t="s">
        <v>208</v>
      </c>
      <c r="F192" s="45">
        <v>44577</v>
      </c>
      <c r="I192" s="31">
        <v>231</v>
      </c>
      <c r="K192" s="46">
        <v>0.85029999999999994</v>
      </c>
      <c r="M192" s="37">
        <f t="shared" si="4"/>
        <v>196.41929999999999</v>
      </c>
    </row>
    <row r="193" spans="2:13" x14ac:dyDescent="0.2">
      <c r="B193" s="31" t="s">
        <v>208</v>
      </c>
      <c r="F193" s="45">
        <v>44578</v>
      </c>
      <c r="I193" s="31">
        <v>6768</v>
      </c>
      <c r="K193" s="46">
        <v>0.85029999999999994</v>
      </c>
      <c r="M193" s="37">
        <f t="shared" si="4"/>
        <v>5754.8303999999998</v>
      </c>
    </row>
    <row r="194" spans="2:13" x14ac:dyDescent="0.2">
      <c r="B194" s="31" t="s">
        <v>208</v>
      </c>
      <c r="F194" s="45">
        <v>44579</v>
      </c>
      <c r="I194" s="31">
        <v>6403</v>
      </c>
      <c r="K194" s="46">
        <v>0.85029999999999994</v>
      </c>
      <c r="M194" s="37">
        <f t="shared" si="4"/>
        <v>5444.4708999999993</v>
      </c>
    </row>
    <row r="195" spans="2:13" x14ac:dyDescent="0.2">
      <c r="B195" s="31" t="s">
        <v>208</v>
      </c>
      <c r="F195" s="45">
        <v>44580</v>
      </c>
      <c r="I195" s="31">
        <v>7098</v>
      </c>
      <c r="K195" s="46">
        <v>0.85029999999999994</v>
      </c>
      <c r="M195" s="37">
        <f t="shared" si="4"/>
        <v>6035.4294</v>
      </c>
    </row>
    <row r="196" spans="2:13" x14ac:dyDescent="0.2">
      <c r="B196" s="31" t="s">
        <v>208</v>
      </c>
      <c r="F196" s="45">
        <v>44581</v>
      </c>
      <c r="I196" s="31">
        <v>8071</v>
      </c>
      <c r="K196" s="46">
        <v>0.85029999999999994</v>
      </c>
      <c r="M196" s="37">
        <f t="shared" si="4"/>
        <v>6862.7712999999994</v>
      </c>
    </row>
    <row r="197" spans="2:13" x14ac:dyDescent="0.2">
      <c r="B197" s="31" t="s">
        <v>208</v>
      </c>
      <c r="F197" s="45">
        <v>44582</v>
      </c>
      <c r="I197" s="31">
        <v>6606</v>
      </c>
      <c r="K197" s="46">
        <v>0.85029999999999994</v>
      </c>
      <c r="M197" s="37">
        <f t="shared" si="4"/>
        <v>5617.0817999999999</v>
      </c>
    </row>
    <row r="198" spans="2:13" x14ac:dyDescent="0.2">
      <c r="B198" s="31" t="s">
        <v>208</v>
      </c>
      <c r="F198" s="45">
        <v>44583</v>
      </c>
      <c r="I198" s="31">
        <v>6484</v>
      </c>
      <c r="K198" s="46">
        <v>0.85029999999999994</v>
      </c>
      <c r="M198" s="37">
        <f t="shared" si="4"/>
        <v>5513.3451999999997</v>
      </c>
    </row>
    <row r="199" spans="2:13" x14ac:dyDescent="0.2">
      <c r="B199" s="31" t="s">
        <v>208</v>
      </c>
      <c r="F199" s="45">
        <v>44584</v>
      </c>
      <c r="I199" s="31">
        <v>6437</v>
      </c>
      <c r="K199" s="46">
        <v>0.85029999999999994</v>
      </c>
      <c r="M199" s="37">
        <f t="shared" si="4"/>
        <v>5473.3810999999996</v>
      </c>
    </row>
    <row r="200" spans="2:13" x14ac:dyDescent="0.2">
      <c r="B200" s="31" t="s">
        <v>208</v>
      </c>
      <c r="F200" s="45">
        <v>44585</v>
      </c>
      <c r="I200" s="31">
        <v>6370</v>
      </c>
      <c r="K200" s="46">
        <v>0.85029999999999994</v>
      </c>
      <c r="M200" s="37">
        <f t="shared" si="4"/>
        <v>5416.4110000000001</v>
      </c>
    </row>
    <row r="201" spans="2:13" x14ac:dyDescent="0.2">
      <c r="B201" s="31" t="s">
        <v>208</v>
      </c>
      <c r="F201" s="45">
        <v>44586</v>
      </c>
      <c r="I201" s="31">
        <v>7447</v>
      </c>
      <c r="K201" s="46">
        <v>0.85029999999999994</v>
      </c>
      <c r="M201" s="37">
        <f t="shared" si="4"/>
        <v>6332.1840999999995</v>
      </c>
    </row>
    <row r="202" spans="2:13" x14ac:dyDescent="0.2">
      <c r="B202" s="31" t="s">
        <v>208</v>
      </c>
      <c r="F202" s="45">
        <v>44587</v>
      </c>
      <c r="I202" s="31">
        <v>7696</v>
      </c>
      <c r="K202" s="46">
        <v>0.85029999999999994</v>
      </c>
      <c r="M202" s="37">
        <f t="shared" si="4"/>
        <v>6543.9087999999992</v>
      </c>
    </row>
    <row r="203" spans="2:13" x14ac:dyDescent="0.2">
      <c r="B203" s="31" t="s">
        <v>208</v>
      </c>
      <c r="F203" s="45">
        <v>44588</v>
      </c>
      <c r="I203" s="31">
        <v>6099</v>
      </c>
      <c r="K203" s="46">
        <v>0.85029999999999994</v>
      </c>
      <c r="M203" s="37">
        <f t="shared" si="4"/>
        <v>5185.9796999999999</v>
      </c>
    </row>
    <row r="204" spans="2:13" x14ac:dyDescent="0.2">
      <c r="B204" s="31" t="s">
        <v>208</v>
      </c>
      <c r="F204" s="45">
        <v>44588</v>
      </c>
      <c r="I204" s="31">
        <v>322</v>
      </c>
      <c r="K204" s="46">
        <v>0.87709999999999999</v>
      </c>
      <c r="M204" s="37">
        <f t="shared" si="4"/>
        <v>282.42619999999999</v>
      </c>
    </row>
    <row r="205" spans="2:13" x14ac:dyDescent="0.2">
      <c r="B205" s="31" t="s">
        <v>208</v>
      </c>
      <c r="F205" s="45">
        <v>44589</v>
      </c>
      <c r="I205" s="31">
        <v>6511</v>
      </c>
      <c r="K205" s="46">
        <v>0.87709999999999999</v>
      </c>
      <c r="M205" s="37">
        <f t="shared" si="4"/>
        <v>5710.7981</v>
      </c>
    </row>
    <row r="206" spans="2:13" x14ac:dyDescent="0.2">
      <c r="B206" s="31" t="s">
        <v>208</v>
      </c>
      <c r="F206" s="45">
        <v>44590</v>
      </c>
      <c r="I206" s="31">
        <v>6330</v>
      </c>
      <c r="K206" s="46">
        <v>0.87709999999999999</v>
      </c>
      <c r="M206" s="37">
        <f t="shared" si="4"/>
        <v>5552.0429999999997</v>
      </c>
    </row>
    <row r="207" spans="2:13" x14ac:dyDescent="0.2">
      <c r="B207" s="31" t="s">
        <v>208</v>
      </c>
      <c r="F207" s="45">
        <v>44591</v>
      </c>
      <c r="I207" s="31">
        <v>7753</v>
      </c>
      <c r="K207" s="46">
        <v>0.87709999999999999</v>
      </c>
      <c r="M207" s="37">
        <f t="shared" si="4"/>
        <v>6800.1562999999996</v>
      </c>
    </row>
    <row r="208" spans="2:13" x14ac:dyDescent="0.2">
      <c r="B208" s="31" t="s">
        <v>208</v>
      </c>
      <c r="F208" s="45">
        <v>44592</v>
      </c>
      <c r="I208" s="31">
        <v>6622</v>
      </c>
      <c r="K208" s="46">
        <v>0.87709999999999999</v>
      </c>
      <c r="M208" s="37">
        <f t="shared" si="4"/>
        <v>5808.1562000000004</v>
      </c>
    </row>
    <row r="209" spans="2:17" x14ac:dyDescent="0.2">
      <c r="O209" s="47">
        <f>SUMPRODUCT(I175:I208,K175:K208)/SUMPRODUCT(I175:I208)</f>
        <v>0.83675979921553967</v>
      </c>
      <c r="Q209" s="2" t="s">
        <v>205</v>
      </c>
    </row>
    <row r="211" spans="2:17" s="8" customFormat="1" x14ac:dyDescent="0.2">
      <c r="B211" s="8" t="s">
        <v>129</v>
      </c>
    </row>
    <row r="213" spans="2:17" x14ac:dyDescent="0.2">
      <c r="B213" s="1" t="s">
        <v>121</v>
      </c>
    </row>
    <row r="214" spans="2:17" x14ac:dyDescent="0.2">
      <c r="B214" s="31" t="s">
        <v>208</v>
      </c>
      <c r="F214" s="45">
        <v>44593</v>
      </c>
      <c r="I214" s="31">
        <v>7656</v>
      </c>
      <c r="K214" s="46">
        <v>0.87709999999999999</v>
      </c>
      <c r="M214" s="37">
        <f>I214*K214</f>
        <v>6715.0775999999996</v>
      </c>
    </row>
    <row r="215" spans="2:17" x14ac:dyDescent="0.2">
      <c r="B215" s="31" t="s">
        <v>208</v>
      </c>
      <c r="F215" s="45">
        <v>44594</v>
      </c>
      <c r="I215" s="31">
        <v>2661</v>
      </c>
      <c r="K215" s="46">
        <v>0.87709999999999999</v>
      </c>
      <c r="M215" s="37">
        <f t="shared" ref="M215:M246" si="5">I215*K215</f>
        <v>2333.9630999999999</v>
      </c>
    </row>
    <row r="216" spans="2:17" x14ac:dyDescent="0.2">
      <c r="B216" s="31" t="s">
        <v>208</v>
      </c>
      <c r="F216" s="45">
        <v>44594</v>
      </c>
      <c r="I216" s="31">
        <v>5297</v>
      </c>
      <c r="K216" s="46">
        <v>0.91190000000000004</v>
      </c>
      <c r="M216" s="37">
        <f t="shared" si="5"/>
        <v>4830.3343000000004</v>
      </c>
    </row>
    <row r="217" spans="2:17" x14ac:dyDescent="0.2">
      <c r="B217" s="31" t="s">
        <v>208</v>
      </c>
      <c r="F217" s="45">
        <v>44595</v>
      </c>
      <c r="I217" s="31">
        <v>7249</v>
      </c>
      <c r="K217" s="46">
        <v>0.91190000000000004</v>
      </c>
      <c r="M217" s="37">
        <f t="shared" si="5"/>
        <v>6610.3631000000005</v>
      </c>
    </row>
    <row r="218" spans="2:17" x14ac:dyDescent="0.2">
      <c r="B218" s="31" t="s">
        <v>208</v>
      </c>
      <c r="F218" s="45">
        <v>44596</v>
      </c>
      <c r="I218" s="31">
        <v>7583</v>
      </c>
      <c r="K218" s="46">
        <v>0.91190000000000004</v>
      </c>
      <c r="M218" s="37">
        <f t="shared" si="5"/>
        <v>6914.9377000000004</v>
      </c>
    </row>
    <row r="219" spans="2:17" x14ac:dyDescent="0.2">
      <c r="B219" s="31" t="s">
        <v>208</v>
      </c>
      <c r="F219" s="45">
        <v>44597</v>
      </c>
      <c r="I219" s="31">
        <v>6567</v>
      </c>
      <c r="K219" s="46">
        <v>0.91190000000000004</v>
      </c>
      <c r="M219" s="37">
        <f t="shared" si="5"/>
        <v>5988.4473000000007</v>
      </c>
    </row>
    <row r="220" spans="2:17" x14ac:dyDescent="0.2">
      <c r="B220" s="31" t="s">
        <v>208</v>
      </c>
      <c r="F220" s="45">
        <v>44598</v>
      </c>
      <c r="I220" s="31">
        <v>5700</v>
      </c>
      <c r="K220" s="46">
        <v>0.91190000000000004</v>
      </c>
      <c r="M220" s="37">
        <f t="shared" si="5"/>
        <v>5197.83</v>
      </c>
    </row>
    <row r="221" spans="2:17" x14ac:dyDescent="0.2">
      <c r="B221" s="31" t="s">
        <v>208</v>
      </c>
      <c r="F221" s="45">
        <v>44599</v>
      </c>
      <c r="I221" s="31">
        <v>7424</v>
      </c>
      <c r="K221" s="46">
        <v>0.91190000000000004</v>
      </c>
      <c r="M221" s="37">
        <f t="shared" si="5"/>
        <v>6769.9456</v>
      </c>
    </row>
    <row r="222" spans="2:17" x14ac:dyDescent="0.2">
      <c r="B222" s="31" t="s">
        <v>208</v>
      </c>
      <c r="F222" s="45">
        <v>44600</v>
      </c>
      <c r="I222" s="31">
        <v>5581</v>
      </c>
      <c r="K222" s="46">
        <v>0.91190000000000004</v>
      </c>
      <c r="M222" s="37">
        <f t="shared" si="5"/>
        <v>5089.3139000000001</v>
      </c>
    </row>
    <row r="223" spans="2:17" x14ac:dyDescent="0.2">
      <c r="B223" s="31" t="s">
        <v>208</v>
      </c>
      <c r="F223" s="45">
        <v>44601</v>
      </c>
      <c r="I223" s="31">
        <v>6249</v>
      </c>
      <c r="K223" s="46">
        <v>0.91190000000000004</v>
      </c>
      <c r="M223" s="37">
        <f t="shared" si="5"/>
        <v>5698.4630999999999</v>
      </c>
    </row>
    <row r="224" spans="2:17" x14ac:dyDescent="0.2">
      <c r="B224" s="31" t="s">
        <v>208</v>
      </c>
      <c r="F224" s="45">
        <v>44602</v>
      </c>
      <c r="I224" s="31">
        <v>5132</v>
      </c>
      <c r="K224" s="46">
        <v>0.91190000000000004</v>
      </c>
      <c r="M224" s="37">
        <f t="shared" si="5"/>
        <v>4679.8708000000006</v>
      </c>
    </row>
    <row r="225" spans="2:13" x14ac:dyDescent="0.2">
      <c r="B225" s="31" t="s">
        <v>208</v>
      </c>
      <c r="F225" s="45">
        <v>44602</v>
      </c>
      <c r="I225" s="31">
        <v>928</v>
      </c>
      <c r="K225" s="46">
        <v>0.93069999999999997</v>
      </c>
      <c r="M225" s="37">
        <f t="shared" si="5"/>
        <v>863.68959999999993</v>
      </c>
    </row>
    <row r="226" spans="2:13" x14ac:dyDescent="0.2">
      <c r="B226" s="31" t="s">
        <v>208</v>
      </c>
      <c r="F226" s="45">
        <v>44603</v>
      </c>
      <c r="I226" s="31">
        <v>6303</v>
      </c>
      <c r="K226" s="46">
        <v>0.93069999999999997</v>
      </c>
      <c r="M226" s="37">
        <f t="shared" si="5"/>
        <v>5866.2020999999995</v>
      </c>
    </row>
    <row r="227" spans="2:13" x14ac:dyDescent="0.2">
      <c r="B227" s="31" t="s">
        <v>208</v>
      </c>
      <c r="F227" s="45">
        <v>44604</v>
      </c>
      <c r="I227" s="31">
        <v>6428</v>
      </c>
      <c r="K227" s="46">
        <v>0.93069999999999997</v>
      </c>
      <c r="M227" s="37">
        <f t="shared" si="5"/>
        <v>5982.5396000000001</v>
      </c>
    </row>
    <row r="228" spans="2:13" x14ac:dyDescent="0.2">
      <c r="B228" s="31" t="s">
        <v>208</v>
      </c>
      <c r="F228" s="45">
        <v>44605</v>
      </c>
      <c r="I228" s="31">
        <v>7888</v>
      </c>
      <c r="K228" s="46">
        <v>0.93069999999999997</v>
      </c>
      <c r="M228" s="37">
        <f t="shared" si="5"/>
        <v>7341.3616000000002</v>
      </c>
    </row>
    <row r="229" spans="2:13" x14ac:dyDescent="0.2">
      <c r="B229" s="31" t="s">
        <v>208</v>
      </c>
      <c r="F229" s="45">
        <v>44606</v>
      </c>
      <c r="I229" s="31">
        <v>6631</v>
      </c>
      <c r="K229" s="46">
        <v>0.93069999999999997</v>
      </c>
      <c r="M229" s="37">
        <f t="shared" si="5"/>
        <v>6171.4717000000001</v>
      </c>
    </row>
    <row r="230" spans="2:13" x14ac:dyDescent="0.2">
      <c r="B230" s="31" t="s">
        <v>208</v>
      </c>
      <c r="F230" s="45">
        <v>44607</v>
      </c>
      <c r="I230" s="31">
        <v>7156</v>
      </c>
      <c r="K230" s="46">
        <v>0.93069999999999997</v>
      </c>
      <c r="M230" s="37">
        <f t="shared" si="5"/>
        <v>6660.0891999999994</v>
      </c>
    </row>
    <row r="231" spans="2:13" x14ac:dyDescent="0.2">
      <c r="B231" s="31" t="s">
        <v>208</v>
      </c>
      <c r="F231" s="45">
        <v>44608</v>
      </c>
      <c r="I231" s="31">
        <v>2521</v>
      </c>
      <c r="K231" s="46">
        <v>0.93069999999999997</v>
      </c>
      <c r="M231" s="37">
        <f t="shared" si="5"/>
        <v>2346.2946999999999</v>
      </c>
    </row>
    <row r="232" spans="2:13" x14ac:dyDescent="0.2">
      <c r="B232" s="31" t="s">
        <v>208</v>
      </c>
      <c r="F232" s="45">
        <v>44608</v>
      </c>
      <c r="I232" s="31">
        <v>4307</v>
      </c>
      <c r="K232" s="46">
        <v>0.95750000000000002</v>
      </c>
      <c r="M232" s="37">
        <f t="shared" si="5"/>
        <v>4123.9525000000003</v>
      </c>
    </row>
    <row r="233" spans="2:13" x14ac:dyDescent="0.2">
      <c r="B233" s="31" t="s">
        <v>208</v>
      </c>
      <c r="F233" s="45">
        <v>44609</v>
      </c>
      <c r="I233" s="31">
        <v>7565</v>
      </c>
      <c r="K233" s="46">
        <v>0.95750000000000002</v>
      </c>
      <c r="M233" s="37">
        <f t="shared" si="5"/>
        <v>7243.4875000000002</v>
      </c>
    </row>
    <row r="234" spans="2:13" x14ac:dyDescent="0.2">
      <c r="B234" s="31" t="s">
        <v>208</v>
      </c>
      <c r="F234" s="45">
        <v>44610</v>
      </c>
      <c r="I234" s="31">
        <v>7151</v>
      </c>
      <c r="K234" s="46">
        <v>0.95750000000000002</v>
      </c>
      <c r="M234" s="37">
        <f t="shared" si="5"/>
        <v>6847.0825000000004</v>
      </c>
    </row>
    <row r="235" spans="2:13" x14ac:dyDescent="0.2">
      <c r="B235" s="31" t="s">
        <v>208</v>
      </c>
      <c r="F235" s="45">
        <v>44611</v>
      </c>
      <c r="I235" s="31">
        <v>7186</v>
      </c>
      <c r="K235" s="46">
        <v>0.95750000000000002</v>
      </c>
      <c r="M235" s="37">
        <f t="shared" si="5"/>
        <v>6880.5950000000003</v>
      </c>
    </row>
    <row r="236" spans="2:13" x14ac:dyDescent="0.2">
      <c r="B236" s="31" t="s">
        <v>208</v>
      </c>
      <c r="F236" s="45">
        <v>44612</v>
      </c>
      <c r="I236" s="31">
        <v>6354</v>
      </c>
      <c r="K236" s="46">
        <v>0.95750000000000002</v>
      </c>
      <c r="M236" s="37">
        <f t="shared" si="5"/>
        <v>6083.9549999999999</v>
      </c>
    </row>
    <row r="237" spans="2:13" x14ac:dyDescent="0.2">
      <c r="B237" s="31" t="s">
        <v>208</v>
      </c>
      <c r="F237" s="45">
        <v>44613</v>
      </c>
      <c r="I237" s="31">
        <v>5291</v>
      </c>
      <c r="K237" s="46">
        <v>0.95750000000000002</v>
      </c>
      <c r="M237" s="37">
        <f t="shared" si="5"/>
        <v>5066.1324999999997</v>
      </c>
    </row>
    <row r="238" spans="2:13" x14ac:dyDescent="0.2">
      <c r="B238" s="31" t="s">
        <v>208</v>
      </c>
      <c r="F238" s="45">
        <v>44613</v>
      </c>
      <c r="I238" s="31">
        <v>1879</v>
      </c>
      <c r="K238" s="46">
        <v>0.99770000000000003</v>
      </c>
      <c r="M238" s="37">
        <f t="shared" si="5"/>
        <v>1874.6783</v>
      </c>
    </row>
    <row r="239" spans="2:13" x14ac:dyDescent="0.2">
      <c r="B239" s="31" t="s">
        <v>208</v>
      </c>
      <c r="F239" s="45">
        <v>44614</v>
      </c>
      <c r="I239" s="31">
        <v>6877</v>
      </c>
      <c r="K239" s="46">
        <v>0.99770000000000003</v>
      </c>
      <c r="M239" s="37">
        <f t="shared" si="5"/>
        <v>6861.1828999999998</v>
      </c>
    </row>
    <row r="240" spans="2:13" x14ac:dyDescent="0.2">
      <c r="B240" s="31" t="s">
        <v>208</v>
      </c>
      <c r="F240" s="45">
        <v>44615</v>
      </c>
      <c r="I240" s="31">
        <v>8108</v>
      </c>
      <c r="K240" s="46">
        <v>0.99770000000000003</v>
      </c>
      <c r="M240" s="37">
        <f t="shared" si="5"/>
        <v>8089.3516</v>
      </c>
    </row>
    <row r="241" spans="2:17" x14ac:dyDescent="0.2">
      <c r="B241" s="31" t="s">
        <v>208</v>
      </c>
      <c r="F241" s="45">
        <v>44616</v>
      </c>
      <c r="I241" s="31">
        <v>6799</v>
      </c>
      <c r="K241" s="46">
        <v>0.99770000000000003</v>
      </c>
      <c r="M241" s="37">
        <f t="shared" si="5"/>
        <v>6783.3622999999998</v>
      </c>
    </row>
    <row r="242" spans="2:17" x14ac:dyDescent="0.2">
      <c r="B242" s="31" t="s">
        <v>208</v>
      </c>
      <c r="F242" s="45">
        <v>44617</v>
      </c>
      <c r="I242" s="31">
        <v>7356</v>
      </c>
      <c r="K242" s="46">
        <v>0.99770000000000003</v>
      </c>
      <c r="M242" s="37">
        <f t="shared" si="5"/>
        <v>7339.0812000000005</v>
      </c>
    </row>
    <row r="243" spans="2:17" x14ac:dyDescent="0.2">
      <c r="B243" s="31" t="s">
        <v>208</v>
      </c>
      <c r="F243" s="45">
        <v>44618</v>
      </c>
      <c r="I243" s="31">
        <v>6836</v>
      </c>
      <c r="K243" s="46">
        <v>0.99770000000000003</v>
      </c>
      <c r="M243" s="37">
        <f t="shared" si="5"/>
        <v>6820.2772000000004</v>
      </c>
    </row>
    <row r="244" spans="2:17" x14ac:dyDescent="0.2">
      <c r="B244" s="31" t="s">
        <v>208</v>
      </c>
      <c r="F244" s="45">
        <v>44618</v>
      </c>
      <c r="I244" s="31">
        <v>323</v>
      </c>
      <c r="K244" s="46">
        <v>0.95750000000000002</v>
      </c>
      <c r="M244" s="37">
        <f t="shared" si="5"/>
        <v>309.27249999999998</v>
      </c>
    </row>
    <row r="245" spans="2:17" x14ac:dyDescent="0.2">
      <c r="B245" s="31" t="s">
        <v>208</v>
      </c>
      <c r="F245" s="45">
        <v>44619</v>
      </c>
      <c r="I245" s="31">
        <v>6694</v>
      </c>
      <c r="K245" s="46">
        <v>0.95750000000000002</v>
      </c>
      <c r="M245" s="37">
        <f t="shared" si="5"/>
        <v>6409.5050000000001</v>
      </c>
    </row>
    <row r="246" spans="2:17" x14ac:dyDescent="0.2">
      <c r="B246" s="31" t="s">
        <v>208</v>
      </c>
      <c r="F246" s="45">
        <v>44620</v>
      </c>
      <c r="I246" s="31">
        <v>7587</v>
      </c>
      <c r="K246" s="46">
        <v>0.95750000000000002</v>
      </c>
      <c r="M246" s="37">
        <f t="shared" si="5"/>
        <v>7264.5524999999998</v>
      </c>
    </row>
    <row r="247" spans="2:17" x14ac:dyDescent="0.2">
      <c r="O247" s="47">
        <f>SUMPRODUCT(I214:I246,K214:K246)/SUMPRODUCT(I214:I246)</f>
        <v>0.94258970281716825</v>
      </c>
      <c r="Q247" s="2" t="s">
        <v>206</v>
      </c>
    </row>
    <row r="251" spans="2:17" x14ac:dyDescent="0.2">
      <c r="B251" s="4" t="s">
        <v>69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A3A64-88AA-49EB-A1E9-0106490EC40B}">
  <sheetPr>
    <tabColor rgb="FFE1FFE1"/>
  </sheetPr>
  <dimension ref="B2:Q18"/>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13" width="15.7109375" style="2" customWidth="1"/>
    <col min="14" max="14" width="2.7109375" style="2" customWidth="1"/>
    <col min="15" max="15" width="17.14062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2:17" s="17" customFormat="1" ht="18" x14ac:dyDescent="0.2">
      <c r="B2" s="17" t="s">
        <v>130</v>
      </c>
    </row>
    <row r="4" spans="2:17" x14ac:dyDescent="0.2">
      <c r="B4" s="25" t="s">
        <v>12</v>
      </c>
      <c r="C4" s="1"/>
      <c r="D4" s="1"/>
    </row>
    <row r="5" spans="2:17" x14ac:dyDescent="0.2">
      <c r="B5" s="20" t="s">
        <v>131</v>
      </c>
      <c r="C5" s="3"/>
      <c r="D5" s="3"/>
    </row>
    <row r="6" spans="2:17" x14ac:dyDescent="0.2">
      <c r="B6" s="20"/>
      <c r="C6" s="3"/>
      <c r="D6" s="3"/>
    </row>
    <row r="8" spans="2:17" s="8" customFormat="1" x14ac:dyDescent="0.2">
      <c r="B8" s="8" t="s">
        <v>12</v>
      </c>
      <c r="F8" s="8" t="s">
        <v>37</v>
      </c>
      <c r="H8" s="8" t="s">
        <v>125</v>
      </c>
      <c r="I8" s="8" t="s">
        <v>126</v>
      </c>
      <c r="J8" s="8" t="s">
        <v>128</v>
      </c>
      <c r="K8" s="8" t="s">
        <v>129</v>
      </c>
      <c r="L8" s="8" t="s">
        <v>135</v>
      </c>
      <c r="M8" s="8" t="s">
        <v>136</v>
      </c>
      <c r="O8" s="8" t="s">
        <v>40</v>
      </c>
      <c r="Q8" s="8" t="s">
        <v>39</v>
      </c>
    </row>
    <row r="11" spans="2:17" s="8" customFormat="1" x14ac:dyDescent="0.2">
      <c r="B11" s="8" t="s">
        <v>134</v>
      </c>
    </row>
    <row r="13" spans="2:17" x14ac:dyDescent="0.2">
      <c r="B13" s="25" t="s">
        <v>132</v>
      </c>
    </row>
    <row r="14" spans="2:17" x14ac:dyDescent="0.2">
      <c r="B14" s="2" t="s">
        <v>133</v>
      </c>
      <c r="F14" s="2" t="s">
        <v>108</v>
      </c>
      <c r="H14" s="31">
        <v>1334000</v>
      </c>
      <c r="I14" s="31">
        <v>1299000</v>
      </c>
      <c r="J14" s="31">
        <v>1212000</v>
      </c>
      <c r="K14" s="31">
        <v>1091000</v>
      </c>
      <c r="L14" s="31">
        <v>1263000</v>
      </c>
      <c r="M14" s="31">
        <v>1262000</v>
      </c>
      <c r="O14" s="2" t="s">
        <v>211</v>
      </c>
    </row>
    <row r="18" spans="2:2" x14ac:dyDescent="0.2">
      <c r="B18" s="4" t="s">
        <v>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AE0B-A302-4556-8B58-D2C5C45084F3}">
  <sheetPr>
    <tabColor rgb="FFE1FFE1"/>
  </sheetPr>
  <dimension ref="B2:Q38"/>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6.57031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5" width="25.71093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2:17" s="17" customFormat="1" ht="18" x14ac:dyDescent="0.2">
      <c r="B2" s="17" t="s">
        <v>137</v>
      </c>
    </row>
    <row r="4" spans="2:17" x14ac:dyDescent="0.2">
      <c r="B4" s="25" t="s">
        <v>12</v>
      </c>
      <c r="C4" s="1"/>
      <c r="D4" s="1"/>
    </row>
    <row r="5" spans="2:17" x14ac:dyDescent="0.2">
      <c r="B5" s="20" t="s">
        <v>138</v>
      </c>
      <c r="C5" s="3"/>
      <c r="D5" s="3"/>
      <c r="H5" s="18"/>
    </row>
    <row r="6" spans="2:17" x14ac:dyDescent="0.2">
      <c r="B6" s="20"/>
      <c r="C6" s="3"/>
      <c r="D6" s="3"/>
      <c r="H6" s="18"/>
    </row>
    <row r="7" spans="2:17" x14ac:dyDescent="0.2">
      <c r="B7" s="26" t="s">
        <v>231</v>
      </c>
      <c r="C7" s="3"/>
      <c r="D7" s="3"/>
      <c r="H7" s="18"/>
    </row>
    <row r="8" spans="2:17" x14ac:dyDescent="0.2">
      <c r="B8" s="4" t="s">
        <v>159</v>
      </c>
      <c r="C8" s="3"/>
      <c r="D8" s="3"/>
    </row>
    <row r="9" spans="2:17" x14ac:dyDescent="0.2">
      <c r="B9" s="4"/>
      <c r="C9" s="3"/>
      <c r="D9" s="3"/>
    </row>
    <row r="11" spans="2:17" s="8" customFormat="1" ht="25.5" x14ac:dyDescent="0.2">
      <c r="B11" s="8" t="s">
        <v>12</v>
      </c>
      <c r="F11" s="8" t="s">
        <v>37</v>
      </c>
      <c r="H11" s="8" t="s">
        <v>38</v>
      </c>
      <c r="J11" s="44" t="s">
        <v>139</v>
      </c>
      <c r="L11" s="44" t="s">
        <v>140</v>
      </c>
      <c r="M11" s="44" t="s">
        <v>157</v>
      </c>
      <c r="N11" s="44" t="s">
        <v>158</v>
      </c>
      <c r="O11" s="44" t="s">
        <v>221</v>
      </c>
      <c r="Q11" s="8" t="s">
        <v>39</v>
      </c>
    </row>
    <row r="14" spans="2:17" x14ac:dyDescent="0.2">
      <c r="B14" s="2" t="s">
        <v>40</v>
      </c>
      <c r="L14" s="2" t="s">
        <v>141</v>
      </c>
      <c r="M14" s="2" t="s">
        <v>142</v>
      </c>
      <c r="N14" s="2" t="s">
        <v>143</v>
      </c>
      <c r="O14" s="2" t="s">
        <v>144</v>
      </c>
    </row>
    <row r="16" spans="2:17" s="8" customFormat="1" x14ac:dyDescent="0.2">
      <c r="B16" s="8" t="s">
        <v>145</v>
      </c>
    </row>
    <row r="18" spans="2:17" x14ac:dyDescent="0.2">
      <c r="B18" s="25" t="s">
        <v>146</v>
      </c>
    </row>
    <row r="19" spans="2:17" x14ac:dyDescent="0.2">
      <c r="B19" s="2" t="s">
        <v>147</v>
      </c>
      <c r="F19" s="2" t="s">
        <v>98</v>
      </c>
      <c r="L19" s="46">
        <v>0.26822619178414686</v>
      </c>
      <c r="M19" s="46">
        <v>0.27324342090213039</v>
      </c>
    </row>
    <row r="20" spans="2:17" x14ac:dyDescent="0.2">
      <c r="B20" s="2" t="s">
        <v>148</v>
      </c>
      <c r="F20" s="2" t="s">
        <v>99</v>
      </c>
      <c r="L20" s="51">
        <v>0.61954966855167126</v>
      </c>
      <c r="M20" s="51">
        <v>0.68495484398648065</v>
      </c>
      <c r="Q20" s="2" t="s">
        <v>162</v>
      </c>
    </row>
    <row r="22" spans="2:17" x14ac:dyDescent="0.2">
      <c r="B22" s="1" t="s">
        <v>149</v>
      </c>
    </row>
    <row r="23" spans="2:17" x14ac:dyDescent="0.2">
      <c r="B23" s="2" t="s">
        <v>151</v>
      </c>
      <c r="F23" s="2" t="s">
        <v>153</v>
      </c>
      <c r="N23" s="46">
        <v>0.11901772081283289</v>
      </c>
      <c r="O23" s="46">
        <v>0.15661498988170491</v>
      </c>
    </row>
    <row r="24" spans="2:17" x14ac:dyDescent="0.2">
      <c r="B24" s="2" t="s">
        <v>91</v>
      </c>
      <c r="F24" s="2" t="s">
        <v>97</v>
      </c>
      <c r="O24" s="46">
        <v>0.13760975674694975</v>
      </c>
    </row>
    <row r="25" spans="2:17" x14ac:dyDescent="0.2">
      <c r="B25" s="2" t="s">
        <v>150</v>
      </c>
      <c r="F25" s="2" t="s">
        <v>108</v>
      </c>
      <c r="O25" s="31">
        <v>17919431.587000001</v>
      </c>
    </row>
    <row r="26" spans="2:17" x14ac:dyDescent="0.2">
      <c r="B26" s="2" t="s">
        <v>152</v>
      </c>
      <c r="F26" s="2" t="s">
        <v>108</v>
      </c>
      <c r="O26" s="31">
        <v>8392011.3399999999</v>
      </c>
    </row>
    <row r="27" spans="2:17" x14ac:dyDescent="0.2">
      <c r="B27" s="2" t="s">
        <v>104</v>
      </c>
      <c r="F27" s="2" t="s">
        <v>99</v>
      </c>
      <c r="O27" s="52">
        <f>O26/O25</f>
        <v>0.46831905907596683</v>
      </c>
    </row>
    <row r="29" spans="2:17" x14ac:dyDescent="0.2">
      <c r="B29" s="1" t="s">
        <v>109</v>
      </c>
    </row>
    <row r="30" spans="2:17" x14ac:dyDescent="0.2">
      <c r="B30" s="2" t="s">
        <v>110</v>
      </c>
      <c r="F30" s="2" t="s">
        <v>97</v>
      </c>
      <c r="O30" s="46">
        <v>1.5852171223302727E-3</v>
      </c>
      <c r="Q30" s="2" t="s">
        <v>160</v>
      </c>
    </row>
    <row r="32" spans="2:17" x14ac:dyDescent="0.2">
      <c r="B32" s="1" t="s">
        <v>154</v>
      </c>
    </row>
    <row r="33" spans="2:17" x14ac:dyDescent="0.2">
      <c r="B33" s="2" t="s">
        <v>155</v>
      </c>
      <c r="F33" s="2" t="s">
        <v>99</v>
      </c>
      <c r="O33" s="51">
        <v>0.14000000000000001</v>
      </c>
    </row>
    <row r="34" spans="2:17" x14ac:dyDescent="0.2">
      <c r="B34" s="2" t="s">
        <v>156</v>
      </c>
      <c r="F34" s="2" t="s">
        <v>99</v>
      </c>
      <c r="O34" s="49">
        <v>0.03</v>
      </c>
      <c r="Q34" s="2" t="s">
        <v>161</v>
      </c>
    </row>
    <row r="38" spans="2:17" x14ac:dyDescent="0.2">
      <c r="B38" s="4"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RowHeight="12.75" x14ac:dyDescent="0.2"/>
  <cols>
    <col min="1" max="16384" width="9.140625" style="19"/>
  </cols>
  <sheetData>
    <row r="2" spans="2:2" x14ac:dyDescent="0.2">
      <c r="B2" s="42" t="s">
        <v>70</v>
      </c>
    </row>
    <row r="3" spans="2:2" x14ac:dyDescent="0.2">
      <c r="B3" s="42" t="s">
        <v>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Props1.xml><?xml version="1.0" encoding="utf-8"?>
<ds:datastoreItem xmlns:ds="http://schemas.openxmlformats.org/officeDocument/2006/customXml" ds:itemID="{29821432-9D6D-4FB8-B669-75517133F53E}">
  <ds:schemaRefs>
    <ds:schemaRef ds:uri="http://schemas.microsoft.com/sharepoint/events"/>
  </ds:schemaRefs>
</ds:datastoreItem>
</file>

<file path=customXml/itemProps2.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3.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4b38974-1436-4631-a0be-797faa579778"/>
    <ds:schemaRef ds:uri="http://schemas.microsoft.com/office/infopath/2007/PartnerControls"/>
    <ds:schemaRef ds:uri="http://purl.org/dc/terms/"/>
    <ds:schemaRef ds:uri="5e7bef76-b888-41a2-a261-5f525b37d4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Cover sheet</vt:lpstr>
      <vt:lpstr>Explanation</vt:lpstr>
      <vt:lpstr>Sources and specifics</vt:lpstr>
      <vt:lpstr>Result</vt:lpstr>
      <vt:lpstr>Input --&gt;</vt:lpstr>
      <vt:lpstr>Fuel prices</vt:lpstr>
      <vt:lpstr>Production data</vt:lpstr>
      <vt:lpstr>Parameters in tariff decisions</vt:lpstr>
      <vt:lpstr>Calculations --&gt;</vt:lpstr>
      <vt:lpstr>Fuel component 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2022-06-22T11:11:36Z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